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K:\Rates\Transmission\Rate20\Final FRN 2020 Rates\Official w Signatures and FINAL DOCUMENTS\eTariff\"/>
    </mc:Choice>
  </mc:AlternateContent>
  <xr:revisionPtr revIDLastSave="0" documentId="13_ncr:1_{E5FC7D56-E373-4D3F-AAA4-2D404634154C}" xr6:coauthVersionLast="45" xr6:coauthVersionMax="45" xr10:uidLastSave="{00000000-0000-0000-0000-000000000000}"/>
  <bookViews>
    <workbookView xWindow="576" yWindow="900" windowWidth="21600" windowHeight="11388" tabRatio="826" xr2:uid="{00000000-000D-0000-FFFF-FFFF00000000}"/>
  </bookViews>
  <sheets>
    <sheet name="Cover Sheets" sheetId="29" r:id="rId1"/>
    <sheet name="Summary-TrueUp" sheetId="11" r:id="rId2"/>
    <sheet name="WS1-RateBase" sheetId="2" r:id="rId3"/>
    <sheet name="WS2-AllocFactor" sheetId="4" r:id="rId4"/>
    <sheet name="WS3-RevCredits" sheetId="25" r:id="rId5"/>
    <sheet name="WS4-CostData" sheetId="3" r:id="rId6"/>
    <sheet name="WS5-BPUz" sheetId="26" r:id="rId7"/>
    <sheet name="WS6-BPUr" sheetId="27" r:id="rId8"/>
    <sheet name="WS7-BPUFac" sheetId="28" r:id="rId9"/>
    <sheet name="WS8-TranFac" sheetId="1" r:id="rId10"/>
    <sheet name="WS9-AI-Incl" sheetId="23" r:id="rId11"/>
    <sheet name="WS10-AI-Excl" sheetId="24" r:id="rId12"/>
    <sheet name="WS11-FacChanges" sheetId="22" r:id="rId13"/>
    <sheet name="WS12-SSCD" sheetId="6" r:id="rId14"/>
    <sheet name="WS13-SSCDFac" sheetId="5" r:id="rId15"/>
    <sheet name="WS14-Reg" sheetId="10" r:id="rId16"/>
    <sheet name="WS15-Res" sheetId="9" r:id="rId17"/>
  </sheets>
  <externalReferences>
    <externalReference r:id="rId18"/>
    <externalReference r:id="rId19"/>
  </externalReferences>
  <definedNames>
    <definedName name="Act14_ActRegRevRqmt" localSheetId="0">'[1]Input Sheet'!#REF!</definedName>
    <definedName name="Act14_ActRegRevRqmt" localSheetId="12">'[1]Input Sheet'!#REF!</definedName>
    <definedName name="Act14_ActRegRevRqmt" localSheetId="4">'[1]Input Sheet'!#REF!</definedName>
    <definedName name="Act14_ActRegRevRqmt" localSheetId="6">'[1]Input Sheet'!#REF!</definedName>
    <definedName name="Act14_ActRegRevRqmt" localSheetId="7">'[1]Input Sheet'!#REF!</definedName>
    <definedName name="Act14_ActRegRevRqmt" localSheetId="8">'[1]Input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0">#REF!</definedName>
    <definedName name="CUSTAR" localSheetId="12">#REF!</definedName>
    <definedName name="CUSTAR" localSheetId="13">#REF!</definedName>
    <definedName name="CUSTAR" localSheetId="15">#REF!</definedName>
    <definedName name="CUSTAR" localSheetId="16">#REF!</definedName>
    <definedName name="CUSTAR" localSheetId="2">#REF!</definedName>
    <definedName name="CUSTAR" localSheetId="4">#REF!</definedName>
    <definedName name="CUSTAR" localSheetId="6">#REF!</definedName>
    <definedName name="CUSTAR" localSheetId="7">#REF!</definedName>
    <definedName name="CUSTAR" localSheetId="8">#REF!</definedName>
    <definedName name="Custar1" localSheetId="0">#REF!</definedName>
    <definedName name="Custar1" localSheetId="12">#REF!</definedName>
    <definedName name="Custar1" localSheetId="13">#REF!</definedName>
    <definedName name="Custar1" localSheetId="15">#REF!</definedName>
    <definedName name="Custar1" localSheetId="16">#REF!</definedName>
    <definedName name="Custar1" localSheetId="4">#REF!</definedName>
    <definedName name="Custar1" localSheetId="6">#REF!</definedName>
    <definedName name="Custar1" localSheetId="7">#REF!</definedName>
    <definedName name="Custar1" localSheetId="8">#REF!</definedName>
    <definedName name="CUYAHOGA_FALLS" localSheetId="0">#REF!</definedName>
    <definedName name="CUYAHOGA_FALLS" localSheetId="12">#REF!</definedName>
    <definedName name="CUYAHOGA_FALLS" localSheetId="13">#REF!</definedName>
    <definedName name="CUYAHOGA_FALLS" localSheetId="15">#REF!</definedName>
    <definedName name="CUYAHOGA_FALLS" localSheetId="16">#REF!</definedName>
    <definedName name="CUYAHOGA_FALLS" localSheetId="2">#REF!</definedName>
    <definedName name="CUYAHOGA_FALLS" localSheetId="4">#REF!</definedName>
    <definedName name="CUYAHOGA_FALLS" localSheetId="6">#REF!</definedName>
    <definedName name="CUYAHOGA_FALLS" localSheetId="7">#REF!</definedName>
    <definedName name="CUYAHOGA_FALLS" localSheetId="8">#REF!</definedName>
    <definedName name="DETERMINATION_OF_PICK_SLOAN_MISSOURI_BASIN_PROGRAM__EASTERN_DIVISION" localSheetId="0">#REF!</definedName>
    <definedName name="DETERMINATION_OF_PICK_SLOAN_MISSOURI_BASIN_PROGRAM__EASTERN_DIVISION" localSheetId="12">#REF!</definedName>
    <definedName name="DETERMINATION_OF_PICK_SLOAN_MISSOURI_BASIN_PROGRAM__EASTERN_DIVISION" localSheetId="13">#REF!</definedName>
    <definedName name="DETERMINATION_OF_PICK_SLOAN_MISSOURI_BASIN_PROGRAM__EASTERN_DIVISION" localSheetId="15">#REF!</definedName>
    <definedName name="DETERMINATION_OF_PICK_SLOAN_MISSOURI_BASIN_PROGRAM__EASTERN_DIVISION" localSheetId="16">#REF!</definedName>
    <definedName name="DETERMINATION_OF_PICK_SLOAN_MISSOURI_BASIN_PROGRAM__EASTERN_DIVISION" localSheetId="2">#REF!</definedName>
    <definedName name="DETERMINATION_OF_PICK_SLOAN_MISSOURI_BASIN_PROGRAM__EASTERN_DIVISION" localSheetId="4">#REF!</definedName>
    <definedName name="DETERMINATION_OF_PICK_SLOAN_MISSOURI_BASIN_PROGRAM__EASTERN_DIVISION" localSheetId="6">#REF!</definedName>
    <definedName name="DETERMINATION_OF_PICK_SLOAN_MISSOURI_BASIN_PROGRAM__EASTERN_DIVISION" localSheetId="7">#REF!</definedName>
    <definedName name="DETERMINATION_OF_PICK_SLOAN_MISSOURI_BASIN_PROGRAM__EASTERN_DIVISION" localSheetId="8">#REF!</definedName>
    <definedName name="EDGERTON" localSheetId="0">#REF!</definedName>
    <definedName name="EDGERTON" localSheetId="12">#REF!</definedName>
    <definedName name="EDGERTON" localSheetId="13">#REF!</definedName>
    <definedName name="EDGERTON" localSheetId="15">#REF!</definedName>
    <definedName name="EDGERTON" localSheetId="16">#REF!</definedName>
    <definedName name="EDGERTON" localSheetId="2">#REF!</definedName>
    <definedName name="EDGERTON" localSheetId="4">#REF!</definedName>
    <definedName name="EDGERTON" localSheetId="6">#REF!</definedName>
    <definedName name="EDGERTON" localSheetId="7">#REF!</definedName>
    <definedName name="EDGERTON" localSheetId="8">#REF!</definedName>
    <definedName name="Ellwood_City" localSheetId="0">#REF!</definedName>
    <definedName name="Ellwood_City" localSheetId="12">#REF!</definedName>
    <definedName name="Ellwood_City" localSheetId="13">#REF!</definedName>
    <definedName name="Ellwood_City" localSheetId="15">#REF!</definedName>
    <definedName name="Ellwood_City" localSheetId="16">#REF!</definedName>
    <definedName name="Ellwood_City" localSheetId="2">#REF!</definedName>
    <definedName name="Ellwood_City" localSheetId="4">#REF!</definedName>
    <definedName name="Ellwood_City" localSheetId="6">#REF!</definedName>
    <definedName name="Ellwood_City" localSheetId="7">#REF!</definedName>
    <definedName name="Ellwood_City" localSheetId="8">#REF!</definedName>
    <definedName name="ELMORE" localSheetId="0">#REF!</definedName>
    <definedName name="ELMORE" localSheetId="12">#REF!</definedName>
    <definedName name="ELMORE" localSheetId="13">#REF!</definedName>
    <definedName name="ELMORE" localSheetId="15">#REF!</definedName>
    <definedName name="ELMORE" localSheetId="16">#REF!</definedName>
    <definedName name="ELMORE" localSheetId="2">#REF!</definedName>
    <definedName name="ELMORE" localSheetId="4">#REF!</definedName>
    <definedName name="ELMORE" localSheetId="6">#REF!</definedName>
    <definedName name="ELMORE" localSheetId="7">#REF!</definedName>
    <definedName name="ELMORE" localSheetId="8">#REF!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0">#REF!</definedName>
    <definedName name="GALION" localSheetId="12">#REF!</definedName>
    <definedName name="GALION" localSheetId="13">#REF!</definedName>
    <definedName name="GALION" localSheetId="15">#REF!</definedName>
    <definedName name="GALION" localSheetId="16">#REF!</definedName>
    <definedName name="GALION" localSheetId="2">#REF!</definedName>
    <definedName name="GALION" localSheetId="4">#REF!</definedName>
    <definedName name="GALION" localSheetId="6">#REF!</definedName>
    <definedName name="GALION" localSheetId="7">#REF!</definedName>
    <definedName name="GALION" localSheetId="8">#REF!</definedName>
    <definedName name="GENOA" localSheetId="0">#REF!</definedName>
    <definedName name="GENOA" localSheetId="12">#REF!</definedName>
    <definedName name="GENOA" localSheetId="13">#REF!</definedName>
    <definedName name="GENOA" localSheetId="15">#REF!</definedName>
    <definedName name="GENOA" localSheetId="16">#REF!</definedName>
    <definedName name="GENOA" localSheetId="2">#REF!</definedName>
    <definedName name="GENOA" localSheetId="4">#REF!</definedName>
    <definedName name="GENOA" localSheetId="6">#REF!</definedName>
    <definedName name="GENOA" localSheetId="7">#REF!</definedName>
    <definedName name="GENOA" localSheetId="8">#REF!</definedName>
    <definedName name="GENOA_NORTH" localSheetId="0">#REF!</definedName>
    <definedName name="GENOA_NORTH" localSheetId="12">#REF!</definedName>
    <definedName name="GENOA_NORTH" localSheetId="13">#REF!</definedName>
    <definedName name="GENOA_NORTH" localSheetId="15">#REF!</definedName>
    <definedName name="GENOA_NORTH" localSheetId="16">#REF!</definedName>
    <definedName name="GENOA_NORTH" localSheetId="2">#REF!</definedName>
    <definedName name="GENOA_NORTH" localSheetId="4">#REF!</definedName>
    <definedName name="GENOA_NORTH" localSheetId="6">#REF!</definedName>
    <definedName name="GENOA_NORTH" localSheetId="7">#REF!</definedName>
    <definedName name="GENOA_NORTH" localSheetId="8">#REF!</definedName>
    <definedName name="GENOA_SOUTH" localSheetId="0">#REF!</definedName>
    <definedName name="GENOA_SOUTH" localSheetId="12">#REF!</definedName>
    <definedName name="GENOA_SOUTH" localSheetId="13">#REF!</definedName>
    <definedName name="GENOA_SOUTH" localSheetId="15">#REF!</definedName>
    <definedName name="GENOA_SOUTH" localSheetId="16">#REF!</definedName>
    <definedName name="GENOA_SOUTH" localSheetId="2">#REF!</definedName>
    <definedName name="GENOA_SOUTH" localSheetId="4">#REF!</definedName>
    <definedName name="GENOA_SOUTH" localSheetId="6">#REF!</definedName>
    <definedName name="GENOA_SOUTH" localSheetId="7">#REF!</definedName>
    <definedName name="GENOA_SOUTH" localSheetId="8">#REF!</definedName>
    <definedName name="GRAFTON" localSheetId="0">#REF!</definedName>
    <definedName name="GRAFTON" localSheetId="12">#REF!</definedName>
    <definedName name="GRAFTON" localSheetId="13">#REF!</definedName>
    <definedName name="GRAFTON" localSheetId="15">#REF!</definedName>
    <definedName name="GRAFTON" localSheetId="16">#REF!</definedName>
    <definedName name="GRAFTON" localSheetId="2">#REF!</definedName>
    <definedName name="GRAFTON" localSheetId="4">#REF!</definedName>
    <definedName name="GRAFTON" localSheetId="6">#REF!</definedName>
    <definedName name="GRAFTON" localSheetId="7">#REF!</definedName>
    <definedName name="GRAFTON" localSheetId="8">#REF!</definedName>
    <definedName name="Grove_City" localSheetId="0">#REF!</definedName>
    <definedName name="Grove_City" localSheetId="12">#REF!</definedName>
    <definedName name="Grove_City" localSheetId="13">#REF!</definedName>
    <definedName name="Grove_City" localSheetId="15">#REF!</definedName>
    <definedName name="Grove_City" localSheetId="16">#REF!</definedName>
    <definedName name="Grove_City" localSheetId="2">#REF!</definedName>
    <definedName name="Grove_City" localSheetId="4">#REF!</definedName>
    <definedName name="Grove_City" localSheetId="6">#REF!</definedName>
    <definedName name="Grove_City" localSheetId="7">#REF!</definedName>
    <definedName name="Grove_City" localSheetId="8">#REF!</definedName>
    <definedName name="HASKINS" localSheetId="0">#REF!</definedName>
    <definedName name="HASKINS" localSheetId="12">#REF!</definedName>
    <definedName name="HASKINS" localSheetId="13">#REF!</definedName>
    <definedName name="HASKINS" localSheetId="15">#REF!</definedName>
    <definedName name="HASKINS" localSheetId="16">#REF!</definedName>
    <definedName name="HASKINS" localSheetId="2">#REF!</definedName>
    <definedName name="HASKINS" localSheetId="4">#REF!</definedName>
    <definedName name="HASKINS" localSheetId="6">#REF!</definedName>
    <definedName name="HASKINS" localSheetId="7">#REF!</definedName>
    <definedName name="HASKINS" localSheetId="8">#REF!</definedName>
    <definedName name="hourending" localSheetId="0">#REF!</definedName>
    <definedName name="hourending" localSheetId="12">#REF!</definedName>
    <definedName name="hourending" localSheetId="13">#REF!</definedName>
    <definedName name="hourending" localSheetId="15">#REF!</definedName>
    <definedName name="hourending" localSheetId="16">#REF!</definedName>
    <definedName name="hourending" localSheetId="2">#REF!</definedName>
    <definedName name="hourending" localSheetId="4">#REF!</definedName>
    <definedName name="hourending" localSheetId="6">#REF!</definedName>
    <definedName name="hourending" localSheetId="7">#REF!</definedName>
    <definedName name="hourending" localSheetId="8">#REF!</definedName>
    <definedName name="HUBBARD" localSheetId="0">#REF!</definedName>
    <definedName name="HUBBARD" localSheetId="12">#REF!</definedName>
    <definedName name="HUBBARD" localSheetId="13">#REF!</definedName>
    <definedName name="HUBBARD" localSheetId="15">#REF!</definedName>
    <definedName name="HUBBARD" localSheetId="16">#REF!</definedName>
    <definedName name="HUBBARD" localSheetId="2">#REF!</definedName>
    <definedName name="HUBBARD" localSheetId="4">#REF!</definedName>
    <definedName name="HUBBARD" localSheetId="6">#REF!</definedName>
    <definedName name="HUBBARD" localSheetId="7">#REF!</definedName>
    <definedName name="HUBBARD" localSheetId="8">#REF!</definedName>
    <definedName name="HUBBARD1" localSheetId="0">#REF!</definedName>
    <definedName name="HUBBARD1" localSheetId="12">#REF!</definedName>
    <definedName name="HUBBARD1" localSheetId="13">#REF!</definedName>
    <definedName name="HUBBARD1" localSheetId="15">#REF!</definedName>
    <definedName name="HUBBARD1" localSheetId="16">#REF!</definedName>
    <definedName name="HUBBARD1" localSheetId="4">#REF!</definedName>
    <definedName name="HUBBARD1" localSheetId="6">#REF!</definedName>
    <definedName name="HUBBARD1" localSheetId="7">#REF!</definedName>
    <definedName name="HUBBARD1" localSheetId="8">#REF!</definedName>
    <definedName name="LODI" localSheetId="0">#REF!</definedName>
    <definedName name="LODI" localSheetId="12">#REF!</definedName>
    <definedName name="LODI" localSheetId="13">#REF!</definedName>
    <definedName name="LODI" localSheetId="15">#REF!</definedName>
    <definedName name="LODI" localSheetId="16">#REF!</definedName>
    <definedName name="LODI" localSheetId="2">#REF!</definedName>
    <definedName name="LODI" localSheetId="4">#REF!</definedName>
    <definedName name="LODI" localSheetId="6">#REF!</definedName>
    <definedName name="LODI" localSheetId="7">#REF!</definedName>
    <definedName name="LODI" localSheetId="8">#REF!</definedName>
    <definedName name="LUCAS" localSheetId="0">#REF!</definedName>
    <definedName name="LUCAS" localSheetId="12">#REF!</definedName>
    <definedName name="LUCAS" localSheetId="13">#REF!</definedName>
    <definedName name="LUCAS" localSheetId="15">#REF!</definedName>
    <definedName name="LUCAS" localSheetId="16">#REF!</definedName>
    <definedName name="LUCAS" localSheetId="2">#REF!</definedName>
    <definedName name="LUCAS" localSheetId="4">#REF!</definedName>
    <definedName name="LUCAS" localSheetId="6">#REF!</definedName>
    <definedName name="LUCAS" localSheetId="7">#REF!</definedName>
    <definedName name="LUCAS" localSheetId="8">#REF!</definedName>
    <definedName name="MILAN" localSheetId="0">#REF!</definedName>
    <definedName name="MILAN" localSheetId="12">#REF!</definedName>
    <definedName name="MILAN" localSheetId="13">#REF!</definedName>
    <definedName name="MILAN" localSheetId="15">#REF!</definedName>
    <definedName name="MILAN" localSheetId="16">#REF!</definedName>
    <definedName name="MILAN" localSheetId="2">#REF!</definedName>
    <definedName name="MILAN" localSheetId="4">#REF!</definedName>
    <definedName name="MILAN" localSheetId="6">#REF!</definedName>
    <definedName name="MILAN" localSheetId="7">#REF!</definedName>
    <definedName name="MILAN" localSheetId="8">#REF!</definedName>
    <definedName name="MONROEVILLE" localSheetId="0">#REF!</definedName>
    <definedName name="MONROEVILLE" localSheetId="12">#REF!</definedName>
    <definedName name="MONROEVILLE" localSheetId="13">#REF!</definedName>
    <definedName name="MONROEVILLE" localSheetId="15">#REF!</definedName>
    <definedName name="MONROEVILLE" localSheetId="16">#REF!</definedName>
    <definedName name="MONROEVILLE" localSheetId="2">#REF!</definedName>
    <definedName name="MONROEVILLE" localSheetId="4">#REF!</definedName>
    <definedName name="MONROEVILLE" localSheetId="6">#REF!</definedName>
    <definedName name="MONROEVILLE" localSheetId="7">#REF!</definedName>
    <definedName name="MONROEVILLE" localSheetId="8">#REF!</definedName>
    <definedName name="NAPOLEON" localSheetId="0">#REF!</definedName>
    <definedName name="NAPOLEON" localSheetId="12">#REF!</definedName>
    <definedName name="NAPOLEON" localSheetId="13">#REF!</definedName>
    <definedName name="NAPOLEON" localSheetId="15">#REF!</definedName>
    <definedName name="NAPOLEON" localSheetId="16">#REF!</definedName>
    <definedName name="NAPOLEON" localSheetId="2">#REF!</definedName>
    <definedName name="NAPOLEON" localSheetId="4">#REF!</definedName>
    <definedName name="NAPOLEON" localSheetId="6">#REF!</definedName>
    <definedName name="NAPOLEON" localSheetId="7">#REF!</definedName>
    <definedName name="NAPOLEON" localSheetId="8">#REF!</definedName>
    <definedName name="NEASG" localSheetId="0">#REF!</definedName>
    <definedName name="NEASG" localSheetId="12">#REF!</definedName>
    <definedName name="NEASG" localSheetId="13">#REF!</definedName>
    <definedName name="NEASG" localSheetId="15">#REF!</definedName>
    <definedName name="NEASG" localSheetId="16">#REF!</definedName>
    <definedName name="NEASG" localSheetId="2">#REF!</definedName>
    <definedName name="NEASG" localSheetId="4">#REF!</definedName>
    <definedName name="NEASG" localSheetId="6">#REF!</definedName>
    <definedName name="NEASG" localSheetId="7">#REF!</definedName>
    <definedName name="NEASG" localSheetId="8">#REF!</definedName>
    <definedName name="New_Wilmington" localSheetId="0">#REF!</definedName>
    <definedName name="New_Wilmington" localSheetId="12">#REF!</definedName>
    <definedName name="New_Wilmington" localSheetId="13">#REF!</definedName>
    <definedName name="New_Wilmington" localSheetId="15">#REF!</definedName>
    <definedName name="New_Wilmington" localSheetId="16">#REF!</definedName>
    <definedName name="New_Wilmington" localSheetId="2">#REF!</definedName>
    <definedName name="New_Wilmington" localSheetId="4">#REF!</definedName>
    <definedName name="New_Wilmington" localSheetId="6">#REF!</definedName>
    <definedName name="New_Wilmington" localSheetId="7">#REF!</definedName>
    <definedName name="New_Wilmington" localSheetId="8">#REF!</definedName>
    <definedName name="NEWTON_FALLS" localSheetId="0">#REF!</definedName>
    <definedName name="NEWTON_FALLS" localSheetId="12">#REF!</definedName>
    <definedName name="NEWTON_FALLS" localSheetId="13">#REF!</definedName>
    <definedName name="NEWTON_FALLS" localSheetId="15">#REF!</definedName>
    <definedName name="NEWTON_FALLS" localSheetId="16">#REF!</definedName>
    <definedName name="NEWTON_FALLS" localSheetId="2">#REF!</definedName>
    <definedName name="NEWTON_FALLS" localSheetId="4">#REF!</definedName>
    <definedName name="NEWTON_FALLS" localSheetId="6">#REF!</definedName>
    <definedName name="NEWTON_FALLS" localSheetId="7">#REF!</definedName>
    <definedName name="NEWTON_FALLS" localSheetId="8">#REF!</definedName>
    <definedName name="NILES" localSheetId="0">#REF!</definedName>
    <definedName name="NILES" localSheetId="12">#REF!</definedName>
    <definedName name="NILES" localSheetId="13">#REF!</definedName>
    <definedName name="NILES" localSheetId="15">#REF!</definedName>
    <definedName name="NILES" localSheetId="16">#REF!</definedName>
    <definedName name="NILES" localSheetId="2">#REF!</definedName>
    <definedName name="NILES" localSheetId="4">#REF!</definedName>
    <definedName name="NILES" localSheetId="6">#REF!</definedName>
    <definedName name="NILES" localSheetId="7">#REF!</definedName>
    <definedName name="NILES" localSheetId="8">#REF!</definedName>
    <definedName name="NWASG" localSheetId="0">#REF!</definedName>
    <definedName name="NWASG" localSheetId="12">#REF!</definedName>
    <definedName name="NWASG" localSheetId="13">#REF!</definedName>
    <definedName name="NWASG" localSheetId="15">#REF!</definedName>
    <definedName name="NWASG" localSheetId="16">#REF!</definedName>
    <definedName name="NWASG" localSheetId="2">#REF!</definedName>
    <definedName name="NWASG" localSheetId="4">#REF!</definedName>
    <definedName name="NWASG" localSheetId="6">#REF!</definedName>
    <definedName name="NWASG" localSheetId="7">#REF!</definedName>
    <definedName name="NWASG" localSheetId="8">#REF!</definedName>
    <definedName name="OAK_HARBOR" localSheetId="0">#REF!</definedName>
    <definedName name="OAK_HARBOR" localSheetId="12">#REF!</definedName>
    <definedName name="OAK_HARBOR" localSheetId="13">#REF!</definedName>
    <definedName name="OAK_HARBOR" localSheetId="15">#REF!</definedName>
    <definedName name="OAK_HARBOR" localSheetId="16">#REF!</definedName>
    <definedName name="OAK_HARBOR" localSheetId="2">#REF!</definedName>
    <definedName name="OAK_HARBOR" localSheetId="4">#REF!</definedName>
    <definedName name="OAK_HARBOR" localSheetId="6">#REF!</definedName>
    <definedName name="OAK_HARBOR" localSheetId="7">#REF!</definedName>
    <definedName name="OAK_HARBOR" localSheetId="8">#REF!</definedName>
    <definedName name="OBERLIN" localSheetId="0">#REF!</definedName>
    <definedName name="OBERLIN" localSheetId="12">#REF!</definedName>
    <definedName name="OBERLIN" localSheetId="13">#REF!</definedName>
    <definedName name="OBERLIN" localSheetId="15">#REF!</definedName>
    <definedName name="OBERLIN" localSheetId="16">#REF!</definedName>
    <definedName name="OBERLIN" localSheetId="2">#REF!</definedName>
    <definedName name="OBERLIN" localSheetId="4">#REF!</definedName>
    <definedName name="OBERLIN" localSheetId="6">#REF!</definedName>
    <definedName name="OBERLIN" localSheetId="7">#REF!</definedName>
    <definedName name="OBERLIN" localSheetId="8">#REF!</definedName>
    <definedName name="PEMBERVILLE" localSheetId="0">#REF!</definedName>
    <definedName name="PEMBERVILLE" localSheetId="12">#REF!</definedName>
    <definedName name="PEMBERVILLE" localSheetId="13">#REF!</definedName>
    <definedName name="PEMBERVILLE" localSheetId="15">#REF!</definedName>
    <definedName name="PEMBERVILLE" localSheetId="16">#REF!</definedName>
    <definedName name="PEMBERVILLE" localSheetId="2">#REF!</definedName>
    <definedName name="PEMBERVILLE" localSheetId="4">#REF!</definedName>
    <definedName name="PEMBERVILLE" localSheetId="6">#REF!</definedName>
    <definedName name="PEMBERVILLE" localSheetId="7">#REF!</definedName>
    <definedName name="PEMBERVILLE" localSheetId="8">#REF!</definedName>
    <definedName name="PIONEER" localSheetId="0">#REF!</definedName>
    <definedName name="PIONEER" localSheetId="12">#REF!</definedName>
    <definedName name="PIONEER" localSheetId="13">#REF!</definedName>
    <definedName name="PIONEER" localSheetId="15">#REF!</definedName>
    <definedName name="PIONEER" localSheetId="16">#REF!</definedName>
    <definedName name="PIONEER" localSheetId="2">#REF!</definedName>
    <definedName name="PIONEER" localSheetId="4">#REF!</definedName>
    <definedName name="PIONEER" localSheetId="6">#REF!</definedName>
    <definedName name="PIONEER" localSheetId="7">#REF!</definedName>
    <definedName name="PIONEER" localSheetId="8">#REF!</definedName>
    <definedName name="_xlnm.Print_Area" localSheetId="0">'Cover Sheets'!$A$1:$D$33</definedName>
    <definedName name="_xlnm.Print_Area" localSheetId="1">'Summary-TrueUp'!$A$1:$G$54</definedName>
    <definedName name="_xlnm.Print_Area" localSheetId="12">'WS11-FacChanges'!$A$1:$B$18</definedName>
    <definedName name="_xlnm.Print_Area" localSheetId="13">'WS12-SSCD'!$A$1:$D$20</definedName>
    <definedName name="_xlnm.Print_Area" localSheetId="15">'WS14-Reg'!$A$1:$D$17</definedName>
    <definedName name="_xlnm.Print_Area" localSheetId="16">'WS15-Res'!$A$1:$D$20</definedName>
    <definedName name="_xlnm.Print_Area" localSheetId="2">'WS1-RateBase'!$A$1:$I$174</definedName>
    <definedName name="_xlnm.Print_Area" localSheetId="3">'WS2-AllocFactor'!$A$1:$H$37</definedName>
    <definedName name="_xlnm.Print_Area" localSheetId="6">'WS5-BPUz'!$A$1:$O$19</definedName>
    <definedName name="_xlnm.Print_Area" localSheetId="7">'WS6-BPUr'!$A$1:$O$19</definedName>
    <definedName name="_xlnm.Print_Area" localSheetId="9">'WS8-TranFac'!$A$1:$I$506</definedName>
    <definedName name="PROSPECT" localSheetId="0">#REF!</definedName>
    <definedName name="PROSPECT" localSheetId="12">#REF!</definedName>
    <definedName name="PROSPECT" localSheetId="13">#REF!</definedName>
    <definedName name="PROSPECT" localSheetId="15">#REF!</definedName>
    <definedName name="PROSPECT" localSheetId="16">#REF!</definedName>
    <definedName name="PROSPECT" localSheetId="2">#REF!</definedName>
    <definedName name="PROSPECT" localSheetId="4">#REF!</definedName>
    <definedName name="PROSPECT" localSheetId="6">#REF!</definedName>
    <definedName name="PROSPECT" localSheetId="7">#REF!</definedName>
    <definedName name="PROSPECT" localSheetId="8">#REF!</definedName>
    <definedName name="revreq" localSheetId="0">#REF!</definedName>
    <definedName name="revreq" localSheetId="12">#REF!</definedName>
    <definedName name="revreq" localSheetId="13">#REF!</definedName>
    <definedName name="revreq" localSheetId="15">#REF!</definedName>
    <definedName name="revreq" localSheetId="16">#REF!</definedName>
    <definedName name="revreq" localSheetId="2">#REF!</definedName>
    <definedName name="revreq" localSheetId="4">#REF!</definedName>
    <definedName name="revreq" localSheetId="6">#REF!</definedName>
    <definedName name="revreq" localSheetId="7">#REF!</definedName>
    <definedName name="revreq" localSheetId="8">#REF!</definedName>
    <definedName name="SEVILLE" localSheetId="0">#REF!</definedName>
    <definedName name="SEVILLE" localSheetId="12">#REF!</definedName>
    <definedName name="SEVILLE" localSheetId="13">#REF!</definedName>
    <definedName name="SEVILLE" localSheetId="15">#REF!</definedName>
    <definedName name="SEVILLE" localSheetId="16">#REF!</definedName>
    <definedName name="SEVILLE" localSheetId="2">#REF!</definedName>
    <definedName name="SEVILLE" localSheetId="4">#REF!</definedName>
    <definedName name="SEVILLE" localSheetId="6">#REF!</definedName>
    <definedName name="SEVILLE" localSheetId="7">#REF!</definedName>
    <definedName name="SEVILLE" localSheetId="8">#REF!</definedName>
    <definedName name="SOUTH_VIENNA" localSheetId="0">#REF!</definedName>
    <definedName name="SOUTH_VIENNA" localSheetId="12">#REF!</definedName>
    <definedName name="SOUTH_VIENNA" localSheetId="13">#REF!</definedName>
    <definedName name="SOUTH_VIENNA" localSheetId="15">#REF!</definedName>
    <definedName name="SOUTH_VIENNA" localSheetId="16">#REF!</definedName>
    <definedName name="SOUTH_VIENNA" localSheetId="2">#REF!</definedName>
    <definedName name="SOUTH_VIENNA" localSheetId="4">#REF!</definedName>
    <definedName name="SOUTH_VIENNA" localSheetId="6">#REF!</definedName>
    <definedName name="SOUTH_VIENNA" localSheetId="7">#REF!</definedName>
    <definedName name="SOUTH_VIENNA" localSheetId="8">#REF!</definedName>
    <definedName name="TOTAL_COLUMBIANA" localSheetId="0">#REF!</definedName>
    <definedName name="TOTAL_COLUMBIANA" localSheetId="12">#REF!</definedName>
    <definedName name="TOTAL_COLUMBIANA" localSheetId="13">#REF!</definedName>
    <definedName name="TOTAL_COLUMBIANA" localSheetId="15">#REF!</definedName>
    <definedName name="TOTAL_COLUMBIANA" localSheetId="16">#REF!</definedName>
    <definedName name="TOTAL_COLUMBIANA" localSheetId="2">#REF!</definedName>
    <definedName name="TOTAL_COLUMBIANA" localSheetId="4">#REF!</definedName>
    <definedName name="TOTAL_COLUMBIANA" localSheetId="6">#REF!</definedName>
    <definedName name="TOTAL_COLUMBIANA" localSheetId="7">#REF!</definedName>
    <definedName name="TOTAL_COLUMBIANA" localSheetId="8">#REF!</definedName>
    <definedName name="Total_Grove_City" localSheetId="0">#REF!</definedName>
    <definedName name="Total_Grove_City" localSheetId="12">#REF!</definedName>
    <definedName name="Total_Grove_City" localSheetId="13">#REF!</definedName>
    <definedName name="Total_Grove_City" localSheetId="15">#REF!</definedName>
    <definedName name="Total_Grove_City" localSheetId="16">#REF!</definedName>
    <definedName name="Total_Grove_City" localSheetId="2">#REF!</definedName>
    <definedName name="Total_Grove_City" localSheetId="4">#REF!</definedName>
    <definedName name="Total_Grove_City" localSheetId="6">#REF!</definedName>
    <definedName name="Total_Grove_City" localSheetId="7">#REF!</definedName>
    <definedName name="Total_Grove_City" localSheetId="8">#REF!</definedName>
    <definedName name="TOTAL_HUDSON" localSheetId="0">#REF!</definedName>
    <definedName name="TOTAL_HUDSON" localSheetId="12">#REF!</definedName>
    <definedName name="TOTAL_HUDSON" localSheetId="13">#REF!</definedName>
    <definedName name="TOTAL_HUDSON" localSheetId="15">#REF!</definedName>
    <definedName name="TOTAL_HUDSON" localSheetId="16">#REF!</definedName>
    <definedName name="TOTAL_HUDSON" localSheetId="2">#REF!</definedName>
    <definedName name="TOTAL_HUDSON" localSheetId="4">#REF!</definedName>
    <definedName name="TOTAL_HUDSON" localSheetId="6">#REF!</definedName>
    <definedName name="TOTAL_HUDSON" localSheetId="7">#REF!</definedName>
    <definedName name="TOTAL_HUDSON" localSheetId="8">#REF!</definedName>
    <definedName name="TOTAL_MONTPELIER" localSheetId="0">#REF!</definedName>
    <definedName name="TOTAL_MONTPELIER" localSheetId="12">#REF!</definedName>
    <definedName name="TOTAL_MONTPELIER" localSheetId="13">#REF!</definedName>
    <definedName name="TOTAL_MONTPELIER" localSheetId="15">#REF!</definedName>
    <definedName name="TOTAL_MONTPELIER" localSheetId="16">#REF!</definedName>
    <definedName name="TOTAL_MONTPELIER" localSheetId="2">#REF!</definedName>
    <definedName name="TOTAL_MONTPELIER" localSheetId="4">#REF!</definedName>
    <definedName name="TOTAL_MONTPELIER" localSheetId="6">#REF!</definedName>
    <definedName name="TOTAL_MONTPELIER" localSheetId="7">#REF!</definedName>
    <definedName name="TOTAL_MONTPELIER" localSheetId="8">#REF!</definedName>
    <definedName name="TOTAL_WOODVILLE" localSheetId="0">#REF!</definedName>
    <definedName name="TOTAL_WOODVILLE" localSheetId="12">#REF!</definedName>
    <definedName name="TOTAL_WOODVILLE" localSheetId="13">#REF!</definedName>
    <definedName name="TOTAL_WOODVILLE" localSheetId="15">#REF!</definedName>
    <definedName name="TOTAL_WOODVILLE" localSheetId="16">#REF!</definedName>
    <definedName name="TOTAL_WOODVILLE" localSheetId="2">#REF!</definedName>
    <definedName name="TOTAL_WOODVILLE" localSheetId="4">#REF!</definedName>
    <definedName name="TOTAL_WOODVILLE" localSheetId="6">#REF!</definedName>
    <definedName name="TOTAL_WOODVILLE" localSheetId="7">#REF!</definedName>
    <definedName name="TOTAL_WOODVILLE" localSheetId="8">#REF!</definedName>
    <definedName name="WADSWORTH" localSheetId="0">#REF!</definedName>
    <definedName name="WADSWORTH" localSheetId="12">#REF!</definedName>
    <definedName name="WADSWORTH" localSheetId="13">#REF!</definedName>
    <definedName name="WADSWORTH" localSheetId="15">#REF!</definedName>
    <definedName name="WADSWORTH" localSheetId="16">#REF!</definedName>
    <definedName name="WADSWORTH" localSheetId="2">#REF!</definedName>
    <definedName name="WADSWORTH" localSheetId="4">#REF!</definedName>
    <definedName name="WADSWORTH" localSheetId="6">#REF!</definedName>
    <definedName name="WADSWORTH" localSheetId="7">#REF!</definedName>
    <definedName name="WADSWORTH" localSheetId="8">#REF!</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1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1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s>
  <calcPr calcId="191029"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 l="1"/>
  <c r="A3" i="4"/>
  <c r="A3" i="9"/>
  <c r="A3" i="10"/>
  <c r="A3" i="5"/>
  <c r="A3" i="6"/>
  <c r="A3" i="22"/>
  <c r="A3" i="24"/>
  <c r="A3" i="23"/>
  <c r="I119" i="1"/>
  <c r="I120" i="1"/>
  <c r="A3" i="1"/>
  <c r="A3" i="28"/>
  <c r="A3" i="27"/>
  <c r="A3" i="26"/>
  <c r="A3" i="3"/>
  <c r="A1" i="11"/>
  <c r="A9" i="23"/>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s="1"/>
  <c r="A423" i="23" s="1"/>
  <c r="A424" i="23" s="1"/>
  <c r="A425" i="23" s="1"/>
  <c r="A426" i="23" s="1"/>
  <c r="A427" i="23" s="1"/>
  <c r="A428" i="23" s="1"/>
  <c r="A429" i="23" s="1"/>
  <c r="A430" i="23" s="1"/>
  <c r="A431" i="23" s="1"/>
  <c r="A432" i="23" s="1"/>
  <c r="A433" i="23" s="1"/>
  <c r="A434" i="23" s="1"/>
  <c r="A435" i="23" s="1"/>
  <c r="A436" i="23" s="1"/>
  <c r="A437" i="23" s="1"/>
  <c r="A438" i="23" s="1"/>
  <c r="A439" i="23" s="1"/>
  <c r="A440" i="23" s="1"/>
  <c r="A441" i="23" s="1"/>
  <c r="A442" i="23" s="1"/>
  <c r="A443" i="23" s="1"/>
  <c r="A444" i="23" s="1"/>
  <c r="A445" i="23" s="1"/>
  <c r="A446" i="23" s="1"/>
  <c r="A447" i="23" s="1"/>
  <c r="A448" i="23" s="1"/>
  <c r="A449" i="23" s="1"/>
  <c r="A450" i="23" s="1"/>
  <c r="A451" i="23" s="1"/>
  <c r="A452" i="23" s="1"/>
  <c r="A453" i="23" s="1"/>
  <c r="A454" i="23" s="1"/>
  <c r="A455" i="23" s="1"/>
  <c r="A456" i="23" s="1"/>
  <c r="A457" i="23" s="1"/>
  <c r="A458" i="23" s="1"/>
  <c r="A459" i="23" s="1"/>
  <c r="A460" i="23" s="1"/>
  <c r="A461" i="23" s="1"/>
  <c r="A462" i="23" s="1"/>
  <c r="A463" i="23" s="1"/>
  <c r="A464" i="23" s="1"/>
  <c r="A465" i="23" s="1"/>
  <c r="A466" i="23" s="1"/>
  <c r="A467" i="23" s="1"/>
  <c r="A468" i="23" s="1"/>
  <c r="A469" i="23" s="1"/>
  <c r="A470" i="23" s="1"/>
  <c r="A471" i="23" s="1"/>
  <c r="A472" i="23" s="1"/>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4" i="23" s="1"/>
  <c r="A495" i="23" s="1"/>
  <c r="A496" i="23" s="1"/>
  <c r="A497" i="23" s="1"/>
  <c r="A498" i="23" s="1"/>
  <c r="A499" i="23" s="1"/>
  <c r="A500" i="23" s="1"/>
  <c r="A501" i="23" s="1"/>
  <c r="A502" i="23" s="1"/>
  <c r="A503" i="23" s="1"/>
  <c r="A504" i="23" s="1"/>
  <c r="A505" i="23" s="1"/>
  <c r="A506" i="23" s="1"/>
  <c r="A507" i="23" s="1"/>
  <c r="A508" i="23" s="1"/>
  <c r="A509" i="23" s="1"/>
  <c r="A510" i="23" s="1"/>
  <c r="A511" i="23" s="1"/>
  <c r="A512" i="23" s="1"/>
  <c r="A513" i="23" s="1"/>
  <c r="A514" i="23" s="1"/>
  <c r="A515" i="23" s="1"/>
  <c r="A516" i="23" s="1"/>
  <c r="A517" i="23" s="1"/>
  <c r="A518" i="23" s="1"/>
  <c r="A519" i="23" s="1"/>
  <c r="A520" i="23" s="1"/>
  <c r="A521" i="23" s="1"/>
  <c r="A522" i="23" s="1"/>
  <c r="A523" i="23" s="1"/>
  <c r="A524" i="23" s="1"/>
  <c r="A525" i="23" s="1"/>
  <c r="A526" i="23" s="1"/>
  <c r="A527" i="23" s="1"/>
  <c r="A528" i="23" s="1"/>
  <c r="A529" i="23" s="1"/>
  <c r="A530" i="23" s="1"/>
  <c r="A531" i="23" s="1"/>
  <c r="A532" i="23" s="1"/>
  <c r="A533" i="23" s="1"/>
  <c r="A534" i="23" s="1"/>
  <c r="A535" i="23" s="1"/>
  <c r="A536" i="23" s="1"/>
  <c r="A537" i="23" s="1"/>
  <c r="A538" i="23" s="1"/>
  <c r="A539" i="23" s="1"/>
  <c r="A540" i="23" s="1"/>
  <c r="A541" i="23" s="1"/>
  <c r="A542" i="23" s="1"/>
  <c r="A543" i="23" s="1"/>
  <c r="A544" i="23" s="1"/>
  <c r="A545" i="23" s="1"/>
  <c r="A546" i="23" s="1"/>
  <c r="A547" i="23" s="1"/>
  <c r="A548" i="23" s="1"/>
  <c r="A549" i="23" s="1"/>
  <c r="A550" i="23" s="1"/>
  <c r="A551" i="23" s="1"/>
  <c r="A552" i="23" s="1"/>
  <c r="A553" i="23" s="1"/>
  <c r="A554" i="23" s="1"/>
  <c r="A555" i="23" s="1"/>
  <c r="A556" i="23" s="1"/>
  <c r="A557" i="23" s="1"/>
  <c r="A558" i="23" s="1"/>
  <c r="A559" i="23" s="1"/>
  <c r="A560" i="23" s="1"/>
  <c r="A561" i="23" s="1"/>
  <c r="A562" i="23" s="1"/>
  <c r="A563" i="23" s="1"/>
  <c r="A564" i="23" s="1"/>
  <c r="A565" i="23" s="1"/>
  <c r="A566" i="23" s="1"/>
  <c r="A567" i="23" s="1"/>
  <c r="A568" i="23" s="1"/>
  <c r="A569" i="23" s="1"/>
  <c r="A570" i="23" s="1"/>
  <c r="A571" i="23" s="1"/>
  <c r="A572" i="23" s="1"/>
  <c r="A573" i="23" s="1"/>
  <c r="A574" i="23" s="1"/>
  <c r="A575" i="23" s="1"/>
  <c r="A576" i="23" s="1"/>
  <c r="A577" i="23" s="1"/>
  <c r="A578" i="23" s="1"/>
  <c r="A579" i="23" s="1"/>
  <c r="A580" i="23" s="1"/>
  <c r="A581" i="23" s="1"/>
  <c r="A582" i="23" s="1"/>
  <c r="A583" i="23" s="1"/>
  <c r="A584" i="23" s="1"/>
  <c r="A585" i="23" s="1"/>
  <c r="A586" i="23" s="1"/>
  <c r="A587" i="23" s="1"/>
  <c r="A588" i="23" s="1"/>
  <c r="A589" i="23" s="1"/>
  <c r="A590" i="23" s="1"/>
  <c r="A591" i="23" s="1"/>
  <c r="A592" i="23" s="1"/>
  <c r="A593" i="23" s="1"/>
  <c r="A594" i="23" s="1"/>
  <c r="A595" i="23" s="1"/>
  <c r="A596" i="23" s="1"/>
  <c r="A597" i="23" s="1"/>
  <c r="A598" i="23" s="1"/>
  <c r="A599" i="23" s="1"/>
  <c r="A600" i="23" s="1"/>
  <c r="A601" i="23" s="1"/>
  <c r="A602" i="23" s="1"/>
  <c r="A603" i="23" s="1"/>
  <c r="A604" i="23" s="1"/>
  <c r="A605" i="23" s="1"/>
  <c r="A606" i="23" s="1"/>
  <c r="A607" i="23" s="1"/>
  <c r="A608" i="23" s="1"/>
  <c r="A609" i="23" s="1"/>
  <c r="A610" i="23" s="1"/>
  <c r="A611" i="23" s="1"/>
  <c r="A612" i="23" s="1"/>
  <c r="A613" i="23" s="1"/>
  <c r="A614" i="23" s="1"/>
  <c r="A615" i="23" s="1"/>
  <c r="A616" i="23" s="1"/>
  <c r="A617" i="23" s="1"/>
  <c r="A618" i="23" s="1"/>
  <c r="A619" i="23" s="1"/>
  <c r="A620" i="23" s="1"/>
  <c r="A621" i="23" s="1"/>
  <c r="A622" i="23" s="1"/>
  <c r="A623" i="23" s="1"/>
  <c r="A624" i="23" s="1"/>
  <c r="A625" i="23" s="1"/>
  <c r="A626" i="23" s="1"/>
  <c r="A627" i="23" s="1"/>
  <c r="A628" i="23" s="1"/>
  <c r="A629" i="23" s="1"/>
  <c r="A630" i="23" s="1"/>
  <c r="A631" i="23" s="1"/>
  <c r="A632" i="23" s="1"/>
  <c r="A633" i="23" s="1"/>
  <c r="A634" i="23" s="1"/>
  <c r="A635" i="23" s="1"/>
  <c r="A636" i="23" s="1"/>
  <c r="A637" i="23" s="1"/>
  <c r="A638" i="23" s="1"/>
  <c r="A639" i="23" s="1"/>
  <c r="A640" i="23" s="1"/>
  <c r="A641" i="23" s="1"/>
  <c r="A642" i="23" s="1"/>
  <c r="A643" i="23" s="1"/>
  <c r="A644" i="23" s="1"/>
  <c r="A645" i="23" s="1"/>
  <c r="A646" i="23" s="1"/>
  <c r="A647" i="23" s="1"/>
  <c r="A648" i="23" s="1"/>
  <c r="A649" i="23" s="1"/>
  <c r="A650" i="23" s="1"/>
  <c r="A651" i="23" s="1"/>
  <c r="A652" i="23" s="1"/>
  <c r="A653" i="23" s="1"/>
  <c r="A654" i="23" s="1"/>
  <c r="A655" i="23" s="1"/>
  <c r="A656" i="23" s="1"/>
  <c r="A657" i="23" s="1"/>
  <c r="A658" i="23" s="1"/>
  <c r="A659" i="23" s="1"/>
  <c r="A660" i="23" s="1"/>
  <c r="A661" i="23" s="1"/>
  <c r="A662" i="23" s="1"/>
  <c r="A663" i="23" s="1"/>
  <c r="A664" i="23" s="1"/>
  <c r="A665" i="23" s="1"/>
  <c r="A666" i="23" s="1"/>
  <c r="A667" i="23" s="1"/>
  <c r="A668" i="23" s="1"/>
  <c r="A669" i="23" s="1"/>
  <c r="A670" i="23" s="1"/>
  <c r="A671" i="23" s="1"/>
  <c r="A672" i="23" s="1"/>
  <c r="A673" i="23" s="1"/>
  <c r="A674" i="23" s="1"/>
  <c r="A675" i="23" s="1"/>
  <c r="A676" i="23" s="1"/>
  <c r="A677" i="23" s="1"/>
  <c r="A678" i="23" s="1"/>
  <c r="A679" i="23" s="1"/>
  <c r="A680" i="23" s="1"/>
  <c r="A681" i="23" s="1"/>
  <c r="A682" i="23" s="1"/>
  <c r="A683" i="23" s="1"/>
  <c r="A684" i="23" s="1"/>
  <c r="A685" i="23" s="1"/>
  <c r="A686" i="23" s="1"/>
  <c r="A687" i="23" s="1"/>
  <c r="A688" i="23" s="1"/>
  <c r="A689" i="23" s="1"/>
  <c r="A690" i="23" s="1"/>
  <c r="A691" i="23" s="1"/>
  <c r="A692" i="23" s="1"/>
  <c r="A693" i="23" s="1"/>
  <c r="A694" i="23" s="1"/>
  <c r="A695" i="23" s="1"/>
  <c r="A696" i="23" s="1"/>
  <c r="A697" i="23" s="1"/>
  <c r="A698" i="23" s="1"/>
  <c r="A699" i="23" s="1"/>
  <c r="A700" i="23" s="1"/>
  <c r="A701" i="23" s="1"/>
  <c r="A702" i="23" s="1"/>
  <c r="A703" i="23" s="1"/>
  <c r="A704" i="23" s="1"/>
  <c r="A705" i="23" s="1"/>
  <c r="A706" i="23" s="1"/>
  <c r="A707" i="23" s="1"/>
  <c r="A708" i="23" s="1"/>
  <c r="A709" i="23" s="1"/>
  <c r="A710" i="23" s="1"/>
  <c r="A711" i="23" s="1"/>
  <c r="A712" i="23" s="1"/>
  <c r="A713" i="23" s="1"/>
  <c r="A714" i="23" s="1"/>
  <c r="A715" i="23" s="1"/>
  <c r="A716" i="23" s="1"/>
  <c r="A717" i="23" s="1"/>
  <c r="A718" i="23" s="1"/>
  <c r="A719" i="23" s="1"/>
  <c r="A720" i="23" s="1"/>
  <c r="A721" i="23" s="1"/>
  <c r="A722" i="23" s="1"/>
  <c r="A723" i="23" s="1"/>
  <c r="A724" i="23" s="1"/>
  <c r="A725" i="23" s="1"/>
  <c r="A726" i="23" s="1"/>
  <c r="A727" i="23" s="1"/>
  <c r="A728" i="23" s="1"/>
  <c r="A729" i="23" s="1"/>
  <c r="A730" i="23" s="1"/>
  <c r="A731" i="23" s="1"/>
  <c r="A732" i="23" s="1"/>
  <c r="A733" i="23" s="1"/>
  <c r="A734" i="23" s="1"/>
  <c r="A735" i="23" s="1"/>
  <c r="A736" i="23" s="1"/>
  <c r="A737" i="23" s="1"/>
  <c r="A738" i="23" s="1"/>
  <c r="A739" i="23" s="1"/>
  <c r="A740" i="23" s="1"/>
  <c r="A741" i="23" s="1"/>
  <c r="A742" i="23" s="1"/>
  <c r="A743" i="23" s="1"/>
  <c r="A744" i="23" s="1"/>
  <c r="A745" i="23" s="1"/>
  <c r="A746" i="23" s="1"/>
  <c r="A747" i="23" s="1"/>
  <c r="A748" i="23" s="1"/>
  <c r="A749" i="23" s="1"/>
  <c r="A750" i="23" s="1"/>
  <c r="A751" i="23" s="1"/>
  <c r="A752" i="23" s="1"/>
  <c r="A753" i="23" s="1"/>
  <c r="A754" i="23" s="1"/>
  <c r="A755" i="23" s="1"/>
  <c r="A756" i="23" s="1"/>
  <c r="A757" i="23" s="1"/>
  <c r="A758" i="23" s="1"/>
  <c r="A759" i="23" s="1"/>
  <c r="A760" i="23" s="1"/>
  <c r="A761" i="23" s="1"/>
  <c r="A762" i="23" s="1"/>
  <c r="A763" i="23" s="1"/>
  <c r="A764" i="23" s="1"/>
  <c r="A765" i="23" s="1"/>
  <c r="A766" i="23" s="1"/>
  <c r="A767" i="23" s="1"/>
  <c r="A768" i="23" s="1"/>
  <c r="A769" i="23" s="1"/>
  <c r="A770" i="23" s="1"/>
  <c r="A771" i="23" s="1"/>
  <c r="A772" i="23" s="1"/>
  <c r="A773" i="23" s="1"/>
  <c r="A774" i="23" s="1"/>
  <c r="A775" i="23" s="1"/>
  <c r="A776" i="23" s="1"/>
  <c r="A777" i="23" s="1"/>
  <c r="A778" i="23" s="1"/>
  <c r="A779" i="23" s="1"/>
  <c r="A780" i="23" s="1"/>
  <c r="A781" i="23" s="1"/>
  <c r="A782" i="23" s="1"/>
  <c r="A783" i="23" s="1"/>
  <c r="A784" i="23" s="1"/>
  <c r="A785" i="23" s="1"/>
  <c r="A786" i="23" s="1"/>
  <c r="A787" i="23" s="1"/>
  <c r="A788" i="23" s="1"/>
  <c r="A8" i="23"/>
  <c r="E89" i="25" l="1"/>
  <c r="E59" i="25"/>
  <c r="E58" i="25"/>
  <c r="E57" i="25"/>
  <c r="E56" i="25"/>
  <c r="E55" i="25"/>
  <c r="E54" i="25"/>
  <c r="E53" i="25"/>
  <c r="E52" i="25"/>
  <c r="E51" i="25"/>
  <c r="E50" i="25"/>
  <c r="E49" i="25"/>
  <c r="E48" i="25"/>
  <c r="E17" i="25"/>
  <c r="E16" i="25"/>
  <c r="E15" i="25"/>
  <c r="E14" i="25"/>
  <c r="E13" i="25"/>
  <c r="E12" i="25"/>
  <c r="E11" i="25"/>
  <c r="E10" i="25"/>
  <c r="E9" i="25"/>
  <c r="E8" i="25"/>
  <c r="E7" i="25"/>
  <c r="E6" i="25"/>
  <c r="D119" i="2" l="1"/>
  <c r="E173" i="25" l="1"/>
  <c r="H172" i="25"/>
  <c r="H171" i="25"/>
  <c r="H170" i="25"/>
  <c r="H169" i="25"/>
  <c r="H168" i="25"/>
  <c r="H167" i="25"/>
  <c r="G167" i="25"/>
  <c r="H166" i="25"/>
  <c r="H165" i="25"/>
  <c r="H164" i="25"/>
  <c r="H163" i="25"/>
  <c r="H162" i="25"/>
  <c r="H161" i="25"/>
  <c r="H160" i="25"/>
  <c r="H173" i="25" l="1"/>
  <c r="H63" i="25" l="1"/>
  <c r="H64" i="25"/>
  <c r="H65" i="25"/>
  <c r="H66" i="25"/>
  <c r="H67" i="25"/>
  <c r="H68" i="25"/>
  <c r="H69" i="25"/>
  <c r="H70" i="25"/>
  <c r="H71" i="25"/>
  <c r="H72" i="25"/>
  <c r="H73" i="25"/>
  <c r="H74" i="25"/>
  <c r="H62" i="25"/>
  <c r="E75" i="25"/>
  <c r="H75" i="25" s="1"/>
  <c r="E27" i="11" l="1"/>
  <c r="E29" i="11" s="1"/>
  <c r="E22" i="11"/>
  <c r="E21" i="11"/>
  <c r="E23" i="11" s="1"/>
  <c r="A1" i="4" l="1"/>
  <c r="A1" i="25"/>
  <c r="K117" i="3" l="1"/>
  <c r="A8" i="2" l="1"/>
  <c r="A9" i="2" l="1"/>
  <c r="A1" i="9"/>
  <c r="A1" i="10"/>
  <c r="A1" i="5"/>
  <c r="A1" i="6"/>
  <c r="A1" i="22"/>
  <c r="A1" i="24"/>
  <c r="A1" i="1"/>
  <c r="A1" i="28"/>
  <c r="A1" i="27"/>
  <c r="A1" i="26"/>
  <c r="A1" i="3"/>
  <c r="A3" i="25" l="1"/>
  <c r="A1" i="2" l="1"/>
  <c r="F36" i="4" l="1"/>
  <c r="G17" i="4"/>
  <c r="F14" i="4"/>
  <c r="F18" i="4" s="1"/>
  <c r="G36" i="4"/>
  <c r="F9" i="4"/>
  <c r="F11" i="4" s="1"/>
  <c r="F27" i="4" s="1"/>
  <c r="G9" i="4"/>
  <c r="G11" i="4" s="1"/>
  <c r="G27" i="4" s="1"/>
  <c r="E21" i="28"/>
  <c r="I20" i="28"/>
  <c r="G20" i="28"/>
  <c r="I19" i="28"/>
  <c r="G19" i="28"/>
  <c r="I18" i="28"/>
  <c r="G18" i="28"/>
  <c r="I17" i="28"/>
  <c r="G17" i="28"/>
  <c r="I16" i="28"/>
  <c r="G16" i="28"/>
  <c r="I15" i="28"/>
  <c r="G15" i="28"/>
  <c r="I14" i="28"/>
  <c r="G14" i="28"/>
  <c r="I13" i="28"/>
  <c r="G13" i="28"/>
  <c r="I12" i="28"/>
  <c r="G12" i="28"/>
  <c r="I11" i="28"/>
  <c r="G11" i="28"/>
  <c r="I10" i="28"/>
  <c r="G10" i="28"/>
  <c r="I9" i="28"/>
  <c r="G9" i="28"/>
  <c r="I8" i="28"/>
  <c r="G8" i="28"/>
  <c r="G6" i="28"/>
  <c r="E6" i="28"/>
  <c r="A7" i="27"/>
  <c r="A8" i="27" s="1"/>
  <c r="A9" i="27" s="1"/>
  <c r="A10" i="27" s="1"/>
  <c r="A11" i="27" s="1"/>
  <c r="A12" i="27" s="1"/>
  <c r="A13" i="27" s="1"/>
  <c r="A14" i="27" s="1"/>
  <c r="A15" i="27" s="1"/>
  <c r="A16" i="27" s="1"/>
  <c r="A17" i="27" s="1"/>
  <c r="A18" i="27" s="1"/>
  <c r="A19" i="27" s="1"/>
  <c r="A7" i="26"/>
  <c r="A8" i="26" s="1"/>
  <c r="A9" i="26" s="1"/>
  <c r="A10" i="26" s="1"/>
  <c r="A11" i="26" s="1"/>
  <c r="A12" i="26" s="1"/>
  <c r="A13" i="26" s="1"/>
  <c r="A14" i="26" s="1"/>
  <c r="A15" i="26" s="1"/>
  <c r="A16" i="26" s="1"/>
  <c r="A17" i="26" s="1"/>
  <c r="A18" i="26" s="1"/>
  <c r="A19" i="26" s="1"/>
  <c r="I21" i="28" l="1"/>
  <c r="G21" i="28"/>
  <c r="I5" i="28" s="1"/>
  <c r="I6" i="28" s="1"/>
  <c r="F15" i="4"/>
  <c r="F28" i="4" s="1"/>
  <c r="F19" i="4"/>
  <c r="F29" i="4" s="1"/>
  <c r="G14" i="4"/>
  <c r="G18" i="4" s="1"/>
  <c r="G19" i="4" s="1"/>
  <c r="G29" i="4" s="1"/>
  <c r="G15" i="4" l="1"/>
  <c r="G28" i="4" s="1"/>
  <c r="C121" i="3" l="1"/>
  <c r="L6" i="26" l="1"/>
  <c r="M6" i="26" s="1"/>
  <c r="N6" i="26" s="1"/>
  <c r="O6" i="26" s="1"/>
  <c r="L6" i="27"/>
  <c r="M6" i="27" s="1"/>
  <c r="N6" i="27" s="1"/>
  <c r="O6" i="27" s="1"/>
  <c r="E159" i="25" l="1"/>
  <c r="H158" i="25"/>
  <c r="H157" i="25"/>
  <c r="H156" i="25"/>
  <c r="H155" i="25"/>
  <c r="H154" i="25"/>
  <c r="H153" i="25"/>
  <c r="G153" i="25"/>
  <c r="H152" i="25"/>
  <c r="H151" i="25"/>
  <c r="H150" i="25"/>
  <c r="H149" i="25"/>
  <c r="H148" i="25"/>
  <c r="H147" i="25"/>
  <c r="H146" i="25"/>
  <c r="E145" i="25"/>
  <c r="H144" i="25"/>
  <c r="H143" i="25"/>
  <c r="H142" i="25"/>
  <c r="H141" i="25"/>
  <c r="H140" i="25"/>
  <c r="H139" i="25"/>
  <c r="G139" i="25"/>
  <c r="H138" i="25"/>
  <c r="H137" i="25"/>
  <c r="H136" i="25"/>
  <c r="H135" i="25"/>
  <c r="H134" i="25"/>
  <c r="H133" i="25"/>
  <c r="H132" i="25"/>
  <c r="E131" i="25"/>
  <c r="H130" i="25"/>
  <c r="H129" i="25"/>
  <c r="H128" i="25"/>
  <c r="H127" i="25"/>
  <c r="H126" i="25"/>
  <c r="H125" i="25"/>
  <c r="G125" i="25"/>
  <c r="H124" i="25"/>
  <c r="H123" i="25"/>
  <c r="H122" i="25"/>
  <c r="H121" i="25"/>
  <c r="H120" i="25"/>
  <c r="H119" i="25"/>
  <c r="H118" i="25"/>
  <c r="H159" i="25" l="1"/>
  <c r="H145" i="25"/>
  <c r="H131" i="25"/>
  <c r="H56" i="25"/>
  <c r="H53" i="25"/>
  <c r="H52" i="25"/>
  <c r="H49" i="25"/>
  <c r="H48" i="25"/>
  <c r="H60" i="25"/>
  <c r="H59" i="25"/>
  <c r="H58" i="25"/>
  <c r="H57" i="25"/>
  <c r="H55" i="25"/>
  <c r="G55" i="25"/>
  <c r="F55" i="25"/>
  <c r="H54" i="25"/>
  <c r="H51" i="25"/>
  <c r="H50" i="25"/>
  <c r="E47" i="25"/>
  <c r="H46" i="25"/>
  <c r="H45" i="25"/>
  <c r="H44" i="25"/>
  <c r="H43" i="25"/>
  <c r="H42" i="25"/>
  <c r="H41" i="25"/>
  <c r="G41" i="25"/>
  <c r="F41" i="25"/>
  <c r="H40" i="25"/>
  <c r="H39" i="25"/>
  <c r="H38" i="25"/>
  <c r="H37" i="25"/>
  <c r="H36" i="25"/>
  <c r="H35" i="25"/>
  <c r="H34" i="25"/>
  <c r="E33" i="25"/>
  <c r="H32" i="25"/>
  <c r="H31" i="25"/>
  <c r="H30" i="25"/>
  <c r="H29" i="25"/>
  <c r="H28" i="25"/>
  <c r="H27" i="25"/>
  <c r="G27" i="25"/>
  <c r="F27" i="25"/>
  <c r="H26" i="25"/>
  <c r="H25" i="25"/>
  <c r="H24" i="25"/>
  <c r="H23" i="25"/>
  <c r="H22" i="25"/>
  <c r="H21" i="25"/>
  <c r="H20" i="25"/>
  <c r="H17" i="25"/>
  <c r="H16" i="25"/>
  <c r="H15" i="25"/>
  <c r="H14" i="25"/>
  <c r="H13" i="25"/>
  <c r="H12" i="25"/>
  <c r="H11" i="25"/>
  <c r="H10" i="25"/>
  <c r="H9" i="25"/>
  <c r="H8" i="25"/>
  <c r="H7" i="25"/>
  <c r="H18" i="25"/>
  <c r="G13" i="25"/>
  <c r="E103" i="25"/>
  <c r="H102" i="25"/>
  <c r="H101" i="25"/>
  <c r="H100" i="25"/>
  <c r="H99" i="25"/>
  <c r="H98" i="25"/>
  <c r="H97" i="25"/>
  <c r="G97" i="25"/>
  <c r="F97" i="25"/>
  <c r="H96" i="25"/>
  <c r="H95" i="25"/>
  <c r="H94" i="25"/>
  <c r="H93" i="25"/>
  <c r="H92" i="25"/>
  <c r="H91" i="25"/>
  <c r="H90" i="25"/>
  <c r="H116" i="25"/>
  <c r="H77" i="25"/>
  <c r="H78" i="25"/>
  <c r="H79" i="25"/>
  <c r="H80" i="25"/>
  <c r="H81" i="25"/>
  <c r="H82" i="25"/>
  <c r="H83" i="25"/>
  <c r="H84" i="25"/>
  <c r="H85" i="25"/>
  <c r="H86" i="25"/>
  <c r="H87" i="25"/>
  <c r="H88" i="25"/>
  <c r="H76" i="25"/>
  <c r="H47" i="25" l="1"/>
  <c r="E10" i="11" s="1"/>
  <c r="E19" i="25"/>
  <c r="H89" i="25"/>
  <c r="E45" i="11" s="1"/>
  <c r="H61" i="25"/>
  <c r="E11" i="11" s="1"/>
  <c r="E61" i="25"/>
  <c r="H103" i="25"/>
  <c r="E13" i="11" s="1"/>
  <c r="H145" i="2" s="1"/>
  <c r="H6" i="25"/>
  <c r="H19" i="25" s="1"/>
  <c r="H33" i="25"/>
  <c r="E9" i="11" l="1"/>
  <c r="E117" i="25"/>
  <c r="H105" i="25"/>
  <c r="H106" i="25"/>
  <c r="H107" i="25"/>
  <c r="H108" i="25"/>
  <c r="H109" i="25"/>
  <c r="H110" i="25"/>
  <c r="H111" i="25"/>
  <c r="H112" i="25"/>
  <c r="H113" i="25"/>
  <c r="H114" i="25"/>
  <c r="H115" i="25"/>
  <c r="H104" i="25"/>
  <c r="G83" i="25"/>
  <c r="G111" i="25"/>
  <c r="F111" i="25"/>
  <c r="H117" i="25" l="1"/>
  <c r="E18" i="11" s="1"/>
  <c r="I111" i="5" l="1"/>
  <c r="I112" i="5"/>
  <c r="G111" i="5"/>
  <c r="G112" i="5"/>
  <c r="I109" i="5"/>
  <c r="I110" i="5"/>
  <c r="G109" i="5"/>
  <c r="G110" i="5"/>
  <c r="I50" i="5"/>
  <c r="G50" i="5"/>
  <c r="G51" i="5"/>
  <c r="I51" i="5"/>
  <c r="I59" i="3" l="1"/>
  <c r="G59" i="3"/>
  <c r="E59" i="3" l="1"/>
  <c r="C59" i="3"/>
  <c r="E501" i="1" l="1"/>
  <c r="I57" i="3" l="1"/>
  <c r="G57" i="3"/>
  <c r="E57" i="3"/>
  <c r="C57" i="3"/>
  <c r="C60" i="3" s="1"/>
  <c r="C114" i="3" l="1"/>
  <c r="C112" i="3"/>
  <c r="I7" i="3" l="1"/>
  <c r="C120" i="3" l="1"/>
  <c r="C119" i="3"/>
  <c r="E120" i="3"/>
  <c r="E119" i="3"/>
  <c r="C116" i="3"/>
  <c r="G112" i="3" l="1"/>
  <c r="E114" i="3"/>
  <c r="E112" i="3"/>
  <c r="C90" i="3"/>
  <c r="C89" i="3"/>
  <c r="C88" i="3"/>
  <c r="C87" i="3"/>
  <c r="C86" i="3"/>
  <c r="C85" i="3"/>
  <c r="C84" i="3"/>
  <c r="C83" i="3"/>
  <c r="E94" i="3"/>
  <c r="E93" i="3"/>
  <c r="E89" i="3"/>
  <c r="E88" i="3"/>
  <c r="E87" i="3"/>
  <c r="E86" i="3"/>
  <c r="E85" i="3"/>
  <c r="E84" i="3"/>
  <c r="E83" i="3"/>
  <c r="E38" i="3" l="1"/>
  <c r="C38" i="3"/>
  <c r="C14" i="3"/>
  <c r="E14" i="3"/>
  <c r="I112" i="3" l="1"/>
  <c r="A6" i="24" l="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G361" i="1" l="1"/>
  <c r="I361" i="1" s="1"/>
  <c r="D18" i="11" l="1"/>
  <c r="E51" i="11" l="1"/>
  <c r="E48" i="11"/>
  <c r="E280" i="1" l="1"/>
  <c r="E118" i="1"/>
  <c r="G38" i="3" l="1"/>
  <c r="G14" i="3"/>
  <c r="G7" i="3"/>
  <c r="D122" i="2" s="1"/>
  <c r="E510" i="1" l="1"/>
  <c r="E508" i="1"/>
  <c r="E173" i="1"/>
  <c r="E463" i="1"/>
  <c r="E316" i="1"/>
  <c r="E289" i="1"/>
  <c r="E299" i="1" s="1"/>
  <c r="E281" i="1"/>
  <c r="E284" i="1" s="1"/>
  <c r="E214" i="1" l="1"/>
  <c r="E198" i="1"/>
  <c r="E181" i="1"/>
  <c r="E179" i="1"/>
  <c r="E135" i="1"/>
  <c r="E260" i="1" s="1"/>
  <c r="I232" i="1" l="1"/>
  <c r="I178" i="1" l="1"/>
  <c r="G365" i="1"/>
  <c r="I365" i="1" s="1"/>
  <c r="G357" i="1"/>
  <c r="I357" i="1" s="1"/>
  <c r="D16" i="11" l="1"/>
  <c r="D8" i="11"/>
  <c r="G501" i="1" l="1"/>
  <c r="F501" i="1"/>
  <c r="I496" i="1"/>
  <c r="I497" i="1"/>
  <c r="I498" i="1"/>
  <c r="I499" i="1"/>
  <c r="I500" i="1"/>
  <c r="E129" i="5" l="1"/>
  <c r="E128" i="5"/>
  <c r="E127" i="5"/>
  <c r="E126" i="5"/>
  <c r="E125" i="5"/>
  <c r="E124" i="5"/>
  <c r="E123" i="5"/>
  <c r="E122" i="5"/>
  <c r="E121" i="5"/>
  <c r="E120" i="5"/>
  <c r="E119" i="5"/>
  <c r="E118" i="5"/>
  <c r="E117" i="5"/>
  <c r="E116" i="5"/>
  <c r="E115" i="5"/>
  <c r="E114" i="5"/>
  <c r="E113" i="5"/>
  <c r="I113" i="5" s="1"/>
  <c r="E108" i="5"/>
  <c r="E107" i="5"/>
  <c r="E106" i="5"/>
  <c r="E105" i="5"/>
  <c r="E104" i="5"/>
  <c r="E103" i="5"/>
  <c r="E102" i="5"/>
  <c r="E101" i="5"/>
  <c r="E100" i="5"/>
  <c r="E99" i="5"/>
  <c r="E98"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49" i="5"/>
  <c r="E53" i="5" s="1"/>
  <c r="E47" i="5"/>
  <c r="E46" i="5"/>
  <c r="E45" i="5"/>
  <c r="E44" i="5"/>
  <c r="E43" i="5"/>
  <c r="E42"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C12" i="9"/>
  <c r="E130" i="5" l="1"/>
  <c r="G113" i="5"/>
  <c r="E48" i="5"/>
  <c r="E97" i="5"/>
  <c r="C11" i="10"/>
  <c r="D15" i="11" l="1"/>
  <c r="D19" i="11" l="1"/>
  <c r="D17" i="11"/>
  <c r="I97" i="1"/>
  <c r="I199" i="1" l="1"/>
  <c r="I200" i="1"/>
  <c r="I315" i="1" l="1"/>
  <c r="I45" i="5" l="1"/>
  <c r="I46" i="5"/>
  <c r="G45" i="5"/>
  <c r="G46" i="5"/>
  <c r="G16" i="5"/>
  <c r="G17" i="5"/>
  <c r="G18" i="5"/>
  <c r="I17" i="5"/>
  <c r="I18" i="5"/>
  <c r="I19" i="5"/>
  <c r="G377" i="1" l="1"/>
  <c r="I377" i="1" s="1"/>
  <c r="A10" i="2" l="1"/>
  <c r="C11" i="2" s="1"/>
  <c r="G260" i="1"/>
  <c r="A11" i="2" l="1"/>
  <c r="E41" i="5"/>
  <c r="I96" i="5"/>
  <c r="I95" i="5"/>
  <c r="G96" i="5"/>
  <c r="G95" i="5"/>
  <c r="I47" i="5"/>
  <c r="I44" i="5"/>
  <c r="G47" i="5"/>
  <c r="G44" i="5"/>
  <c r="I40" i="5"/>
  <c r="I39" i="5"/>
  <c r="G40" i="5"/>
  <c r="G39" i="5"/>
  <c r="G18" i="11" l="1"/>
  <c r="I493" i="1" l="1"/>
  <c r="I489" i="1"/>
  <c r="E491" i="1" l="1"/>
  <c r="E494" i="1" s="1"/>
  <c r="F490" i="1"/>
  <c r="F491" i="1" l="1"/>
  <c r="I491" i="1" s="1"/>
  <c r="I490" i="1"/>
  <c r="F492" i="1"/>
  <c r="F494" i="1" s="1"/>
  <c r="E16" i="11" l="1"/>
  <c r="G16" i="11" s="1"/>
  <c r="G11" i="11" l="1"/>
  <c r="G10" i="11"/>
  <c r="G9" i="11"/>
  <c r="I16" i="5" l="1"/>
  <c r="I15" i="5"/>
  <c r="G15" i="5"/>
  <c r="G19" i="5"/>
  <c r="G20" i="5"/>
  <c r="K91" i="3" l="1"/>
  <c r="I189" i="1" l="1"/>
  <c r="I190" i="1"/>
  <c r="I191" i="1"/>
  <c r="I192" i="1"/>
  <c r="I202" i="1"/>
  <c r="I203" i="1"/>
  <c r="I209" i="1"/>
  <c r="I210" i="1"/>
  <c r="I211" i="1"/>
  <c r="I212" i="1"/>
  <c r="I213" i="1"/>
  <c r="I208" i="1"/>
  <c r="I222" i="1"/>
  <c r="I227" i="1"/>
  <c r="I231" i="1"/>
  <c r="I233" i="1"/>
  <c r="I234" i="1"/>
  <c r="I235" i="1"/>
  <c r="I238" i="1"/>
  <c r="I255" i="1"/>
  <c r="I258" i="1"/>
  <c r="I230" i="1"/>
  <c r="I182" i="1"/>
  <c r="I179" i="1"/>
  <c r="I154" i="1"/>
  <c r="I153" i="1"/>
  <c r="I152" i="1"/>
  <c r="I148" i="1"/>
  <c r="I139" i="1"/>
  <c r="I136" i="1"/>
  <c r="I125" i="1"/>
  <c r="I123" i="1"/>
  <c r="I181" i="1"/>
  <c r="I183" i="1"/>
  <c r="I173" i="1"/>
  <c r="I135" i="1"/>
  <c r="I21" i="1" l="1"/>
  <c r="I236" i="1" l="1"/>
  <c r="I188" i="1"/>
  <c r="F260" i="1" l="1"/>
  <c r="F8" i="5"/>
  <c r="G8" i="5"/>
  <c r="I465" i="1" l="1"/>
  <c r="I466" i="1"/>
  <c r="C13" i="9" l="1"/>
  <c r="A7" i="6"/>
  <c r="A8" i="6" s="1"/>
  <c r="A9" i="6" s="1"/>
  <c r="A10" i="6" s="1"/>
  <c r="A11" i="6" s="1"/>
  <c r="A12" i="6" s="1"/>
  <c r="A13" i="6" s="1"/>
  <c r="A14" i="6" s="1"/>
  <c r="A15" i="6" s="1"/>
  <c r="A16" i="6" s="1"/>
  <c r="A17" i="6" s="1"/>
  <c r="A18" i="6" s="1"/>
  <c r="A19" i="6" s="1"/>
  <c r="A20" i="6" s="1"/>
  <c r="I129" i="5"/>
  <c r="G129" i="5"/>
  <c r="I128" i="5"/>
  <c r="G128" i="5"/>
  <c r="I127" i="5"/>
  <c r="G127" i="5"/>
  <c r="I126" i="5"/>
  <c r="G126" i="5"/>
  <c r="I125" i="5"/>
  <c r="G125" i="5"/>
  <c r="I124" i="5"/>
  <c r="G124" i="5"/>
  <c r="I123" i="5"/>
  <c r="G123" i="5"/>
  <c r="I122" i="5"/>
  <c r="G122" i="5"/>
  <c r="I121" i="5"/>
  <c r="G121" i="5"/>
  <c r="I120" i="5"/>
  <c r="G120" i="5"/>
  <c r="I119" i="5"/>
  <c r="G119" i="5"/>
  <c r="I118" i="5"/>
  <c r="G118" i="5"/>
  <c r="I117" i="5"/>
  <c r="G117" i="5"/>
  <c r="I116" i="5"/>
  <c r="G116" i="5"/>
  <c r="I115" i="5"/>
  <c r="G115" i="5"/>
  <c r="I114" i="5"/>
  <c r="G114" i="5"/>
  <c r="I108" i="5"/>
  <c r="G108" i="5"/>
  <c r="I107" i="5"/>
  <c r="G107" i="5"/>
  <c r="I106" i="5"/>
  <c r="G106" i="5"/>
  <c r="I105" i="5"/>
  <c r="G105" i="5"/>
  <c r="I104" i="5"/>
  <c r="G104" i="5"/>
  <c r="I103" i="5"/>
  <c r="G103" i="5"/>
  <c r="I102" i="5"/>
  <c r="G102" i="5"/>
  <c r="I101" i="5"/>
  <c r="G101" i="5"/>
  <c r="I100" i="5"/>
  <c r="G100" i="5"/>
  <c r="I99" i="5"/>
  <c r="G99" i="5"/>
  <c r="I98" i="5"/>
  <c r="G98" i="5"/>
  <c r="I94" i="5"/>
  <c r="G94" i="5"/>
  <c r="I93" i="5"/>
  <c r="G93" i="5"/>
  <c r="I92" i="5"/>
  <c r="G92" i="5"/>
  <c r="I91" i="5"/>
  <c r="G91" i="5"/>
  <c r="I90" i="5"/>
  <c r="G90" i="5"/>
  <c r="I89" i="5"/>
  <c r="G89" i="5"/>
  <c r="I88" i="5"/>
  <c r="G88" i="5"/>
  <c r="I87" i="5"/>
  <c r="G87" i="5"/>
  <c r="I86" i="5"/>
  <c r="G86" i="5"/>
  <c r="I85" i="5"/>
  <c r="G85" i="5"/>
  <c r="I84" i="5"/>
  <c r="G84" i="5"/>
  <c r="I83" i="5"/>
  <c r="G83" i="5"/>
  <c r="I82" i="5"/>
  <c r="G82" i="5"/>
  <c r="I81" i="5"/>
  <c r="G81" i="5"/>
  <c r="I80" i="5"/>
  <c r="G80" i="5"/>
  <c r="I79" i="5"/>
  <c r="G79" i="5"/>
  <c r="I78" i="5"/>
  <c r="G78" i="5"/>
  <c r="I77" i="5"/>
  <c r="G77" i="5"/>
  <c r="I76" i="5"/>
  <c r="G76" i="5"/>
  <c r="I75" i="5"/>
  <c r="G75" i="5"/>
  <c r="I74" i="5"/>
  <c r="G74" i="5"/>
  <c r="I73" i="5"/>
  <c r="G73" i="5"/>
  <c r="I72" i="5"/>
  <c r="G72" i="5"/>
  <c r="I71" i="5"/>
  <c r="G71" i="5"/>
  <c r="I70" i="5"/>
  <c r="G70" i="5"/>
  <c r="I69" i="5"/>
  <c r="G69" i="5"/>
  <c r="I68" i="5"/>
  <c r="G68" i="5"/>
  <c r="I67" i="5"/>
  <c r="G67" i="5"/>
  <c r="I66" i="5"/>
  <c r="G66" i="5"/>
  <c r="I65" i="5"/>
  <c r="G65" i="5"/>
  <c r="I64" i="5"/>
  <c r="G64" i="5"/>
  <c r="I63" i="5"/>
  <c r="G63" i="5"/>
  <c r="I62" i="5"/>
  <c r="G62" i="5"/>
  <c r="I61" i="5"/>
  <c r="G61" i="5"/>
  <c r="I60" i="5"/>
  <c r="G60" i="5"/>
  <c r="I59" i="5"/>
  <c r="G59" i="5"/>
  <c r="I58" i="5"/>
  <c r="G58" i="5"/>
  <c r="I57" i="5"/>
  <c r="G57" i="5"/>
  <c r="I56" i="5"/>
  <c r="G56" i="5"/>
  <c r="I55" i="5"/>
  <c r="G55" i="5"/>
  <c r="I54" i="5"/>
  <c r="G54" i="5"/>
  <c r="I52" i="5"/>
  <c r="G52" i="5"/>
  <c r="I49" i="5"/>
  <c r="G49" i="5"/>
  <c r="I43" i="5"/>
  <c r="G43" i="5"/>
  <c r="I42" i="5"/>
  <c r="G42" i="5"/>
  <c r="E5" i="5"/>
  <c r="I38" i="5"/>
  <c r="G38" i="5"/>
  <c r="I37" i="5"/>
  <c r="G37" i="5"/>
  <c r="I36" i="5"/>
  <c r="G36" i="5"/>
  <c r="I35" i="5"/>
  <c r="G35" i="5"/>
  <c r="I34" i="5"/>
  <c r="G34" i="5"/>
  <c r="I33" i="5"/>
  <c r="G33" i="5"/>
  <c r="I32" i="5"/>
  <c r="G32" i="5"/>
  <c r="I31" i="5"/>
  <c r="G31" i="5"/>
  <c r="I30" i="5"/>
  <c r="G30" i="5"/>
  <c r="I29" i="5"/>
  <c r="G29" i="5"/>
  <c r="I28" i="5"/>
  <c r="G28" i="5"/>
  <c r="I27" i="5"/>
  <c r="G27" i="5"/>
  <c r="I26" i="5"/>
  <c r="G26" i="5"/>
  <c r="I25" i="5"/>
  <c r="G25" i="5"/>
  <c r="I24" i="5"/>
  <c r="G24" i="5"/>
  <c r="I23" i="5"/>
  <c r="G23" i="5"/>
  <c r="I22" i="5"/>
  <c r="G22" i="5"/>
  <c r="I21" i="5"/>
  <c r="G21" i="5"/>
  <c r="I20" i="5"/>
  <c r="I14" i="5"/>
  <c r="G14" i="5"/>
  <c r="I13" i="5"/>
  <c r="G13" i="5"/>
  <c r="I12" i="5"/>
  <c r="G12" i="5"/>
  <c r="I11" i="5"/>
  <c r="G11" i="5"/>
  <c r="I10" i="5"/>
  <c r="G10" i="5"/>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7" i="3"/>
  <c r="A8" i="3" s="1"/>
  <c r="A9" i="3" s="1"/>
  <c r="A10" i="3" s="1"/>
  <c r="A11" i="3" s="1"/>
  <c r="A12" i="3" s="1"/>
  <c r="A13" i="3" s="1"/>
  <c r="A14" i="3" s="1"/>
  <c r="A15" i="3" s="1"/>
  <c r="A16" i="3" s="1"/>
  <c r="A17" i="3" s="1"/>
  <c r="A18" i="3" s="1"/>
  <c r="A19" i="3" s="1"/>
  <c r="I12" i="3"/>
  <c r="E11" i="3"/>
  <c r="E16" i="3" s="1"/>
  <c r="A34" i="3"/>
  <c r="A52" i="3"/>
  <c r="I60" i="3"/>
  <c r="A78" i="3"/>
  <c r="K83" i="3"/>
  <c r="K84" i="3"/>
  <c r="K85" i="3"/>
  <c r="K86" i="3"/>
  <c r="K87" i="3"/>
  <c r="K88" i="3"/>
  <c r="K89" i="3"/>
  <c r="K90" i="3"/>
  <c r="K92" i="3"/>
  <c r="K93" i="3"/>
  <c r="K94" i="3"/>
  <c r="E95" i="3"/>
  <c r="G95" i="3"/>
  <c r="I95" i="3"/>
  <c r="G97" i="3" s="1"/>
  <c r="E13" i="4" s="1"/>
  <c r="A107" i="3"/>
  <c r="G122" i="3"/>
  <c r="D52" i="2" s="1"/>
  <c r="I122" i="3"/>
  <c r="K116" i="3"/>
  <c r="K119" i="3"/>
  <c r="K120" i="3"/>
  <c r="K121" i="3"/>
  <c r="C6" i="6" s="1"/>
  <c r="G14" i="11"/>
  <c r="B21" i="2"/>
  <c r="B28" i="2" s="1"/>
  <c r="E21" i="2"/>
  <c r="F21" i="2"/>
  <c r="B22" i="2"/>
  <c r="B29" i="2" s="1"/>
  <c r="E22" i="2"/>
  <c r="E41" i="2" s="1"/>
  <c r="B23" i="2"/>
  <c r="B30" i="2" s="1"/>
  <c r="E23" i="2"/>
  <c r="F23" i="2"/>
  <c r="B24" i="2"/>
  <c r="B31" i="2" s="1"/>
  <c r="E24" i="2"/>
  <c r="B25" i="2"/>
  <c r="B32" i="2" s="1"/>
  <c r="E25" i="2"/>
  <c r="D31" i="2"/>
  <c r="D32" i="2"/>
  <c r="E38" i="2"/>
  <c r="D40" i="2"/>
  <c r="H53" i="2"/>
  <c r="E55" i="2"/>
  <c r="E56" i="2"/>
  <c r="E58" i="2"/>
  <c r="H61" i="2"/>
  <c r="B64" i="2"/>
  <c r="E65" i="2"/>
  <c r="D66" i="2"/>
  <c r="E66" i="2"/>
  <c r="B69" i="2"/>
  <c r="E74" i="2"/>
  <c r="E78" i="2"/>
  <c r="D80" i="2"/>
  <c r="D82" i="2"/>
  <c r="D85" i="2" s="1"/>
  <c r="D88" i="2" s="1"/>
  <c r="H102" i="2"/>
  <c r="H103" i="2"/>
  <c r="F108" i="2"/>
  <c r="F110" i="2"/>
  <c r="F111" i="2"/>
  <c r="D129" i="2"/>
  <c r="F127" i="2" s="1"/>
  <c r="F135" i="2"/>
  <c r="H144" i="2"/>
  <c r="B149" i="2"/>
  <c r="H149" i="2"/>
  <c r="I495" i="1"/>
  <c r="I501" i="1" s="1"/>
  <c r="G494" i="1"/>
  <c r="I488" i="1"/>
  <c r="I487" i="1"/>
  <c r="I486" i="1"/>
  <c r="G485" i="1"/>
  <c r="F485" i="1"/>
  <c r="E485" i="1"/>
  <c r="I484" i="1"/>
  <c r="I483" i="1"/>
  <c r="I482" i="1"/>
  <c r="I481" i="1"/>
  <c r="I480" i="1"/>
  <c r="I479" i="1"/>
  <c r="I478" i="1"/>
  <c r="I477" i="1"/>
  <c r="I476" i="1"/>
  <c r="I475" i="1"/>
  <c r="I474" i="1"/>
  <c r="I473" i="1"/>
  <c r="I472" i="1"/>
  <c r="I471" i="1"/>
  <c r="I470" i="1"/>
  <c r="I469" i="1"/>
  <c r="I468" i="1"/>
  <c r="I467" i="1"/>
  <c r="G467" i="1"/>
  <c r="F467" i="1"/>
  <c r="E467" i="1"/>
  <c r="F464" i="1"/>
  <c r="E464" i="1"/>
  <c r="G463" i="1"/>
  <c r="I463" i="1" s="1"/>
  <c r="G462" i="1"/>
  <c r="I462" i="1" s="1"/>
  <c r="G461" i="1"/>
  <c r="I461" i="1" s="1"/>
  <c r="G460" i="1"/>
  <c r="I460" i="1" s="1"/>
  <c r="G459" i="1"/>
  <c r="I459" i="1" s="1"/>
  <c r="G458" i="1"/>
  <c r="I458" i="1" s="1"/>
  <c r="G457" i="1"/>
  <c r="I457" i="1" s="1"/>
  <c r="G456" i="1"/>
  <c r="I456" i="1" s="1"/>
  <c r="G455" i="1"/>
  <c r="I455" i="1" s="1"/>
  <c r="G454" i="1"/>
  <c r="I454" i="1" s="1"/>
  <c r="G453" i="1"/>
  <c r="I453" i="1" s="1"/>
  <c r="G452" i="1"/>
  <c r="I452" i="1" s="1"/>
  <c r="G451" i="1"/>
  <c r="I451" i="1" s="1"/>
  <c r="G450" i="1"/>
  <c r="I450" i="1" s="1"/>
  <c r="G449" i="1"/>
  <c r="I449" i="1" s="1"/>
  <c r="G448" i="1"/>
  <c r="I448" i="1" s="1"/>
  <c r="G447" i="1"/>
  <c r="I447" i="1" s="1"/>
  <c r="G446" i="1"/>
  <c r="I446" i="1" s="1"/>
  <c r="G445" i="1"/>
  <c r="I445" i="1" s="1"/>
  <c r="G444" i="1"/>
  <c r="I444" i="1" s="1"/>
  <c r="G443" i="1"/>
  <c r="I443" i="1" s="1"/>
  <c r="G442" i="1"/>
  <c r="I442" i="1" s="1"/>
  <c r="G441" i="1"/>
  <c r="I441" i="1" s="1"/>
  <c r="G440" i="1"/>
  <c r="I440" i="1" s="1"/>
  <c r="G439" i="1"/>
  <c r="I439" i="1" s="1"/>
  <c r="G438" i="1"/>
  <c r="I438" i="1" s="1"/>
  <c r="G437" i="1"/>
  <c r="I437" i="1" s="1"/>
  <c r="G436" i="1"/>
  <c r="I436" i="1" s="1"/>
  <c r="G435" i="1"/>
  <c r="I435" i="1" s="1"/>
  <c r="G434" i="1"/>
  <c r="I434" i="1" s="1"/>
  <c r="G433" i="1"/>
  <c r="I433" i="1" s="1"/>
  <c r="G432" i="1"/>
  <c r="I432" i="1" s="1"/>
  <c r="G431" i="1"/>
  <c r="I431" i="1" s="1"/>
  <c r="G430" i="1"/>
  <c r="I430" i="1" s="1"/>
  <c r="G429" i="1"/>
  <c r="I429" i="1" s="1"/>
  <c r="G428" i="1"/>
  <c r="I428" i="1" s="1"/>
  <c r="G427" i="1"/>
  <c r="I427" i="1" s="1"/>
  <c r="G426" i="1"/>
  <c r="I426" i="1" s="1"/>
  <c r="G425" i="1"/>
  <c r="I425" i="1" s="1"/>
  <c r="G424" i="1"/>
  <c r="I424" i="1" s="1"/>
  <c r="G423" i="1"/>
  <c r="I423" i="1" s="1"/>
  <c r="G422" i="1"/>
  <c r="I422" i="1" s="1"/>
  <c r="G421" i="1"/>
  <c r="I421" i="1" s="1"/>
  <c r="G420" i="1"/>
  <c r="I420" i="1" s="1"/>
  <c r="G419" i="1"/>
  <c r="I419" i="1" s="1"/>
  <c r="G418" i="1"/>
  <c r="I418" i="1" s="1"/>
  <c r="G417" i="1"/>
  <c r="I417" i="1" s="1"/>
  <c r="G416" i="1"/>
  <c r="I416" i="1" s="1"/>
  <c r="G415" i="1"/>
  <c r="I415" i="1" s="1"/>
  <c r="G414" i="1"/>
  <c r="I414" i="1" s="1"/>
  <c r="G413" i="1"/>
  <c r="I413" i="1" s="1"/>
  <c r="G412" i="1"/>
  <c r="I412" i="1" s="1"/>
  <c r="G411" i="1"/>
  <c r="I411" i="1" s="1"/>
  <c r="G410" i="1"/>
  <c r="I410" i="1" s="1"/>
  <c r="G409" i="1"/>
  <c r="I409" i="1" s="1"/>
  <c r="G408" i="1"/>
  <c r="I408" i="1" s="1"/>
  <c r="G407" i="1"/>
  <c r="I407" i="1" s="1"/>
  <c r="G406" i="1"/>
  <c r="I406" i="1" s="1"/>
  <c r="G405" i="1"/>
  <c r="I405" i="1" s="1"/>
  <c r="G404" i="1"/>
  <c r="I404" i="1" s="1"/>
  <c r="G403" i="1"/>
  <c r="I403" i="1" s="1"/>
  <c r="G402" i="1"/>
  <c r="I402" i="1" s="1"/>
  <c r="G401" i="1"/>
  <c r="I401" i="1" s="1"/>
  <c r="G400" i="1"/>
  <c r="I400" i="1" s="1"/>
  <c r="G399" i="1"/>
  <c r="I399" i="1" s="1"/>
  <c r="G398" i="1"/>
  <c r="I398" i="1" s="1"/>
  <c r="G397" i="1"/>
  <c r="I397" i="1" s="1"/>
  <c r="G396" i="1"/>
  <c r="I396" i="1" s="1"/>
  <c r="G395" i="1"/>
  <c r="I395" i="1" s="1"/>
  <c r="G394" i="1"/>
  <c r="I394" i="1" s="1"/>
  <c r="G393" i="1"/>
  <c r="I393" i="1" s="1"/>
  <c r="G392" i="1"/>
  <c r="I392" i="1" s="1"/>
  <c r="G391" i="1"/>
  <c r="I391" i="1" s="1"/>
  <c r="G390" i="1"/>
  <c r="I390" i="1" s="1"/>
  <c r="G389" i="1"/>
  <c r="I389" i="1" s="1"/>
  <c r="G388" i="1"/>
  <c r="I388" i="1" s="1"/>
  <c r="G387" i="1"/>
  <c r="I387" i="1" s="1"/>
  <c r="G386" i="1"/>
  <c r="I386" i="1" s="1"/>
  <c r="G385" i="1"/>
  <c r="I385" i="1" s="1"/>
  <c r="G384" i="1"/>
  <c r="I384" i="1" s="1"/>
  <c r="G383" i="1"/>
  <c r="I383" i="1" s="1"/>
  <c r="G382" i="1"/>
  <c r="I382" i="1" s="1"/>
  <c r="G381" i="1"/>
  <c r="I381" i="1" s="1"/>
  <c r="G380" i="1"/>
  <c r="I380" i="1" s="1"/>
  <c r="G379" i="1"/>
  <c r="I379" i="1" s="1"/>
  <c r="G378" i="1"/>
  <c r="I378" i="1" s="1"/>
  <c r="G376" i="1"/>
  <c r="I376" i="1" s="1"/>
  <c r="G375" i="1"/>
  <c r="I375" i="1" s="1"/>
  <c r="G374" i="1"/>
  <c r="I374" i="1" s="1"/>
  <c r="G373" i="1"/>
  <c r="I373" i="1" s="1"/>
  <c r="G372" i="1"/>
  <c r="I372" i="1" s="1"/>
  <c r="G371" i="1"/>
  <c r="I371" i="1" s="1"/>
  <c r="G370" i="1"/>
  <c r="I370" i="1" s="1"/>
  <c r="G369" i="1"/>
  <c r="I369" i="1" s="1"/>
  <c r="G368" i="1"/>
  <c r="I368" i="1" s="1"/>
  <c r="G367" i="1"/>
  <c r="I367" i="1" s="1"/>
  <c r="G366" i="1"/>
  <c r="I366" i="1" s="1"/>
  <c r="G364" i="1"/>
  <c r="I364" i="1" s="1"/>
  <c r="G363" i="1"/>
  <c r="I363" i="1" s="1"/>
  <c r="G362" i="1"/>
  <c r="I362" i="1" s="1"/>
  <c r="G360" i="1"/>
  <c r="I360" i="1" s="1"/>
  <c r="G359" i="1"/>
  <c r="I359" i="1" s="1"/>
  <c r="G358" i="1"/>
  <c r="I358" i="1" s="1"/>
  <c r="G356" i="1"/>
  <c r="I356" i="1" s="1"/>
  <c r="G355" i="1"/>
  <c r="I355" i="1" s="1"/>
  <c r="G354" i="1"/>
  <c r="I354" i="1" s="1"/>
  <c r="G353" i="1"/>
  <c r="I353" i="1" s="1"/>
  <c r="G352" i="1"/>
  <c r="I352" i="1" s="1"/>
  <c r="G351" i="1"/>
  <c r="I351" i="1" s="1"/>
  <c r="G350" i="1"/>
  <c r="I350" i="1" s="1"/>
  <c r="G349" i="1"/>
  <c r="I349" i="1" s="1"/>
  <c r="G348" i="1"/>
  <c r="I348" i="1" s="1"/>
  <c r="G347" i="1"/>
  <c r="I347" i="1" s="1"/>
  <c r="G346" i="1"/>
  <c r="I346" i="1" s="1"/>
  <c r="G345" i="1"/>
  <c r="I345" i="1" s="1"/>
  <c r="G344" i="1"/>
  <c r="I344" i="1" s="1"/>
  <c r="G343" i="1"/>
  <c r="I343" i="1" s="1"/>
  <c r="G342" i="1"/>
  <c r="I342" i="1" s="1"/>
  <c r="G341" i="1"/>
  <c r="I341" i="1" s="1"/>
  <c r="G340" i="1"/>
  <c r="I340" i="1" s="1"/>
  <c r="G339" i="1"/>
  <c r="I339" i="1" s="1"/>
  <c r="G338" i="1"/>
  <c r="I338" i="1" s="1"/>
  <c r="G337" i="1"/>
  <c r="I337" i="1" s="1"/>
  <c r="G336" i="1"/>
  <c r="I336" i="1" s="1"/>
  <c r="G335" i="1"/>
  <c r="I335" i="1" s="1"/>
  <c r="G334" i="1"/>
  <c r="I334" i="1" s="1"/>
  <c r="G333" i="1"/>
  <c r="I333" i="1" s="1"/>
  <c r="G332" i="1"/>
  <c r="I332" i="1" s="1"/>
  <c r="G331" i="1"/>
  <c r="I331" i="1" s="1"/>
  <c r="G330" i="1"/>
  <c r="I330" i="1" s="1"/>
  <c r="G329" i="1"/>
  <c r="I329" i="1" s="1"/>
  <c r="G328" i="1"/>
  <c r="I328" i="1" s="1"/>
  <c r="G327" i="1"/>
  <c r="I327" i="1" s="1"/>
  <c r="G326" i="1"/>
  <c r="I326" i="1" s="1"/>
  <c r="G325" i="1"/>
  <c r="I325" i="1" s="1"/>
  <c r="G324" i="1"/>
  <c r="I324" i="1" s="1"/>
  <c r="G323" i="1"/>
  <c r="I323" i="1" s="1"/>
  <c r="G322" i="1"/>
  <c r="I322" i="1" s="1"/>
  <c r="G321" i="1"/>
  <c r="I321" i="1" s="1"/>
  <c r="G320" i="1"/>
  <c r="I320" i="1" s="1"/>
  <c r="G319" i="1"/>
  <c r="I319" i="1" s="1"/>
  <c r="G318" i="1"/>
  <c r="I318" i="1" s="1"/>
  <c r="G317" i="1"/>
  <c r="I317" i="1" s="1"/>
  <c r="G316" i="1"/>
  <c r="I316" i="1" s="1"/>
  <c r="G314" i="1"/>
  <c r="I314" i="1" s="1"/>
  <c r="G313" i="1"/>
  <c r="I313" i="1" s="1"/>
  <c r="G312" i="1"/>
  <c r="I312" i="1" s="1"/>
  <c r="G311" i="1"/>
  <c r="I311" i="1" s="1"/>
  <c r="G310" i="1"/>
  <c r="I310" i="1" s="1"/>
  <c r="G309" i="1"/>
  <c r="I309" i="1" s="1"/>
  <c r="G308" i="1"/>
  <c r="I308" i="1" s="1"/>
  <c r="G307" i="1"/>
  <c r="I307" i="1" s="1"/>
  <c r="G306" i="1"/>
  <c r="I306" i="1" s="1"/>
  <c r="G305" i="1"/>
  <c r="G304" i="1"/>
  <c r="F304" i="1"/>
  <c r="E304" i="1"/>
  <c r="I303" i="1"/>
  <c r="I302" i="1"/>
  <c r="I301" i="1"/>
  <c r="I300" i="1"/>
  <c r="G299" i="1"/>
  <c r="F299" i="1"/>
  <c r="I298" i="1"/>
  <c r="I297" i="1"/>
  <c r="I296" i="1"/>
  <c r="I295" i="1"/>
  <c r="I294" i="1"/>
  <c r="I293" i="1"/>
  <c r="I292" i="1"/>
  <c r="I291" i="1"/>
  <c r="I290" i="1"/>
  <c r="I289" i="1"/>
  <c r="I288" i="1"/>
  <c r="I287" i="1"/>
  <c r="I286" i="1"/>
  <c r="I285" i="1"/>
  <c r="F284" i="1"/>
  <c r="G280" i="1"/>
  <c r="F280" i="1"/>
  <c r="I279" i="1"/>
  <c r="I278" i="1"/>
  <c r="I277" i="1"/>
  <c r="I276" i="1"/>
  <c r="I275" i="1"/>
  <c r="I274" i="1"/>
  <c r="I273" i="1"/>
  <c r="I272" i="1"/>
  <c r="I271" i="1"/>
  <c r="I270" i="1"/>
  <c r="I269" i="1"/>
  <c r="I268" i="1"/>
  <c r="I267" i="1"/>
  <c r="I266" i="1"/>
  <c r="I265" i="1"/>
  <c r="I264" i="1"/>
  <c r="I263" i="1"/>
  <c r="I262" i="1"/>
  <c r="I261" i="1"/>
  <c r="I259" i="1"/>
  <c r="I257" i="1"/>
  <c r="I256" i="1"/>
  <c r="I254" i="1"/>
  <c r="I253" i="1"/>
  <c r="I252" i="1"/>
  <c r="I251" i="1"/>
  <c r="I250" i="1"/>
  <c r="I249" i="1"/>
  <c r="I248" i="1"/>
  <c r="I247" i="1"/>
  <c r="I246" i="1"/>
  <c r="I245" i="1"/>
  <c r="I244" i="1"/>
  <c r="I243" i="1"/>
  <c r="I242" i="1"/>
  <c r="I241" i="1"/>
  <c r="I240" i="1"/>
  <c r="I239" i="1"/>
  <c r="I237" i="1"/>
  <c r="I229" i="1"/>
  <c r="I228" i="1"/>
  <c r="I226" i="1"/>
  <c r="I225" i="1"/>
  <c r="I224" i="1"/>
  <c r="I223" i="1"/>
  <c r="I221" i="1"/>
  <c r="I220" i="1"/>
  <c r="I219" i="1"/>
  <c r="I218" i="1"/>
  <c r="I217" i="1"/>
  <c r="I216" i="1"/>
  <c r="I215" i="1"/>
  <c r="I214" i="1"/>
  <c r="I207" i="1"/>
  <c r="I206" i="1"/>
  <c r="I205" i="1"/>
  <c r="I204" i="1"/>
  <c r="I201" i="1"/>
  <c r="I198" i="1"/>
  <c r="I197" i="1"/>
  <c r="I196" i="1"/>
  <c r="I195" i="1"/>
  <c r="I194" i="1"/>
  <c r="I193" i="1"/>
  <c r="I187" i="1"/>
  <c r="I186" i="1"/>
  <c r="I185" i="1"/>
  <c r="I184" i="1"/>
  <c r="I180" i="1"/>
  <c r="I177" i="1"/>
  <c r="I176" i="1"/>
  <c r="I175" i="1"/>
  <c r="I174" i="1"/>
  <c r="I172" i="1"/>
  <c r="I171" i="1"/>
  <c r="I170" i="1"/>
  <c r="I169" i="1"/>
  <c r="I168" i="1"/>
  <c r="I167" i="1"/>
  <c r="I166" i="1"/>
  <c r="I165" i="1"/>
  <c r="I164" i="1"/>
  <c r="I163" i="1"/>
  <c r="I162" i="1"/>
  <c r="I161" i="1"/>
  <c r="I160" i="1"/>
  <c r="I159" i="1"/>
  <c r="I158" i="1"/>
  <c r="I157" i="1"/>
  <c r="I156" i="1"/>
  <c r="I155" i="1"/>
  <c r="I151" i="1"/>
  <c r="I150" i="1"/>
  <c r="I149" i="1"/>
  <c r="I147" i="1"/>
  <c r="I146" i="1"/>
  <c r="I145" i="1"/>
  <c r="I144" i="1"/>
  <c r="I143" i="1"/>
  <c r="I142" i="1"/>
  <c r="I141" i="1"/>
  <c r="I140" i="1"/>
  <c r="I138" i="1"/>
  <c r="I137" i="1"/>
  <c r="I134" i="1"/>
  <c r="I133" i="1"/>
  <c r="I132" i="1"/>
  <c r="I131" i="1"/>
  <c r="I130" i="1"/>
  <c r="I129" i="1"/>
  <c r="I128" i="1"/>
  <c r="I127" i="1"/>
  <c r="I126" i="1"/>
  <c r="I124" i="1"/>
  <c r="I122" i="1"/>
  <c r="I121" i="1"/>
  <c r="G118" i="1"/>
  <c r="F118" i="1"/>
  <c r="I117" i="1"/>
  <c r="I116" i="1"/>
  <c r="I115" i="1"/>
  <c r="I114" i="1"/>
  <c r="I113" i="1"/>
  <c r="I112" i="1"/>
  <c r="I111" i="1"/>
  <c r="I110" i="1"/>
  <c r="I109" i="1"/>
  <c r="I108" i="1"/>
  <c r="I107" i="1"/>
  <c r="I106" i="1"/>
  <c r="I105" i="1"/>
  <c r="I104" i="1"/>
  <c r="I103" i="1"/>
  <c r="I102" i="1"/>
  <c r="I101" i="1"/>
  <c r="I100" i="1"/>
  <c r="I99" i="1"/>
  <c r="I98"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19" i="1"/>
  <c r="I18" i="1"/>
  <c r="I17" i="1"/>
  <c r="I16" i="1"/>
  <c r="I15" i="1"/>
  <c r="I14" i="1"/>
  <c r="I13" i="1"/>
  <c r="I12" i="1"/>
  <c r="I11" i="1"/>
  <c r="I10" i="1"/>
  <c r="I9" i="1"/>
  <c r="I8" i="1"/>
  <c r="I7" i="1"/>
  <c r="I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I5" i="1"/>
  <c r="I260" i="1" l="1"/>
  <c r="D56" i="2"/>
  <c r="E115" i="3"/>
  <c r="E122" i="3" s="1"/>
  <c r="D51" i="2" s="1"/>
  <c r="A47" i="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F502" i="1"/>
  <c r="G8" i="3"/>
  <c r="D121" i="2" s="1"/>
  <c r="I48" i="5"/>
  <c r="I53" i="5"/>
  <c r="I97" i="5"/>
  <c r="G130" i="5"/>
  <c r="G48" i="5"/>
  <c r="G41" i="5"/>
  <c r="I130" i="5"/>
  <c r="G53" i="5"/>
  <c r="G97" i="5"/>
  <c r="I41" i="5"/>
  <c r="I5" i="5" s="1"/>
  <c r="H5" i="5" s="1"/>
  <c r="H281" i="1" s="1"/>
  <c r="E6" i="5"/>
  <c r="I304" i="1"/>
  <c r="K38" i="3"/>
  <c r="I299" i="1"/>
  <c r="K112" i="3"/>
  <c r="D65" i="2"/>
  <c r="K57" i="3"/>
  <c r="C95" i="3"/>
  <c r="E7" i="5"/>
  <c r="K114" i="3"/>
  <c r="E60" i="3"/>
  <c r="K14" i="3"/>
  <c r="I39" i="3"/>
  <c r="I15" i="3"/>
  <c r="I18" i="3" s="1"/>
  <c r="I123" i="3"/>
  <c r="A20" i="3"/>
  <c r="A21" i="3"/>
  <c r="A22" i="3" s="1"/>
  <c r="A23" i="3" s="1"/>
  <c r="A24" i="3" s="1"/>
  <c r="A25" i="3" s="1"/>
  <c r="A26" i="3" s="1"/>
  <c r="A27" i="3" s="1"/>
  <c r="A28" i="3" s="1"/>
  <c r="A29" i="3" s="1"/>
  <c r="A30" i="3" s="1"/>
  <c r="A31" i="3" s="1"/>
  <c r="A32" i="3" s="1"/>
  <c r="A33" i="3" s="1"/>
  <c r="A37" i="3" s="1"/>
  <c r="A38" i="3" s="1"/>
  <c r="A39" i="3" s="1"/>
  <c r="A40" i="3" s="1"/>
  <c r="A41" i="3" s="1"/>
  <c r="A42" i="3" s="1"/>
  <c r="A43" i="3" s="1"/>
  <c r="A44" i="3" s="1"/>
  <c r="A45" i="3" s="1"/>
  <c r="A46" i="3" s="1"/>
  <c r="A47" i="3" s="1"/>
  <c r="A48" i="3" s="1"/>
  <c r="A49" i="3" s="1"/>
  <c r="A50" i="3" s="1"/>
  <c r="A51"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K59" i="3"/>
  <c r="I9" i="3"/>
  <c r="G60" i="3"/>
  <c r="D67" i="2"/>
  <c r="I20" i="1"/>
  <c r="I118" i="1" s="1"/>
  <c r="G464" i="1"/>
  <c r="I305" i="1"/>
  <c r="I464" i="1" s="1"/>
  <c r="I485" i="1"/>
  <c r="I280" i="1"/>
  <c r="I492" i="1"/>
  <c r="I281" i="1" l="1"/>
  <c r="D55" i="2"/>
  <c r="C115" i="3"/>
  <c r="C122" i="3" s="1"/>
  <c r="D50" i="2" s="1"/>
  <c r="G12" i="3"/>
  <c r="G39" i="3" s="1"/>
  <c r="G40" i="3" s="1"/>
  <c r="E17" i="4" s="1"/>
  <c r="G9" i="3"/>
  <c r="E502" i="1"/>
  <c r="E503" i="1" s="1"/>
  <c r="E509" i="1" s="1"/>
  <c r="E511" i="1" s="1"/>
  <c r="F503" i="1"/>
  <c r="E8" i="5"/>
  <c r="I494" i="1"/>
  <c r="I6" i="5"/>
  <c r="H6" i="5" s="1"/>
  <c r="H282" i="1" s="1"/>
  <c r="I282" i="1" s="1"/>
  <c r="D70" i="2"/>
  <c r="K95" i="3"/>
  <c r="A133" i="1"/>
  <c r="A134" i="1" s="1"/>
  <c r="A135" i="1" s="1"/>
  <c r="A136" i="1" s="1"/>
  <c r="A137" i="1" s="1"/>
  <c r="A138" i="1" s="1"/>
  <c r="A139" i="1" s="1"/>
  <c r="A140" i="1" s="1"/>
  <c r="A141" i="1" s="1"/>
  <c r="A142" i="1" s="1"/>
  <c r="A143" i="1" s="1"/>
  <c r="A144" i="1" s="1"/>
  <c r="A145" i="1" s="1"/>
  <c r="A146" i="1" s="1"/>
  <c r="A147" i="1" s="1"/>
  <c r="I7" i="5"/>
  <c r="H7" i="5" s="1"/>
  <c r="H283" i="1" s="1"/>
  <c r="I283" i="1" s="1"/>
  <c r="C10" i="3"/>
  <c r="I11" i="3"/>
  <c r="A14" i="2"/>
  <c r="H284" i="1" l="1"/>
  <c r="H502" i="1" s="1"/>
  <c r="H503" i="1" s="1"/>
  <c r="H123" i="2"/>
  <c r="F52" i="2" s="1"/>
  <c r="H52" i="2" s="1"/>
  <c r="G123" i="3"/>
  <c r="G15" i="3"/>
  <c r="G11" i="3"/>
  <c r="G124" i="3" s="1"/>
  <c r="E7" i="4" s="1"/>
  <c r="E9" i="4" s="1"/>
  <c r="F506" i="1"/>
  <c r="E8" i="3"/>
  <c r="G284" i="1"/>
  <c r="G502" i="1" s="1"/>
  <c r="H8" i="5"/>
  <c r="I8" i="5"/>
  <c r="K115" i="3"/>
  <c r="K122" i="3" s="1"/>
  <c r="C7" i="3"/>
  <c r="A148" i="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I16" i="3"/>
  <c r="I19" i="3" s="1"/>
  <c r="I40" i="3"/>
  <c r="I124" i="3"/>
  <c r="A15" i="2"/>
  <c r="C94" i="2" l="1"/>
  <c r="D118" i="2"/>
  <c r="D116" i="2"/>
  <c r="F67" i="2"/>
  <c r="H67" i="2" s="1"/>
  <c r="E12" i="3"/>
  <c r="E15" i="3" s="1"/>
  <c r="G18" i="3"/>
  <c r="G16" i="3"/>
  <c r="A171" i="1"/>
  <c r="A172" i="1" s="1"/>
  <c r="A173" i="1" s="1"/>
  <c r="A174" i="1" s="1"/>
  <c r="A175" i="1" s="1"/>
  <c r="G503" i="1"/>
  <c r="I284" i="1"/>
  <c r="I502" i="1" s="1"/>
  <c r="D62" i="2"/>
  <c r="C13" i="3"/>
  <c r="C17" i="3" s="1"/>
  <c r="K7" i="3"/>
  <c r="A16" i="2"/>
  <c r="E96" i="3" l="1"/>
  <c r="E39" i="3"/>
  <c r="E123" i="3"/>
  <c r="H120" i="2"/>
  <c r="F51" i="2" s="1"/>
  <c r="G19" i="3"/>
  <c r="E10" i="4" s="1"/>
  <c r="E36" i="4" s="1"/>
  <c r="C7" i="10" s="1"/>
  <c r="A176" i="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C9" i="3"/>
  <c r="I503" i="1"/>
  <c r="E18" i="3"/>
  <c r="C98" i="3"/>
  <c r="K98" i="3" s="1"/>
  <c r="C7" i="6" s="1"/>
  <c r="C41" i="3"/>
  <c r="K41" i="3" s="1"/>
  <c r="C8" i="6" s="1"/>
  <c r="E11" i="4"/>
  <c r="E27" i="4" s="1"/>
  <c r="C20" i="3"/>
  <c r="K17" i="3"/>
  <c r="E14" i="4"/>
  <c r="E15" i="4" s="1"/>
  <c r="E28" i="4" s="1"/>
  <c r="D43" i="2"/>
  <c r="D46" i="2" s="1"/>
  <c r="A17" i="2"/>
  <c r="D14" i="2" l="1"/>
  <c r="C63" i="3"/>
  <c r="C7" i="9"/>
  <c r="F66" i="2"/>
  <c r="H66" i="2" s="1"/>
  <c r="F56" i="2"/>
  <c r="H56" i="2" s="1"/>
  <c r="H51" i="2"/>
  <c r="A232" i="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K9" i="3"/>
  <c r="C11" i="3"/>
  <c r="G63" i="3"/>
  <c r="I63" i="3"/>
  <c r="I506" i="1"/>
  <c r="C20" i="6" s="1"/>
  <c r="C8" i="3"/>
  <c r="E18" i="4"/>
  <c r="E19" i="4" s="1"/>
  <c r="E29" i="4" s="1"/>
  <c r="C13" i="6"/>
  <c r="K20" i="3"/>
  <c r="A18" i="2"/>
  <c r="K64" i="3" l="1"/>
  <c r="C19" i="2"/>
  <c r="C61" i="3"/>
  <c r="D115" i="2"/>
  <c r="D16" i="2"/>
  <c r="A361" i="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E25" i="4"/>
  <c r="E32" i="4" s="1"/>
  <c r="E33" i="4" s="1"/>
  <c r="E35" i="4" s="1"/>
  <c r="C6" i="9" s="1"/>
  <c r="C8" i="9" s="1"/>
  <c r="C40" i="3"/>
  <c r="K40" i="3" s="1"/>
  <c r="D17" i="4" s="1"/>
  <c r="C124" i="3"/>
  <c r="K124" i="3" s="1"/>
  <c r="D7" i="4" s="1"/>
  <c r="D9" i="4" s="1"/>
  <c r="C97" i="3"/>
  <c r="K97" i="3" s="1"/>
  <c r="D13" i="4" s="1"/>
  <c r="C16" i="3"/>
  <c r="K8" i="3"/>
  <c r="D15" i="2" s="1"/>
  <c r="E61" i="3"/>
  <c r="C12" i="3"/>
  <c r="G61" i="3"/>
  <c r="A19" i="2"/>
  <c r="C10" i="9" l="1"/>
  <c r="C15" i="9" s="1"/>
  <c r="K62" i="3"/>
  <c r="D131" i="2"/>
  <c r="D134" i="2"/>
  <c r="D21" i="2"/>
  <c r="D25" i="4"/>
  <c r="D32" i="4" s="1"/>
  <c r="K16" i="3"/>
  <c r="C19" i="3"/>
  <c r="K19" i="3" s="1"/>
  <c r="D10" i="4" s="1"/>
  <c r="E37" i="4"/>
  <c r="C6" i="10"/>
  <c r="C8" i="10" s="1"/>
  <c r="C10" i="10" s="1"/>
  <c r="C12" i="10" s="1"/>
  <c r="C14" i="10" s="1"/>
  <c r="E47" i="11" s="1"/>
  <c r="E49" i="11" s="1"/>
  <c r="H94" i="2"/>
  <c r="H97" i="2" s="1"/>
  <c r="H98" i="2" s="1"/>
  <c r="H104" i="2" s="1"/>
  <c r="H117" i="2"/>
  <c r="F50" i="2" s="1"/>
  <c r="C39" i="3"/>
  <c r="K39" i="3" s="1"/>
  <c r="C17" i="4" s="1"/>
  <c r="C15" i="3"/>
  <c r="D22" i="2" s="1"/>
  <c r="C96" i="3"/>
  <c r="C123" i="3"/>
  <c r="K123" i="3" s="1"/>
  <c r="C7" i="4" s="1"/>
  <c r="C9" i="4" s="1"/>
  <c r="A21" i="2"/>
  <c r="C28" i="2" l="1"/>
  <c r="K96" i="3"/>
  <c r="C13" i="4" s="1"/>
  <c r="D109" i="2"/>
  <c r="D112" i="2" s="1"/>
  <c r="D28" i="2"/>
  <c r="D23" i="2"/>
  <c r="D11" i="4"/>
  <c r="D27" i="4" s="1"/>
  <c r="D36" i="4"/>
  <c r="D14" i="4"/>
  <c r="C18" i="3"/>
  <c r="K18" i="3" s="1"/>
  <c r="C10" i="4" s="1"/>
  <c r="K15" i="3"/>
  <c r="E109" i="2"/>
  <c r="F109" i="2" s="1"/>
  <c r="F112" i="2" s="1"/>
  <c r="H112" i="2" s="1"/>
  <c r="F15" i="2"/>
  <c r="H15" i="2" s="1"/>
  <c r="H105" i="2"/>
  <c r="F22" i="2"/>
  <c r="F41" i="2" s="1"/>
  <c r="H41" i="2" s="1"/>
  <c r="F65" i="2"/>
  <c r="H65" i="2" s="1"/>
  <c r="H50" i="2"/>
  <c r="F55" i="2"/>
  <c r="H55" i="2" s="1"/>
  <c r="C25" i="4"/>
  <c r="C12" i="6"/>
  <c r="C14" i="6" s="1"/>
  <c r="C16" i="6" s="1"/>
  <c r="E50" i="11"/>
  <c r="E52" i="11" s="1"/>
  <c r="A22" i="2"/>
  <c r="C29" i="2" s="1"/>
  <c r="E12" i="11" l="1"/>
  <c r="G12" i="11" s="1"/>
  <c r="C32" i="4"/>
  <c r="F25" i="4"/>
  <c r="D15" i="4"/>
  <c r="D28" i="4" s="1"/>
  <c r="D18" i="4"/>
  <c r="D19" i="4" s="1"/>
  <c r="D29" i="4" s="1"/>
  <c r="C17" i="6"/>
  <c r="C18" i="6" s="1"/>
  <c r="E44" i="11" s="1"/>
  <c r="E46" i="11" s="1"/>
  <c r="F59" i="2"/>
  <c r="H59" i="2" s="1"/>
  <c r="F44" i="2"/>
  <c r="H44" i="2" s="1"/>
  <c r="D19" i="2"/>
  <c r="C14" i="4"/>
  <c r="C36" i="4"/>
  <c r="D30" i="2"/>
  <c r="C11" i="4"/>
  <c r="C27" i="4" s="1"/>
  <c r="F57" i="2"/>
  <c r="H57" i="2" s="1"/>
  <c r="F17" i="2"/>
  <c r="F58" i="2"/>
  <c r="H58" i="2" s="1"/>
  <c r="H127" i="2"/>
  <c r="I125" i="2" s="1"/>
  <c r="F68" i="2"/>
  <c r="A23" i="2"/>
  <c r="C30" i="2" s="1"/>
  <c r="G25" i="4" l="1"/>
  <c r="G32" i="4" s="1"/>
  <c r="G33" i="4" s="1"/>
  <c r="G35" i="4" s="1"/>
  <c r="G37" i="4" s="1"/>
  <c r="F32" i="4"/>
  <c r="F33" i="4" s="1"/>
  <c r="F35" i="4" s="1"/>
  <c r="F37" i="4" s="1"/>
  <c r="D33" i="4"/>
  <c r="D35" i="4" s="1"/>
  <c r="D37" i="4" s="1"/>
  <c r="C18" i="4"/>
  <c r="C19" i="4" s="1"/>
  <c r="C29" i="4" s="1"/>
  <c r="C15" i="4"/>
  <c r="C28" i="4" s="1"/>
  <c r="H68" i="2"/>
  <c r="F73" i="2"/>
  <c r="H17" i="2"/>
  <c r="F24" i="2"/>
  <c r="H24" i="2" s="1"/>
  <c r="F60" i="2"/>
  <c r="F18" i="2"/>
  <c r="A24" i="2"/>
  <c r="C31" i="2" s="1"/>
  <c r="D136" i="2" l="1"/>
  <c r="F134" i="2"/>
  <c r="G13" i="11"/>
  <c r="G15" i="11" s="1"/>
  <c r="E15" i="11"/>
  <c r="H8" i="2" s="1"/>
  <c r="C33" i="4"/>
  <c r="C35" i="4" s="1"/>
  <c r="C37" i="4" s="1"/>
  <c r="H31" i="2"/>
  <c r="H73" i="2"/>
  <c r="F74" i="2"/>
  <c r="H74" i="2" s="1"/>
  <c r="H60" i="2"/>
  <c r="H62" i="2" s="1"/>
  <c r="F69" i="2"/>
  <c r="H69" i="2" s="1"/>
  <c r="H70" i="2" s="1"/>
  <c r="F25" i="2"/>
  <c r="H25" i="2" s="1"/>
  <c r="H18" i="2"/>
  <c r="H19" i="2" s="1"/>
  <c r="F19" i="2" s="1"/>
  <c r="F45" i="2" s="1"/>
  <c r="H45" i="2" s="1"/>
  <c r="H46" i="2" s="1"/>
  <c r="D26" i="2"/>
  <c r="D29" i="2"/>
  <c r="D33" i="2" s="1"/>
  <c r="D47" i="2" s="1"/>
  <c r="H22" i="2"/>
  <c r="H29" i="2" s="1"/>
  <c r="A25" i="2"/>
  <c r="C32" i="2" l="1"/>
  <c r="C26" i="2"/>
  <c r="E135" i="2"/>
  <c r="H135" i="2" s="1"/>
  <c r="E136" i="2"/>
  <c r="E134" i="2"/>
  <c r="H134" i="2" s="1"/>
  <c r="F76" i="2"/>
  <c r="F78" i="2" s="1"/>
  <c r="H32" i="2"/>
  <c r="H33" i="2" s="1"/>
  <c r="F33" i="2" s="1"/>
  <c r="H26" i="2"/>
  <c r="A26" i="2"/>
  <c r="H136" i="2" l="1"/>
  <c r="H138" i="2" s="1"/>
  <c r="H76" i="2"/>
  <c r="F88" i="2"/>
  <c r="H88" i="2" s="1"/>
  <c r="F36" i="2"/>
  <c r="F79" i="2"/>
  <c r="H79" i="2" s="1"/>
  <c r="H78" i="2"/>
  <c r="A28" i="2"/>
  <c r="D83" i="2" l="1"/>
  <c r="D90" i="2"/>
  <c r="F37" i="2"/>
  <c r="H36" i="2"/>
  <c r="H80" i="2"/>
  <c r="A29" i="2"/>
  <c r="A30" i="2" s="1"/>
  <c r="A31" i="2" s="1"/>
  <c r="A32" i="2" s="1"/>
  <c r="A33" i="2" s="1"/>
  <c r="C33" i="2" l="1"/>
  <c r="D87" i="2"/>
  <c r="D89" i="2" s="1"/>
  <c r="D91" i="2" s="1"/>
  <c r="F39" i="2"/>
  <c r="H39" i="2" s="1"/>
  <c r="H37" i="2"/>
  <c r="F38" i="2"/>
  <c r="H38" i="2" s="1"/>
  <c r="A35" i="2"/>
  <c r="H40" i="2" l="1"/>
  <c r="H47" i="2" s="1"/>
  <c r="H90" i="2" s="1"/>
  <c r="H87" i="2" s="1"/>
  <c r="H89" i="2" s="1"/>
  <c r="A36" i="2"/>
  <c r="A37" i="2" s="1"/>
  <c r="A38" i="2" s="1"/>
  <c r="A39" i="2" s="1"/>
  <c r="A40" i="2" s="1"/>
  <c r="C40" i="2" l="1"/>
  <c r="H91" i="2"/>
  <c r="H7" i="2" s="1"/>
  <c r="H11" i="2" s="1"/>
  <c r="A41" i="2"/>
  <c r="A43" i="2" s="1"/>
  <c r="E8" i="11" l="1"/>
  <c r="A44" i="2"/>
  <c r="A45" i="2" s="1"/>
  <c r="A46" i="2" s="1"/>
  <c r="C47" i="2" s="1"/>
  <c r="C46" i="2" l="1"/>
  <c r="G8" i="11"/>
  <c r="E19" i="11"/>
  <c r="E17" i="11"/>
  <c r="G17" i="11" s="1"/>
  <c r="G19" i="11" s="1"/>
  <c r="A47" i="2"/>
  <c r="A50" i="2" l="1"/>
  <c r="A51" i="2" l="1"/>
  <c r="A52" i="2" s="1"/>
  <c r="A53" i="2" s="1"/>
  <c r="A55" i="2" s="1"/>
  <c r="A56" i="2" s="1"/>
  <c r="A57" i="2" s="1"/>
  <c r="A58" i="2" s="1"/>
  <c r="C100" i="2" l="1"/>
  <c r="A59" i="2"/>
  <c r="A60" i="2" l="1"/>
  <c r="A61" i="2" s="1"/>
  <c r="A62" i="2" s="1"/>
  <c r="B158" i="2"/>
  <c r="C62" i="2" l="1"/>
  <c r="A64" i="2"/>
  <c r="B155" i="2"/>
  <c r="A65" i="2" l="1"/>
  <c r="A66" i="2" s="1"/>
  <c r="A67" i="2" s="1"/>
  <c r="A68" i="2" s="1"/>
  <c r="A69" i="2" s="1"/>
  <c r="A70" i="2" s="1"/>
  <c r="C70" i="2" l="1"/>
  <c r="A73" i="2"/>
  <c r="A74" i="2" l="1"/>
  <c r="A76" i="2" s="1"/>
  <c r="A77" i="2" s="1"/>
  <c r="A78" i="2" s="1"/>
  <c r="A79" i="2" s="1"/>
  <c r="A80" i="2" s="1"/>
  <c r="C80" i="2" l="1"/>
  <c r="A82" i="2"/>
  <c r="A83" i="2" l="1"/>
  <c r="B85" i="2"/>
  <c r="A85" i="2" l="1"/>
  <c r="A86" i="2" l="1"/>
  <c r="A87" i="2" s="1"/>
  <c r="C88" i="2" l="1"/>
  <c r="A88" i="2"/>
  <c r="A89" i="2" s="1"/>
  <c r="C89" i="2" l="1"/>
  <c r="A90" i="2"/>
  <c r="C87" i="2" s="1"/>
  <c r="C91" i="2" l="1"/>
  <c r="A91" i="2"/>
  <c r="C7" i="2" s="1"/>
  <c r="A94" i="2" l="1"/>
  <c r="A95" i="2" l="1"/>
  <c r="A96" i="2" s="1"/>
  <c r="A97" i="2" s="1"/>
  <c r="C98" i="2" s="1"/>
  <c r="C97" i="2" l="1"/>
  <c r="A98" i="2"/>
  <c r="C104" i="2" s="1"/>
  <c r="A100" i="2" l="1"/>
  <c r="A101" i="2" l="1"/>
  <c r="A102" i="2" s="1"/>
  <c r="C103" i="2" s="1"/>
  <c r="C102" i="2" l="1"/>
  <c r="A103" i="2"/>
  <c r="A104" i="2" s="1"/>
  <c r="C105" i="2" s="1"/>
  <c r="A105" i="2" l="1"/>
  <c r="A108" i="2" s="1"/>
  <c r="A109" i="2" l="1"/>
  <c r="A110" i="2" s="1"/>
  <c r="A111" i="2" s="1"/>
  <c r="A112" i="2" s="1"/>
  <c r="H126" i="2" s="1"/>
  <c r="C112" i="2" l="1"/>
  <c r="A115" i="2"/>
  <c r="A116" i="2" l="1"/>
  <c r="A117" i="2" s="1"/>
  <c r="A118" i="2" s="1"/>
  <c r="C117" i="2" l="1"/>
  <c r="A119" i="2"/>
  <c r="A120" i="2" s="1"/>
  <c r="A121" i="2" s="1"/>
  <c r="C120" i="2" l="1"/>
  <c r="A122" i="2"/>
  <c r="A123" i="2" s="1"/>
  <c r="A126" i="2" s="1"/>
  <c r="C123" i="2" l="1"/>
  <c r="A127" i="2"/>
  <c r="A128" i="2" s="1"/>
  <c r="A129" i="2" s="1"/>
  <c r="A131" i="2" s="1"/>
  <c r="C129" i="2" l="1"/>
  <c r="F126" i="2"/>
  <c r="A134" i="2"/>
  <c r="A135" i="2" l="1"/>
  <c r="A136" i="2" s="1"/>
  <c r="B169" i="2"/>
  <c r="A137" i="2" l="1"/>
  <c r="A138" i="2" s="1"/>
  <c r="A142" i="2" s="1"/>
  <c r="C90" i="2"/>
  <c r="C136" i="2"/>
  <c r="B170" i="2"/>
  <c r="A143" i="2"/>
  <c r="A144" i="2" s="1"/>
  <c r="A145" i="2" s="1"/>
  <c r="B84" i="2"/>
  <c r="A146" i="2" l="1"/>
  <c r="A147" i="2" s="1"/>
  <c r="A148" i="2" s="1"/>
  <c r="A14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Cady-Hoffman</author>
  </authors>
  <commentList>
    <comment ref="E120" authorId="0" shapeId="0" xr:uid="{00000000-0006-0000-0500-000001000000}">
      <text>
        <r>
          <rPr>
            <sz val="8"/>
            <color indexed="81"/>
            <rFont val="Tahoma"/>
            <family val="2"/>
          </rPr>
          <t>ROOS Schedule 5</t>
        </r>
      </text>
    </comment>
  </commentList>
</comments>
</file>

<file path=xl/sharedStrings.xml><?xml version="1.0" encoding="utf-8"?>
<sst xmlns="http://schemas.openxmlformats.org/spreadsheetml/2006/main" count="6284" uniqueCount="2641">
  <si>
    <t>Line No.</t>
  </si>
  <si>
    <t>FID</t>
  </si>
  <si>
    <t>DESCRIPTION</t>
  </si>
  <si>
    <t>SPP</t>
  </si>
  <si>
    <t>PRIOR YEAR FACILITY TOTALS ($)</t>
  </si>
  <si>
    <t>ATTACHMENT AI ADJUSTMENTS</t>
  </si>
  <si>
    <t>GENERATION ADJUSTMENTS</t>
  </si>
  <si>
    <t>NOTES</t>
  </si>
  <si>
    <t>TL</t>
  </si>
  <si>
    <t>AUR BR</t>
  </si>
  <si>
    <t>AURORA- BROOKINGS 115-KV T/L</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</si>
  <si>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</si>
  <si>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</si>
  <si>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</si>
  <si>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</si>
  <si>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</si>
  <si>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</si>
  <si>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</si>
  <si>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</si>
  <si>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</si>
  <si>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</si>
  <si>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</si>
  <si>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</si>
  <si>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</si>
  <si>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</si>
  <si>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</si>
  <si>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</si>
  <si>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</si>
  <si>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</si>
  <si>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</si>
  <si>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</si>
  <si>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</si>
  <si>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</si>
  <si>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</si>
  <si>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</si>
  <si>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</si>
  <si>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</si>
  <si>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</si>
  <si>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</si>
  <si>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</si>
  <si>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</si>
  <si>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</si>
  <si>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</si>
  <si>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</si>
  <si>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</si>
  <si>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</si>
  <si>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</si>
  <si>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</si>
  <si>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</si>
  <si>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</si>
  <si>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</si>
  <si>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</si>
  <si>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</si>
  <si>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</si>
  <si>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</si>
  <si>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</si>
  <si>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</si>
  <si>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</si>
  <si>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</si>
  <si>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</si>
  <si>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</si>
  <si>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</si>
  <si>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</si>
  <si>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</si>
  <si>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</si>
  <si>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</si>
  <si>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</si>
  <si>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</si>
  <si>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</si>
  <si>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</si>
  <si>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</si>
  <si>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</si>
  <si>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</si>
  <si>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</si>
  <si>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</si>
  <si>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</si>
  <si>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</si>
  <si>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</si>
  <si>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</si>
  <si>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</si>
  <si>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</si>
  <si>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</si>
  <si>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</si>
  <si>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</si>
  <si>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</si>
  <si>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</si>
  <si>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</si>
  <si>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</si>
  <si>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</si>
  <si>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</si>
  <si>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</si>
  <si>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</si>
  <si>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</si>
  <si>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</si>
  <si>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</si>
  <si>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</si>
  <si>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</si>
  <si>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</si>
  <si>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</si>
  <si>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</si>
  <si>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</si>
  <si>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</si>
  <si>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</si>
  <si>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</si>
  <si>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</si>
  <si>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</si>
  <si>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</si>
  <si>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</si>
  <si>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</si>
  <si>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</si>
  <si>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</si>
  <si>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</si>
  <si>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</si>
  <si>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</si>
  <si>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</si>
  <si>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</si>
  <si>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</si>
  <si>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</si>
  <si>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</si>
  <si>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</si>
  <si>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</si>
  <si>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</si>
  <si>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</si>
  <si>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</si>
  <si>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</si>
  <si>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</si>
  <si>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</si>
  <si>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</si>
  <si>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</si>
  <si>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</si>
  <si>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</si>
  <si>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</si>
  <si>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</si>
  <si>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</si>
  <si>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</si>
  <si>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</si>
  <si>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</si>
  <si>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</si>
  <si>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</si>
  <si>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</si>
  <si>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</si>
  <si>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</si>
  <si>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</si>
  <si>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</si>
  <si>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</si>
  <si>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</si>
  <si>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</si>
  <si>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</si>
  <si>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</si>
  <si>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</si>
  <si>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</si>
  <si>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</si>
  <si>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</si>
  <si>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</si>
  <si>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</si>
  <si>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</si>
  <si>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</si>
  <si>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</si>
  <si>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</si>
  <si>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</si>
  <si>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</si>
  <si>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</si>
  <si>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</si>
  <si>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</si>
  <si>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</si>
  <si>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</si>
  <si>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</si>
  <si>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</si>
  <si>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</si>
  <si>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</si>
  <si>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</si>
  <si>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</si>
  <si>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</si>
  <si>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</si>
  <si>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</si>
  <si>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</si>
  <si>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</si>
  <si>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</si>
  <si>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</si>
  <si>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</si>
  <si>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</si>
  <si>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</si>
  <si>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</si>
  <si>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</si>
  <si>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</si>
  <si>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</si>
  <si>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</si>
  <si>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</si>
  <si>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</si>
  <si>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</si>
  <si>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</si>
  <si>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</si>
  <si>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</si>
  <si>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</si>
  <si>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</si>
  <si>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</si>
  <si>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</si>
  <si>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</si>
  <si>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</si>
  <si>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</si>
  <si>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</si>
  <si>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</si>
  <si>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</si>
  <si>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</si>
  <si>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</si>
  <si>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</si>
  <si>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</si>
  <si>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</si>
  <si>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</si>
  <si>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</si>
  <si>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</si>
  <si>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</si>
  <si>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</si>
  <si>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</si>
  <si>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</si>
  <si>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</si>
  <si>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</si>
  <si>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</si>
  <si>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</si>
  <si>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</si>
  <si>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</si>
  <si>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</si>
  <si>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</si>
  <si>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</si>
  <si>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</si>
  <si>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</si>
  <si>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</si>
  <si>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</si>
  <si>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</si>
  <si>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</si>
  <si>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</si>
  <si>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</si>
  <si>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</si>
  <si>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</si>
  <si>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</si>
  <si>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</si>
  <si>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</si>
  <si>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</si>
  <si>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</si>
  <si>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</si>
  <si>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</si>
  <si>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</si>
  <si>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</si>
  <si>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</si>
  <si>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</si>
  <si>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</si>
  <si>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</si>
  <si>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</si>
  <si>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</si>
  <si>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</si>
  <si>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</si>
  <si>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</si>
  <si>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</si>
  <si>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</si>
  <si>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</si>
  <si>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</si>
  <si>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</si>
  <si>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</si>
  <si>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</si>
  <si>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</si>
  <si>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</si>
  <si>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</si>
  <si>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</si>
  <si>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</si>
  <si>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</si>
  <si>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</si>
  <si>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</si>
  <si>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</si>
  <si>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</si>
  <si>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</si>
  <si>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</si>
  <si>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</si>
  <si>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</si>
  <si>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</si>
  <si>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</si>
  <si>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</si>
  <si>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</si>
  <si>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</si>
  <si>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</si>
  <si>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</si>
  <si>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</si>
  <si>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</si>
  <si>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</si>
  <si>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</si>
  <si>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</si>
  <si>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</si>
  <si>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</si>
  <si>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</si>
  <si>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</si>
  <si>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</si>
  <si>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</si>
  <si>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</si>
  <si>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</si>
  <si>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</si>
  <si>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</si>
  <si>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</si>
  <si>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</si>
  <si>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</si>
  <si>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</si>
  <si>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</si>
  <si>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</si>
  <si>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</si>
  <si>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</si>
  <si>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</si>
  <si>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</si>
  <si>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</si>
  <si>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</si>
  <si>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</si>
  <si>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</si>
  <si>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</si>
  <si>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</si>
  <si>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</si>
  <si>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</si>
  <si>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</si>
  <si>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</si>
  <si>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</si>
  <si>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</si>
  <si>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</si>
  <si>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</si>
  <si>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</si>
  <si>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</si>
  <si>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</si>
  <si>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</si>
  <si>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</si>
  <si>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</si>
  <si>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</si>
  <si>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</si>
  <si>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</si>
  <si>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</si>
  <si>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</si>
  <si>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</si>
  <si>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</si>
  <si>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</si>
  <si>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</si>
  <si>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</si>
  <si>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</si>
  <si>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</si>
  <si>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</si>
  <si>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</si>
  <si>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</si>
  <si>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</si>
  <si>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</si>
  <si>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</si>
  <si>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</si>
  <si>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</si>
  <si>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</si>
  <si>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</si>
  <si>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</si>
  <si>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</si>
  <si>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</si>
  <si>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</si>
  <si>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</si>
  <si>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</si>
  <si>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</si>
  <si>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</si>
  <si>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</si>
  <si>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</si>
  <si>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</si>
  <si>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</si>
  <si>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</si>
  <si>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</si>
  <si>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</si>
  <si>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</si>
  <si>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</si>
  <si>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</si>
  <si>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</si>
  <si>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</si>
  <si>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</si>
  <si>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</si>
  <si>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</si>
  <si>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</si>
  <si>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</si>
  <si>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</si>
  <si>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</si>
  <si>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</si>
  <si>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</si>
  <si>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</si>
  <si>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</si>
  <si>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</si>
  <si>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</si>
  <si>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</si>
  <si>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</si>
  <si>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</si>
  <si>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</si>
  <si>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</si>
  <si>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</si>
  <si>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</si>
  <si>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</si>
  <si>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</si>
  <si>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</si>
  <si>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</si>
  <si>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</si>
  <si>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</si>
  <si>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</si>
  <si>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</si>
  <si>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</si>
  <si>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</si>
  <si>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</si>
  <si>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</si>
  <si>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</si>
  <si>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</si>
  <si>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</si>
  <si>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</si>
  <si>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</si>
  <si>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</si>
  <si>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</si>
  <si>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</si>
  <si>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</si>
  <si>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</si>
  <si>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</si>
  <si>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</si>
  <si>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</si>
  <si>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</si>
  <si>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</si>
  <si>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</si>
  <si>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</si>
  <si>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</si>
  <si>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</si>
  <si>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</si>
  <si>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</si>
  <si>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</si>
  <si>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</si>
  <si>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</si>
  <si>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</si>
  <si>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</si>
  <si>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</si>
  <si>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</si>
  <si>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</si>
  <si>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</si>
  <si>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</si>
  <si>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</si>
  <si>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</si>
  <si>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</si>
  <si>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</si>
  <si>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</si>
  <si>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</si>
  <si>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</si>
  <si>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</si>
  <si>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</si>
  <si>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</si>
  <si>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</si>
  <si>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</si>
  <si>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</si>
  <si>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</si>
  <si>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</si>
  <si>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</si>
  <si>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</si>
  <si>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</si>
  <si>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</si>
  <si>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</si>
  <si>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</si>
  <si>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</si>
  <si>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</si>
  <si>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</si>
  <si>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</si>
  <si>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</si>
  <si>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</si>
  <si>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</si>
  <si>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</si>
  <si>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</si>
  <si>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</si>
  <si>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</si>
  <si>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</si>
  <si>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</si>
  <si>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</si>
  <si>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</si>
  <si>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</si>
  <si>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</si>
  <si>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</si>
  <si>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</si>
  <si>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</si>
  <si>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</si>
  <si>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</si>
  <si>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</si>
  <si>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</si>
  <si>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</si>
  <si>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</si>
  <si>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</si>
  <si>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</si>
  <si>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</si>
  <si>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</si>
  <si>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</si>
  <si>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</si>
  <si>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</si>
  <si>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</si>
  <si>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</si>
  <si>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</si>
  <si>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</si>
  <si>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</si>
  <si>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</si>
  <si>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</si>
  <si>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</si>
  <si>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</si>
  <si>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</si>
  <si>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</si>
  <si>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</si>
  <si>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</si>
  <si>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</si>
  <si>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</si>
  <si>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</si>
  <si>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</si>
  <si>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</si>
  <si>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</si>
  <si>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</si>
  <si>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</si>
  <si>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</si>
  <si>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</si>
  <si>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</si>
  <si>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</si>
  <si>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</si>
  <si>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</si>
  <si>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</si>
  <si>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</si>
  <si>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</si>
  <si>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</si>
  <si>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</si>
  <si>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</si>
  <si>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</si>
  <si>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</si>
  <si>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</si>
  <si>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</si>
  <si>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</si>
  <si>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</si>
  <si>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</si>
  <si>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</si>
  <si>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</si>
  <si>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</si>
  <si>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</si>
  <si>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</si>
  <si>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</si>
  <si>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</si>
  <si>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</si>
  <si>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</si>
  <si>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</si>
  <si>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</si>
  <si>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</si>
  <si>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</si>
  <si>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</si>
  <si>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</si>
  <si>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</si>
  <si>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</si>
  <si>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</si>
  <si>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</si>
  <si>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</si>
  <si>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</si>
  <si>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</si>
  <si>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</si>
  <si>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</si>
  <si>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</si>
  <si>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</si>
  <si>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</si>
  <si>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</si>
  <si>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</si>
  <si>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</si>
  <si>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</si>
  <si>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WTO</t>
  </si>
  <si>
    <t>WATERTOWN OPERATIONS CENT</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</si>
  <si>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</si>
  <si>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</si>
  <si>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</si>
  <si>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</si>
  <si>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</si>
  <si>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</si>
  <si>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</si>
  <si>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</si>
  <si>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</si>
  <si>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</si>
  <si>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</si>
  <si>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</si>
  <si>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</si>
  <si>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</si>
  <si>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</si>
  <si>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</si>
  <si>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</si>
  <si>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</si>
  <si>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</si>
  <si>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</si>
  <si>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</si>
  <si>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</si>
  <si>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</si>
  <si>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</si>
  <si>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</si>
  <si>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</si>
  <si>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</si>
  <si>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</si>
  <si>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</si>
  <si>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</si>
  <si>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</si>
  <si>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</si>
  <si>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</si>
  <si>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</si>
  <si>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</si>
  <si>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</si>
  <si>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</si>
  <si>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</si>
  <si>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</si>
  <si>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</si>
  <si>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</si>
  <si>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</si>
  <si>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</si>
  <si>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</si>
  <si>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</si>
  <si>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</si>
  <si>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</si>
  <si>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</si>
  <si>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</si>
  <si>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</si>
  <si>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</si>
  <si>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</si>
  <si>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</si>
  <si>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</si>
  <si>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</si>
  <si>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</si>
  <si>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</si>
  <si>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</si>
  <si>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</si>
  <si>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</si>
  <si>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</si>
  <si>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</si>
  <si>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</si>
  <si>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</si>
  <si>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</si>
  <si>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</si>
  <si>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</si>
  <si>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</si>
  <si>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</si>
  <si>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</si>
  <si>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</si>
  <si>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</si>
  <si>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</si>
  <si>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</si>
  <si>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</si>
  <si>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</si>
  <si>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</si>
  <si>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</si>
  <si>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</si>
  <si>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</si>
  <si>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</si>
  <si>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</si>
  <si>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</si>
  <si>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</si>
  <si>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</si>
  <si>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</si>
  <si>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</si>
  <si>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</si>
  <si>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</si>
  <si>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</si>
  <si>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</si>
  <si>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</si>
  <si>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</si>
  <si>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</si>
  <si>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</si>
  <si>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</si>
  <si>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</si>
  <si>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</si>
  <si>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</si>
  <si>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</si>
  <si>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</si>
  <si>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</si>
  <si>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</si>
  <si>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</si>
  <si>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</si>
  <si>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</si>
  <si>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</si>
  <si>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</si>
  <si>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</si>
  <si>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</si>
  <si>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</si>
  <si>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</si>
  <si>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</si>
  <si>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</si>
  <si>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</si>
  <si>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</si>
  <si>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</si>
  <si>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</si>
  <si>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</si>
  <si>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</si>
  <si>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</si>
  <si>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</si>
  <si>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</si>
  <si>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</si>
  <si>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</si>
  <si>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</si>
  <si>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</si>
  <si>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</si>
  <si>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</si>
  <si>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</si>
  <si>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</si>
  <si>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</si>
  <si>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</si>
  <si>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</si>
  <si>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</si>
  <si>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</si>
  <si>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</si>
  <si>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</si>
  <si>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</si>
  <si>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</si>
  <si>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</si>
  <si>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</si>
  <si>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</si>
  <si>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</si>
  <si>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</si>
  <si>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</si>
  <si>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</si>
  <si>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</si>
  <si>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</si>
  <si>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</si>
  <si>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</si>
  <si>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</si>
  <si>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</si>
  <si>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</si>
  <si>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</si>
  <si>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</si>
  <si>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</si>
  <si>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</si>
  <si>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</si>
  <si>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</si>
  <si>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</si>
  <si>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</si>
  <si>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</si>
  <si>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</si>
  <si>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</si>
  <si>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</si>
  <si>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</si>
  <si>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</si>
  <si>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</si>
  <si>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</si>
  <si>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</si>
  <si>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</si>
  <si>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</si>
  <si>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</si>
  <si>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</si>
  <si>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</si>
  <si>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</si>
  <si>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</si>
  <si>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</si>
  <si>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</si>
  <si>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</si>
  <si>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</si>
  <si>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</si>
  <si>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</si>
  <si>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</si>
  <si>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</si>
  <si>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</si>
  <si>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</si>
  <si>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</si>
  <si>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</si>
  <si>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</si>
  <si>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</si>
  <si>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</si>
  <si>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</si>
  <si>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</si>
  <si>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</si>
  <si>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</si>
  <si>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</si>
  <si>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</si>
  <si>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</si>
  <si>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</si>
  <si>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</si>
  <si>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</si>
  <si>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</si>
  <si>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</si>
  <si>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</si>
  <si>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</si>
  <si>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</si>
  <si>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</si>
  <si>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</si>
  <si>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</si>
  <si>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</si>
  <si>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</si>
  <si>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</si>
  <si>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</si>
  <si>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</si>
  <si>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</si>
  <si>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</si>
  <si>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</si>
  <si>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</si>
  <si>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</si>
  <si>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</si>
  <si>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</si>
  <si>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</si>
  <si>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</si>
  <si>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</si>
  <si>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</si>
  <si>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</si>
  <si>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</si>
  <si>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</si>
  <si>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</si>
  <si>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</si>
  <si>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</si>
  <si>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</si>
  <si>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</si>
  <si>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</si>
  <si>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</si>
  <si>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</si>
  <si>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</si>
  <si>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</si>
  <si>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</si>
  <si>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</si>
  <si>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</si>
  <si>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</si>
  <si>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</si>
  <si>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</si>
  <si>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</si>
  <si>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</si>
  <si>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</si>
  <si>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</si>
  <si>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</si>
  <si>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</si>
  <si>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</si>
  <si>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</si>
  <si>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</si>
  <si>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</si>
  <si>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</si>
  <si>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</si>
  <si>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</si>
  <si>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</si>
  <si>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</si>
  <si>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</si>
  <si>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</si>
  <si>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</si>
  <si>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</si>
  <si>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</si>
  <si>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</si>
  <si>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</si>
  <si>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</si>
  <si>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</si>
  <si>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</si>
  <si>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</si>
  <si>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</si>
  <si>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</si>
  <si>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</si>
  <si>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</si>
  <si>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</si>
  <si>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</si>
  <si>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</si>
  <si>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</si>
  <si>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</si>
  <si>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</si>
  <si>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</si>
  <si>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</si>
  <si>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</si>
  <si>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</si>
  <si>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</si>
  <si>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</si>
  <si>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</si>
  <si>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</si>
  <si>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</si>
  <si>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</si>
  <si>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</si>
  <si>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</si>
  <si>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</si>
  <si>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</si>
  <si>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</si>
  <si>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</si>
  <si>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</si>
  <si>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</si>
  <si>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</si>
  <si>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</si>
  <si>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</si>
  <si>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</si>
  <si>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</si>
  <si>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</si>
  <si>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</si>
  <si>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</si>
  <si>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</si>
  <si>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</si>
  <si>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</si>
  <si>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</si>
  <si>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</si>
  <si>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</si>
  <si>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</si>
  <si>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</si>
  <si>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</si>
  <si>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</si>
  <si>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</si>
  <si>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</si>
  <si>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</si>
  <si>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</si>
  <si>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</si>
  <si>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</si>
  <si>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</si>
  <si>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</si>
  <si>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</si>
  <si>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</si>
  <si>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</si>
  <si>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</si>
  <si>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</si>
  <si>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</si>
  <si>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</si>
  <si>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</si>
  <si>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</si>
  <si>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</si>
  <si>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</si>
  <si>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</si>
  <si>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</si>
  <si>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</si>
  <si>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</si>
  <si>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</si>
  <si>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</si>
  <si>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</si>
  <si>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</si>
  <si>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</si>
  <si>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WHITLOCK (BCPS)</t>
  </si>
  <si>
    <t>WOB</t>
  </si>
  <si>
    <t>WOLBACH REPEATER</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</si>
  <si>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</si>
  <si>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</si>
  <si>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</si>
  <si>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</si>
  <si>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</si>
  <si>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</si>
  <si>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</si>
  <si>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</si>
  <si>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</si>
  <si>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</si>
  <si>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</si>
  <si>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</si>
  <si>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</si>
  <si>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BUFORD TRENTON PUMP SUB</t>
  </si>
  <si>
    <t>FN</t>
  </si>
  <si>
    <t>FALLON PUMPING PLANT SUBS</t>
  </si>
  <si>
    <t>FE</t>
  </si>
  <si>
    <t>FALLON RELIFT PUMPING PLA</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</si>
  <si>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</si>
  <si>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</si>
  <si>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</si>
  <si>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</si>
  <si>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</si>
  <si>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</si>
  <si>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</si>
  <si>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</si>
  <si>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</si>
  <si>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</si>
  <si>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</si>
  <si>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</si>
  <si>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</si>
  <si>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</si>
  <si>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</si>
  <si>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</si>
  <si>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</si>
  <si>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</si>
  <si>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</si>
  <si>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</si>
  <si>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</si>
  <si>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</si>
  <si>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</si>
  <si>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</si>
  <si>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</si>
  <si>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</si>
  <si>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</si>
  <si>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</si>
  <si>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</si>
  <si>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</si>
  <si>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</si>
  <si>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</si>
  <si>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</si>
  <si>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</si>
  <si>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COE Total</t>
  </si>
  <si>
    <t>CORPS OF ENGINEERS FACILITIES</t>
  </si>
  <si>
    <t>Grand Total</t>
  </si>
  <si>
    <t>TOTAL</t>
  </si>
  <si>
    <t>SUBTOTAL WESTERN-UGP ONLY</t>
  </si>
  <si>
    <t>Total</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</si>
  <si>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</si>
  <si>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</si>
  <si>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</si>
  <si>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</si>
  <si>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</si>
  <si>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</si>
  <si>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</si>
  <si>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</si>
  <si>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</si>
  <si>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</si>
  <si>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</si>
  <si>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</si>
  <si>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</si>
  <si>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</si>
  <si>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</si>
  <si>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</si>
  <si>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</si>
  <si>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</si>
  <si>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</si>
  <si>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</si>
  <si>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</si>
  <si>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</si>
  <si>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</si>
  <si>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</si>
  <si>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</si>
  <si>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</si>
  <si>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</si>
  <si>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F</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</si>
  <si>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</si>
  <si>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</si>
  <si>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</si>
  <si>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</si>
  <si>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</si>
  <si>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</si>
  <si>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</si>
  <si>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</si>
  <si>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</si>
  <si>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</si>
  <si>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</si>
  <si>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</si>
  <si>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</si>
  <si>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</si>
  <si>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</si>
  <si>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</si>
  <si>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</si>
  <si>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</si>
  <si>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</si>
  <si>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</si>
  <si>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</si>
  <si>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</si>
  <si>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</si>
  <si>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</si>
  <si>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</si>
  <si>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</si>
  <si>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</si>
  <si>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</si>
  <si>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 xml:space="preserve">  Long Term Debt</t>
  </si>
  <si>
    <t>Weighted</t>
  </si>
  <si>
    <t>(Note O)</t>
  </si>
  <si>
    <t>%</t>
  </si>
  <si>
    <t>$</t>
  </si>
  <si>
    <t>=WCLTD</t>
  </si>
  <si>
    <t>Cost</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</si>
  <si>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</si>
  <si>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</si>
  <si>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</si>
  <si>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</si>
  <si>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</si>
  <si>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</si>
  <si>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</si>
  <si>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</si>
  <si>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</si>
  <si>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</si>
  <si>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</si>
  <si>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</si>
  <si>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</si>
  <si>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</si>
  <si>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</si>
  <si>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</si>
  <si>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</si>
  <si>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</si>
  <si>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</si>
  <si>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</si>
  <si>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</si>
  <si>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</si>
  <si>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</si>
  <si>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</si>
  <si>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</si>
  <si>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</si>
  <si>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</si>
  <si>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</si>
  <si>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</si>
  <si>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</si>
  <si>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</si>
  <si>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</si>
  <si>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</si>
  <si>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</si>
  <si>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</si>
  <si>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</si>
  <si>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</si>
  <si>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</si>
  <si>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</si>
  <si>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</si>
  <si>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</si>
  <si>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</si>
  <si>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</si>
  <si>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</si>
  <si>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</si>
  <si>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</si>
  <si>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IS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</si>
  <si>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</si>
  <si>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</si>
  <si>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</si>
  <si>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</si>
  <si>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</si>
  <si>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</si>
  <si>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</si>
  <si>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</si>
  <si>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</si>
  <si>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</si>
  <si>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</si>
  <si>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</si>
  <si>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</si>
  <si>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</si>
  <si>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</si>
  <si>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</si>
  <si>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</si>
  <si>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</si>
  <si>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</si>
  <si>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</si>
  <si>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</si>
  <si>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</si>
  <si>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</si>
  <si>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</si>
  <si>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</si>
  <si>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</si>
  <si>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</si>
  <si>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</si>
  <si>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</si>
  <si>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</si>
  <si>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</si>
  <si>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</si>
  <si>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</si>
  <si>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</si>
  <si>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</si>
  <si>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</si>
  <si>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</si>
  <si>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</si>
  <si>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</si>
  <si>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</si>
  <si>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</si>
  <si>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</si>
  <si>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</si>
  <si>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</si>
  <si>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 xml:space="preserve">  A&amp;G</t>
  </si>
  <si>
    <t>(Note E)</t>
  </si>
  <si>
    <t xml:space="preserve">     Less Account 565</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</si>
  <si>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</si>
  <si>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</si>
  <si>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</si>
  <si>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</si>
  <si>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</si>
  <si>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</si>
  <si>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</si>
  <si>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</si>
  <si>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</si>
  <si>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</si>
  <si>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</si>
  <si>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</si>
  <si>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</si>
  <si>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</si>
  <si>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</si>
  <si>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</si>
  <si>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</si>
  <si>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</si>
  <si>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</si>
  <si>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</si>
  <si>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</si>
  <si>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</si>
  <si>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</si>
  <si>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</si>
  <si>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</si>
  <si>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</si>
  <si>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</si>
  <si>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</si>
  <si>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</si>
  <si>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</si>
  <si>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</si>
  <si>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(Note A)</t>
  </si>
  <si>
    <t>GROSS PLANT IN SERVICE</t>
  </si>
  <si>
    <t>(Col 3 times Col 4)</t>
  </si>
  <si>
    <t>RATE BASE:</t>
  </si>
  <si>
    <t>NET REVENUE REQUIREMENT</t>
  </si>
  <si>
    <t>PRIOR PERIOD TRUE-UP</t>
  </si>
  <si>
    <t>(Note R)</t>
  </si>
  <si>
    <t>GROSS REVENUE REQUIREMENT</t>
  </si>
  <si>
    <t>(5)</t>
  </si>
  <si>
    <t>(4)</t>
  </si>
  <si>
    <t>(3)</t>
  </si>
  <si>
    <t>(2)</t>
  </si>
  <si>
    <t>(1)</t>
  </si>
  <si>
    <t>No.</t>
  </si>
  <si>
    <t>ALLOCATED AMOUNT</t>
  </si>
  <si>
    <t>ALLOCATOR</t>
  </si>
  <si>
    <t>COMPANY TOTAL</t>
  </si>
  <si>
    <t>REFERENCE</t>
  </si>
  <si>
    <t>Line</t>
  </si>
  <si>
    <t>TRANSMISSION</t>
  </si>
  <si>
    <t>Western-UGP</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</si>
  <si>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</si>
  <si>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</si>
  <si>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</si>
  <si>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</si>
  <si>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Historical Financial Data in Support of the Power Repayment Study for the Pick-Sloan Missouri Basin Program, Schedule 14</t>
  </si>
  <si>
    <t>3/  Total Corps O&amp;M Expenses are from the Corps of Engineers Financial Statements</t>
  </si>
  <si>
    <t>Stores Interest, which are from Schedule 5</t>
  </si>
  <si>
    <t xml:space="preserve">2/  All Western RMR O&amp;M Expenses are from the RMCSR - Pick-Sloan Missouri River Basin Results of Operations, Schedule 11; except Moveable Property and Warehouse </t>
  </si>
  <si>
    <t>Moveable Property and Warehouse Stores Interest,  which are from Schedule 5</t>
  </si>
  <si>
    <t xml:space="preserve">1/  All Western-UGP O&amp;M Expenses are from the UGPCSR - Pick-Sloan Missouri River Basin and UGPCSR -  Ft. Peck Power System Results of Operations, Schedule 11; except </t>
  </si>
  <si>
    <t>PS-ED Generation O&amp;M  6/</t>
  </si>
  <si>
    <t>PS-ED Transmission O&amp;M  5/</t>
  </si>
  <si>
    <t>PS Total O&amp;M</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</si>
  <si>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</si>
  <si>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</si>
  <si>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</si>
  <si>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</si>
  <si>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</si>
  <si>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</si>
  <si>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</si>
  <si>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</si>
  <si>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</si>
  <si>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  4/</t>
  </si>
  <si>
    <t>COE  3/</t>
  </si>
  <si>
    <t>O&amp;M Expenses Worksheet</t>
  </si>
  <si>
    <t>BOR</t>
  </si>
  <si>
    <t>WESTERN 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</si>
  <si>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</si>
  <si>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</si>
  <si>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</si>
  <si>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</si>
  <si>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</si>
  <si>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</si>
  <si>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2/  Western RMR A&amp;G Expenses are from the RMCSR - Pick-Sloan Missouri River Basin Results of Operations, Schedule 11A</t>
  </si>
  <si>
    <t>1/  Western-UGP A&amp;G Expenses are from the UGPCSR - Pick-Sloan Missouri River Basin and UGPCSR - Ft. Peck Power System Results of Operations, Schedule 11A</t>
  </si>
  <si>
    <t>PS-ED SSCD A&amp;G  6/</t>
  </si>
  <si>
    <t>PS-ED Generation A&amp;G  5/</t>
  </si>
  <si>
    <t>PS-ED Transmission A&amp;G  4/</t>
  </si>
  <si>
    <t>PS Total A&amp;G</t>
  </si>
  <si>
    <t>BOR  3/</t>
  </si>
  <si>
    <t>WESTERN RMR 2/</t>
  </si>
  <si>
    <t>WESTERN UGPR 1/</t>
  </si>
  <si>
    <t xml:space="preserve">Object Class    </t>
  </si>
  <si>
    <t>A&amp;G Expenses Worksheet</t>
  </si>
  <si>
    <t>13/ Interest from Results of Operations Schedule 5</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</si>
  <si>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</si>
  <si>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</si>
  <si>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</si>
  <si>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</si>
  <si>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</si>
  <si>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</si>
  <si>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</si>
  <si>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</si>
  <si>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Historical Financial Data in Support of the Power Repayment Study for the P-SMBP, Schedule 33, 33A and ROOs Schedule 5</t>
  </si>
  <si>
    <t>1/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</si>
  <si>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</si>
  <si>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</si>
  <si>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</si>
  <si>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</si>
  <si>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</si>
  <si>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</si>
  <si>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</si>
  <si>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</si>
  <si>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</si>
  <si>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</si>
  <si>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</si>
  <si>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</si>
  <si>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</si>
  <si>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</si>
  <si>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Average Interest Rate</t>
  </si>
  <si>
    <t>2/</t>
  </si>
  <si>
    <t>13/</t>
  </si>
  <si>
    <t>Interest Expenses:</t>
  </si>
  <si>
    <t>1/</t>
  </si>
  <si>
    <t>Long Term Debt:</t>
  </si>
  <si>
    <t>Cost of Capital Worksheet</t>
  </si>
  <si>
    <t>WESTERN-RMR</t>
  </si>
  <si>
    <t xml:space="preserve"> Investment Worksheet</t>
  </si>
  <si>
    <t>7/ For UGPR, the portion of depreciation expense allocated to PS-ED SSCD is based on the ratio of SSCD plant-in-service to total plant in service, calculated on L8 of the Net Plant</t>
  </si>
  <si>
    <t>on L6 of the Net Plant Investment Worksheet.  COE generation depreciation is COE total depreciation less transmission depreciation</t>
  </si>
  <si>
    <t xml:space="preserve">6/  For UGPR, RMR and BOR the portion of depreciation expense allocated to PS-ED generation is based on the ratio of generation plant-in-service to total plant-in-service, calculated </t>
  </si>
  <si>
    <t>calculated on L7 of the Net Plant Investment Worksheet</t>
  </si>
  <si>
    <t xml:space="preserve">5/  For UGPR, RMR, COE, and BOR the portion of depreciation expense allocated to PS-ED transmission is based on the ratio of transmission plant-in-service to total plant-in-service,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</si>
  <si>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</si>
  <si>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</si>
  <si>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</si>
  <si>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</si>
  <si>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</si>
  <si>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</si>
  <si>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</si>
  <si>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</si>
  <si>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</si>
  <si>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11/  Corps of Engineers Financial Statements, Statement of Assets and Liabilities</t>
  </si>
  <si>
    <t>10/  RMCSR - Pick-Sloan Missouri River Basin Results of Operations, Schedule 4</t>
  </si>
  <si>
    <t>9/  UGPCSR - Pick-Sloan Missouri River Basin and UGPCSR - Ft. Peck Power System Results of Operations, Schedule 4</t>
  </si>
  <si>
    <t>8/ SSCD Plant-in-Service is based on a percentage of Watertown Operations Centers cost, based on FTE</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</si>
  <si>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</si>
  <si>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</si>
  <si>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</si>
  <si>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</si>
  <si>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</si>
  <si>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</si>
  <si>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</si>
  <si>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</si>
  <si>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</si>
  <si>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</si>
  <si>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</si>
  <si>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</si>
  <si>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</si>
  <si>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</si>
  <si>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</si>
  <si>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</si>
  <si>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</si>
  <si>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</si>
  <si>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</si>
  <si>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</si>
  <si>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</si>
  <si>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</si>
  <si>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</si>
  <si>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</si>
  <si>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</si>
  <si>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</si>
  <si>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L30 * L31</t>
  </si>
  <si>
    <t xml:space="preserve">     Annual Western-UGPR Cost</t>
  </si>
  <si>
    <t>L5</t>
  </si>
  <si>
    <t xml:space="preserve">     Net Plant Investment</t>
  </si>
  <si>
    <t>L28</t>
  </si>
  <si>
    <t xml:space="preserve">      Fixed Charge Rate</t>
  </si>
  <si>
    <t>H.  Revenue Requirement</t>
  </si>
  <si>
    <t xml:space="preserve">             Total</t>
  </si>
  <si>
    <t>L20</t>
  </si>
  <si>
    <t xml:space="preserve">     Cost of Capital</t>
  </si>
  <si>
    <t xml:space="preserve">     Allocation of General Plant to Transmission</t>
  </si>
  <si>
    <t xml:space="preserve">     Taxes Other than Income Taxes</t>
  </si>
  <si>
    <t>L14</t>
  </si>
  <si>
    <t xml:space="preserve">     Depreciation Expense</t>
  </si>
  <si>
    <t>L10</t>
  </si>
  <si>
    <t xml:space="preserve">     A&amp;G Expense</t>
  </si>
  <si>
    <t>L6</t>
  </si>
  <si>
    <t xml:space="preserve">     Operation and Maintenance Expense</t>
  </si>
  <si>
    <t>G.  Fixed Charge Rate</t>
  </si>
  <si>
    <t xml:space="preserve">     Weighted Transmission Composite Interest Rate</t>
  </si>
  <si>
    <t>F.  Cost of Capital</t>
  </si>
  <si>
    <t xml:space="preserve">     No General Plant identified at this time, all plant is identified as either generation or transmission related.</t>
  </si>
  <si>
    <t xml:space="preserve">E.  Allocation of General Plant </t>
  </si>
  <si>
    <t xml:space="preserve">     Not applicable.</t>
  </si>
  <si>
    <t xml:space="preserve">D.  Taxes Other than Income Taxes for Transmission     </t>
  </si>
  <si>
    <t>L12/L13</t>
  </si>
  <si>
    <t xml:space="preserve">     Depreciation as a % of Net Plant Investment</t>
  </si>
  <si>
    <t xml:space="preserve">C.  Depreciation Expense                    </t>
  </si>
  <si>
    <t>L8/L9</t>
  </si>
  <si>
    <t xml:space="preserve">      A&amp;G as % of Net Plant Investment</t>
  </si>
  <si>
    <t xml:space="preserve">      Net Plant Investment</t>
  </si>
  <si>
    <t xml:space="preserve">      A&amp;G Expense</t>
  </si>
  <si>
    <t xml:space="preserve">B.  A&amp;G Expense                              </t>
  </si>
  <si>
    <t>L4/L5</t>
  </si>
  <si>
    <t xml:space="preserve">     O&amp;M as % of Net Plant Investment</t>
  </si>
  <si>
    <t>L2 + L3</t>
  </si>
  <si>
    <t xml:space="preserve">     Total O&amp;M Expense</t>
  </si>
  <si>
    <t xml:space="preserve">     Transmission of Electricity by Others</t>
  </si>
  <si>
    <t xml:space="preserve">     O&amp;M Expense</t>
  </si>
  <si>
    <t>A. Operation and Maintenance Expense</t>
  </si>
  <si>
    <t xml:space="preserve"> Line No.</t>
  </si>
  <si>
    <t>COE GENERATION</t>
  </si>
  <si>
    <t>GENERATION</t>
  </si>
  <si>
    <t>DATA SOURCE:</t>
  </si>
  <si>
    <t xml:space="preserve">WAO </t>
  </si>
  <si>
    <t>IDC</t>
  </si>
  <si>
    <t>LAND &amp; RIGHTS</t>
  </si>
  <si>
    <t>LAND &amp; LAND RIGHTS</t>
  </si>
  <si>
    <t>LAND AT KCR</t>
  </si>
  <si>
    <t>MICROWAVE TOWER</t>
  </si>
  <si>
    <t>ANTENNA TOWER</t>
  </si>
  <si>
    <t>SCADA COMMUNICATION EQUIPMENT</t>
  </si>
  <si>
    <t>SEQUENTIAL EVENT RECORDING SYSTEM</t>
  </si>
  <si>
    <t>BUILDINGS</t>
  </si>
  <si>
    <t>SERVICE BUILDINGS</t>
  </si>
  <si>
    <t>ROOFING</t>
  </si>
  <si>
    <t>OTHER STRUCTURES AND IMPROVEMENTS</t>
  </si>
  <si>
    <t>OIL STORAGE TANK</t>
  </si>
  <si>
    <t>HEATING</t>
  </si>
  <si>
    <t>STATION EQUIPMENT</t>
  </si>
  <si>
    <t>AUXILIARY POWER SYSTEM</t>
  </si>
  <si>
    <t>REMOTE TERMINAL UNIT</t>
  </si>
  <si>
    <t>SCADA</t>
  </si>
  <si>
    <t>UNITERRUPTABLE POWER SUPPLY</t>
  </si>
  <si>
    <t>MICROWAVE COMMUNICATION EQUIPMENT</t>
  </si>
  <si>
    <t>MICROWAVE SYSTEM</t>
  </si>
  <si>
    <t>BATTERY</t>
  </si>
  <si>
    <t>BATTERY CHARGER</t>
  </si>
  <si>
    <t>TELEPHONE COMMUNICATION EQUIPMENT</t>
  </si>
  <si>
    <t>PLANT COMM SYSTEM</t>
  </si>
  <si>
    <t>FIBER OPTIC EQUIPMENT</t>
  </si>
  <si>
    <t>FIBER OPTICS EQUIPMENT</t>
  </si>
  <si>
    <t>ADD DROP MULTIPLEXER</t>
  </si>
  <si>
    <t>CABLE TYPE OPGW</t>
  </si>
  <si>
    <t>CHANNEL BANK EQUIPMENT</t>
  </si>
  <si>
    <t>TELEPHONE SYSTEM</t>
  </si>
  <si>
    <t>WTO F</t>
  </si>
  <si>
    <t>ALCATEL 5620 FIBER TERMINAL EQUIP PART 2 OF 2</t>
  </si>
  <si>
    <t>TERMINATION EQUIPMENT</t>
  </si>
  <si>
    <t>POWER SYSTEM DISPATCH CONSOLES</t>
  </si>
  <si>
    <t>MICROWAVE ALARM SYSTEM MASTER STATION</t>
  </si>
  <si>
    <t>DATA STATION</t>
  </si>
  <si>
    <t>VHF RADIO COMPARATOR</t>
  </si>
  <si>
    <t>FIXED RADIO COMM EQUIPMENT</t>
  </si>
  <si>
    <t>TELEPHONE SYSTEM - 40 CHANNEL RECORDER &amp; CRASH KIT</t>
  </si>
  <si>
    <t>VOICE RECORDER SYSTEM</t>
  </si>
  <si>
    <t>AUX PWR SYS - BACKUP GENERATOR</t>
  </si>
  <si>
    <t>(5) DIGITAL VOICE RECORDERS - WTO F</t>
  </si>
  <si>
    <t>BATTERY BANK FOR UPS</t>
  </si>
  <si>
    <t>DIGITAL TRANS &amp; REC EQUIP</t>
  </si>
  <si>
    <t>FREQUENCY CONTROL ADDITIONS</t>
  </si>
  <si>
    <t>LOAD AND FREQUENCY CONTROL EQUIP</t>
  </si>
  <si>
    <t>WATERTOWN OPERATIONS BUILDING</t>
  </si>
  <si>
    <t>CONTROL BUILDING</t>
  </si>
  <si>
    <t>RESURFACE PARKING LOT AT WATERTOWN OPS OFFICE</t>
  </si>
  <si>
    <t>OFFICE BUILDING</t>
  </si>
  <si>
    <t>REPLACE ROOF AT WATERTOWN OPS OFFICE</t>
  </si>
  <si>
    <t>ROOF COVERING</t>
  </si>
  <si>
    <t>SYNC UNIT</t>
  </si>
  <si>
    <t>REMOTE STATION</t>
  </si>
  <si>
    <t>VEHICLE/STORAGE BUILDING</t>
  </si>
  <si>
    <t>GARAGE</t>
  </si>
  <si>
    <t>STEEL GATE</t>
  </si>
  <si>
    <t>AIR CONDITIONER</t>
  </si>
  <si>
    <t>WALLS</t>
  </si>
  <si>
    <t>ROOF REPL</t>
  </si>
  <si>
    <t>PSOO-WATER SYSTEM</t>
  </si>
  <si>
    <t>METER EQUIPMENT</t>
  </si>
  <si>
    <t>PWR SYS OPERATIONS OFFICE BUILDING (Part 1 of 2)</t>
  </si>
  <si>
    <t>STORAGE BUILDING</t>
  </si>
  <si>
    <t>WATERTOWN OPS BLDG EXPANSION (PSOO)</t>
  </si>
  <si>
    <t>WATERTOWN OPS BLDG EXPANSION</t>
  </si>
  <si>
    <t>L7*L8</t>
  </si>
  <si>
    <t>No General Plant identified at this time, all plant is identified as either generation or transmission related</t>
  </si>
  <si>
    <t>Not Applicable</t>
  </si>
  <si>
    <t>SSCD</t>
  </si>
  <si>
    <t>RESERVES</t>
  </si>
  <si>
    <t>Fixed Charge Rate</t>
  </si>
  <si>
    <t>Corps Generation Net Plant Costs ($)</t>
  </si>
  <si>
    <t>Annual Corps Generation Cost  ($)</t>
  </si>
  <si>
    <t>L1*L2</t>
  </si>
  <si>
    <t>Plant Capacity (kW)</t>
  </si>
  <si>
    <t>Cost/kW ($/kW-Yr)</t>
  </si>
  <si>
    <t>L3/L4</t>
  </si>
  <si>
    <t>Western's Maximum Load in WAUW Control Area (kW)</t>
  </si>
  <si>
    <t>Maximum Generation in WAUW Control Area (kW)</t>
  </si>
  <si>
    <t>Capacity used for Reserves (kW) -- 3% Load + 3% Gen</t>
  </si>
  <si>
    <t>Annual Reserves Revenue Requirement</t>
  </si>
  <si>
    <t>REGULATION and FREQUENCY RESPONSE</t>
  </si>
  <si>
    <t>Cost/kW ($/kW)</t>
  </si>
  <si>
    <t>Capacity Used for Regulation (kW)</t>
  </si>
  <si>
    <t>Regulation Revenue Requirement ($) - Capacity</t>
  </si>
  <si>
    <t>Regulation Revenue Requirement ($) - Purchases</t>
  </si>
  <si>
    <t xml:space="preserve">     Total Regulation Revenue Requirement ($)</t>
  </si>
  <si>
    <t xml:space="preserve">Corps Generation Net Plant is Total Electric Plant in Service less </t>
  </si>
  <si>
    <t>SSCD Revenue from non-Transmission Facilities</t>
  </si>
  <si>
    <t>Ratio for Line 12</t>
  </si>
  <si>
    <t>L11-L12</t>
  </si>
  <si>
    <t>Revenue Requirement for SSCD for Transmission Facilities</t>
  </si>
  <si>
    <t xml:space="preserve">(1) </t>
  </si>
  <si>
    <t xml:space="preserve">(3) </t>
  </si>
  <si>
    <t>Column 4 shows percentage of the Watertown Operations Center that was prorated to generation based on FTE associated with generation.</t>
  </si>
  <si>
    <t>Annual</t>
  </si>
  <si>
    <t>Transmission and Ancillary Services</t>
  </si>
  <si>
    <t xml:space="preserve"> Transmission and Ancillary Services List of Workpapers and Schedules</t>
  </si>
  <si>
    <t>Rate True-up Calculation</t>
  </si>
  <si>
    <t>True-up Summary</t>
  </si>
  <si>
    <t>Description</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</si>
  <si>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</si>
  <si>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</si>
  <si>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</si>
  <si>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</si>
  <si>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</si>
  <si>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</si>
  <si>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</si>
  <si>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</si>
  <si>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</si>
  <si>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</si>
  <si>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</si>
  <si>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</si>
  <si>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</si>
  <si>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</si>
  <si>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</si>
  <si>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</si>
  <si>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</si>
  <si>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</si>
  <si>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</si>
  <si>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</si>
  <si>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</si>
  <si>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</si>
  <si>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</si>
  <si>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</si>
  <si>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</si>
  <si>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</si>
  <si>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</si>
  <si>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</si>
  <si>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</si>
  <si>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</si>
  <si>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</si>
  <si>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</si>
  <si>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</si>
  <si>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</si>
  <si>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</si>
  <si>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</si>
  <si>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</si>
  <si>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</si>
  <si>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</si>
  <si>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</si>
  <si>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</si>
  <si>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</si>
  <si>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</si>
  <si>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</si>
  <si>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</si>
  <si>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</si>
  <si>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</si>
  <si>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</si>
  <si>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</si>
  <si>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</si>
  <si>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</si>
  <si>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</si>
  <si>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</si>
  <si>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</si>
  <si>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</si>
  <si>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</si>
  <si>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</si>
  <si>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</si>
  <si>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</si>
  <si>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</si>
  <si>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</si>
  <si>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 xml:space="preserve">station service KW21A, switch 2123 </t>
  </si>
  <si>
    <t>230/69-kV transformer KV1A</t>
  </si>
  <si>
    <t>69-kV switches 1351, 1355</t>
  </si>
  <si>
    <t>69-kV breaker 1152 and assoc. switches</t>
  </si>
  <si>
    <t>Sun River Electric Cooperative and NorthWestern MT</t>
  </si>
  <si>
    <t>BO</t>
  </si>
  <si>
    <t>Bonesteel</t>
  </si>
  <si>
    <t>115-kV breakers 664, 764 and assoc. switches</t>
  </si>
  <si>
    <t>capacitors PY6A, PY7A</t>
  </si>
  <si>
    <t>115-kV switches 46x, 26x</t>
  </si>
  <si>
    <t>station service KW1A, switch 1521</t>
  </si>
  <si>
    <t>Brookings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</si>
  <si>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</si>
  <si>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</si>
  <si>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</si>
  <si>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</si>
  <si>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</si>
  <si>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</si>
  <si>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</si>
  <si>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</si>
  <si>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</si>
  <si>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</si>
  <si>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</si>
  <si>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</si>
  <si>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</si>
  <si>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</si>
  <si>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</si>
  <si>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</si>
  <si>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</si>
  <si>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</si>
  <si>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</si>
  <si>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</si>
  <si>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</si>
  <si>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</si>
  <si>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</si>
  <si>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</si>
  <si>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</si>
  <si>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</si>
  <si>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</si>
  <si>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</si>
  <si>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</si>
  <si>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</si>
  <si>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</si>
  <si>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</si>
  <si>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</si>
  <si>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</si>
  <si>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</si>
  <si>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</si>
  <si>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</si>
  <si>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</si>
  <si>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</si>
  <si>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</si>
  <si>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</si>
  <si>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</si>
  <si>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</si>
  <si>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</si>
  <si>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</si>
  <si>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</si>
  <si>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</si>
  <si>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</si>
  <si>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</si>
  <si>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</si>
  <si>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</si>
  <si>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</si>
  <si>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</si>
  <si>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</si>
  <si>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</si>
  <si>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</si>
  <si>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</si>
  <si>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</si>
  <si>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</si>
  <si>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</si>
  <si>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</si>
  <si>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</si>
  <si>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</si>
  <si>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</si>
  <si>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</si>
  <si>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</si>
  <si>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</si>
  <si>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</si>
  <si>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</si>
  <si>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</si>
  <si>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</si>
  <si>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</si>
  <si>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</si>
  <si>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</si>
  <si>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</si>
  <si>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</si>
  <si>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</si>
  <si>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</si>
  <si>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</si>
  <si>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</si>
  <si>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</si>
  <si>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</si>
  <si>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</si>
  <si>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</si>
  <si>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</si>
  <si>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</si>
  <si>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</si>
  <si>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</si>
  <si>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</si>
  <si>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</si>
  <si>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</si>
  <si>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</si>
  <si>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</si>
  <si>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</si>
  <si>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</si>
  <si>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</si>
  <si>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</si>
  <si>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</si>
  <si>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</si>
  <si>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</si>
  <si>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</si>
  <si>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</si>
  <si>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</si>
  <si>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</si>
  <si>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</si>
  <si>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</si>
  <si>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</si>
  <si>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</si>
  <si>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</si>
  <si>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</si>
  <si>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</si>
  <si>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</si>
  <si>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</si>
  <si>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</si>
  <si>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</si>
  <si>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</si>
  <si>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</si>
  <si>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</si>
  <si>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</si>
  <si>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</si>
  <si>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</si>
  <si>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</si>
  <si>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</si>
  <si>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</si>
  <si>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</si>
  <si>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</si>
  <si>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</si>
  <si>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</si>
  <si>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</si>
  <si>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</si>
  <si>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</si>
  <si>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</si>
  <si>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</si>
  <si>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</si>
  <si>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</si>
  <si>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</si>
  <si>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</si>
  <si>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</si>
  <si>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</si>
  <si>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</si>
  <si>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</si>
  <si>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</si>
  <si>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</si>
  <si>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</si>
  <si>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</si>
  <si>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</si>
  <si>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</si>
  <si>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</si>
  <si>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</si>
  <si>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</si>
  <si>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</si>
  <si>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</si>
  <si>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</si>
  <si>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</si>
  <si>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</si>
  <si>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</si>
  <si>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</si>
  <si>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</si>
  <si>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</si>
  <si>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</si>
  <si>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</si>
  <si>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</si>
  <si>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</si>
  <si>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</si>
  <si>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</si>
  <si>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</si>
  <si>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</si>
  <si>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</si>
  <si>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</si>
  <si>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</si>
  <si>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</si>
  <si>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</si>
  <si>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</si>
  <si>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</si>
  <si>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</si>
  <si>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</si>
  <si>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</si>
  <si>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</si>
  <si>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</si>
  <si>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</si>
  <si>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</si>
  <si>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</si>
  <si>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station service KW1A and switch 521</t>
  </si>
  <si>
    <t>Groton</t>
  </si>
  <si>
    <t>115-kV  breakers 262, 362, 462, 562, 862, 966 and assoc. switches / switches 16x</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</si>
  <si>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</si>
  <si>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</si>
  <si>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</si>
  <si>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</si>
  <si>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</si>
  <si>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</si>
  <si>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</si>
  <si>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</si>
  <si>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</si>
  <si>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</si>
  <si>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</si>
  <si>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</si>
  <si>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</si>
  <si>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</si>
  <si>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</si>
  <si>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</si>
  <si>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</si>
  <si>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</si>
  <si>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</si>
  <si>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</si>
  <si>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</si>
  <si>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</si>
  <si>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</si>
  <si>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</si>
  <si>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</si>
  <si>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</si>
  <si>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</si>
  <si>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</si>
  <si>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</si>
  <si>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</si>
  <si>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</si>
  <si>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</si>
  <si>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</si>
  <si>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</si>
  <si>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</si>
  <si>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</si>
  <si>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</si>
  <si>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</si>
  <si>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115/69-kV transformer KY1A, switches 362, 363</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</si>
  <si>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</si>
  <si>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</si>
  <si>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</si>
  <si>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</si>
  <si>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</si>
  <si>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</si>
  <si>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</si>
  <si>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</si>
  <si>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</si>
  <si>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</si>
  <si>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</si>
  <si>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</si>
  <si>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</si>
  <si>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</si>
  <si>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station service KW1A and switch 2021</t>
  </si>
  <si>
    <t>Maurine</t>
  </si>
  <si>
    <t>230-kV breakers 182, 282, 582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</si>
  <si>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</si>
  <si>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</si>
  <si>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</si>
  <si>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</si>
  <si>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</si>
  <si>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</si>
  <si>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</si>
  <si>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</si>
  <si>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</si>
  <si>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</si>
  <si>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</si>
  <si>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</si>
  <si>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</si>
  <si>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</si>
  <si>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</si>
  <si>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</si>
  <si>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</si>
  <si>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</si>
  <si>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</si>
  <si>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</si>
  <si>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</si>
  <si>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</si>
  <si>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</si>
  <si>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</si>
  <si>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</si>
  <si>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</si>
  <si>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</si>
  <si>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</si>
  <si>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</si>
  <si>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</si>
  <si>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</si>
  <si>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</si>
  <si>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</si>
  <si>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</si>
  <si>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</si>
  <si>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</si>
  <si>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</si>
  <si>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</si>
  <si>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</si>
  <si>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</si>
  <si>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</si>
  <si>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116x, 1262, 136x</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</si>
  <si>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</si>
  <si>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</si>
  <si>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</si>
  <si>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</si>
  <si>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</si>
  <si>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</si>
  <si>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</si>
  <si>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</si>
  <si>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</si>
  <si>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</si>
  <si>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</si>
  <si>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</si>
  <si>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</si>
  <si>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</si>
  <si>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</si>
  <si>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</si>
  <si>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</si>
  <si>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</si>
  <si>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</si>
  <si>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</si>
  <si>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</si>
  <si>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</si>
  <si>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</si>
  <si>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</si>
  <si>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</si>
  <si>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Rolla</t>
  </si>
  <si>
    <t>115-kV breaker 1162 and assoc switches</t>
  </si>
  <si>
    <t>Rudyard</t>
  </si>
  <si>
    <t>115-kV switches 260, 261, 160, 161</t>
  </si>
  <si>
    <t>station service KW1A, switches 521, 523</t>
  </si>
  <si>
    <t>Rugby</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</si>
  <si>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</si>
  <si>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</si>
  <si>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</si>
  <si>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</si>
  <si>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</si>
  <si>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</si>
  <si>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</si>
  <si>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</si>
  <si>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</si>
  <si>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</si>
  <si>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</si>
  <si>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</si>
  <si>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</si>
  <si>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</si>
  <si>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</si>
  <si>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</si>
  <si>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</si>
  <si>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</si>
  <si>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</si>
  <si>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</si>
  <si>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</si>
  <si>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</si>
  <si>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</si>
  <si>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</si>
  <si>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</si>
  <si>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</si>
  <si>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</si>
  <si>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</si>
  <si>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</si>
  <si>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t>Spencer</t>
  </si>
  <si>
    <t>to NIPCO and Wisdom Sub</t>
  </si>
  <si>
    <t>Stegall</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</si>
  <si>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</si>
  <si>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</si>
  <si>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</si>
  <si>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</si>
  <si>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</si>
  <si>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</si>
  <si>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</si>
  <si>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</si>
  <si>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</si>
  <si>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</si>
  <si>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Tyndall</t>
  </si>
  <si>
    <t>115-kV switches 16x, 26x, 361</t>
  </si>
  <si>
    <t>Station Service KZ1A and switches 351 and 751</t>
  </si>
  <si>
    <t>Utica Junction</t>
  </si>
  <si>
    <t>230-kV breakers 382, 486, 582,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</si>
  <si>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</si>
  <si>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</si>
  <si>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</si>
  <si>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</si>
  <si>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</si>
  <si>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</si>
  <si>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</si>
  <si>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</si>
  <si>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</si>
  <si>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Wall</t>
  </si>
  <si>
    <t>115-kV switches 16x, 26x, 36x, 461</t>
  </si>
  <si>
    <t>station service KW1B, switch 821</t>
  </si>
  <si>
    <t>Ward</t>
  </si>
  <si>
    <t>230-kV breakers 182, 282, 286 and assoc switches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</si>
  <si>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</si>
  <si>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</si>
  <si>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</si>
  <si>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</si>
  <si>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</si>
  <si>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</si>
  <si>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</si>
  <si>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</si>
  <si>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</si>
  <si>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</si>
  <si>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</si>
  <si>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</si>
  <si>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</si>
  <si>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</si>
  <si>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</si>
  <si>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</si>
  <si>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</si>
  <si>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</si>
  <si>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</si>
  <si>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</si>
  <si>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</si>
  <si>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</si>
  <si>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</si>
  <si>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</si>
  <si>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</si>
  <si>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</si>
  <si>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</si>
  <si>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</si>
  <si>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</si>
  <si>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</si>
  <si>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</si>
  <si>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</si>
  <si>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</si>
  <si>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</si>
  <si>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</si>
  <si>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</si>
  <si>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</si>
  <si>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</si>
  <si>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</si>
  <si>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</si>
  <si>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</si>
  <si>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</si>
  <si>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</si>
  <si>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</si>
  <si>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</si>
  <si>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</si>
  <si>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</si>
  <si>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</si>
  <si>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</si>
  <si>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</si>
  <si>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</si>
  <si>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</si>
  <si>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</si>
  <si>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</si>
  <si>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</si>
  <si>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</si>
  <si>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</si>
  <si>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</si>
  <si>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</si>
  <si>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</si>
  <si>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</si>
  <si>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CANYON FERRY TAP</t>
  </si>
  <si>
    <t>CHARLIE CREEK - BEULAH</t>
  </si>
  <si>
    <t>230-kV</t>
  </si>
  <si>
    <t>FORT PECK-DAWSON #1</t>
  </si>
  <si>
    <t>FORT PECK-DAWSON #2</t>
  </si>
  <si>
    <t>161-kV</t>
  </si>
  <si>
    <t>69-kV</t>
  </si>
  <si>
    <t>HAVRE-VERONA</t>
  </si>
  <si>
    <t>115-kV</t>
  </si>
  <si>
    <t>RAPID CITY-DRY CREEK</t>
  </si>
  <si>
    <t>VERONA GREAT FALLS</t>
  </si>
  <si>
    <t>YELLOWTAIL-YELLOWTAIL (PACE)</t>
  </si>
  <si>
    <t>Taps</t>
  </si>
  <si>
    <t>Charlie Creek</t>
  </si>
  <si>
    <t>345-kV breakers 4096, 4192 and assoc switches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</si>
  <si>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</si>
  <si>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</si>
  <si>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</si>
  <si>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</si>
  <si>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</si>
  <si>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</si>
  <si>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</si>
  <si>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</si>
  <si>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</si>
  <si>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</si>
  <si>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</si>
  <si>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</si>
  <si>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</si>
  <si>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</si>
  <si>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</si>
  <si>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</si>
  <si>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</si>
  <si>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</si>
  <si>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</si>
  <si>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</si>
  <si>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</si>
  <si>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</si>
  <si>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</si>
  <si>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</si>
  <si>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</si>
  <si>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</si>
  <si>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</si>
  <si>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</si>
  <si>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</si>
  <si>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</si>
  <si>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</si>
  <si>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</si>
  <si>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</si>
  <si>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</si>
  <si>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</si>
  <si>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</si>
  <si>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</si>
  <si>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</si>
  <si>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</si>
  <si>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land, steel structure, meter equipment</t>
  </si>
  <si>
    <t>meters to MDU</t>
  </si>
  <si>
    <t>fiber termination equipment</t>
  </si>
  <si>
    <t>Verona</t>
  </si>
  <si>
    <t>comm, miltiplex, battery</t>
  </si>
  <si>
    <t>Whately (Northern)</t>
  </si>
  <si>
    <t>Instrument Transformer</t>
  </si>
  <si>
    <t>multiplexer, channel bank, SCADA</t>
  </si>
  <si>
    <t>Miles City Converter Station</t>
  </si>
  <si>
    <t>Rocky Mountain Region Facilities</t>
  </si>
  <si>
    <t>YT</t>
  </si>
  <si>
    <t>230-kV breakers 182, 282, 9182 and assoc switches</t>
  </si>
  <si>
    <t>Corps Switchyard Facilities</t>
  </si>
  <si>
    <t>Big Bend</t>
  </si>
  <si>
    <t>Fort Peck</t>
  </si>
  <si>
    <t>69-kV breaker 1142 and assoc. switches</t>
  </si>
  <si>
    <t>230-kV breaker 1382 and associated switches</t>
  </si>
  <si>
    <t>230/115-kV transformer</t>
  </si>
  <si>
    <t>Garrison</t>
  </si>
  <si>
    <t>Gavins Point</t>
  </si>
  <si>
    <t>115-kV breakers 462, 562, 662, 762, 862 and assoc switches</t>
  </si>
  <si>
    <t>Oahe</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</si>
  <si>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</si>
  <si>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</si>
  <si>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</si>
  <si>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</si>
  <si>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</si>
  <si>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</si>
  <si>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</si>
  <si>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</si>
  <si>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</si>
  <si>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</si>
  <si>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</si>
  <si>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</si>
  <si>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</si>
  <si>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</si>
  <si>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</si>
  <si>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</si>
  <si>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</si>
  <si>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</si>
  <si>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</si>
  <si>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</si>
  <si>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</si>
  <si>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</si>
  <si>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</si>
  <si>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</si>
  <si>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</si>
  <si>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</si>
  <si>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</si>
  <si>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</si>
  <si>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</si>
  <si>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</si>
  <si>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</si>
  <si>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</si>
  <si>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</si>
  <si>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</si>
  <si>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</si>
  <si>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</si>
  <si>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</si>
  <si>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</si>
  <si>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</si>
  <si>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</si>
  <si>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</si>
  <si>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</si>
  <si>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</si>
  <si>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</si>
  <si>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</si>
  <si>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</si>
  <si>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</si>
  <si>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</si>
  <si>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</si>
  <si>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</si>
  <si>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</si>
  <si>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</si>
  <si>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</si>
  <si>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</si>
  <si>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</si>
  <si>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</si>
  <si>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</si>
  <si>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</si>
  <si>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</si>
  <si>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</si>
  <si>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</si>
  <si>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</si>
  <si>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</si>
  <si>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</si>
  <si>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</si>
  <si>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</si>
  <si>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</si>
  <si>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</si>
  <si>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</si>
  <si>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</si>
  <si>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</si>
  <si>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</si>
  <si>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</si>
  <si>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</si>
  <si>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</si>
  <si>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</si>
  <si>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</si>
  <si>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</si>
  <si>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</si>
  <si>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</si>
  <si>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</si>
  <si>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</si>
  <si>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</si>
  <si>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</si>
  <si>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</si>
  <si>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</si>
  <si>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</si>
  <si>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</si>
  <si>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</si>
  <si>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</si>
  <si>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</si>
  <si>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</si>
  <si>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</si>
  <si>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</si>
  <si>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</si>
  <si>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</si>
  <si>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</si>
  <si>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</si>
  <si>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</si>
  <si>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</si>
  <si>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</si>
  <si>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 3262 and assoc. switches</t>
  </si>
  <si>
    <t>115-kV Disconnect Switch 463</t>
  </si>
  <si>
    <t>12.47-kV breaker 422 and asswoc.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</si>
  <si>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</si>
  <si>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</si>
  <si>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</si>
  <si>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</si>
  <si>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</si>
  <si>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</si>
  <si>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</si>
  <si>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</si>
  <si>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</si>
  <si>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</si>
  <si>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</si>
  <si>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</si>
  <si>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</si>
  <si>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</si>
  <si>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</si>
  <si>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</si>
  <si>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</si>
  <si>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</si>
  <si>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</si>
  <si>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</si>
  <si>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69/12.5-kV transformer KZ3A and switch 645</t>
  </si>
  <si>
    <t>12.5-kV breaker 624 and assoc. switches</t>
  </si>
  <si>
    <t>115/34.5-kV tranformer KY1A and interrupter 962</t>
  </si>
  <si>
    <t>34.5-kV breaker 1242 and assoc. switches</t>
  </si>
  <si>
    <t>LaCreek</t>
  </si>
  <si>
    <t>115/69-kV transformer KY1A and switches 1263, 1265</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</si>
  <si>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</si>
  <si>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</si>
  <si>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</si>
  <si>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</si>
  <si>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</si>
  <si>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</si>
  <si>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</si>
  <si>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</si>
  <si>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</si>
  <si>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</si>
  <si>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</si>
  <si>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</si>
  <si>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</si>
  <si>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</si>
  <si>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</si>
  <si>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</si>
  <si>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</si>
  <si>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</si>
  <si>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</si>
  <si>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</si>
  <si>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</si>
  <si>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</si>
  <si>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</si>
  <si>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</si>
  <si>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</si>
  <si>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</si>
  <si>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</si>
  <si>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</si>
  <si>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</si>
  <si>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</si>
  <si>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</si>
  <si>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</si>
  <si>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</si>
  <si>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</si>
  <si>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</si>
  <si>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</si>
  <si>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</si>
  <si>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</si>
  <si>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</si>
  <si>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</si>
  <si>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</si>
  <si>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</si>
  <si>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</si>
  <si>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</si>
  <si>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</si>
  <si>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</si>
  <si>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</si>
  <si>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</si>
  <si>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</si>
  <si>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</si>
  <si>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</si>
  <si>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</si>
  <si>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</si>
  <si>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</si>
  <si>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</si>
  <si>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</si>
  <si>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</si>
  <si>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</si>
  <si>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</si>
  <si>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</si>
  <si>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</si>
  <si>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</si>
  <si>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</si>
  <si>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</si>
  <si>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</si>
  <si>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</si>
  <si>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</si>
  <si>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</si>
  <si>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</si>
  <si>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</si>
  <si>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</si>
  <si>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</si>
  <si>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</si>
  <si>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</si>
  <si>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</si>
  <si>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</si>
  <si>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</si>
  <si>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</si>
  <si>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</si>
  <si>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</si>
  <si>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LCS</t>
  </si>
  <si>
    <t xml:space="preserve"> WESTERN-UGP  1/</t>
  </si>
  <si>
    <t>WESTERN-RMR  2/</t>
  </si>
  <si>
    <t>Total Revenue Credits</t>
  </si>
  <si>
    <t>Prior Year True Up</t>
  </si>
  <si>
    <t>SNAKE CREEK PUMP SUBSTATION</t>
  </si>
  <si>
    <t>TERRY PUMPING PLANT SWITCH</t>
  </si>
  <si>
    <t>CB</t>
  </si>
  <si>
    <t>GRP</t>
  </si>
  <si>
    <t>HBN</t>
  </si>
  <si>
    <t>PLANT NOT CLASSIFIED</t>
  </si>
  <si>
    <t>Column 4 shows 31.70% of the Communication Facilities that were prorated to generation based on the number of communication channels dedicated to generation.</t>
  </si>
  <si>
    <t>Group in FERC docket ER15-1775-000.</t>
  </si>
  <si>
    <t>AI Working Group in FERC docket ER15-1775-000.</t>
  </si>
  <si>
    <t>YELLOWTAIL SWITCHYARD-YELLOWTAIL (PPL)</t>
  </si>
  <si>
    <t>YELLOWTAIL (PPL)</t>
  </si>
  <si>
    <t>YELLOWTAIL SWITCHYARD (YT)</t>
  </si>
  <si>
    <t>GRAND PRAIRIE SUBSTATION /1</t>
  </si>
  <si>
    <t>CAMPBELL COUNTY SWITCHING STATION /1</t>
  </si>
  <si>
    <t>HEBRON SUBSTATION /1</t>
  </si>
  <si>
    <t>1/ Plant balance does not include customer liability for network upgrades.  Investment is only brought</t>
  </si>
  <si>
    <t>SH SH2</t>
  </si>
  <si>
    <t>CHI F</t>
  </si>
  <si>
    <t>WK C</t>
  </si>
  <si>
    <t>YT P</t>
  </si>
  <si>
    <t>NU SG</t>
  </si>
  <si>
    <t>SG</t>
  </si>
  <si>
    <t>SG WY</t>
  </si>
  <si>
    <t>WY</t>
  </si>
  <si>
    <t xml:space="preserve">YT PY </t>
  </si>
  <si>
    <t xml:space="preserve">PY </t>
  </si>
  <si>
    <t xml:space="preserve">YT P </t>
  </si>
  <si>
    <t>RC DRY</t>
  </si>
  <si>
    <t>MINGUSVILLE SUBSTATION</t>
  </si>
  <si>
    <t>MGV</t>
  </si>
  <si>
    <t>GWINNER COMMUNICATIONS SITE</t>
  </si>
  <si>
    <t>GWN</t>
  </si>
  <si>
    <t>FY Balances</t>
  </si>
  <si>
    <t>FY Interest</t>
  </si>
  <si>
    <t>ANTENNA</t>
  </si>
  <si>
    <t>SIDEWALKS</t>
  </si>
  <si>
    <t>BAO</t>
  </si>
  <si>
    <t>BILLINGS AREA OFFICE</t>
  </si>
  <si>
    <t>station service KW1A, KZ1A and assoc. switches</t>
  </si>
  <si>
    <t>Campbell County</t>
  </si>
  <si>
    <t>230-kV breakers 182, 282, 382 and assoc. switches</t>
  </si>
  <si>
    <t>69-kV breakers 152, 252, 452 and assoc. switches</t>
  </si>
  <si>
    <t>Grande Prairie</t>
  </si>
  <si>
    <t>345-kV breakers 196, 292, 396, 298, 198 and assoc. switches</t>
  </si>
  <si>
    <t>reactors KU1A and KU2A</t>
  </si>
  <si>
    <t>862 due to Groton Synch Condensor</t>
  </si>
  <si>
    <t>69-kV breakers 1152 and 1352 and assoc. switches</t>
  </si>
  <si>
    <t>East River 2 customers</t>
  </si>
  <si>
    <t>Groton South</t>
  </si>
  <si>
    <t>115-kV breakers 1162, 1262, 1266, 1362, 1462, 1466, 1562, 1662, 1666, 2062, 2066 and assoc. switches</t>
  </si>
  <si>
    <t>Hebron</t>
  </si>
  <si>
    <t>230-kV breakers 586, 682, 882, 986 and assoc switches</t>
  </si>
  <si>
    <t>115-kV breakers 1062, 1162, 1362, 1962 and assoc. switches, switches 126x, 1761</t>
  </si>
  <si>
    <t>Mingusville</t>
  </si>
  <si>
    <t>230-kV breakers 182, 282, 382 and assoc. switches, and line disconnects</t>
  </si>
  <si>
    <t>station service transformer KV10A and station service equipment</t>
  </si>
  <si>
    <t>115-kV breakers 1262, 1362, 1462, 1566, 1662, 1762, 1864, 1966 and assoc switches</t>
  </si>
  <si>
    <t>161-kV breakers 162,462,562, 662 and assoc switches</t>
  </si>
  <si>
    <t>Reactor PY6A</t>
  </si>
  <si>
    <t>161/69-kV transformer KY1A</t>
  </si>
  <si>
    <t>69-kV breakers 1142, 1242, 1342, 1442, 1542 and assoc switches</t>
  </si>
  <si>
    <t>station service KW10A and assoc switches</t>
  </si>
  <si>
    <t>230 kV main and transfer bus, breaker 382 and assoc switches</t>
  </si>
  <si>
    <t>Towner</t>
  </si>
  <si>
    <t>VT Hanlon</t>
  </si>
  <si>
    <t>Wanblee Tap</t>
  </si>
  <si>
    <t>115-kV interrupters 162 and 262 and assoc. switches</t>
  </si>
  <si>
    <t>Zero costs, customer funded</t>
  </si>
  <si>
    <t>new 230-kV breaker in ring bus</t>
  </si>
  <si>
    <t>115-kV breakers 862, 1162, 1262, 1362, 1562, 1762, 1862, 1962, 8162 and assoc switches</t>
  </si>
  <si>
    <t>230-kV Bay Addition</t>
  </si>
  <si>
    <t xml:space="preserve">MDU </t>
  </si>
  <si>
    <t>115-kV breakers 2162, 2266, 2362, 2466, 2562, 2662, 2666 and assoc switches</t>
  </si>
  <si>
    <t>Reactors KW1C and KW2C, breakers 1224 and 2224 and switches 1223 and 2223</t>
  </si>
  <si>
    <t>230-kV, 110 MW Capacity Rights on RMR Line</t>
  </si>
  <si>
    <t>SAVAGE</t>
  </si>
  <si>
    <t>115/41.8-kV transformer KY1A and breaker 1162 and assoc. switches</t>
  </si>
  <si>
    <t>SCADA SYSTEM HISTORIAN SOFTWARE</t>
  </si>
  <si>
    <t>ADD DROP MULTIPLEXER (PART 2 OF 2)</t>
  </si>
  <si>
    <t>ADD DROP MULTIPLEXER (PART 1 OF 2)</t>
  </si>
  <si>
    <t>MULTIPLEXER EXPANDED CAPABILITY ASSET 166934 - PROJECT WTO 0025C (PART 2)</t>
  </si>
  <si>
    <t>IDC - ASSET 166934 MULTIPLEXER EXPANSION (PART 2)</t>
  </si>
  <si>
    <t>ALCATEL 5620 FIBER TERMINAL EQUIP (PART 1 OF 2)</t>
  </si>
  <si>
    <t>IDC - REPLACEMENTS</t>
  </si>
  <si>
    <t>IDC - ADDITIONS</t>
  </si>
  <si>
    <t>TRANS %</t>
  </si>
  <si>
    <t>SSCD %</t>
  </si>
  <si>
    <t>2017 ROOS BALANCE</t>
  </si>
  <si>
    <t>WATERTOWN OPERATIONS CENTER</t>
  </si>
  <si>
    <t xml:space="preserve">WATERTOWN OPERATIONS CENTER (BFPS) </t>
  </si>
  <si>
    <t>ADDITIONAL:</t>
  </si>
  <si>
    <t>ATTACHMENT AI ADJUSTMENTS ($)</t>
  </si>
  <si>
    <t>GENERATION ADJUSTMENTS ($)</t>
  </si>
  <si>
    <t>TRANS TOTAL ($)</t>
  </si>
  <si>
    <t>SSCD TOTAL ($)</t>
  </si>
  <si>
    <t>FID COST DETAIL ($)</t>
  </si>
  <si>
    <t>Cost of Purchases Required to Regulate for Intermittent Resources</t>
  </si>
  <si>
    <t>Northwest Power Pool Reserve Sharing System</t>
  </si>
  <si>
    <t>into plant balance as WAPA incurs expense (e.g. if transmission credits are provided to customer)</t>
  </si>
  <si>
    <r>
      <t>115-kV breakers 266,</t>
    </r>
    <r>
      <rPr>
        <sz val="11"/>
        <color rgb="FFFF0000"/>
        <rFont val="Calibri"/>
        <family val="2"/>
      </rPr>
      <t xml:space="preserve"> </t>
    </r>
    <r>
      <rPr>
        <sz val="11"/>
        <color theme="1"/>
        <rFont val="Calibri"/>
        <family val="2"/>
        <scheme val="minor"/>
      </rPr>
      <t>464, 562, 662 and assoc. switches</t>
    </r>
  </si>
  <si>
    <r>
      <t>115-kV breakers 162, 262, 362, 462, 562, 662</t>
    </r>
    <r>
      <rPr>
        <sz val="11"/>
        <rFont val="Calibri"/>
        <family val="2"/>
      </rPr>
      <t xml:space="preserve">, 762, </t>
    </r>
    <r>
      <rPr>
        <sz val="11"/>
        <color theme="1"/>
        <rFont val="Calibri"/>
        <family val="2"/>
        <scheme val="minor"/>
      </rPr>
      <t>966, 7162 and assoc switches</t>
    </r>
  </si>
  <si>
    <t>230-kV interrupters 1083, 7089, 4083 and assoc. switches</t>
  </si>
  <si>
    <t>161-kV breaker 762</t>
  </si>
  <si>
    <t>115-kV breakers 772, 776, 1572, 1576, 1672, 1676 and assoc switches</t>
  </si>
  <si>
    <t>161/115-kV transformer KV7A</t>
  </si>
  <si>
    <t>230-kV breakers 1182, 1186, 1282, 1286, 1382, 1386, 1982, 1986, 2182, 2186, 2282, 2286, 2382, 2386, 2482, 2486, 2682, 2686 and assoc breakers</t>
  </si>
  <si>
    <t>2 - 230/115-kV transformers</t>
  </si>
  <si>
    <t>115-kV breakers 2062, 2066, 2162, 2166, 2262, 2266, 2362, 2366, 2462, 2466, 2562, 2566, 2662, 2666, 2769 and assoc switches</t>
  </si>
  <si>
    <t>230-kV breakers 3389, 3482, 3486, 3682, 3686, 3782, 3786, 3882, 3886, 3982, 3986, 4082, 4086, 4182, 4186 and assoc switches, switches 33xx</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</si>
  <si>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</si>
  <si>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230-kV interrupters 1081, 2081, 3081, 4081 and assoc switches</t>
  </si>
  <si>
    <t>230-kV interrupters 481, 581 and assoc switches</t>
  </si>
  <si>
    <t>115-kV switches 861, 961</t>
  </si>
  <si>
    <t>230-kV breakers 182, 282, 382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</si>
  <si>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</si>
  <si>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</si>
  <si>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January - December 2018 Estimate</t>
  </si>
  <si>
    <t>January - December 2018 Actual</t>
  </si>
  <si>
    <t>Western-UGP 2018 Difference</t>
  </si>
  <si>
    <t xml:space="preserve">  2018 Network Revenue (estimated/received)</t>
  </si>
  <si>
    <t xml:space="preserve">2018 Actual SSCD Revenue Requirement </t>
  </si>
  <si>
    <t>2018 Revenue received for SSCD service</t>
  </si>
  <si>
    <t>2018 Actual Regulation &amp; Frequency Response Revenue Requirement</t>
  </si>
  <si>
    <t>2018 Revenue received (Western-UGP Ancillary Billing Summary)</t>
  </si>
  <si>
    <t>2018 Actual Reserves Revenue Requirement</t>
  </si>
  <si>
    <t>1/ Short-Term Firm Point-to-Point Transmission Service Credit reduced by Z2 claw-back total for 2018</t>
  </si>
  <si>
    <t>FY2018 ACT SPP TOTALS ($)</t>
  </si>
  <si>
    <t>2018 SPP TRUE UP SUMMARY</t>
  </si>
  <si>
    <t xml:space="preserve">2018 SPP  DETAIL: </t>
  </si>
  <si>
    <t>FAC</t>
  </si>
  <si>
    <t>FARGO MICROWAVE</t>
  </si>
  <si>
    <t>FPI</t>
  </si>
  <si>
    <t>FORT PIERRE POLE YARD</t>
  </si>
  <si>
    <t>GSO</t>
  </si>
  <si>
    <t>GROTON SOUTH SUBSTATION</t>
  </si>
  <si>
    <t>TN</t>
  </si>
  <si>
    <t>TOWNER</t>
  </si>
  <si>
    <t>FORT PECK</t>
  </si>
  <si>
    <t>GAVINS POINT</t>
  </si>
  <si>
    <t>115-kV breakers 1166, 1562, 1462, 1762, 1362, 1861, 1932 and assoc. switches</t>
  </si>
  <si>
    <t>capacitors PY11A and PY20A, breakers 1164, 2064</t>
  </si>
  <si>
    <t>115-kV breakers 262, 362, 462, 662 and assoc. switches</t>
  </si>
  <si>
    <t>115-kV breakers 2166, 2262, 2362 and assoc switches</t>
  </si>
  <si>
    <t>station service KY1A1</t>
  </si>
  <si>
    <t>230-kV breakers 382, 482, 582, 682, 686 and assoc switches</t>
  </si>
  <si>
    <t>Reactor KW70A and breaker 7024</t>
  </si>
  <si>
    <t>69-kV breaker 5053 and assoc switch</t>
  </si>
  <si>
    <t>station service KW60A, KW24A, breaker 7423 and assoc switches</t>
  </si>
  <si>
    <t>115-kV breakers 962, 966, 1562, 1556, 1662, 1666, 1762, 1766, 1862, 1866, 1962, 1966 and assoc switches</t>
  </si>
  <si>
    <t>230-kV breakers 2182, 2282, 2286, 2382, 2482, 2486, 2582, 2682, 2782, 2982, 3082 and assoc switches</t>
  </si>
  <si>
    <t>115-kV breakers 1262, 1362, 1386, 1462, 1562, 1566 and assoc switches</t>
  </si>
  <si>
    <t>Interrupter 1862 and assoc. switches</t>
  </si>
  <si>
    <t>115-kV switch 960</t>
  </si>
  <si>
    <t>230-kV switches 1180, 1280, 1380</t>
  </si>
  <si>
    <t>115-kV breakers 462, 561, 1762 and assoc switches</t>
  </si>
  <si>
    <t>13.8-kV breaker 2722 and assoc switches</t>
  </si>
  <si>
    <t>BUILDING</t>
  </si>
  <si>
    <t>Added new Substation, customer funded GI Interconnection, no plant costs yet, 230 breakers 182, 282, 382 and assoc. switches</t>
  </si>
  <si>
    <t>Added existing 69 breaker 452 and assoc. switches (Inadvertently left out of list previously.  Costs previously included)</t>
  </si>
  <si>
    <t>Added new Substation, customer funded GI Interconnection, no plant costs yet, 345 breakers 196, 292, 396, 298, 198 and assoc. switches, and reactors KU1A and KU2A</t>
  </si>
  <si>
    <t>Added existing 115 breaker 1352 and assoc. switches, which now qualifies under AI (East River delivery – 2 customers)</t>
  </si>
  <si>
    <r>
      <t>Added new Substation (pre-SPP join requirement for 2</t>
    </r>
    <r>
      <rPr>
        <vertAlign val="superscript"/>
        <sz val="11"/>
        <color theme="1"/>
        <rFont val="Calibri"/>
        <family val="2"/>
        <scheme val="minor"/>
      </rPr>
      <t>nd</t>
    </r>
    <r>
      <rPr>
        <sz val="11"/>
        <color theme="1"/>
        <rFont val="Calibri"/>
        <family val="2"/>
        <scheme val="minor"/>
      </rPr>
      <t xml:space="preserve"> Groton-Ordway 115kV line) and maintenance required replacement of existing Groton Substation equipment, 115 breakers 1162, 1262, 1266, 1362, 1462, 1466, 1562, 1662, 1666, 2062, 2066 and assoc. switches (breaker and one-half)</t>
    </r>
  </si>
  <si>
    <t>Added new Substation, customer funded GI Interconnection, no plant costs yet, 230 breakers 586, 682, 882, 986 and assoc. switches</t>
  </si>
  <si>
    <t xml:space="preserve">Lakota </t>
  </si>
  <si>
    <t>Removed 115/69-kV transformer KY1A, switches 362, 363 (AI criteria)</t>
  </si>
  <si>
    <t>Added new Substation (pre-SPP join requirement), 230 breakers 182, 282, 382, associated switches, line disconnects, and station service transformer KV10A and equipment</t>
  </si>
  <si>
    <t>Added Reactor PY6A, 161-kV breakers 162 and 662 and assoc. switches.  Removed 161-kV switches 864 and 964.  Added 69-kV breaker 1342 and assoc. switches.  Removed voltage regulator KZ1A and assoc. switches.  (substation reconfigured)</t>
  </si>
  <si>
    <t>Added maintenance required replacement of existing Substation (previously owned by Central Power and included in Zone 19), 115 ring bus</t>
  </si>
  <si>
    <t>Added maintenance required replacement of existing Substation (previously owned by East River and included in Zone 19), 230 ring bus</t>
  </si>
  <si>
    <t>Added new Substation 115-kV interrupters 162 and 262 and assoc. switches (customer funded, no new plant costs included)</t>
  </si>
  <si>
    <t>Added new 230-kV breaker and assoc. switches in ring bus (customer funded, no new plant costs included)</t>
  </si>
  <si>
    <t>Added new 230-kV breaker bay addition for MDU Interconnection (customer funded, no new plant costs included)</t>
  </si>
  <si>
    <t>Removed 230/115 transformers KV1A and KV2A (ownership clarified)</t>
  </si>
  <si>
    <t>ALLOCATION %</t>
  </si>
  <si>
    <t>MONTH</t>
  </si>
  <si>
    <t>ACCOUNT</t>
  </si>
  <si>
    <t>Adjustments</t>
  </si>
  <si>
    <t>Z2</t>
  </si>
  <si>
    <t>Z2 Sch 7/8</t>
  </si>
  <si>
    <t>Sch 7/8/11</t>
  </si>
  <si>
    <t>MISO SEAMS</t>
  </si>
  <si>
    <t>NOTES:</t>
  </si>
  <si>
    <t xml:space="preserve">Includes twelve months of revenue credits from January-December or February-January depending on when WAPA began receiving revenue credits from SPP. </t>
  </si>
  <si>
    <t>RENT FROM ELECTRIC PROPERTY</t>
  </si>
  <si>
    <t>REVENUE FROM TRANS.</t>
  </si>
  <si>
    <t>OTHER ELEC. REVENUE</t>
  </si>
  <si>
    <t>RESRV-SUPPLEMENTAL</t>
  </si>
  <si>
    <t>RESRV-SPIN</t>
  </si>
  <si>
    <t>REGULATION</t>
  </si>
  <si>
    <t>OTHER ADJUSTMENTS</t>
  </si>
  <si>
    <t>Project Name and #</t>
  </si>
  <si>
    <t>Type</t>
  </si>
  <si>
    <t>Project Accumulated Depreciation</t>
  </si>
  <si>
    <t>Allocation for Transmission O&amp;M</t>
  </si>
  <si>
    <t>Allocation for General Plant Depreciation</t>
  </si>
  <si>
    <t>Allocation for A&amp;G</t>
  </si>
  <si>
    <t>Cost of Capital</t>
  </si>
  <si>
    <t>Project Net Plant</t>
  </si>
  <si>
    <t>Project ATRR</t>
  </si>
  <si>
    <t>BASE PLAN UPGRADES-REGIONAL</t>
  </si>
  <si>
    <t>BASE PLAN UPGRADES-ZONAL</t>
  </si>
  <si>
    <t>Subtotal</t>
  </si>
  <si>
    <t>REG %</t>
  </si>
  <si>
    <t>REG TOTAL ($)</t>
  </si>
  <si>
    <t>ZONAL %</t>
  </si>
  <si>
    <t>ZONAL TOTAL ($)</t>
  </si>
  <si>
    <t>13/  Combined Financial Statements, Combining Schedules of Revenues and Expenses Data by Agency</t>
  </si>
  <si>
    <t>2018 SPP TRUE-UP SUMMARY</t>
  </si>
  <si>
    <t xml:space="preserve">2018 SPP TRUE-UP DETAIL: </t>
  </si>
  <si>
    <t>Allocation Factor %</t>
  </si>
  <si>
    <t>Revenue credit sheet may be updated or adjusted as necessary to include all revenue credits received.</t>
  </si>
  <si>
    <t xml:space="preserve">     Firm Point-to-Point Transmission Service Credit/1</t>
  </si>
  <si>
    <t xml:space="preserve">     Non-Firm Point-to-Point Transmission Service Credit</t>
  </si>
  <si>
    <t xml:space="preserve">     Revenue from Existing Transmission Agreements</t>
  </si>
  <si>
    <t xml:space="preserve">     Scheduling, System Control, and Dispatch Service Credit</t>
  </si>
  <si>
    <t xml:space="preserve">     Account No. 454</t>
  </si>
  <si>
    <t xml:space="preserve">     Z2 Nonfirm Point-to-Point Revenue Credit</t>
  </si>
  <si>
    <t>Total Schedule 11 Revenue Requirement</t>
  </si>
  <si>
    <t xml:space="preserve">     Point-to-Point Revenue Credit</t>
  </si>
  <si>
    <t>TOTAL ZONAL REVENUE CREDIT</t>
  </si>
  <si>
    <t>TRUE-UP ADJUSTMENT</t>
  </si>
  <si>
    <t>Net Revenue Requirement SPP Upgrades - Zonal</t>
  </si>
  <si>
    <t>SPP Upgrades - Regional Gross Revenue Requirement</t>
  </si>
  <si>
    <t>TOTAL REGIONAL REVENUE CREDIT</t>
  </si>
  <si>
    <t>Net Revenue Requirement SPP Upgrades - Regional</t>
  </si>
  <si>
    <t>Reference</t>
  </si>
  <si>
    <t>Sch 11</t>
  </si>
  <si>
    <t>2018 ROOS BALANCE</t>
  </si>
  <si>
    <t>Annual Reserve Sharing Group Cost</t>
  </si>
  <si>
    <t>L10*L5 + L11</t>
  </si>
  <si>
    <t>Annual cost associated with Western-UGP's current reserve sharing group membership</t>
  </si>
  <si>
    <t>(Rate Order No. WAPA-188)</t>
  </si>
  <si>
    <t>WAPA-UGP</t>
  </si>
  <si>
    <t>Western Area Power Administration (WAPA)</t>
  </si>
  <si>
    <t>Upper Great Plains Region (WAPA-UGP)</t>
  </si>
  <si>
    <t>12 Months Ending 09/30/2018 True-up</t>
  </si>
  <si>
    <t>Worksheet 1 - Schedule 9 Revenue Requirement - Non-Levelized</t>
  </si>
  <si>
    <t>Worksheet 3 - Revenue Credit Calculation</t>
  </si>
  <si>
    <t>Worksheet 4 - Cost Support Data</t>
  </si>
  <si>
    <t>Worksheet 5 - Zonal SPP Upgrade Calculations</t>
  </si>
  <si>
    <t>Worksheet 6 - Base Plan Upgrades-Regional</t>
  </si>
  <si>
    <t>Worksheet 7 - SPP Base Plan Upgrades-Facilities</t>
  </si>
  <si>
    <t>Worksheet 8 - Transmission Facilities</t>
  </si>
  <si>
    <t xml:space="preserve">WAPA-UGP 2018 True-up Calculation </t>
  </si>
  <si>
    <t>Worksheet 11 - Facility Changes</t>
  </si>
  <si>
    <t>Worksheet 12 - Scheduling, System Control, and Dispatch Service</t>
  </si>
  <si>
    <t>Worksheet 13 - SSCD Facilities</t>
  </si>
  <si>
    <t>Worksheet 14 - Rate for Regulation and Frequency Response</t>
  </si>
  <si>
    <t>Worksheet 15 - Rate for Reserves</t>
  </si>
  <si>
    <t>WS1-RateBase</t>
  </si>
  <si>
    <t>WS2-AllocFactor</t>
  </si>
  <si>
    <t>WS3-RevCredits</t>
  </si>
  <si>
    <t>WS4-CostData</t>
  </si>
  <si>
    <t>WS5-BPUz</t>
  </si>
  <si>
    <t>WS6-BPUr</t>
  </si>
  <si>
    <t>WS7-BPUFac</t>
  </si>
  <si>
    <t>WS8-TranFac</t>
  </si>
  <si>
    <t>WS9-AI-Inc</t>
  </si>
  <si>
    <t>WS10-AI-Excl</t>
  </si>
  <si>
    <t>WS11-FacChanges</t>
  </si>
  <si>
    <t>WS12-SSCD</t>
  </si>
  <si>
    <t>WS13-SSCDFac</t>
  </si>
  <si>
    <t>WS14-Reg</t>
  </si>
  <si>
    <t>WS15-Res</t>
  </si>
  <si>
    <t>Effective October 1, 2020</t>
  </si>
  <si>
    <t xml:space="preserve">  Annual Reserve Sharing Group Cost</t>
  </si>
  <si>
    <t>115-kV breakers 1362, 1462, 1562, 1662, 1964, 2064 and assoc switches</t>
  </si>
  <si>
    <t>115-kV breaker 1762</t>
  </si>
  <si>
    <t>WAPA-UGP 2018 Rate True-up Calculation</t>
  </si>
  <si>
    <t>Worksheet 9 - WAPA-UGP Facilities Included per SPP Tariff Attachment AI*</t>
  </si>
  <si>
    <t>Worksheet 10 - WAPA-UGP Facilities Excluded under SPP Tariff Attachment AI*</t>
  </si>
  <si>
    <t>Worksheet 2 - Determination of Pick-Sloan Missouri Basin Program, Eastern Division Annual Costs</t>
  </si>
  <si>
    <t>Summary-TrueUp</t>
  </si>
  <si>
    <t>Worksheet Tab Label</t>
  </si>
  <si>
    <t>Worksheet Tab Description</t>
  </si>
  <si>
    <t>Worksheet "Summary-TrueUp" -- Calculation of True-ups</t>
  </si>
  <si>
    <t>Worksheet 1 -- Calculation of Rate Base</t>
  </si>
  <si>
    <t>Worksheet 2 -- Allocation Factors</t>
  </si>
  <si>
    <t>Worksheet 3 -- Revenue Credit detail</t>
  </si>
  <si>
    <t>Worksheet 8 -- Transmission Facilities</t>
  </si>
  <si>
    <t>Worksheet 4 -- Cost Support Data</t>
  </si>
  <si>
    <t>Worksheet 5 -- SPP Base Plan Upgrades (BPU) - Zonal</t>
  </si>
  <si>
    <t>Worksheet 6 -- SPP Base Plan Upgrades (BPU) - Regional</t>
  </si>
  <si>
    <t>Worksheet 7 -- SPP Base Plan Upgrades (BPU) - Facilities</t>
  </si>
  <si>
    <t>Worksheet 9 -- WAPA-UGP Facilities Included per SPP Tariff Attachment AI</t>
  </si>
  <si>
    <t>Worksheet 10 -- WAPA-UGP Facilities Excluded per SPP Tariff Attachment AI</t>
  </si>
  <si>
    <t>Worksheet 11 -- Facility Changes Detail</t>
  </si>
  <si>
    <t>Worksheet 12 -- Scheduling, System Control and Dispatch Service (SSCD) ARR</t>
  </si>
  <si>
    <t>Worksheet 13 -- Scheduling, System Conrol and Dispatch Service (SSCD) Facilities</t>
  </si>
  <si>
    <t>Worksheet 14 -- Regulaton and Frequency Response ARR</t>
  </si>
  <si>
    <t>Worksheet 15 -- Reserves ARR</t>
  </si>
  <si>
    <r>
      <t xml:space="preserve">Total 2018 True-up </t>
    </r>
    <r>
      <rPr>
        <sz val="10"/>
        <color rgb="FFFF0000"/>
        <rFont val="Calibri"/>
        <family val="2"/>
        <scheme val="minor"/>
      </rPr>
      <t xml:space="preserve">(to WS1-RateBase, Line 3, 2020 est) </t>
    </r>
  </si>
  <si>
    <r>
      <t xml:space="preserve">Total true-up to include in 2020 estimate </t>
    </r>
    <r>
      <rPr>
        <sz val="10"/>
        <color rgb="FFFF0000"/>
        <rFont val="Calibri"/>
        <family val="2"/>
        <scheme val="minor"/>
      </rPr>
      <t>(to WS12-SSCD, Line 13, 2020 est)</t>
    </r>
  </si>
  <si>
    <r>
      <t xml:space="preserve">Total true-up to include in 2020 estimate </t>
    </r>
    <r>
      <rPr>
        <sz val="10"/>
        <color rgb="FFFF0000"/>
        <rFont val="Calibri"/>
        <family val="2"/>
        <scheme val="minor"/>
      </rPr>
      <t>(to WS15-Res, Line 11, 2020 est)</t>
    </r>
  </si>
  <si>
    <t>1/  Transmission Plant-in-Service Worksheet, C1L499</t>
  </si>
  <si>
    <t>4/  Transmission Plant-in-Service Worksheet, C5L499</t>
  </si>
  <si>
    <t>5/  Transmission Plant-in-Service Worksheet, C5L490</t>
  </si>
  <si>
    <t>6/  Transmission Plant-in-Service Worksheet, C5L497</t>
  </si>
  <si>
    <t>7/  Transmission Plant-in-Service Worksheet, C3L497</t>
  </si>
  <si>
    <t>12/  Historical Financial Data in Support of the Power Repayment Study for the P-SMBP, Schedule 17</t>
  </si>
  <si>
    <t>(Back to Worksheet Links)</t>
  </si>
  <si>
    <t>WS1-RateBase C5L1</t>
  </si>
  <si>
    <t>Gross Zonal Revenue Requirement-Sch 9</t>
  </si>
  <si>
    <t>WS3-RevCredits C5L14+L28</t>
  </si>
  <si>
    <t>WS3-RevCredits C5L42</t>
  </si>
  <si>
    <t>WS3-RevCredits C5L56+L70</t>
  </si>
  <si>
    <t>WS12-SSCD C2L11</t>
  </si>
  <si>
    <t>2018 Net Revenue Requirement-Sch 9</t>
  </si>
  <si>
    <t>WS1-RateBase C5L3</t>
  </si>
  <si>
    <t>SPP Upgrades - Zonal Gross Revenue Requirement-Sch 11</t>
  </si>
  <si>
    <t>WS5-BPUz C12L14</t>
  </si>
  <si>
    <t>PTP</t>
  </si>
  <si>
    <t>WS3-RevCredits C5L168</t>
  </si>
  <si>
    <t>Allocator</t>
  </si>
  <si>
    <t>WS6-BPUr C12L14</t>
  </si>
  <si>
    <t>Subtotal L20-L21-L22</t>
  </si>
  <si>
    <t>Subtotal L14-L15-L17</t>
  </si>
  <si>
    <t>Total L18+L24</t>
  </si>
  <si>
    <t>WS3-RevCredits C5L84</t>
  </si>
  <si>
    <t>WS14-Reg C2L9</t>
  </si>
  <si>
    <t>WS3-RevCredits C5L154</t>
  </si>
  <si>
    <t>Subtotal L40+L41</t>
  </si>
  <si>
    <t>Subtotal L37+L38</t>
  </si>
  <si>
    <t>WS15-Res C2L12</t>
  </si>
  <si>
    <t>WS3-RevCredits C5L126+L140</t>
  </si>
  <si>
    <t>Subtotal L43+L44</t>
  </si>
  <si>
    <t>Z2 Schedule 7/8 clawbacks</t>
  </si>
  <si>
    <t xml:space="preserve">45644 - Firm PTP Transmission revenues </t>
  </si>
  <si>
    <t>45645 - Non-Firm PTP Transmission revenues</t>
  </si>
  <si>
    <t>7088 - Scheduling, System Control and Dispatch Services revenues</t>
  </si>
  <si>
    <t>45420 - Other Rental revenues</t>
  </si>
  <si>
    <t>45643 - Firm Network Transmission revenues</t>
  </si>
  <si>
    <t>7080 - Supplemental Reserves revenues</t>
  </si>
  <si>
    <t>7089 - Spinning Reserves revenues</t>
  </si>
  <si>
    <t>7091 - Regulation Service revenues</t>
  </si>
  <si>
    <t>Schedule 11 PTP revenues</t>
  </si>
  <si>
    <t>WS4-CostData (Net Plant Investment Worksheet)</t>
  </si>
  <si>
    <t>WS4-CostData (O&amp;M Expenses Worksheet)</t>
  </si>
  <si>
    <t>WS4-CostData (A&amp;G Expenses Worksheet)</t>
  </si>
  <si>
    <t>WS4-CostData (Depreciation Expense Worksheet)</t>
  </si>
  <si>
    <t>WS4-CostData (Cost of Capital Worksheet)</t>
  </si>
  <si>
    <t>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t>
  </si>
  <si>
    <t>Totals of ROOs Schedule 11A Object Classes 1411, 1412, 1415, 1416, 1421, 1422, 1425, 1426, 1431, 1432, 1441, 1442.</t>
  </si>
  <si>
    <t>For O&amp;M Expense, Calculated from ROOs Schedule 11 as Total O&amp;M less Purchase Power, Transmission Service Provided by Others (FERC 565), O&amp;M Expense Fort Peck Powerhouse, Prior Year Adjustments, A&amp;G Expense from ROOs Schedule 11, plus CME and Warehouse Interest from ROOs Schedule 5.  Depreciation Expense from ROOs Schedule 4.</t>
  </si>
  <si>
    <t>ROOs Schedule 11 (Note E)</t>
  </si>
  <si>
    <t>ROOs Schedule 11 (Note F)</t>
  </si>
  <si>
    <t>ROOs Schedule 4</t>
  </si>
  <si>
    <t>-</t>
  </si>
  <si>
    <t>Utilizing Financial Statement Results of Operations (ROOs)</t>
  </si>
  <si>
    <t xml:space="preserve">              Long Term Interest ROOs Schedule 5</t>
  </si>
  <si>
    <t>WS4-CostData L4 C2+C3+C4</t>
  </si>
  <si>
    <t>WS4-CostData L3 C2+C3+C4</t>
  </si>
  <si>
    <t>WS4-CostData L11 C2+C3+C4</t>
  </si>
  <si>
    <t>WS4-CostData L10 C2+C3+C4</t>
  </si>
  <si>
    <t>WS4-CostData C2 L10-L11-L12</t>
  </si>
  <si>
    <t>WS4-CostData C2 L2-L3-L4</t>
  </si>
  <si>
    <t>WS4-CostData L104 C2</t>
  </si>
  <si>
    <t>WS4-CostData L104 C3</t>
  </si>
  <si>
    <t>WS4-CostData L104 C4</t>
  </si>
  <si>
    <t>WS4-CostData L80 C2</t>
  </si>
  <si>
    <t>WS4-CostData L80 C3</t>
  </si>
  <si>
    <t>WS4-CostData L29 C2</t>
  </si>
  <si>
    <t>WS4-CostData L29 C3</t>
  </si>
  <si>
    <t>WS4-CostData L29 C4</t>
  </si>
  <si>
    <t>HFD Sch's 21RX &amp; 21X Col 8 L 23,25,26,29,30</t>
  </si>
  <si>
    <t>2/  RMCSR - Pick-Sloan Missouri River Basin Results of Operations (ROOs), Schedule 1</t>
  </si>
  <si>
    <t>3/  Corps of Engineers (COE) Financial Statements, Electric and Power Multi-Purpose Plant in Service</t>
  </si>
  <si>
    <t>TOTAL FACILITIES</t>
  </si>
  <si>
    <t>WS3-RevCredits C5L98</t>
  </si>
  <si>
    <t>WS12-SSCD C2L13</t>
  </si>
  <si>
    <t>L1+L2+L3+L9</t>
  </si>
  <si>
    <t>WS4-CostData (C2 L15)</t>
  </si>
  <si>
    <t>WS4-CostData (C6 L50)</t>
  </si>
  <si>
    <t>WS8-TranFac (L502 C2/C5)</t>
  </si>
  <si>
    <t>WS2-AllocFactor C4 L28</t>
  </si>
  <si>
    <t>WS2-AllocFactor C4 L5</t>
  </si>
  <si>
    <t>L8*L9</t>
  </si>
  <si>
    <t>L8*3% + L9*3% (4)</t>
  </si>
  <si>
    <t>WAPA Annual Report plant capacity</t>
  </si>
  <si>
    <t>WAUW maximum load data</t>
  </si>
  <si>
    <t>WAUW maximum generation data</t>
  </si>
  <si>
    <t>L5*L6</t>
  </si>
  <si>
    <t>L11*L15</t>
  </si>
  <si>
    <t>Z3</t>
  </si>
  <si>
    <t>L47/L45</t>
  </si>
  <si>
    <t>7/  (C2L48*C2L49)+(C3L48*C3L49)+(C4L48*C4L49)+(C5L48*C5L49)</t>
  </si>
  <si>
    <t>12/  (C2L48*C2L49)+(C3L48*C3L49)+(C4L48*C4L49)+(C5L48*C5L49)</t>
  </si>
  <si>
    <r>
      <t xml:space="preserve">Total true-up to include in 2020 estimate </t>
    </r>
    <r>
      <rPr>
        <sz val="10"/>
        <color rgb="FFFF0000"/>
        <rFont val="Calibri"/>
        <family val="2"/>
        <scheme val="minor"/>
      </rPr>
      <t>(to WS14-Reg, Line 2, 2020 est)</t>
    </r>
  </si>
  <si>
    <t>Schedule 7/8 - MISO's SPP PTP transmission service revenues</t>
  </si>
  <si>
    <t xml:space="preserve">CR </t>
  </si>
  <si>
    <t>JT</t>
  </si>
  <si>
    <t>Back to Worksheet Links</t>
  </si>
  <si>
    <t>Revenue Credit Total</t>
  </si>
  <si>
    <t>Revenue Credit Allocation</t>
  </si>
  <si>
    <t>Net ATRR</t>
  </si>
  <si>
    <t>Project Gross Plant (Zonal Allocation)</t>
  </si>
  <si>
    <t>Project Gross Plant (Regional Allocation)</t>
  </si>
  <si>
    <t>FY2018 EST SPP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</si>
</sst>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quot;$&quot;#,##0.000"/>
    <numFmt numFmtId="172" formatCode="0.00000"/>
    <numFmt numFmtId="173" formatCode="0.0000"/>
    <numFmt numFmtId="174" formatCode="0.000%"/>
    <numFmt numFmtId="175" formatCode="#,##0.00000"/>
    <numFmt numFmtId="176" formatCode="#,##0.0000"/>
    <numFmt numFmtId="177" formatCode="0_);[Red]\(0\)"/>
    <numFmt numFmtId="178" formatCode="#,##0.00000_);[Red]\(#,##0.00000\)"/>
    <numFmt numFmtId="179" formatCode="#,##0.00;\&lt;#,##0.00\&gt;"/>
    <numFmt numFmtId="180" formatCode="0_);\(0\)"/>
  </numFmts>
  <fonts count="72">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10"/>
      <color rgb="FFFF0000"/>
      <name val="Calibri"/>
      <family val="2"/>
      <scheme val="minor"/>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vertAlign val="superscript"/>
      <sz val="11"/>
      <color theme="1"/>
      <name val="Calibri"/>
      <family val="2"/>
      <scheme val="minor"/>
    </font>
    <font>
      <b/>
      <sz val="10"/>
      <color theme="1"/>
      <name val="Calibri"/>
      <family val="2"/>
    </font>
    <font>
      <u/>
      <sz val="11"/>
      <color theme="10"/>
      <name val="Calibri"/>
      <family val="2"/>
      <scheme val="minor"/>
    </font>
    <font>
      <sz val="28"/>
      <color theme="1"/>
      <name val="Calibri"/>
      <family val="2"/>
      <scheme val="minor"/>
    </font>
    <font>
      <b/>
      <u/>
      <sz val="11"/>
      <color theme="1"/>
      <name val="Calibri"/>
      <family val="2"/>
      <scheme val="minor"/>
    </font>
    <font>
      <sz val="10"/>
      <color rgb="FF000000"/>
      <name val="Calibri"/>
      <family val="2"/>
    </font>
    <font>
      <sz val="12"/>
      <name val="Calibri"/>
      <family val="2"/>
    </font>
  </fonts>
  <fills count="2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theme="0"/>
        <bgColor rgb="FF000000"/>
      </patternFill>
    </fill>
  </fills>
  <borders count="60">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3"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4"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5"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6"/>
    <xf numFmtId="0" fontId="31" fillId="0" borderId="0"/>
    <xf numFmtId="0" fontId="32" fillId="0" borderId="0" applyNumberFormat="0" applyFill="0" applyBorder="0" applyAlignment="0" applyProtection="0"/>
    <xf numFmtId="10" fontId="7" fillId="17" borderId="7"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6">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8" applyFill="0"/>
    <xf numFmtId="0" fontId="39" fillId="0" borderId="0">
      <alignment horizontal="left" indent="7"/>
    </xf>
    <xf numFmtId="41" fontId="16" fillId="0" borderId="8" applyFill="0">
      <alignment horizontal="left" indent="2"/>
    </xf>
    <xf numFmtId="166" fontId="40" fillId="0" borderId="9" applyFill="0">
      <alignment horizontal="right"/>
    </xf>
    <xf numFmtId="0" fontId="41" fillId="0" borderId="7" applyNumberFormat="0" applyFont="0" applyBorder="0">
      <alignment horizontal="right"/>
    </xf>
    <xf numFmtId="0" fontId="42" fillId="0" borderId="0" applyFill="0"/>
    <xf numFmtId="0" fontId="11" fillId="0" borderId="0" applyFill="0"/>
    <xf numFmtId="4" fontId="40" fillId="0" borderId="9"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0" applyBorder="0" applyProtection="0">
      <alignment horizontal="center"/>
    </xf>
    <xf numFmtId="0" fontId="45" fillId="0" borderId="0"/>
    <xf numFmtId="0" fontId="9" fillId="0" borderId="0" applyFont="0" applyFill="0" applyBorder="0" applyAlignment="0" applyProtection="0"/>
    <xf numFmtId="38" fontId="48"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67" fillId="0" borderId="0" applyNumberFormat="0" applyFill="0" applyBorder="0" applyAlignment="0" applyProtection="0"/>
  </cellStyleXfs>
  <cellXfs count="780">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38" fontId="3" fillId="0" borderId="0" xfId="0" applyNumberFormat="1" applyFont="1" applyFill="1" applyBorder="1" applyAlignment="1">
      <alignment wrapText="1"/>
    </xf>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8" applyFont="1" applyFill="1" applyAlignment="1"/>
    <xf numFmtId="0" fontId="46"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0" fontId="46" fillId="0" borderId="0" xfId="38578" applyNumberFormat="1" applyFont="1" applyFill="1"/>
    <xf numFmtId="0" fontId="46" fillId="0" borderId="0" xfId="38578" applyFont="1" applyFill="1" applyBorder="1" applyAlignment="1"/>
    <xf numFmtId="0" fontId="46" fillId="0" borderId="0" xfId="38578" applyNumberFormat="1" applyFont="1" applyFill="1" applyAlignment="1"/>
    <xf numFmtId="3" fontId="46" fillId="0" borderId="0" xfId="38578" applyNumberFormat="1" applyFont="1" applyFill="1" applyAlignment="1">
      <alignment horizontal="center"/>
    </xf>
    <xf numFmtId="3" fontId="46" fillId="0" borderId="0" xfId="38578" applyNumberFormat="1" applyFont="1" applyFill="1" applyAlignment="1"/>
    <xf numFmtId="0" fontId="3" fillId="0" borderId="0" xfId="38578" applyNumberFormat="1" applyFont="1" applyFill="1"/>
    <xf numFmtId="0" fontId="46" fillId="0" borderId="0" xfId="38578" applyFont="1" applyFill="1" applyAlignment="1">
      <alignment wrapText="1"/>
    </xf>
    <xf numFmtId="0" fontId="3" fillId="20" borderId="11" xfId="38578" applyNumberFormat="1" applyFont="1" applyFill="1" applyBorder="1"/>
    <xf numFmtId="3" fontId="3" fillId="20" borderId="6" xfId="38578" applyNumberFormat="1" applyFont="1" applyFill="1" applyBorder="1" applyAlignment="1"/>
    <xf numFmtId="0" fontId="3" fillId="20" borderId="6" xfId="38578" applyNumberFormat="1" applyFont="1" applyFill="1" applyBorder="1"/>
    <xf numFmtId="0" fontId="3" fillId="20" borderId="6" xfId="38578" applyNumberFormat="1" applyFont="1" applyFill="1" applyBorder="1" applyAlignment="1">
      <alignment horizontal="right"/>
    </xf>
    <xf numFmtId="0" fontId="3" fillId="20" borderId="6" xfId="38578" applyNumberFormat="1" applyFont="1" applyFill="1" applyBorder="1" applyAlignment="1">
      <alignment horizontal="center"/>
    </xf>
    <xf numFmtId="0" fontId="3" fillId="20" borderId="6" xfId="38578" applyFont="1" applyFill="1" applyBorder="1"/>
    <xf numFmtId="0" fontId="3" fillId="20" borderId="12" xfId="38578" applyFont="1" applyFill="1" applyBorder="1" applyAlignment="1"/>
    <xf numFmtId="0" fontId="3" fillId="20" borderId="13" xfId="38578" applyNumberFormat="1" applyFont="1" applyFill="1" applyBorder="1"/>
    <xf numFmtId="3" fontId="3" fillId="20" borderId="0" xfId="38578" applyNumberFormat="1" applyFont="1" applyFill="1" applyBorder="1" applyAlignment="1"/>
    <xf numFmtId="0" fontId="3" fillId="20" borderId="0" xfId="38578" applyNumberFormat="1" applyFont="1" applyFill="1" applyBorder="1"/>
    <xf numFmtId="3" fontId="3" fillId="20" borderId="0" xfId="38578" applyNumberFormat="1" applyFont="1" applyFill="1" applyBorder="1" applyAlignment="1">
      <alignment horizontal="right"/>
    </xf>
    <xf numFmtId="0" fontId="3" fillId="20" borderId="0" xfId="38578" applyNumberFormat="1" applyFont="1" applyFill="1" applyBorder="1" applyAlignment="1">
      <alignment horizontal="center"/>
    </xf>
    <xf numFmtId="10" fontId="3" fillId="20" borderId="0" xfId="38578" applyNumberFormat="1" applyFont="1" applyFill="1" applyBorder="1"/>
    <xf numFmtId="0" fontId="3" fillId="20" borderId="0" xfId="38578" applyFont="1" applyFill="1" applyBorder="1"/>
    <xf numFmtId="0" fontId="3" fillId="20" borderId="14" xfId="38578" applyFont="1" applyFill="1" applyBorder="1" applyAlignment="1"/>
    <xf numFmtId="0" fontId="3" fillId="20" borderId="14" xfId="38578" applyFont="1" applyFill="1" applyBorder="1" applyAlignment="1">
      <alignment horizontal="center" vertical="top"/>
    </xf>
    <xf numFmtId="0" fontId="3" fillId="20" borderId="14" xfId="38578" applyFont="1" applyFill="1" applyBorder="1" applyAlignment="1">
      <alignment horizontal="center"/>
    </xf>
    <xf numFmtId="3" fontId="46" fillId="0" borderId="0" xfId="38578" applyNumberFormat="1" applyFont="1" applyFill="1" applyAlignment="1">
      <alignment horizontal="left"/>
    </xf>
    <xf numFmtId="10" fontId="3" fillId="21" borderId="0" xfId="38578" applyNumberFormat="1" applyFont="1" applyFill="1" applyBorder="1"/>
    <xf numFmtId="0" fontId="3" fillId="20" borderId="14" xfId="38578" applyNumberFormat="1" applyFont="1" applyFill="1" applyBorder="1" applyAlignment="1">
      <alignment horizontal="center"/>
    </xf>
    <xf numFmtId="3" fontId="3" fillId="20" borderId="13" xfId="38578" applyNumberFormat="1" applyFont="1" applyFill="1" applyBorder="1" applyAlignment="1"/>
    <xf numFmtId="0" fontId="3" fillId="20" borderId="12" xfId="38578" applyFont="1" applyFill="1" applyBorder="1" applyAlignment="1">
      <alignment horizontal="center"/>
    </xf>
    <xf numFmtId="3" fontId="3" fillId="20" borderId="11" xfId="38578" applyNumberFormat="1" applyFont="1" applyFill="1" applyBorder="1" applyAlignment="1" applyProtection="1"/>
    <xf numFmtId="1" fontId="3" fillId="20" borderId="6" xfId="38578" applyNumberFormat="1" applyFont="1" applyFill="1" applyBorder="1" applyAlignment="1" applyProtection="1">
      <alignment horizontal="right"/>
    </xf>
    <xf numFmtId="3" fontId="3" fillId="20" borderId="6" xfId="38578" applyNumberFormat="1" applyFont="1" applyFill="1" applyBorder="1" applyAlignment="1">
      <alignment horizontal="right"/>
    </xf>
    <xf numFmtId="3" fontId="3" fillId="20" borderId="6" xfId="38578" applyNumberFormat="1" applyFont="1" applyFill="1" applyBorder="1" applyAlignment="1">
      <alignment horizontal="center"/>
    </xf>
    <xf numFmtId="166" fontId="3" fillId="20" borderId="6" xfId="38578" applyNumberFormat="1" applyFont="1" applyFill="1" applyBorder="1" applyAlignment="1"/>
    <xf numFmtId="0" fontId="3" fillId="20" borderId="12" xfId="38578" applyNumberFormat="1" applyFont="1" applyFill="1" applyBorder="1" applyAlignment="1">
      <alignment horizontal="center"/>
    </xf>
    <xf numFmtId="3" fontId="3" fillId="20" borderId="13" xfId="38578" applyNumberFormat="1" applyFont="1" applyFill="1" applyBorder="1" applyAlignment="1" applyProtection="1"/>
    <xf numFmtId="1" fontId="3" fillId="21" borderId="6" xfId="38578" applyNumberFormat="1" applyFont="1" applyFill="1" applyBorder="1" applyAlignment="1" applyProtection="1">
      <alignment horizontal="right"/>
      <protection locked="0"/>
    </xf>
    <xf numFmtId="0" fontId="3" fillId="20" borderId="0" xfId="38578" applyNumberFormat="1" applyFont="1" applyFill="1" applyBorder="1" applyAlignment="1">
      <alignment horizontal="right"/>
    </xf>
    <xf numFmtId="0" fontId="3" fillId="20" borderId="6" xfId="38578" applyFont="1" applyFill="1" applyBorder="1" applyAlignment="1"/>
    <xf numFmtId="1" fontId="3" fillId="21" borderId="0" xfId="38578" applyNumberFormat="1" applyFont="1" applyFill="1" applyBorder="1" applyAlignment="1" applyProtection="1">
      <alignment horizontal="right"/>
      <protection locked="0"/>
    </xf>
    <xf numFmtId="3" fontId="3" fillId="20" borderId="0" xfId="38578" applyNumberFormat="1" applyFont="1" applyFill="1" applyBorder="1" applyAlignment="1">
      <alignment horizontal="center"/>
    </xf>
    <xf numFmtId="0" fontId="3" fillId="20" borderId="0" xfId="38578" applyFont="1" applyFill="1" applyBorder="1" applyAlignment="1"/>
    <xf numFmtId="0" fontId="3" fillId="21" borderId="0" xfId="38578" applyFont="1" applyFill="1" applyBorder="1" applyAlignment="1">
      <alignment horizontal="right"/>
    </xf>
    <xf numFmtId="0" fontId="3" fillId="20" borderId="13" xfId="38578" applyFont="1" applyFill="1" applyBorder="1" applyAlignment="1"/>
    <xf numFmtId="3" fontId="3" fillId="21" borderId="0" xfId="38578" applyNumberFormat="1" applyFont="1" applyFill="1" applyBorder="1" applyAlignment="1">
      <alignment horizontal="right"/>
    </xf>
    <xf numFmtId="171" fontId="3" fillId="20" borderId="0" xfId="38578" applyNumberFormat="1" applyFont="1" applyFill="1" applyBorder="1" applyAlignment="1">
      <alignment horizontal="right"/>
    </xf>
    <xf numFmtId="0" fontId="3" fillId="20" borderId="13" xfId="38578" applyFont="1" applyFill="1" applyBorder="1" applyAlignment="1">
      <alignment horizontal="right"/>
    </xf>
    <xf numFmtId="3" fontId="3" fillId="21" borderId="6" xfId="38578" applyNumberFormat="1" applyFont="1" applyFill="1" applyBorder="1" applyAlignment="1">
      <alignment horizontal="right"/>
    </xf>
    <xf numFmtId="0" fontId="49" fillId="20" borderId="0" xfId="38578" applyFont="1" applyFill="1" applyBorder="1" applyAlignment="1"/>
    <xf numFmtId="0" fontId="3" fillId="20" borderId="0" xfId="38578" applyFont="1" applyFill="1" applyBorder="1" applyAlignment="1">
      <alignment horizontal="right"/>
    </xf>
    <xf numFmtId="0" fontId="3" fillId="20"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3" fontId="3" fillId="0" borderId="0" xfId="38578" applyNumberFormat="1" applyFont="1" applyFill="1"/>
    <xf numFmtId="0" fontId="3" fillId="20" borderId="0" xfId="38578" applyFont="1" applyFill="1" applyBorder="1" applyAlignment="1" applyProtection="1">
      <alignment horizontal="right"/>
    </xf>
    <xf numFmtId="0" fontId="49" fillId="20" borderId="0" xfId="38578" applyFont="1" applyFill="1" applyBorder="1" applyAlignment="1">
      <alignment horizontal="right"/>
    </xf>
    <xf numFmtId="0" fontId="3" fillId="20" borderId="6" xfId="38578" applyFont="1" applyFill="1" applyBorder="1" applyAlignment="1">
      <alignment horizontal="center"/>
    </xf>
    <xf numFmtId="0" fontId="3" fillId="20" borderId="0" xfId="38578" applyNumberFormat="1" applyFont="1" applyFill="1" applyBorder="1" applyAlignment="1"/>
    <xf numFmtId="3" fontId="3" fillId="0" borderId="0" xfId="38578" applyNumberFormat="1" applyFont="1" applyFill="1" applyAlignment="1" applyProtection="1"/>
    <xf numFmtId="170"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0" fontId="3" fillId="0" borderId="0" xfId="38578" applyNumberFormat="1" applyFont="1" applyFill="1" applyBorder="1" applyProtection="1"/>
    <xf numFmtId="4" fontId="3" fillId="20"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0" borderId="0" xfId="38578" applyNumberFormat="1" applyFont="1" applyFill="1" applyBorder="1" applyAlignment="1">
      <alignment horizontal="right"/>
    </xf>
    <xf numFmtId="173" fontId="3" fillId="20" borderId="0" xfId="38578" applyNumberFormat="1" applyFont="1" applyFill="1" applyBorder="1" applyAlignment="1">
      <alignment horizontal="right"/>
    </xf>
    <xf numFmtId="9" fontId="3" fillId="20" borderId="0" xfId="38578" applyNumberFormat="1" applyFont="1" applyFill="1" applyBorder="1" applyAlignment="1">
      <alignment horizontal="center"/>
    </xf>
    <xf numFmtId="173" fontId="3" fillId="20" borderId="6" xfId="38578" applyNumberFormat="1" applyFont="1" applyFill="1" applyBorder="1" applyAlignment="1">
      <alignment horizontal="right"/>
    </xf>
    <xf numFmtId="3" fontId="3" fillId="20" borderId="13" xfId="38578" quotePrefix="1" applyNumberFormat="1" applyFont="1" applyFill="1" applyBorder="1" applyAlignment="1"/>
    <xf numFmtId="0" fontId="3" fillId="20" borderId="0" xfId="38578" applyFont="1" applyFill="1" applyBorder="1" applyAlignment="1">
      <alignment wrapText="1"/>
    </xf>
    <xf numFmtId="0" fontId="3" fillId="20" borderId="6" xfId="38578" applyFont="1" applyFill="1" applyBorder="1" applyAlignment="1">
      <alignment horizontal="right"/>
    </xf>
    <xf numFmtId="170" fontId="3" fillId="20" borderId="0" xfId="38578" applyNumberFormat="1" applyFont="1" applyFill="1" applyBorder="1" applyAlignment="1"/>
    <xf numFmtId="3" fontId="3" fillId="20" borderId="13" xfId="38578" applyNumberFormat="1" applyFont="1" applyFill="1" applyBorder="1" applyAlignment="1">
      <alignment horizontal="center"/>
    </xf>
    <xf numFmtId="3" fontId="3" fillId="21" borderId="6" xfId="38578" applyNumberFormat="1" applyFont="1" applyFill="1" applyBorder="1" applyAlignment="1"/>
    <xf numFmtId="172" fontId="3" fillId="20" borderId="0" xfId="38578" applyNumberFormat="1" applyFont="1" applyFill="1" applyBorder="1" applyAlignment="1"/>
    <xf numFmtId="172" fontId="3" fillId="20" borderId="0" xfId="38578" applyNumberFormat="1" applyFont="1" applyFill="1" applyBorder="1" applyAlignment="1">
      <alignment horizontal="right"/>
    </xf>
    <xf numFmtId="3" fontId="3" fillId="21" borderId="0" xfId="38578" applyNumberFormat="1" applyFont="1" applyFill="1" applyBorder="1" applyAlignment="1"/>
    <xf numFmtId="172" fontId="3" fillId="20" borderId="0" xfId="38578" applyNumberFormat="1" applyFont="1" applyFill="1" applyBorder="1" applyAlignment="1">
      <alignment horizontal="center"/>
    </xf>
    <xf numFmtId="172" fontId="3" fillId="20" borderId="13" xfId="38578" applyNumberFormat="1" applyFont="1" applyFill="1" applyBorder="1" applyAlignment="1"/>
    <xf numFmtId="174" fontId="3" fillId="20" borderId="0" xfId="38578" applyNumberFormat="1" applyFont="1" applyFill="1" applyBorder="1" applyAlignment="1">
      <alignment horizontal="center"/>
    </xf>
    <xf numFmtId="3" fontId="4" fillId="20" borderId="0" xfId="38578" applyNumberFormat="1" applyFont="1" applyFill="1" applyBorder="1" applyAlignment="1">
      <alignment horizontal="center"/>
    </xf>
    <xf numFmtId="0" fontId="3" fillId="20" borderId="13" xfId="38578" applyFont="1" applyFill="1" applyBorder="1" applyAlignment="1">
      <alignment horizontal="center"/>
    </xf>
    <xf numFmtId="175" fontId="3" fillId="20" borderId="0" xfId="38578" applyNumberFormat="1" applyFont="1" applyFill="1" applyBorder="1" applyAlignment="1">
      <alignment horizontal="right"/>
    </xf>
    <xf numFmtId="175" fontId="3" fillId="20" borderId="0" xfId="38578" applyNumberFormat="1" applyFont="1" applyFill="1" applyBorder="1" applyAlignment="1"/>
    <xf numFmtId="4" fontId="3" fillId="20" borderId="0" xfId="38578" applyNumberFormat="1" applyFont="1" applyFill="1" applyBorder="1" applyAlignment="1">
      <alignment horizontal="center"/>
    </xf>
    <xf numFmtId="176" fontId="46" fillId="0" borderId="0" xfId="38578" applyNumberFormat="1" applyFont="1" applyFill="1" applyAlignment="1"/>
    <xf numFmtId="10" fontId="3" fillId="20" borderId="0" xfId="38578" applyNumberFormat="1" applyFont="1" applyFill="1" applyBorder="1" applyAlignment="1">
      <alignment horizontal="left"/>
    </xf>
    <xf numFmtId="49" fontId="3" fillId="20" borderId="0" xfId="38578" applyNumberFormat="1" applyFont="1" applyFill="1" applyBorder="1" applyAlignment="1"/>
    <xf numFmtId="49" fontId="3" fillId="20" borderId="0" xfId="38578" applyNumberFormat="1" applyFont="1" applyFill="1" applyBorder="1" applyAlignment="1">
      <alignment horizontal="right"/>
    </xf>
    <xf numFmtId="49" fontId="3" fillId="20" borderId="0" xfId="38578" applyNumberFormat="1" applyFont="1" applyFill="1" applyBorder="1" applyAlignment="1">
      <alignment horizontal="center"/>
    </xf>
    <xf numFmtId="3" fontId="3" fillId="22" borderId="6" xfId="38578" applyNumberFormat="1" applyFont="1" applyFill="1" applyBorder="1" applyAlignment="1">
      <alignment horizontal="right"/>
    </xf>
    <xf numFmtId="3" fontId="3" fillId="22" borderId="0" xfId="38578" applyNumberFormat="1" applyFont="1" applyFill="1" applyBorder="1" applyAlignment="1">
      <alignment horizontal="right"/>
    </xf>
    <xf numFmtId="3" fontId="3" fillId="20" borderId="16" xfId="38578" applyNumberFormat="1" applyFont="1" applyFill="1" applyBorder="1" applyAlignment="1"/>
    <xf numFmtId="0" fontId="3" fillId="20" borderId="17" xfId="38578" applyNumberFormat="1" applyFont="1" applyFill="1" applyBorder="1" applyAlignment="1">
      <alignment horizontal="right"/>
    </xf>
    <xf numFmtId="0" fontId="3" fillId="20" borderId="17" xfId="38578" applyNumberFormat="1" applyFont="1" applyFill="1" applyBorder="1"/>
    <xf numFmtId="0" fontId="3" fillId="20" borderId="17" xfId="38578" applyNumberFormat="1" applyFont="1" applyFill="1" applyBorder="1" applyAlignment="1">
      <alignment horizontal="center"/>
    </xf>
    <xf numFmtId="0" fontId="3" fillId="20" borderId="17" xfId="38578" applyFont="1" applyFill="1" applyBorder="1" applyAlignment="1"/>
    <xf numFmtId="0" fontId="4" fillId="20" borderId="17" xfId="38578" applyFont="1" applyFill="1" applyBorder="1" applyAlignment="1"/>
    <xf numFmtId="0" fontId="3" fillId="20" borderId="18" xfId="38578" applyNumberFormat="1" applyFont="1" applyFill="1" applyBorder="1" applyAlignment="1">
      <alignment horizontal="center"/>
    </xf>
    <xf numFmtId="0" fontId="3" fillId="20" borderId="21" xfId="38578" applyNumberFormat="1" applyFont="1" applyFill="1" applyBorder="1"/>
    <xf numFmtId="3" fontId="3" fillId="20" borderId="22" xfId="38578" applyNumberFormat="1" applyFont="1" applyFill="1" applyBorder="1" applyAlignment="1">
      <alignment horizontal="right"/>
    </xf>
    <xf numFmtId="3" fontId="3" fillId="20" borderId="23" xfId="38578" applyNumberFormat="1" applyFont="1" applyFill="1" applyBorder="1" applyAlignment="1">
      <alignment horizontal="right"/>
    </xf>
    <xf numFmtId="3" fontId="3" fillId="20" borderId="23" xfId="38578" applyNumberFormat="1" applyFont="1" applyFill="1" applyBorder="1" applyAlignment="1">
      <alignment horizontal="center"/>
    </xf>
    <xf numFmtId="3" fontId="3" fillId="20" borderId="24" xfId="38578" applyNumberFormat="1" applyFont="1" applyFill="1" applyBorder="1" applyAlignment="1"/>
    <xf numFmtId="3" fontId="3" fillId="20" borderId="23" xfId="38578" applyNumberFormat="1" applyFont="1" applyFill="1" applyBorder="1" applyAlignment="1"/>
    <xf numFmtId="0" fontId="3" fillId="20" borderId="25" xfId="38578" applyNumberFormat="1" applyFont="1" applyFill="1" applyBorder="1"/>
    <xf numFmtId="3" fontId="3" fillId="20" borderId="26" xfId="38578" applyNumberFormat="1" applyFont="1" applyFill="1" applyBorder="1" applyAlignment="1">
      <alignment horizontal="right"/>
    </xf>
    <xf numFmtId="172" fontId="3" fillId="20" borderId="27" xfId="38578" applyNumberFormat="1" applyFont="1" applyFill="1" applyBorder="1" applyAlignment="1">
      <alignment horizontal="right"/>
    </xf>
    <xf numFmtId="3" fontId="3" fillId="20" borderId="27" xfId="38578" applyNumberFormat="1" applyFont="1" applyFill="1" applyBorder="1" applyAlignment="1">
      <alignment horizontal="center"/>
    </xf>
    <xf numFmtId="3" fontId="3" fillId="20" borderId="28" xfId="38578" applyNumberFormat="1" applyFont="1" applyFill="1" applyBorder="1" applyAlignment="1"/>
    <xf numFmtId="0" fontId="3" fillId="20" borderId="27" xfId="38578" applyFont="1" applyFill="1" applyBorder="1" applyAlignment="1"/>
    <xf numFmtId="3" fontId="3" fillId="20" borderId="28" xfId="38578" applyNumberFormat="1" applyFont="1" applyFill="1" applyBorder="1" applyAlignment="1">
      <alignment horizontal="right"/>
    </xf>
    <xf numFmtId="10" fontId="3" fillId="20" borderId="27" xfId="38578" applyNumberFormat="1" applyFont="1" applyFill="1" applyBorder="1" applyAlignment="1">
      <alignment horizontal="left"/>
    </xf>
    <xf numFmtId="174" fontId="3" fillId="20" borderId="0" xfId="38578" applyNumberFormat="1" applyFont="1" applyFill="1" applyBorder="1" applyAlignment="1">
      <alignment horizontal="left"/>
    </xf>
    <xf numFmtId="3" fontId="3" fillId="20" borderId="27" xfId="38578" applyNumberFormat="1" applyFont="1" applyFill="1" applyBorder="1" applyAlignment="1">
      <alignment horizontal="right"/>
    </xf>
    <xf numFmtId="0" fontId="3" fillId="20" borderId="27" xfId="38578" applyFont="1" applyFill="1" applyBorder="1" applyAlignment="1">
      <alignment horizontal="center"/>
    </xf>
    <xf numFmtId="3" fontId="3" fillId="20" borderId="27" xfId="38578" applyNumberFormat="1" applyFont="1" applyFill="1" applyBorder="1" applyAlignment="1"/>
    <xf numFmtId="0" fontId="3" fillId="20" borderId="27" xfId="38578" applyFont="1" applyFill="1" applyBorder="1" applyAlignment="1">
      <alignment horizontal="right"/>
    </xf>
    <xf numFmtId="3" fontId="3" fillId="21" borderId="27" xfId="38578" applyNumberFormat="1" applyFont="1" applyFill="1" applyBorder="1" applyAlignment="1"/>
    <xf numFmtId="173" fontId="3" fillId="20" borderId="27" xfId="38578" applyNumberFormat="1" applyFont="1" applyFill="1" applyBorder="1" applyAlignment="1">
      <alignment horizontal="right"/>
    </xf>
    <xf numFmtId="174" fontId="3" fillId="20" borderId="13" xfId="38578" applyNumberFormat="1" applyFont="1" applyFill="1" applyBorder="1" applyAlignment="1">
      <alignment horizontal="center"/>
    </xf>
    <xf numFmtId="10" fontId="3" fillId="20" borderId="0" xfId="38578" applyNumberFormat="1" applyFont="1" applyFill="1" applyBorder="1" applyAlignment="1">
      <alignment horizontal="left" wrapText="1"/>
    </xf>
    <xf numFmtId="0" fontId="50" fillId="20" borderId="27" xfId="19383" applyFont="1" applyFill="1" applyBorder="1" applyAlignment="1">
      <alignment horizontal="right" vertical="center" indent="1"/>
    </xf>
    <xf numFmtId="10" fontId="3" fillId="20" borderId="27" xfId="38578" applyNumberFormat="1" applyFont="1" applyFill="1" applyBorder="1" applyAlignment="1">
      <alignment horizontal="right"/>
    </xf>
    <xf numFmtId="3" fontId="3" fillId="20" borderId="27" xfId="38578" applyNumberFormat="1" applyFont="1" applyFill="1" applyBorder="1" applyAlignment="1">
      <alignment wrapText="1"/>
    </xf>
    <xf numFmtId="3" fontId="3" fillId="20" borderId="8" xfId="38578" applyNumberFormat="1" applyFont="1" applyFill="1" applyBorder="1" applyAlignment="1"/>
    <xf numFmtId="0" fontId="3" fillId="20" borderId="25" xfId="38578" applyFont="1" applyFill="1" applyBorder="1" applyAlignment="1"/>
    <xf numFmtId="0" fontId="46" fillId="0" borderId="0" xfId="38578" applyNumberFormat="1" applyFont="1" applyFill="1" applyAlignment="1">
      <alignment wrapText="1"/>
    </xf>
    <xf numFmtId="0" fontId="3" fillId="0" borderId="0" xfId="38578" applyFont="1" applyFill="1" applyAlignment="1">
      <alignment wrapText="1"/>
    </xf>
    <xf numFmtId="3" fontId="3" fillId="20" borderId="25" xfId="38578" applyNumberFormat="1" applyFont="1" applyFill="1" applyBorder="1" applyAlignment="1"/>
    <xf numFmtId="175" fontId="3" fillId="20" borderId="27" xfId="38578" applyNumberFormat="1" applyFont="1" applyFill="1" applyBorder="1" applyAlignment="1">
      <alignment horizontal="right"/>
    </xf>
    <xf numFmtId="3" fontId="3" fillId="22" borderId="27" xfId="38578" applyNumberFormat="1" applyFont="1" applyFill="1" applyBorder="1" applyAlignment="1"/>
    <xf numFmtId="3" fontId="3" fillId="22" borderId="29" xfId="38578" applyNumberFormat="1" applyFont="1" applyFill="1" applyBorder="1" applyAlignment="1"/>
    <xf numFmtId="0" fontId="3" fillId="0" borderId="0" xfId="38578" applyFont="1" applyFill="1" applyBorder="1" applyAlignment="1"/>
    <xf numFmtId="3" fontId="3" fillId="20" borderId="16" xfId="38578" applyNumberFormat="1" applyFont="1" applyFill="1" applyBorder="1"/>
    <xf numFmtId="3" fontId="3" fillId="20" borderId="30" xfId="38578" applyNumberFormat="1" applyFont="1" applyFill="1" applyBorder="1" applyAlignment="1">
      <alignment horizontal="right"/>
    </xf>
    <xf numFmtId="3" fontId="3" fillId="20" borderId="17" xfId="38578" applyNumberFormat="1" applyFont="1" applyFill="1" applyBorder="1" applyAlignment="1"/>
    <xf numFmtId="3" fontId="3" fillId="20" borderId="30" xfId="38578" applyNumberFormat="1" applyFont="1" applyFill="1" applyBorder="1" applyAlignment="1">
      <alignment horizontal="center"/>
    </xf>
    <xf numFmtId="3" fontId="3" fillId="20" borderId="30" xfId="38578" applyNumberFormat="1" applyFont="1" applyFill="1" applyBorder="1" applyAlignment="1"/>
    <xf numFmtId="3" fontId="3" fillId="20" borderId="11" xfId="38578" applyNumberFormat="1" applyFont="1" applyFill="1" applyBorder="1" applyAlignment="1"/>
    <xf numFmtId="3" fontId="3" fillId="20" borderId="31" xfId="38578" applyNumberFormat="1" applyFont="1" applyFill="1" applyBorder="1" applyAlignment="1"/>
    <xf numFmtId="174" fontId="3" fillId="20" borderId="23" xfId="38578" applyNumberFormat="1" applyFont="1" applyFill="1" applyBorder="1" applyAlignment="1">
      <alignment horizontal="right"/>
    </xf>
    <xf numFmtId="3" fontId="3" fillId="20" borderId="32" xfId="38578" applyNumberFormat="1" applyFont="1" applyFill="1" applyBorder="1" applyAlignment="1">
      <alignment horizontal="center"/>
    </xf>
    <xf numFmtId="3" fontId="3" fillId="20" borderId="32" xfId="38578" applyNumberFormat="1" applyFont="1" applyFill="1" applyBorder="1" applyAlignment="1"/>
    <xf numFmtId="0" fontId="3" fillId="20" borderId="33" xfId="38578" applyNumberFormat="1" applyFont="1" applyFill="1" applyBorder="1"/>
    <xf numFmtId="3" fontId="3" fillId="20" borderId="34" xfId="38578" applyNumberFormat="1" applyFont="1" applyFill="1" applyBorder="1" applyAlignment="1">
      <alignment horizontal="right"/>
    </xf>
    <xf numFmtId="0" fontId="3" fillId="20" borderId="5" xfId="38578" applyNumberFormat="1" applyFont="1" applyFill="1" applyBorder="1"/>
    <xf numFmtId="0" fontId="3" fillId="20" borderId="27" xfId="38578" applyNumberFormat="1" applyFont="1" applyFill="1" applyBorder="1" applyAlignment="1">
      <alignment horizontal="right"/>
    </xf>
    <xf numFmtId="0" fontId="3" fillId="20" borderId="8" xfId="38578" applyNumberFormat="1" applyFont="1" applyFill="1" applyBorder="1" applyAlignment="1">
      <alignment horizontal="center"/>
    </xf>
    <xf numFmtId="3" fontId="3" fillId="20" borderId="7" xfId="38578" applyNumberFormat="1" applyFont="1" applyFill="1" applyBorder="1" applyAlignment="1"/>
    <xf numFmtId="3" fontId="3" fillId="20" borderId="5" xfId="38578" applyNumberFormat="1" applyFont="1" applyFill="1" applyBorder="1" applyAlignment="1"/>
    <xf numFmtId="3" fontId="3" fillId="20" borderId="8" xfId="38578" applyNumberFormat="1" applyFont="1" applyFill="1" applyBorder="1" applyAlignment="1">
      <alignment horizontal="center"/>
    </xf>
    <xf numFmtId="3" fontId="3" fillId="21" borderId="8" xfId="38578" applyNumberFormat="1" applyFont="1" applyFill="1" applyBorder="1" applyAlignment="1"/>
    <xf numFmtId="0" fontId="3" fillId="20" borderId="8" xfId="38578" applyFont="1" applyFill="1" applyBorder="1" applyAlignment="1"/>
    <xf numFmtId="0" fontId="3" fillId="20" borderId="13" xfId="38578" applyNumberFormat="1" applyFont="1" applyFill="1" applyBorder="1" applyAlignment="1">
      <alignment horizontal="right"/>
    </xf>
    <xf numFmtId="3" fontId="3" fillId="20" borderId="0" xfId="38578" applyNumberFormat="1" applyFont="1" applyFill="1" applyBorder="1" applyAlignment="1">
      <alignment horizontal="right" wrapText="1"/>
    </xf>
    <xf numFmtId="3" fontId="3" fillId="20" borderId="5" xfId="38578" applyNumberFormat="1" applyFont="1" applyFill="1" applyBorder="1" applyAlignment="1">
      <alignment wrapText="1"/>
    </xf>
    <xf numFmtId="175" fontId="3" fillId="20" borderId="27" xfId="38578" applyNumberFormat="1" applyFont="1" applyFill="1" applyBorder="1" applyAlignment="1">
      <alignment horizontal="right" wrapText="1"/>
    </xf>
    <xf numFmtId="3" fontId="3" fillId="20" borderId="8" xfId="38578" applyNumberFormat="1" applyFont="1" applyFill="1" applyBorder="1" applyAlignment="1">
      <alignment horizontal="center" wrapText="1"/>
    </xf>
    <xf numFmtId="3" fontId="3" fillId="22" borderId="8" xfId="38578" applyNumberFormat="1" applyFont="1" applyFill="1" applyBorder="1" applyAlignment="1">
      <alignment wrapText="1"/>
    </xf>
    <xf numFmtId="0" fontId="3" fillId="20" borderId="8" xfId="38578" applyFont="1" applyFill="1" applyBorder="1" applyAlignment="1">
      <alignment wrapText="1"/>
    </xf>
    <xf numFmtId="174" fontId="3" fillId="20" borderId="27" xfId="38578" applyNumberFormat="1" applyFont="1" applyFill="1" applyBorder="1" applyAlignment="1">
      <alignment horizontal="right"/>
    </xf>
    <xf numFmtId="3" fontId="3" fillId="20" borderId="5" xfId="38578" applyNumberFormat="1" applyFont="1" applyFill="1" applyBorder="1" applyAlignment="1">
      <alignment horizontal="center"/>
    </xf>
    <xf numFmtId="3" fontId="3" fillId="22" borderId="8" xfId="38578" applyNumberFormat="1" applyFont="1" applyFill="1" applyBorder="1" applyAlignment="1"/>
    <xf numFmtId="174" fontId="3" fillId="20" borderId="13" xfId="38578" applyNumberFormat="1" applyFont="1" applyFill="1" applyBorder="1" applyAlignment="1">
      <alignment horizontal="center" wrapText="1"/>
    </xf>
    <xf numFmtId="174" fontId="3" fillId="20" borderId="25" xfId="38578" applyNumberFormat="1" applyFont="1" applyFill="1" applyBorder="1" applyAlignment="1">
      <alignment horizontal="center"/>
    </xf>
    <xf numFmtId="0" fontId="3" fillId="20" borderId="0" xfId="38578" applyNumberFormat="1" applyFont="1" applyFill="1" applyBorder="1" applyAlignment="1">
      <alignment wrapText="1"/>
    </xf>
    <xf numFmtId="3" fontId="3" fillId="20" borderId="13" xfId="38578" applyNumberFormat="1" applyFont="1" applyFill="1" applyBorder="1" applyAlignment="1">
      <alignment wrapText="1"/>
    </xf>
    <xf numFmtId="164" fontId="3" fillId="20" borderId="8" xfId="1" applyNumberFormat="1" applyFont="1" applyFill="1" applyBorder="1" applyAlignment="1"/>
    <xf numFmtId="174" fontId="3" fillId="20" borderId="16" xfId="38578" applyNumberFormat="1" applyFont="1" applyFill="1" applyBorder="1" applyAlignment="1">
      <alignment horizontal="center"/>
    </xf>
    <xf numFmtId="0" fontId="3" fillId="20" borderId="17" xfId="38578" applyFont="1" applyFill="1" applyBorder="1" applyAlignment="1">
      <alignment horizontal="center"/>
    </xf>
    <xf numFmtId="3" fontId="4" fillId="20" borderId="10" xfId="38578" applyNumberFormat="1" applyFont="1" applyFill="1" applyBorder="1" applyAlignment="1"/>
    <xf numFmtId="0" fontId="3" fillId="20" borderId="30" xfId="38578" applyFont="1" applyFill="1" applyBorder="1" applyAlignment="1">
      <alignment horizontal="right"/>
    </xf>
    <xf numFmtId="0" fontId="3" fillId="20" borderId="35" xfId="38578" applyFont="1" applyFill="1" applyBorder="1" applyAlignment="1">
      <alignment horizontal="center"/>
    </xf>
    <xf numFmtId="0" fontId="3" fillId="20" borderId="35" xfId="38578" applyFont="1" applyFill="1" applyBorder="1" applyAlignment="1"/>
    <xf numFmtId="42" fontId="3" fillId="20" borderId="23" xfId="38578" applyNumberFormat="1" applyFont="1" applyFill="1" applyBorder="1" applyAlignment="1">
      <alignment horizontal="right"/>
    </xf>
    <xf numFmtId="3" fontId="3" fillId="20" borderId="6" xfId="38578" applyNumberFormat="1" applyFont="1" applyFill="1" applyBorder="1" applyAlignment="1">
      <alignment horizontal="fill"/>
    </xf>
    <xf numFmtId="0" fontId="3" fillId="20" borderId="8" xfId="38578" applyNumberFormat="1" applyFont="1" applyFill="1" applyBorder="1"/>
    <xf numFmtId="37" fontId="3" fillId="20" borderId="27" xfId="38578" applyNumberFormat="1" applyFont="1" applyFill="1" applyBorder="1" applyAlignment="1">
      <alignment horizontal="right"/>
    </xf>
    <xf numFmtId="0" fontId="3" fillId="20" borderId="5" xfId="38578" applyFont="1" applyFill="1" applyBorder="1" applyAlignment="1">
      <alignment horizontal="center"/>
    </xf>
    <xf numFmtId="0" fontId="3" fillId="20" borderId="8" xfId="38578" applyFont="1" applyFill="1" applyBorder="1"/>
    <xf numFmtId="0" fontId="3" fillId="20" borderId="36" xfId="38578" applyNumberFormat="1" applyFont="1" applyFill="1" applyBorder="1"/>
    <xf numFmtId="42" fontId="3" fillId="20" borderId="37" xfId="38578" applyNumberFormat="1" applyFont="1" applyFill="1" applyBorder="1"/>
    <xf numFmtId="0" fontId="3" fillId="20" borderId="35" xfId="38578" applyNumberFormat="1" applyFont="1" applyFill="1" applyBorder="1" applyAlignment="1">
      <alignment horizontal="center"/>
    </xf>
    <xf numFmtId="3" fontId="3" fillId="20" borderId="17" xfId="38578" applyNumberFormat="1" applyFont="1" applyFill="1" applyBorder="1"/>
    <xf numFmtId="0" fontId="3" fillId="20" borderId="35" xfId="38578" applyNumberFormat="1" applyFont="1" applyFill="1" applyBorder="1"/>
    <xf numFmtId="0" fontId="3" fillId="20" borderId="17" xfId="38578" applyFont="1" applyFill="1" applyBorder="1"/>
    <xf numFmtId="0" fontId="3" fillId="20" borderId="0" xfId="38578" applyNumberFormat="1" applyFont="1" applyFill="1"/>
    <xf numFmtId="49" fontId="3" fillId="20" borderId="0" xfId="38578" applyNumberFormat="1" applyFont="1" applyFill="1" applyAlignment="1">
      <alignment horizontal="center"/>
    </xf>
    <xf numFmtId="49" fontId="3" fillId="20" borderId="0" xfId="38578" applyNumberFormat="1" applyFont="1" applyFill="1" applyAlignment="1">
      <alignment horizontal="right"/>
    </xf>
    <xf numFmtId="0" fontId="3" fillId="20" borderId="0" xfId="38578" applyNumberFormat="1" applyFont="1" applyFill="1" applyAlignment="1">
      <alignment horizontal="center"/>
    </xf>
    <xf numFmtId="0" fontId="3" fillId="20" borderId="0" xfId="38578" applyFont="1" applyFill="1" applyAlignment="1">
      <alignment horizontal="center"/>
    </xf>
    <xf numFmtId="0" fontId="4" fillId="20" borderId="0" xfId="38578" applyFont="1" applyFill="1" applyAlignment="1">
      <alignment horizontal="center"/>
    </xf>
    <xf numFmtId="0" fontId="3" fillId="20" borderId="0" xfId="38578" applyNumberFormat="1" applyFont="1" applyFill="1" applyAlignment="1">
      <alignment horizontal="right"/>
    </xf>
    <xf numFmtId="0" fontId="3" fillId="20" borderId="0" xfId="38578" applyNumberFormat="1" applyFont="1" applyFill="1" applyAlignment="1">
      <alignment horizontal="left"/>
    </xf>
    <xf numFmtId="0" fontId="3" fillId="20" borderId="0" xfId="38578" applyNumberFormat="1" applyFont="1" applyFill="1" applyAlignment="1"/>
    <xf numFmtId="0" fontId="3" fillId="20" borderId="0" xfId="38578" applyFont="1" applyFill="1" applyAlignment="1">
      <alignment horizontal="right"/>
    </xf>
    <xf numFmtId="0" fontId="3" fillId="20" borderId="0" xfId="38578" applyFont="1" applyFill="1" applyAlignment="1"/>
    <xf numFmtId="0" fontId="3" fillId="20" borderId="0" xfId="38578" applyFont="1" applyFill="1" applyBorder="1" applyAlignment="1">
      <alignment horizontal="left"/>
    </xf>
    <xf numFmtId="0" fontId="46" fillId="0" borderId="0" xfId="0" applyFont="1" applyBorder="1"/>
    <xf numFmtId="0" fontId="46" fillId="0" borderId="0" xfId="0" applyFont="1" applyBorder="1" applyAlignment="1">
      <alignment horizontal="center"/>
    </xf>
    <xf numFmtId="3" fontId="3" fillId="0" borderId="0" xfId="0" applyNumberFormat="1" applyFont="1" applyFill="1" applyBorder="1"/>
    <xf numFmtId="0" fontId="51" fillId="0" borderId="0" xfId="0" applyFont="1" applyBorder="1"/>
    <xf numFmtId="164" fontId="0" fillId="0" borderId="0" xfId="1" applyNumberFormat="1" applyFont="1"/>
    <xf numFmtId="0" fontId="46" fillId="0" borderId="0" xfId="0" applyFont="1"/>
    <xf numFmtId="0" fontId="3" fillId="20" borderId="18" xfId="38578" applyFont="1" applyFill="1" applyBorder="1" applyAlignment="1">
      <alignment horizontal="left"/>
    </xf>
    <xf numFmtId="0" fontId="46" fillId="20" borderId="17" xfId="0" applyFont="1" applyFill="1" applyBorder="1"/>
    <xf numFmtId="0" fontId="46" fillId="20" borderId="0" xfId="0" applyFont="1" applyFill="1" applyBorder="1"/>
    <xf numFmtId="0" fontId="46" fillId="20" borderId="14" xfId="0" applyFont="1" applyFill="1" applyBorder="1"/>
    <xf numFmtId="0" fontId="53" fillId="20" borderId="0" xfId="0" applyFont="1" applyFill="1" applyBorder="1" applyAlignment="1">
      <alignment horizontal="centerContinuous" wrapText="1"/>
    </xf>
    <xf numFmtId="0" fontId="53" fillId="20" borderId="0" xfId="0" applyFont="1" applyFill="1" applyBorder="1" applyAlignment="1">
      <alignment horizontal="center" wrapText="1"/>
    </xf>
    <xf numFmtId="0" fontId="53" fillId="20" borderId="13" xfId="0" applyFont="1" applyFill="1" applyBorder="1" applyAlignment="1">
      <alignment horizontal="centerContinuous" wrapText="1"/>
    </xf>
    <xf numFmtId="0" fontId="52" fillId="20" borderId="12" xfId="0" applyFont="1" applyFill="1" applyBorder="1" applyAlignment="1">
      <alignment horizontal="center"/>
    </xf>
    <xf numFmtId="37" fontId="3" fillId="20" borderId="6" xfId="42319" applyNumberFormat="1" applyFont="1" applyFill="1" applyBorder="1" applyAlignment="1">
      <alignment horizontal="center"/>
    </xf>
    <xf numFmtId="37" fontId="3" fillId="20" borderId="11" xfId="42319" applyNumberFormat="1" applyFont="1" applyFill="1" applyBorder="1" applyAlignment="1">
      <alignment horizontal="center"/>
    </xf>
    <xf numFmtId="0" fontId="3" fillId="20" borderId="14" xfId="38787" applyFont="1" applyFill="1" applyBorder="1" applyAlignment="1">
      <alignment horizontal="center"/>
    </xf>
    <xf numFmtId="0" fontId="3" fillId="20" borderId="0" xfId="39548" applyFont="1" applyFill="1" applyBorder="1"/>
    <xf numFmtId="174" fontId="3" fillId="20" borderId="0" xfId="42188" applyNumberFormat="1" applyFont="1" applyFill="1" applyBorder="1"/>
    <xf numFmtId="0" fontId="3" fillId="20" borderId="0" xfId="38791" applyFont="1" applyFill="1" applyBorder="1"/>
    <xf numFmtId="167" fontId="3" fillId="20" borderId="41" xfId="18360" applyNumberFormat="1" applyFont="1" applyFill="1" applyBorder="1"/>
    <xf numFmtId="167" fontId="3" fillId="20" borderId="0" xfId="18360" applyNumberFormat="1" applyFont="1" applyFill="1" applyBorder="1"/>
    <xf numFmtId="0" fontId="3" fillId="20" borderId="0" xfId="39550" applyFont="1" applyFill="1" applyBorder="1"/>
    <xf numFmtId="44" fontId="3" fillId="20" borderId="0" xfId="18360" applyFont="1" applyFill="1" applyBorder="1"/>
    <xf numFmtId="0" fontId="3" fillId="20" borderId="0" xfId="39552" applyFont="1" applyFill="1" applyBorder="1"/>
    <xf numFmtId="0" fontId="46" fillId="20" borderId="42" xfId="0" quotePrefix="1" applyFont="1" applyFill="1" applyBorder="1"/>
    <xf numFmtId="3" fontId="3" fillId="20" borderId="0" xfId="18360" applyNumberFormat="1" applyFont="1" applyFill="1" applyBorder="1"/>
    <xf numFmtId="49" fontId="3" fillId="20" borderId="14" xfId="39562" applyNumberFormat="1" applyFont="1" applyFill="1" applyBorder="1" applyAlignment="1">
      <alignment horizontal="center"/>
    </xf>
    <xf numFmtId="0" fontId="3" fillId="20" borderId="0" xfId="39562" applyFont="1" applyFill="1" applyBorder="1"/>
    <xf numFmtId="49" fontId="3" fillId="20" borderId="12" xfId="39562" applyNumberFormat="1" applyFont="1" applyFill="1" applyBorder="1" applyAlignment="1">
      <alignment horizontal="center"/>
    </xf>
    <xf numFmtId="0" fontId="46" fillId="20" borderId="6" xfId="0" applyFont="1" applyFill="1" applyBorder="1"/>
    <xf numFmtId="0" fontId="46" fillId="20" borderId="16" xfId="0" applyFont="1" applyFill="1" applyBorder="1"/>
    <xf numFmtId="0" fontId="46" fillId="20" borderId="13" xfId="0" applyFont="1" applyFill="1" applyBorder="1"/>
    <xf numFmtId="0" fontId="46" fillId="20" borderId="42" xfId="0" applyFont="1" applyFill="1" applyBorder="1"/>
    <xf numFmtId="0" fontId="46" fillId="20" borderId="11" xfId="0" applyFont="1" applyFill="1" applyBorder="1"/>
    <xf numFmtId="0" fontId="3" fillId="20" borderId="34" xfId="39554" applyFont="1" applyFill="1" applyBorder="1"/>
    <xf numFmtId="167" fontId="3" fillId="20" borderId="43" xfId="18360" applyNumberFormat="1" applyFont="1" applyFill="1" applyBorder="1"/>
    <xf numFmtId="174" fontId="3" fillId="20" borderId="10" xfId="42188" applyNumberFormat="1" applyFont="1" applyFill="1" applyBorder="1"/>
    <xf numFmtId="167" fontId="3" fillId="20" borderId="44" xfId="18360" applyNumberFormat="1" applyFont="1" applyFill="1" applyBorder="1"/>
    <xf numFmtId="0" fontId="3" fillId="20" borderId="14" xfId="38790" applyFont="1" applyFill="1" applyBorder="1" applyAlignment="1">
      <alignment horizontal="center"/>
    </xf>
    <xf numFmtId="0" fontId="3" fillId="20" borderId="0" xfId="38791" applyFont="1" applyFill="1" applyBorder="1" applyAlignment="1">
      <alignment vertical="center"/>
    </xf>
    <xf numFmtId="38" fontId="3" fillId="20" borderId="0" xfId="38792" applyNumberFormat="1" applyFont="1" applyFill="1" applyBorder="1"/>
    <xf numFmtId="5" fontId="3" fillId="20" borderId="0" xfId="38792" applyNumberFormat="1" applyFont="1" applyFill="1" applyBorder="1"/>
    <xf numFmtId="5" fontId="3" fillId="20" borderId="9" xfId="38792" applyNumberFormat="1" applyFont="1" applyFill="1" applyBorder="1"/>
    <xf numFmtId="49" fontId="3" fillId="20" borderId="14" xfId="38790" applyNumberFormat="1" applyFont="1" applyFill="1" applyBorder="1" applyAlignment="1">
      <alignment horizontal="center"/>
    </xf>
    <xf numFmtId="0" fontId="3" fillId="20" borderId="0" xfId="38791" applyFont="1" applyFill="1" applyBorder="1" applyAlignment="1">
      <alignment horizontal="left"/>
    </xf>
    <xf numFmtId="0" fontId="52" fillId="20" borderId="17" xfId="0" applyFont="1" applyFill="1" applyBorder="1" applyAlignment="1">
      <alignment horizontal="centerContinuous" wrapText="1"/>
    </xf>
    <xf numFmtId="0" fontId="52" fillId="20" borderId="0" xfId="0" applyFont="1" applyFill="1" applyBorder="1" applyAlignment="1">
      <alignment horizontal="centerContinuous" wrapText="1"/>
    </xf>
    <xf numFmtId="0" fontId="52" fillId="20" borderId="13" xfId="0" applyFont="1" applyFill="1" applyBorder="1" applyAlignment="1">
      <alignment horizontal="centerContinuous" wrapText="1"/>
    </xf>
    <xf numFmtId="0" fontId="52" fillId="20" borderId="14" xfId="0" applyFont="1" applyFill="1" applyBorder="1" applyAlignment="1">
      <alignment horizontal="center"/>
    </xf>
    <xf numFmtId="0" fontId="53" fillId="20" borderId="9" xfId="0" applyFont="1" applyFill="1" applyBorder="1"/>
    <xf numFmtId="0" fontId="52" fillId="20" borderId="27" xfId="0" applyFont="1" applyFill="1" applyBorder="1"/>
    <xf numFmtId="0" fontId="52" fillId="20" borderId="8" xfId="0" applyFont="1" applyFill="1" applyBorder="1"/>
    <xf numFmtId="0" fontId="52" fillId="20" borderId="35" xfId="0" applyFont="1" applyFill="1" applyBorder="1"/>
    <xf numFmtId="0" fontId="52" fillId="20" borderId="13" xfId="0" applyFont="1" applyFill="1" applyBorder="1"/>
    <xf numFmtId="0" fontId="52" fillId="20" borderId="0" xfId="0" applyFont="1" applyFill="1" applyBorder="1"/>
    <xf numFmtId="5" fontId="52" fillId="20" borderId="27" xfId="0" applyNumberFormat="1" applyFont="1" applyFill="1" applyBorder="1"/>
    <xf numFmtId="5" fontId="52" fillId="20" borderId="8" xfId="0" applyNumberFormat="1" applyFont="1" applyFill="1" applyBorder="1"/>
    <xf numFmtId="174" fontId="52" fillId="20" borderId="40" xfId="0" applyNumberFormat="1" applyFont="1" applyFill="1" applyBorder="1"/>
    <xf numFmtId="174" fontId="52" fillId="20" borderId="39" xfId="0" applyNumberFormat="1" applyFont="1" applyFill="1" applyBorder="1"/>
    <xf numFmtId="174" fontId="52" fillId="20" borderId="27" xfId="0" applyNumberFormat="1" applyFont="1" applyFill="1" applyBorder="1"/>
    <xf numFmtId="174" fontId="52" fillId="20" borderId="8" xfId="0" applyNumberFormat="1" applyFont="1" applyFill="1" applyBorder="1"/>
    <xf numFmtId="3" fontId="52" fillId="20" borderId="13" xfId="0" applyNumberFormat="1" applyFont="1" applyFill="1" applyBorder="1" applyAlignment="1">
      <alignment horizontal="right"/>
    </xf>
    <xf numFmtId="3" fontId="52" fillId="20" borderId="13" xfId="0" applyNumberFormat="1" applyFont="1" applyFill="1" applyBorder="1" applyAlignment="1">
      <alignment horizontal="left"/>
    </xf>
    <xf numFmtId="5" fontId="52" fillId="20" borderId="27" xfId="0" applyNumberFormat="1" applyFont="1" applyFill="1" applyBorder="1" applyAlignment="1">
      <alignment horizontal="right"/>
    </xf>
    <xf numFmtId="5" fontId="52" fillId="20" borderId="8" xfId="0" applyNumberFormat="1" applyFont="1" applyFill="1" applyBorder="1" applyAlignment="1">
      <alignment horizontal="right"/>
    </xf>
    <xf numFmtId="0" fontId="52" fillId="20" borderId="6" xfId="0" applyFont="1" applyFill="1" applyBorder="1"/>
    <xf numFmtId="5" fontId="52" fillId="20" borderId="23" xfId="0" applyNumberFormat="1" applyFont="1" applyFill="1" applyBorder="1"/>
    <xf numFmtId="5" fontId="52" fillId="20" borderId="32" xfId="0" applyNumberFormat="1" applyFont="1" applyFill="1" applyBorder="1"/>
    <xf numFmtId="0" fontId="52" fillId="20" borderId="11" xfId="0" applyFont="1" applyFill="1" applyBorder="1"/>
    <xf numFmtId="0" fontId="52" fillId="20" borderId="13" xfId="0" applyFont="1" applyFill="1" applyBorder="1" applyAlignment="1">
      <alignment wrapText="1"/>
    </xf>
    <xf numFmtId="49" fontId="3" fillId="20" borderId="12" xfId="38790" applyNumberFormat="1" applyFont="1" applyFill="1" applyBorder="1" applyAlignment="1">
      <alignment horizontal="center"/>
    </xf>
    <xf numFmtId="0" fontId="3" fillId="20" borderId="6" xfId="38791" applyFont="1" applyFill="1" applyBorder="1"/>
    <xf numFmtId="0" fontId="55" fillId="20" borderId="0" xfId="0" applyFont="1" applyFill="1" applyBorder="1"/>
    <xf numFmtId="5" fontId="55" fillId="20" borderId="0" xfId="0" applyNumberFormat="1" applyFont="1" applyFill="1" applyBorder="1"/>
    <xf numFmtId="0" fontId="4" fillId="20" borderId="0" xfId="0" applyFont="1" applyFill="1" applyBorder="1" applyAlignment="1">
      <alignment horizontal="left"/>
    </xf>
    <xf numFmtId="0" fontId="3" fillId="20" borderId="0" xfId="0" applyFont="1" applyFill="1" applyBorder="1"/>
    <xf numFmtId="164" fontId="3" fillId="20" borderId="0" xfId="1" applyNumberFormat="1" applyFont="1" applyFill="1" applyBorder="1" applyAlignment="1">
      <alignment horizontal="left"/>
    </xf>
    <xf numFmtId="38" fontId="3" fillId="20" borderId="0" xfId="0" applyNumberFormat="1" applyFont="1" applyFill="1" applyBorder="1"/>
    <xf numFmtId="164" fontId="3" fillId="20" borderId="13" xfId="1" applyNumberFormat="1" applyFont="1" applyFill="1" applyBorder="1"/>
    <xf numFmtId="164" fontId="3" fillId="20" borderId="0" xfId="1" applyNumberFormat="1" applyFont="1" applyFill="1" applyBorder="1"/>
    <xf numFmtId="0" fontId="3" fillId="20" borderId="6" xfId="0" applyFont="1" applyFill="1" applyBorder="1"/>
    <xf numFmtId="164" fontId="3" fillId="20" borderId="6" xfId="1" applyNumberFormat="1" applyFont="1" applyFill="1" applyBorder="1"/>
    <xf numFmtId="38" fontId="3" fillId="20" borderId="6" xfId="0" applyNumberFormat="1" applyFont="1" applyFill="1" applyBorder="1"/>
    <xf numFmtId="164" fontId="3" fillId="20" borderId="11" xfId="1" applyNumberFormat="1" applyFont="1" applyFill="1" applyBorder="1"/>
    <xf numFmtId="0" fontId="4" fillId="20" borderId="14" xfId="0" applyFont="1" applyFill="1" applyBorder="1" applyAlignment="1">
      <alignment horizontal="center"/>
    </xf>
    <xf numFmtId="164" fontId="3" fillId="20" borderId="19" xfId="0" applyNumberFormat="1" applyFont="1" applyFill="1" applyBorder="1"/>
    <xf numFmtId="0" fontId="3" fillId="20" borderId="17" xfId="0" applyFont="1" applyFill="1" applyBorder="1"/>
    <xf numFmtId="43" fontId="3" fillId="20" borderId="17" xfId="0" applyNumberFormat="1" applyFont="1" applyFill="1" applyBorder="1"/>
    <xf numFmtId="164" fontId="3" fillId="20" borderId="17" xfId="0" applyNumberFormat="1" applyFont="1" applyFill="1" applyBorder="1"/>
    <xf numFmtId="38" fontId="3" fillId="20" borderId="17" xfId="0" applyNumberFormat="1" applyFont="1" applyFill="1" applyBorder="1"/>
    <xf numFmtId="0" fontId="3" fillId="20" borderId="17" xfId="38578" applyFont="1" applyFill="1" applyBorder="1" applyAlignment="1">
      <alignment horizontal="left"/>
    </xf>
    <xf numFmtId="0" fontId="46" fillId="20" borderId="14" xfId="0" applyFont="1" applyFill="1" applyBorder="1" applyAlignment="1">
      <alignment horizontal="center"/>
    </xf>
    <xf numFmtId="0" fontId="47" fillId="20" borderId="0" xfId="0" applyFont="1" applyFill="1" applyBorder="1" applyAlignment="1">
      <alignment horizontal="center"/>
    </xf>
    <xf numFmtId="37" fontId="4" fillId="20" borderId="0" xfId="19386" applyNumberFormat="1" applyFont="1" applyFill="1" applyBorder="1" applyAlignment="1">
      <alignment horizontal="center"/>
    </xf>
    <xf numFmtId="37" fontId="4" fillId="20" borderId="0" xfId="42319" applyNumberFormat="1" applyFont="1" applyFill="1" applyBorder="1" applyAlignment="1">
      <alignment horizontal="center"/>
    </xf>
    <xf numFmtId="0" fontId="46" fillId="20" borderId="12" xfId="0" applyFont="1" applyFill="1" applyBorder="1" applyAlignment="1">
      <alignment horizontal="center"/>
    </xf>
    <xf numFmtId="37" fontId="3" fillId="20" borderId="6" xfId="19386" applyNumberFormat="1" applyFont="1" applyFill="1" applyBorder="1" applyAlignment="1">
      <alignment horizontal="center"/>
    </xf>
    <xf numFmtId="0" fontId="3" fillId="20" borderId="6" xfId="19386" applyFont="1" applyFill="1" applyBorder="1" applyAlignment="1">
      <alignment horizontal="center"/>
    </xf>
    <xf numFmtId="38" fontId="3" fillId="20" borderId="6" xfId="42319" applyFont="1" applyFill="1" applyBorder="1" applyAlignment="1">
      <alignment horizontal="center"/>
    </xf>
    <xf numFmtId="0" fontId="46" fillId="20" borderId="11" xfId="0" applyFont="1" applyFill="1" applyBorder="1" applyAlignment="1">
      <alignment horizontal="center"/>
    </xf>
    <xf numFmtId="3" fontId="4" fillId="20" borderId="0" xfId="42319" applyNumberFormat="1" applyFont="1" applyFill="1" applyBorder="1" applyAlignment="1">
      <alignment horizontal="left"/>
    </xf>
    <xf numFmtId="38" fontId="3" fillId="20" borderId="0" xfId="42319" applyFont="1" applyFill="1" applyBorder="1" applyAlignment="1">
      <alignment horizontal="centerContinuous"/>
    </xf>
    <xf numFmtId="38" fontId="3" fillId="20" borderId="0" xfId="42319" applyFont="1" applyFill="1" applyBorder="1"/>
    <xf numFmtId="38" fontId="3" fillId="20" borderId="0" xfId="42319" applyFont="1" applyFill="1" applyBorder="1" applyAlignment="1">
      <alignment horizontal="right"/>
    </xf>
    <xf numFmtId="38" fontId="3" fillId="20" borderId="0" xfId="42319" applyFont="1" applyFill="1" applyBorder="1" applyAlignment="1">
      <alignment horizontal="center"/>
    </xf>
    <xf numFmtId="172" fontId="3" fillId="20" borderId="0" xfId="42319" applyNumberFormat="1" applyFont="1" applyFill="1" applyBorder="1"/>
    <xf numFmtId="173" fontId="3" fillId="20" borderId="0" xfId="42319" applyNumberFormat="1" applyFont="1" applyFill="1" applyBorder="1" applyAlignment="1">
      <alignment horizontal="center"/>
    </xf>
    <xf numFmtId="38" fontId="3" fillId="20" borderId="0" xfId="19386" applyNumberFormat="1" applyFont="1" applyFill="1" applyBorder="1" applyAlignment="1">
      <alignment horizontal="center"/>
    </xf>
    <xf numFmtId="38" fontId="3" fillId="20" borderId="9" xfId="42319" applyFont="1" applyFill="1" applyBorder="1"/>
    <xf numFmtId="38" fontId="3" fillId="20" borderId="9" xfId="42319" applyFont="1" applyFill="1" applyBorder="1" applyAlignment="1">
      <alignment horizontal="center"/>
    </xf>
    <xf numFmtId="38" fontId="3" fillId="20" borderId="9" xfId="42319" applyFont="1" applyFill="1" applyBorder="1" applyAlignment="1">
      <alignment horizontal="right"/>
    </xf>
    <xf numFmtId="3" fontId="3" fillId="20" borderId="0" xfId="19386" applyNumberFormat="1" applyFont="1" applyFill="1" applyBorder="1"/>
    <xf numFmtId="178" fontId="3" fillId="20" borderId="0" xfId="42319" applyNumberFormat="1" applyFont="1" applyFill="1" applyBorder="1"/>
    <xf numFmtId="38" fontId="3" fillId="20" borderId="6" xfId="42319" applyFont="1" applyFill="1" applyBorder="1"/>
    <xf numFmtId="38" fontId="3" fillId="20" borderId="9" xfId="0" applyNumberFormat="1" applyFont="1" applyFill="1" applyBorder="1"/>
    <xf numFmtId="38" fontId="3" fillId="20" borderId="9" xfId="0" applyNumberFormat="1" applyFont="1" applyFill="1" applyBorder="1" applyAlignment="1">
      <alignment horizontal="center"/>
    </xf>
    <xf numFmtId="38" fontId="3" fillId="20" borderId="13" xfId="42319" applyFont="1" applyFill="1" applyBorder="1"/>
    <xf numFmtId="3" fontId="3" fillId="20" borderId="0" xfId="0" applyNumberFormat="1" applyFont="1" applyFill="1" applyBorder="1"/>
    <xf numFmtId="3" fontId="3" fillId="20" borderId="6" xfId="0" applyNumberFormat="1" applyFont="1" applyFill="1" applyBorder="1"/>
    <xf numFmtId="38" fontId="3" fillId="20" borderId="11" xfId="42319" applyFont="1" applyFill="1" applyBorder="1"/>
    <xf numFmtId="38" fontId="4" fillId="20" borderId="0" xfId="42319" applyFont="1" applyFill="1" applyBorder="1"/>
    <xf numFmtId="174" fontId="3" fillId="20" borderId="0" xfId="42319" applyNumberFormat="1" applyFont="1" applyFill="1" applyBorder="1"/>
    <xf numFmtId="10" fontId="3" fillId="20" borderId="0" xfId="42319" applyNumberFormat="1" applyFont="1" applyFill="1" applyBorder="1" applyAlignment="1">
      <alignment horizontal="center"/>
    </xf>
    <xf numFmtId="10" fontId="3" fillId="20" borderId="0" xfId="42319" applyNumberFormat="1" applyFont="1" applyFill="1" applyBorder="1"/>
    <xf numFmtId="173" fontId="3" fillId="20" borderId="0" xfId="42319" applyNumberFormat="1" applyFont="1" applyFill="1" applyBorder="1"/>
    <xf numFmtId="38" fontId="3" fillId="20" borderId="13" xfId="42319" applyFont="1" applyFill="1" applyBorder="1" applyAlignment="1">
      <alignment horizontal="center"/>
    </xf>
    <xf numFmtId="10" fontId="3" fillId="20" borderId="0" xfId="42319" applyNumberFormat="1" applyFont="1" applyFill="1" applyBorder="1" applyAlignment="1">
      <alignment horizontal="centerContinuous"/>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9" xfId="0" applyNumberFormat="1" applyFont="1" applyFill="1" applyBorder="1" applyAlignment="1">
      <alignment horizontal="center"/>
    </xf>
    <xf numFmtId="0" fontId="46" fillId="20" borderId="9"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6" xfId="0" applyNumberFormat="1" applyFont="1" applyFill="1" applyBorder="1" applyAlignment="1">
      <alignment horizontal="left" vertical="center"/>
    </xf>
    <xf numFmtId="38" fontId="3" fillId="20" borderId="6" xfId="0" applyNumberFormat="1" applyFont="1" applyFill="1" applyBorder="1" applyAlignment="1">
      <alignment vertical="center"/>
    </xf>
    <xf numFmtId="3" fontId="4" fillId="20" borderId="0" xfId="0" applyNumberFormat="1" applyFont="1" applyFill="1" applyBorder="1" applyAlignment="1">
      <alignment horizontal="right"/>
    </xf>
    <xf numFmtId="3" fontId="4" fillId="20" borderId="0" xfId="0" applyNumberFormat="1" applyFont="1" applyFill="1" applyBorder="1" applyAlignment="1">
      <alignment horizontal="left"/>
    </xf>
    <xf numFmtId="3" fontId="4" fillId="20" borderId="38" xfId="0" applyNumberFormat="1" applyFont="1" applyFill="1" applyBorder="1" applyAlignment="1">
      <alignment horizontal="left"/>
    </xf>
    <xf numFmtId="3" fontId="3" fillId="20" borderId="38" xfId="0" applyNumberFormat="1" applyFont="1" applyFill="1" applyBorder="1"/>
    <xf numFmtId="0" fontId="46" fillId="20" borderId="38" xfId="0"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0" fontId="46" fillId="20" borderId="18" xfId="0" applyFont="1" applyFill="1" applyBorder="1" applyAlignment="1">
      <alignment horizontal="center"/>
    </xf>
    <xf numFmtId="3" fontId="4" fillId="20" borderId="17" xfId="42319" applyNumberFormat="1" applyFont="1" applyFill="1" applyBorder="1" applyAlignment="1">
      <alignment horizontal="left"/>
    </xf>
    <xf numFmtId="3" fontId="3" fillId="20" borderId="17" xfId="0" applyNumberFormat="1" applyFont="1" applyFill="1" applyBorder="1" applyAlignment="1">
      <alignment horizontal="centerContinuous"/>
    </xf>
    <xf numFmtId="0" fontId="0" fillId="0" borderId="0" xfId="0" applyBorder="1"/>
    <xf numFmtId="38" fontId="3" fillId="20" borderId="2" xfId="0" applyNumberFormat="1" applyFont="1" applyFill="1" applyBorder="1"/>
    <xf numFmtId="164" fontId="3" fillId="20" borderId="16" xfId="0" applyNumberFormat="1" applyFont="1" applyFill="1" applyBorder="1"/>
    <xf numFmtId="0" fontId="0" fillId="0" borderId="0" xfId="0" applyFont="1"/>
    <xf numFmtId="0" fontId="47" fillId="20" borderId="0" xfId="0" applyFont="1" applyFill="1" applyBorder="1" applyAlignment="1">
      <alignment horizontal="center" vertical="center" wrapText="1"/>
    </xf>
    <xf numFmtId="1" fontId="3" fillId="22" borderId="8" xfId="1" applyNumberFormat="1" applyFont="1" applyFill="1" applyBorder="1" applyAlignment="1">
      <alignment wrapText="1"/>
    </xf>
    <xf numFmtId="1" fontId="3" fillId="22" borderId="8" xfId="1" applyNumberFormat="1" applyFont="1" applyFill="1" applyBorder="1" applyAlignment="1"/>
    <xf numFmtId="0" fontId="0" fillId="0" borderId="0" xfId="0" applyFont="1" applyBorder="1"/>
    <xf numFmtId="0" fontId="47" fillId="20" borderId="0" xfId="0" applyFont="1" applyFill="1" applyBorder="1" applyAlignment="1">
      <alignment horizontal="center" vertical="center"/>
    </xf>
    <xf numFmtId="164" fontId="0" fillId="0" borderId="0" xfId="1" applyNumberFormat="1" applyFont="1" applyBorder="1"/>
    <xf numFmtId="0" fontId="51" fillId="20" borderId="13" xfId="0" applyFont="1" applyFill="1" applyBorder="1"/>
    <xf numFmtId="0" fontId="55" fillId="20" borderId="6" xfId="0" applyFont="1" applyFill="1" applyBorder="1"/>
    <xf numFmtId="0" fontId="55" fillId="20" borderId="11" xfId="0" applyFont="1" applyFill="1" applyBorder="1"/>
    <xf numFmtId="164" fontId="46" fillId="20" borderId="14" xfId="1" applyNumberFormat="1" applyFont="1" applyFill="1" applyBorder="1"/>
    <xf numFmtId="3" fontId="3" fillId="20" borderId="0" xfId="42319" applyNumberFormat="1" applyFont="1" applyFill="1" applyBorder="1" applyAlignment="1">
      <alignment horizontal="right"/>
    </xf>
    <xf numFmtId="0" fontId="54" fillId="20" borderId="17" xfId="0" applyFont="1" applyFill="1" applyBorder="1" applyAlignment="1">
      <alignment horizontal="centerContinuous" wrapText="1"/>
    </xf>
    <xf numFmtId="0" fontId="3" fillId="20" borderId="0" xfId="38578" applyFont="1" applyFill="1"/>
    <xf numFmtId="0" fontId="3" fillId="0" borderId="0" xfId="0" applyFont="1" applyFill="1" applyBorder="1" applyAlignment="1">
      <alignment vertical="top"/>
    </xf>
    <xf numFmtId="164" fontId="4" fillId="0" borderId="0" xfId="1" applyNumberFormat="1" applyFont="1" applyFill="1" applyBorder="1" applyAlignment="1">
      <alignment horizontal="center" wrapText="1"/>
    </xf>
    <xf numFmtId="42" fontId="0" fillId="0" borderId="0" xfId="0" applyNumberFormat="1" applyBorder="1"/>
    <xf numFmtId="0" fontId="3" fillId="0" borderId="0" xfId="0" applyFont="1" applyFill="1" applyBorder="1" applyAlignment="1">
      <alignment horizontal="right"/>
    </xf>
    <xf numFmtId="0" fontId="3" fillId="20" borderId="14" xfId="0" applyFont="1" applyFill="1" applyBorder="1" applyAlignment="1">
      <alignment horizontal="center"/>
    </xf>
    <xf numFmtId="0" fontId="3" fillId="20" borderId="12" xfId="0" applyFont="1" applyFill="1" applyBorder="1" applyAlignment="1">
      <alignment horizontal="center"/>
    </xf>
    <xf numFmtId="0" fontId="3" fillId="20" borderId="0" xfId="38578" applyFont="1" applyFill="1" applyBorder="1"/>
    <xf numFmtId="38" fontId="3" fillId="0" borderId="0" xfId="0" applyNumberFormat="1" applyFont="1" applyFill="1" applyBorder="1" applyAlignment="1">
      <alignment horizontal="left"/>
    </xf>
    <xf numFmtId="0" fontId="3" fillId="20" borderId="0" xfId="38578" applyFont="1" applyFill="1" applyBorder="1" applyAlignment="1">
      <alignment wrapText="1"/>
    </xf>
    <xf numFmtId="0" fontId="3" fillId="20" borderId="14" xfId="38578" applyNumberFormat="1" applyFont="1" applyFill="1" applyBorder="1" applyAlignment="1">
      <alignment horizontal="center" vertical="top"/>
    </xf>
    <xf numFmtId="164" fontId="3" fillId="20" borderId="41" xfId="5447" applyNumberFormat="1" applyFont="1" applyFill="1" applyBorder="1"/>
    <xf numFmtId="3" fontId="3" fillId="20" borderId="0" xfId="18360" applyNumberFormat="1" applyFont="1" applyFill="1" applyBorder="1" applyAlignment="1">
      <alignment horizontal="right"/>
    </xf>
    <xf numFmtId="38" fontId="3" fillId="0" borderId="0" xfId="0" applyNumberFormat="1" applyFont="1" applyFill="1" applyBorder="1" applyAlignment="1">
      <alignment wrapText="1"/>
    </xf>
    <xf numFmtId="0" fontId="3" fillId="0" borderId="0" xfId="0" applyFont="1" applyFill="1" applyBorder="1" applyAlignment="1"/>
    <xf numFmtId="164" fontId="47" fillId="20" borderId="14" xfId="1" applyNumberFormat="1" applyFont="1" applyFill="1" applyBorder="1" applyAlignment="1">
      <alignment horizontal="center" wrapText="1"/>
    </xf>
    <xf numFmtId="164" fontId="47" fillId="20" borderId="0" xfId="1" applyNumberFormat="1" applyFont="1" applyFill="1" applyBorder="1" applyAlignment="1">
      <alignment horizontal="center"/>
    </xf>
    <xf numFmtId="38" fontId="47" fillId="20" borderId="0" xfId="0" applyNumberFormat="1" applyFont="1" applyFill="1" applyBorder="1" applyAlignment="1">
      <alignment horizontal="center"/>
    </xf>
    <xf numFmtId="10" fontId="46" fillId="20" borderId="0" xfId="3" applyNumberFormat="1" applyFont="1" applyFill="1" applyBorder="1"/>
    <xf numFmtId="38" fontId="46" fillId="20" borderId="0" xfId="0" applyNumberFormat="1" applyFont="1" applyFill="1" applyBorder="1"/>
    <xf numFmtId="164" fontId="46" fillId="20" borderId="13" xfId="0" applyNumberFormat="1" applyFont="1" applyFill="1" applyBorder="1"/>
    <xf numFmtId="0" fontId="46" fillId="20" borderId="2" xfId="0" applyFont="1" applyFill="1" applyBorder="1"/>
    <xf numFmtId="10" fontId="46" fillId="20" borderId="2" xfId="3" applyNumberFormat="1" applyFont="1" applyFill="1" applyBorder="1"/>
    <xf numFmtId="0" fontId="46" fillId="0" borderId="0" xfId="0" applyFont="1" applyFill="1"/>
    <xf numFmtId="0" fontId="46" fillId="20" borderId="12" xfId="0" applyFont="1" applyFill="1" applyBorder="1"/>
    <xf numFmtId="0" fontId="46" fillId="20" borderId="46" xfId="0" applyFont="1" applyFill="1" applyBorder="1"/>
    <xf numFmtId="38" fontId="46" fillId="20" borderId="46" xfId="0" applyNumberFormat="1" applyFont="1" applyFill="1" applyBorder="1"/>
    <xf numFmtId="164" fontId="46" fillId="20" borderId="21" xfId="0" applyNumberFormat="1" applyFont="1" applyFill="1" applyBorder="1"/>
    <xf numFmtId="38" fontId="46" fillId="0" borderId="0" xfId="0" applyNumberFormat="1" applyFont="1"/>
    <xf numFmtId="164" fontId="46" fillId="0" borderId="0" xfId="0" applyNumberFormat="1" applyFont="1"/>
    <xf numFmtId="164" fontId="47" fillId="20" borderId="13" xfId="0" applyNumberFormat="1" applyFont="1" applyFill="1" applyBorder="1" applyAlignment="1">
      <alignment horizontal="center" wrapText="1"/>
    </xf>
    <xf numFmtId="164" fontId="4" fillId="20" borderId="0" xfId="1" applyNumberFormat="1" applyFont="1" applyFill="1" applyBorder="1" applyAlignment="1">
      <alignment horizontal="center" wrapText="1"/>
    </xf>
    <xf numFmtId="38" fontId="4" fillId="20" borderId="0" xfId="0" applyNumberFormat="1" applyFont="1" applyFill="1" applyBorder="1" applyAlignment="1">
      <alignment horizontal="center" wrapText="1"/>
    </xf>
    <xf numFmtId="164" fontId="4" fillId="20" borderId="13" xfId="1" applyNumberFormat="1" applyFont="1" applyFill="1" applyBorder="1" applyAlignment="1">
      <alignment horizontal="center" wrapText="1"/>
    </xf>
    <xf numFmtId="164" fontId="46" fillId="20" borderId="0" xfId="1" applyNumberFormat="1" applyFont="1" applyFill="1" applyBorder="1"/>
    <xf numFmtId="38" fontId="46" fillId="20" borderId="17" xfId="0" applyNumberFormat="1" applyFont="1" applyFill="1" applyBorder="1"/>
    <xf numFmtId="164" fontId="46" fillId="20" borderId="16" xfId="0" applyNumberFormat="1" applyFont="1" applyFill="1" applyBorder="1"/>
    <xf numFmtId="0" fontId="4" fillId="20" borderId="14" xfId="0" applyFont="1" applyFill="1" applyBorder="1" applyAlignment="1">
      <alignment horizontal="center" wrapText="1"/>
    </xf>
    <xf numFmtId="0" fontId="3" fillId="20" borderId="0" xfId="0" applyFont="1" applyFill="1" applyBorder="1" applyAlignment="1">
      <alignment horizontal="left"/>
    </xf>
    <xf numFmtId="0" fontId="46" fillId="20" borderId="50" xfId="0" applyFont="1" applyFill="1" applyBorder="1"/>
    <xf numFmtId="0" fontId="46" fillId="20" borderId="51" xfId="0" applyFont="1" applyFill="1" applyBorder="1"/>
    <xf numFmtId="38" fontId="4" fillId="20" borderId="51" xfId="0" applyNumberFormat="1" applyFont="1" applyFill="1" applyBorder="1" applyAlignment="1">
      <alignment horizontal="center"/>
    </xf>
    <xf numFmtId="38" fontId="3" fillId="20" borderId="51" xfId="0" applyNumberFormat="1" applyFont="1" applyFill="1" applyBorder="1"/>
    <xf numFmtId="38" fontId="3" fillId="20" borderId="52" xfId="0" applyNumberFormat="1" applyFont="1" applyFill="1" applyBorder="1"/>
    <xf numFmtId="0" fontId="51" fillId="0" borderId="0" xfId="0" applyFont="1" applyFill="1" applyBorder="1" applyAlignment="1">
      <alignment horizontal="left" vertical="top"/>
    </xf>
    <xf numFmtId="0" fontId="51" fillId="0" borderId="0" xfId="0" applyFont="1" applyFill="1" applyBorder="1"/>
    <xf numFmtId="0" fontId="51" fillId="0" borderId="14" xfId="0" applyFont="1" applyFill="1" applyBorder="1" applyAlignment="1">
      <alignment horizontal="left" vertical="top"/>
    </xf>
    <xf numFmtId="0" fontId="59" fillId="0" borderId="0" xfId="0" applyFont="1" applyFill="1" applyBorder="1" applyAlignment="1">
      <alignment horizontal="center" vertical="center" wrapText="1" readingOrder="1"/>
    </xf>
    <xf numFmtId="0" fontId="59" fillId="0" borderId="0" xfId="0" applyFont="1" applyFill="1" applyBorder="1" applyAlignment="1">
      <alignment horizontal="left" vertical="top" wrapText="1"/>
    </xf>
    <xf numFmtId="0" fontId="59" fillId="0" borderId="0" xfId="0" applyFont="1" applyFill="1" applyBorder="1" applyAlignment="1">
      <alignment vertical="top" wrapText="1"/>
    </xf>
    <xf numFmtId="0" fontId="59" fillId="0" borderId="0" xfId="0" applyFont="1" applyFill="1" applyBorder="1" applyAlignment="1">
      <alignment horizontal="center" vertical="top"/>
    </xf>
    <xf numFmtId="167" fontId="59" fillId="0" borderId="0" xfId="2" applyNumberFormat="1" applyFont="1" applyFill="1" applyBorder="1"/>
    <xf numFmtId="0" fontId="59" fillId="0" borderId="8" xfId="0" applyFont="1" applyFill="1" applyBorder="1" applyAlignment="1">
      <alignment vertical="top" wrapText="1"/>
    </xf>
    <xf numFmtId="0" fontId="59" fillId="0" borderId="8" xfId="0" applyFont="1" applyFill="1" applyBorder="1" applyAlignment="1">
      <alignment vertical="top"/>
    </xf>
    <xf numFmtId="167" fontId="59" fillId="0" borderId="8" xfId="2" applyNumberFormat="1" applyFont="1" applyFill="1" applyBorder="1" applyAlignment="1">
      <alignment vertical="top"/>
    </xf>
    <xf numFmtId="0" fontId="59" fillId="0" borderId="13" xfId="0" applyFont="1" applyFill="1" applyBorder="1" applyAlignment="1">
      <alignment wrapText="1"/>
    </xf>
    <xf numFmtId="0" fontId="59" fillId="0" borderId="0" xfId="0" applyFont="1" applyFill="1" applyBorder="1"/>
    <xf numFmtId="0" fontId="51" fillId="0" borderId="0" xfId="0" applyFont="1" applyFill="1" applyBorder="1" applyAlignment="1">
      <alignment horizontal="left" vertical="top" wrapText="1"/>
    </xf>
    <xf numFmtId="0" fontId="51" fillId="0" borderId="0" xfId="0" applyFont="1" applyFill="1" applyBorder="1" applyAlignment="1">
      <alignment vertical="top" wrapText="1"/>
    </xf>
    <xf numFmtId="0" fontId="51" fillId="0" borderId="0" xfId="0" applyFont="1" applyFill="1" applyBorder="1" applyAlignment="1">
      <alignment horizontal="center" vertical="top"/>
    </xf>
    <xf numFmtId="167" fontId="61" fillId="0" borderId="0" xfId="2" applyNumberFormat="1" applyFont="1" applyFill="1" applyBorder="1"/>
    <xf numFmtId="0" fontId="51" fillId="0" borderId="8" xfId="0" applyFont="1" applyFill="1" applyBorder="1" applyAlignment="1">
      <alignment vertical="top" wrapText="1"/>
    </xf>
    <xf numFmtId="0" fontId="51" fillId="0" borderId="8" xfId="0" applyFont="1" applyFill="1" applyBorder="1" applyAlignment="1">
      <alignment vertical="top"/>
    </xf>
    <xf numFmtId="167" fontId="51" fillId="0" borderId="8" xfId="2" applyNumberFormat="1" applyFont="1" applyFill="1" applyBorder="1" applyAlignment="1">
      <alignment vertical="top"/>
    </xf>
    <xf numFmtId="0" fontId="51" fillId="0" borderId="13" xfId="0" applyFont="1" applyFill="1" applyBorder="1" applyAlignment="1">
      <alignment wrapText="1"/>
    </xf>
    <xf numFmtId="167" fontId="51" fillId="0" borderId="0" xfId="2" applyNumberFormat="1" applyFont="1" applyFill="1" applyBorder="1"/>
    <xf numFmtId="0" fontId="51" fillId="0" borderId="13" xfId="0" applyFont="1" applyFill="1" applyBorder="1" applyAlignment="1">
      <alignment vertical="top" wrapText="1"/>
    </xf>
    <xf numFmtId="0" fontId="63" fillId="0" borderId="0" xfId="0" applyFont="1" applyFill="1" applyBorder="1" applyAlignment="1">
      <alignment vertical="top" wrapText="1"/>
    </xf>
    <xf numFmtId="167" fontId="63" fillId="0" borderId="0" xfId="2" applyNumberFormat="1" applyFont="1" applyFill="1" applyBorder="1"/>
    <xf numFmtId="0" fontId="51" fillId="0" borderId="0" xfId="0" applyFont="1" applyFill="1" applyBorder="1" applyAlignment="1">
      <alignment vertical="top"/>
    </xf>
    <xf numFmtId="167" fontId="62" fillId="0" borderId="0" xfId="2" applyNumberFormat="1" applyFont="1" applyFill="1" applyBorder="1"/>
    <xf numFmtId="179" fontId="51" fillId="0" borderId="13" xfId="0" applyNumberFormat="1" applyFont="1" applyFill="1" applyBorder="1" applyAlignment="1">
      <alignment wrapText="1"/>
    </xf>
    <xf numFmtId="0" fontId="51" fillId="0" borderId="27" xfId="0" applyFont="1" applyFill="1" applyBorder="1" applyAlignment="1">
      <alignment vertical="top"/>
    </xf>
    <xf numFmtId="0" fontId="51" fillId="0" borderId="27" xfId="0" applyFont="1" applyFill="1" applyBorder="1" applyAlignment="1">
      <alignment horizontal="left" vertical="top"/>
    </xf>
    <xf numFmtId="0" fontId="51" fillId="0" borderId="27" xfId="0" applyFont="1" applyFill="1" applyBorder="1" applyAlignment="1">
      <alignment horizontal="center" vertical="top"/>
    </xf>
    <xf numFmtId="167" fontId="61" fillId="0" borderId="8" xfId="2" applyNumberFormat="1" applyFont="1" applyFill="1" applyBorder="1" applyAlignment="1">
      <alignment vertical="top"/>
    </xf>
    <xf numFmtId="167" fontId="62" fillId="0" borderId="8" xfId="2" applyNumberFormat="1" applyFont="1" applyFill="1" applyBorder="1" applyAlignment="1">
      <alignment vertical="top"/>
    </xf>
    <xf numFmtId="0" fontId="52" fillId="0" borderId="0" xfId="0" applyFont="1" applyFill="1" applyBorder="1" applyAlignment="1">
      <alignment vertical="top"/>
    </xf>
    <xf numFmtId="167" fontId="61" fillId="0" borderId="27" xfId="2" applyNumberFormat="1" applyFont="1" applyFill="1" applyBorder="1" applyAlignment="1">
      <alignment vertical="top"/>
    </xf>
    <xf numFmtId="0" fontId="51" fillId="0" borderId="42" xfId="0" applyFont="1" applyFill="1" applyBorder="1" applyAlignment="1">
      <alignment wrapText="1"/>
    </xf>
    <xf numFmtId="167" fontId="51" fillId="0" borderId="27" xfId="2" applyNumberFormat="1" applyFont="1" applyFill="1" applyBorder="1" applyAlignment="1">
      <alignment vertical="top"/>
    </xf>
    <xf numFmtId="179" fontId="51" fillId="0" borderId="42" xfId="0" applyNumberFormat="1" applyFont="1" applyFill="1" applyBorder="1" applyAlignment="1">
      <alignment wrapText="1"/>
    </xf>
    <xf numFmtId="0" fontId="59" fillId="0" borderId="0" xfId="0" applyFont="1" applyFill="1" applyBorder="1" applyAlignment="1">
      <alignment wrapText="1"/>
    </xf>
    <xf numFmtId="0" fontId="51" fillId="0" borderId="0" xfId="0" applyFont="1" applyFill="1" applyBorder="1" applyAlignment="1">
      <alignment wrapText="1"/>
    </xf>
    <xf numFmtId="0" fontId="51" fillId="0" borderId="8" xfId="0" applyFont="1" applyFill="1" applyBorder="1" applyAlignment="1">
      <alignment horizontal="left" vertical="top"/>
    </xf>
    <xf numFmtId="0" fontId="51" fillId="0" borderId="8" xfId="0" applyFont="1" applyFill="1" applyBorder="1" applyAlignment="1">
      <alignment horizontal="center" vertical="top"/>
    </xf>
    <xf numFmtId="167" fontId="51" fillId="0" borderId="13" xfId="2" applyNumberFormat="1" applyFont="1" applyFill="1" applyBorder="1" applyAlignment="1">
      <alignment wrapText="1"/>
    </xf>
    <xf numFmtId="0" fontId="52" fillId="0" borderId="0" xfId="0" applyFont="1" applyFill="1" applyBorder="1"/>
    <xf numFmtId="0" fontId="53" fillId="0" borderId="0" xfId="0" applyFont="1" applyFill="1" applyBorder="1" applyAlignment="1">
      <alignment horizontal="center" readingOrder="1"/>
    </xf>
    <xf numFmtId="0" fontId="52" fillId="24" borderId="14" xfId="0" applyFont="1" applyFill="1" applyBorder="1" applyAlignment="1">
      <alignment horizontal="left" vertical="top"/>
    </xf>
    <xf numFmtId="0" fontId="53" fillId="0" borderId="0" xfId="0" applyFont="1" applyFill="1" applyBorder="1" applyAlignment="1">
      <alignment horizontal="left" vertical="top"/>
    </xf>
    <xf numFmtId="0" fontId="53" fillId="0" borderId="0" xfId="0" applyFont="1" applyFill="1" applyBorder="1"/>
    <xf numFmtId="0" fontId="53" fillId="0" borderId="51" xfId="0" applyFont="1" applyFill="1" applyBorder="1"/>
    <xf numFmtId="0" fontId="52" fillId="0" borderId="14" xfId="0" applyFont="1" applyFill="1" applyBorder="1" applyAlignment="1">
      <alignment horizontal="left" vertical="top"/>
    </xf>
    <xf numFmtId="0" fontId="52" fillId="0" borderId="0" xfId="0" applyFont="1" applyFill="1" applyBorder="1" applyAlignment="1">
      <alignment horizontal="left" vertical="top"/>
    </xf>
    <xf numFmtId="0" fontId="52" fillId="25" borderId="0" xfId="0" applyFont="1" applyFill="1" applyBorder="1"/>
    <xf numFmtId="0" fontId="52" fillId="0" borderId="51" xfId="0" applyFont="1" applyFill="1" applyBorder="1"/>
    <xf numFmtId="0" fontId="4" fillId="0" borderId="41" xfId="0" applyFont="1" applyFill="1" applyBorder="1" applyAlignment="1">
      <alignment horizontal="center"/>
    </xf>
    <xf numFmtId="0" fontId="4" fillId="0" borderId="41" xfId="0" applyFont="1" applyFill="1" applyBorder="1"/>
    <xf numFmtId="164" fontId="4" fillId="0" borderId="41" xfId="0" applyNumberFormat="1" applyFont="1" applyFill="1" applyBorder="1" applyAlignment="1">
      <alignment horizontal="right"/>
    </xf>
    <xf numFmtId="164" fontId="4" fillId="0" borderId="41" xfId="1" applyNumberFormat="1" applyFont="1" applyFill="1" applyBorder="1"/>
    <xf numFmtId="164" fontId="3" fillId="0" borderId="0" xfId="1" applyNumberFormat="1" applyFont="1" applyFill="1" applyBorder="1" applyAlignment="1">
      <alignment horizontal="left"/>
    </xf>
    <xf numFmtId="0" fontId="46" fillId="0" borderId="0" xfId="0" applyFont="1" applyFill="1" applyBorder="1"/>
    <xf numFmtId="0" fontId="46" fillId="20" borderId="53" xfId="0" applyFont="1" applyFill="1" applyBorder="1"/>
    <xf numFmtId="0" fontId="46" fillId="20" borderId="54" xfId="0" applyFont="1" applyFill="1" applyBorder="1"/>
    <xf numFmtId="49" fontId="58" fillId="23" borderId="0" xfId="19632" applyNumberFormat="1" applyFont="1" applyFill="1" applyBorder="1" applyAlignment="1">
      <alignment horizontal="left"/>
    </xf>
    <xf numFmtId="0" fontId="3" fillId="20" borderId="9" xfId="0" applyFont="1" applyFill="1" applyBorder="1"/>
    <xf numFmtId="49" fontId="58" fillId="23" borderId="6" xfId="19632" applyNumberFormat="1" applyFont="1" applyFill="1" applyBorder="1" applyAlignment="1">
      <alignment horizontal="left"/>
    </xf>
    <xf numFmtId="164" fontId="46" fillId="20" borderId="2" xfId="1" applyNumberFormat="1" applyFont="1" applyFill="1" applyBorder="1"/>
    <xf numFmtId="49" fontId="58" fillId="20" borderId="2" xfId="19632" applyNumberFormat="1" applyFont="1" applyFill="1" applyBorder="1" applyAlignment="1">
      <alignment horizontal="left"/>
    </xf>
    <xf numFmtId="49" fontId="58" fillId="23" borderId="9" xfId="19632" applyNumberFormat="1" applyFont="1" applyFill="1" applyBorder="1" applyAlignment="1">
      <alignment horizontal="left"/>
    </xf>
    <xf numFmtId="164" fontId="46" fillId="20" borderId="51" xfId="1" applyNumberFormat="1" applyFont="1" applyFill="1" applyBorder="1"/>
    <xf numFmtId="0" fontId="46" fillId="20" borderId="52" xfId="0" applyFont="1" applyFill="1" applyBorder="1"/>
    <xf numFmtId="43" fontId="46" fillId="20" borderId="17" xfId="1" applyNumberFormat="1" applyFont="1" applyFill="1" applyBorder="1"/>
    <xf numFmtId="43" fontId="46" fillId="20" borderId="0" xfId="1" applyNumberFormat="1" applyFont="1" applyFill="1" applyBorder="1"/>
    <xf numFmtId="43" fontId="4" fillId="20" borderId="0" xfId="1" applyNumberFormat="1" applyFont="1" applyFill="1" applyBorder="1" applyAlignment="1">
      <alignment horizontal="center" wrapText="1"/>
    </xf>
    <xf numFmtId="43" fontId="3" fillId="20" borderId="0" xfId="1" applyNumberFormat="1" applyFont="1" applyFill="1" applyBorder="1"/>
    <xf numFmtId="43" fontId="3" fillId="20" borderId="6" xfId="1" applyNumberFormat="1" applyFont="1" applyFill="1" applyBorder="1"/>
    <xf numFmtId="43" fontId="3" fillId="20" borderId="17" xfId="1" applyNumberFormat="1" applyFont="1" applyFill="1" applyBorder="1"/>
    <xf numFmtId="43" fontId="47" fillId="20" borderId="0" xfId="1" applyNumberFormat="1" applyFont="1" applyFill="1" applyBorder="1" applyAlignment="1">
      <alignment horizontal="center"/>
    </xf>
    <xf numFmtId="43" fontId="3" fillId="20" borderId="2" xfId="1" applyNumberFormat="1" applyFont="1" applyFill="1" applyBorder="1"/>
    <xf numFmtId="43" fontId="3" fillId="20" borderId="9" xfId="1" applyNumberFormat="1" applyFont="1" applyFill="1" applyBorder="1"/>
    <xf numFmtId="43" fontId="46" fillId="20" borderId="6" xfId="1" applyNumberFormat="1" applyFont="1" applyFill="1" applyBorder="1"/>
    <xf numFmtId="43" fontId="46" fillId="0" borderId="0" xfId="1" applyNumberFormat="1" applyFont="1"/>
    <xf numFmtId="38" fontId="3" fillId="0" borderId="0" xfId="0" applyNumberFormat="1" applyFont="1" applyFill="1" applyBorder="1" applyAlignment="1">
      <alignment wrapText="1"/>
    </xf>
    <xf numFmtId="38" fontId="3" fillId="20" borderId="0" xfId="19386" applyNumberFormat="1" applyFont="1" applyFill="1" applyBorder="1"/>
    <xf numFmtId="38" fontId="3" fillId="20" borderId="44" xfId="38792" applyNumberFormat="1" applyFont="1" applyFill="1" applyBorder="1"/>
    <xf numFmtId="0" fontId="4" fillId="20" borderId="0" xfId="38578" applyFont="1" applyFill="1" applyBorder="1" applyAlignment="1">
      <alignment horizontal="center"/>
    </xf>
    <xf numFmtId="49" fontId="3" fillId="20" borderId="6" xfId="38578" applyNumberFormat="1" applyFont="1" applyFill="1" applyBorder="1" applyAlignment="1">
      <alignment horizontal="center"/>
    </xf>
    <xf numFmtId="3" fontId="3" fillId="20" borderId="35" xfId="38578" applyNumberFormat="1" applyFont="1" applyFill="1" applyBorder="1" applyAlignment="1">
      <alignment horizontal="center"/>
    </xf>
    <xf numFmtId="0" fontId="3" fillId="20" borderId="16" xfId="38578" applyNumberFormat="1" applyFont="1" applyFill="1" applyBorder="1"/>
    <xf numFmtId="9" fontId="3" fillId="20" borderId="0" xfId="3" applyFont="1" applyFill="1" applyBorder="1" applyAlignment="1">
      <alignment horizontal="right"/>
    </xf>
    <xf numFmtId="0" fontId="3" fillId="20" borderId="9" xfId="38578" applyNumberFormat="1" applyFont="1" applyFill="1" applyBorder="1"/>
    <xf numFmtId="0" fontId="3" fillId="20" borderId="15" xfId="38578" applyNumberFormat="1" applyFont="1" applyFill="1" applyBorder="1"/>
    <xf numFmtId="0" fontId="3" fillId="20" borderId="10" xfId="38578" applyFont="1" applyFill="1" applyBorder="1"/>
    <xf numFmtId="0" fontId="3" fillId="20" borderId="5" xfId="38578" applyFont="1" applyFill="1" applyBorder="1"/>
    <xf numFmtId="0" fontId="3" fillId="20" borderId="27" xfId="38578" applyNumberFormat="1" applyFont="1" applyFill="1" applyBorder="1"/>
    <xf numFmtId="0" fontId="3" fillId="20" borderId="5" xfId="38578" applyNumberFormat="1" applyFont="1" applyFill="1" applyBorder="1" applyAlignment="1">
      <alignment horizontal="center"/>
    </xf>
    <xf numFmtId="0" fontId="3" fillId="20" borderId="32" xfId="38578" applyNumberFormat="1" applyFont="1" applyFill="1" applyBorder="1"/>
    <xf numFmtId="0" fontId="3" fillId="20" borderId="32" xfId="38578" applyNumberFormat="1" applyFont="1" applyFill="1" applyBorder="1" applyAlignment="1">
      <alignment horizontal="center"/>
    </xf>
    <xf numFmtId="17" fontId="3" fillId="20" borderId="10" xfId="38578" applyNumberFormat="1" applyFont="1" applyFill="1" applyBorder="1" applyAlignment="1">
      <alignment horizontal="left"/>
    </xf>
    <xf numFmtId="17" fontId="3" fillId="20" borderId="5" xfId="38578" applyNumberFormat="1" applyFont="1" applyFill="1" applyBorder="1" applyAlignment="1">
      <alignment horizontal="left"/>
    </xf>
    <xf numFmtId="0" fontId="3" fillId="0" borderId="0" xfId="0" applyFont="1" applyFill="1" applyBorder="1" applyAlignment="1"/>
    <xf numFmtId="9" fontId="3" fillId="20" borderId="17" xfId="3" applyFont="1" applyFill="1" applyBorder="1" applyAlignment="1">
      <alignment horizontal="right"/>
    </xf>
    <xf numFmtId="17" fontId="3" fillId="20" borderId="27" xfId="38578" applyNumberFormat="1" applyFont="1" applyFill="1" applyBorder="1"/>
    <xf numFmtId="164" fontId="3" fillId="21" borderId="10" xfId="1" applyNumberFormat="1" applyFont="1" applyFill="1" applyBorder="1" applyAlignment="1">
      <alignment horizontal="right"/>
    </xf>
    <xf numFmtId="164" fontId="3" fillId="21" borderId="0" xfId="1" applyNumberFormat="1" applyFont="1" applyFill="1" applyBorder="1" applyAlignment="1">
      <alignment horizontal="right"/>
    </xf>
    <xf numFmtId="164" fontId="3" fillId="21" borderId="8" xfId="1" applyNumberFormat="1" applyFont="1" applyFill="1" applyBorder="1" applyAlignment="1">
      <alignment horizontal="right"/>
    </xf>
    <xf numFmtId="164" fontId="3" fillId="21" borderId="29" xfId="1" applyNumberFormat="1" applyFont="1" applyFill="1" applyBorder="1" applyAlignment="1">
      <alignment horizontal="right"/>
    </xf>
    <xf numFmtId="164" fontId="3" fillId="20" borderId="6" xfId="1" applyNumberFormat="1" applyFont="1" applyFill="1" applyBorder="1" applyAlignment="1">
      <alignment horizontal="right"/>
    </xf>
    <xf numFmtId="0" fontId="54" fillId="20" borderId="0" xfId="0" applyFont="1" applyFill="1" applyBorder="1" applyAlignment="1">
      <alignment horizontal="centerContinuous" wrapText="1"/>
    </xf>
    <xf numFmtId="37" fontId="3" fillId="20" borderId="9" xfId="42319" applyNumberFormat="1" applyFont="1" applyFill="1" applyBorder="1" applyAlignment="1">
      <alignment horizontal="center"/>
    </xf>
    <xf numFmtId="0" fontId="52" fillId="20" borderId="0" xfId="0" applyFont="1" applyFill="1" applyBorder="1" applyAlignment="1">
      <alignment horizontal="left"/>
    </xf>
    <xf numFmtId="5" fontId="52" fillId="20" borderId="0" xfId="0" applyNumberFormat="1" applyFont="1" applyFill="1" applyBorder="1" applyAlignment="1">
      <alignment horizontal="center"/>
    </xf>
    <xf numFmtId="38" fontId="52" fillId="20" borderId="0" xfId="0" applyNumberFormat="1" applyFont="1" applyFill="1" applyBorder="1"/>
    <xf numFmtId="174" fontId="52" fillId="20" borderId="0" xfId="3" applyNumberFormat="1" applyFont="1" applyFill="1" applyBorder="1"/>
    <xf numFmtId="5" fontId="52" fillId="20" borderId="0" xfId="0" applyNumberFormat="1" applyFont="1" applyFill="1" applyBorder="1"/>
    <xf numFmtId="164" fontId="52" fillId="20" borderId="0" xfId="1" applyNumberFormat="1" applyFont="1" applyFill="1" applyBorder="1"/>
    <xf numFmtId="167" fontId="52" fillId="20" borderId="0" xfId="2" applyNumberFormat="1" applyFont="1" applyFill="1" applyBorder="1"/>
    <xf numFmtId="167" fontId="52" fillId="20" borderId="0" xfId="0" applyNumberFormat="1" applyFont="1" applyFill="1" applyBorder="1"/>
    <xf numFmtId="0" fontId="53" fillId="20" borderId="0" xfId="0" applyFont="1" applyFill="1" applyBorder="1" applyAlignment="1">
      <alignment horizontal="left"/>
    </xf>
    <xf numFmtId="0" fontId="52" fillId="20" borderId="0" xfId="0" applyFont="1" applyFill="1" applyBorder="1" applyAlignment="1">
      <alignment wrapText="1"/>
    </xf>
    <xf numFmtId="174" fontId="52" fillId="20" borderId="0" xfId="0" applyNumberFormat="1" applyFont="1" applyFill="1" applyBorder="1"/>
    <xf numFmtId="3" fontId="52" fillId="20" borderId="0" xfId="0" applyNumberFormat="1" applyFont="1" applyFill="1" applyBorder="1" applyAlignment="1">
      <alignment horizontal="right"/>
    </xf>
    <xf numFmtId="0" fontId="66" fillId="20" borderId="0" xfId="0" applyFont="1" applyFill="1" applyBorder="1" applyAlignment="1">
      <alignment horizontal="left"/>
    </xf>
    <xf numFmtId="167" fontId="55" fillId="20" borderId="0" xfId="2" applyNumberFormat="1" applyFont="1" applyFill="1" applyBorder="1"/>
    <xf numFmtId="0" fontId="52" fillId="0" borderId="14" xfId="0" applyFont="1" applyFill="1" applyBorder="1" applyAlignment="1">
      <alignment horizontal="center"/>
    </xf>
    <xf numFmtId="0" fontId="55" fillId="0" borderId="0" xfId="0" applyFont="1" applyBorder="1"/>
    <xf numFmtId="0" fontId="51" fillId="20" borderId="0" xfId="0" applyFont="1" applyFill="1" applyBorder="1"/>
    <xf numFmtId="0" fontId="3" fillId="20" borderId="55" xfId="38578" applyFont="1" applyFill="1" applyBorder="1" applyAlignment="1">
      <alignment horizontal="left"/>
    </xf>
    <xf numFmtId="164" fontId="46" fillId="20" borderId="17" xfId="1" applyNumberFormat="1" applyFont="1" applyFill="1" applyBorder="1"/>
    <xf numFmtId="0" fontId="46" fillId="20" borderId="56" xfId="0" applyFont="1" applyFill="1" applyBorder="1"/>
    <xf numFmtId="0" fontId="4" fillId="20" borderId="56" xfId="0" applyFont="1" applyFill="1" applyBorder="1" applyAlignment="1">
      <alignment horizontal="center" wrapText="1"/>
    </xf>
    <xf numFmtId="38" fontId="4" fillId="20" borderId="13" xfId="0" applyNumberFormat="1" applyFont="1" applyFill="1" applyBorder="1" applyAlignment="1">
      <alignment horizontal="center"/>
    </xf>
    <xf numFmtId="0" fontId="3" fillId="20" borderId="57" xfId="0" applyFont="1" applyFill="1" applyBorder="1" applyAlignment="1">
      <alignment horizontal="center"/>
    </xf>
    <xf numFmtId="38" fontId="3" fillId="20" borderId="11" xfId="0" applyNumberFormat="1" applyFont="1" applyFill="1" applyBorder="1"/>
    <xf numFmtId="38" fontId="3" fillId="20" borderId="42" xfId="0" applyNumberFormat="1" applyFont="1" applyFill="1" applyBorder="1"/>
    <xf numFmtId="0" fontId="3" fillId="20" borderId="18" xfId="0" applyFont="1" applyFill="1" applyBorder="1"/>
    <xf numFmtId="164" fontId="3" fillId="20" borderId="17" xfId="1" applyNumberFormat="1" applyFont="1" applyFill="1" applyBorder="1"/>
    <xf numFmtId="38" fontId="4" fillId="20" borderId="42" xfId="0" applyNumberFormat="1" applyFont="1" applyFill="1" applyBorder="1" applyAlignment="1">
      <alignment horizontal="center"/>
    </xf>
    <xf numFmtId="0" fontId="4" fillId="20" borderId="14" xfId="0" applyFont="1" applyFill="1" applyBorder="1" applyAlignment="1">
      <alignment horizontal="left"/>
    </xf>
    <xf numFmtId="164" fontId="47" fillId="20" borderId="0" xfId="1" applyNumberFormat="1" applyFont="1" applyFill="1" applyBorder="1" applyAlignment="1">
      <alignment horizontal="center" wrapText="1"/>
    </xf>
    <xf numFmtId="164" fontId="46" fillId="20" borderId="42" xfId="1" applyNumberFormat="1" applyFont="1" applyFill="1" applyBorder="1"/>
    <xf numFmtId="164" fontId="46" fillId="20" borderId="45" xfId="1" applyNumberFormat="1" applyFont="1" applyFill="1" applyBorder="1"/>
    <xf numFmtId="164" fontId="3" fillId="20" borderId="2" xfId="1" applyNumberFormat="1" applyFont="1" applyFill="1" applyBorder="1"/>
    <xf numFmtId="164" fontId="46" fillId="0" borderId="0" xfId="1" applyNumberFormat="1" applyFont="1"/>
    <xf numFmtId="0" fontId="0" fillId="20" borderId="0" xfId="0" applyFill="1"/>
    <xf numFmtId="0" fontId="57" fillId="20" borderId="0" xfId="0" applyFont="1" applyFill="1"/>
    <xf numFmtId="0" fontId="0" fillId="20" borderId="0" xfId="0" applyFill="1" applyAlignment="1">
      <alignment horizontal="left"/>
    </xf>
    <xf numFmtId="0" fontId="67" fillId="20" borderId="0" xfId="42327" applyFill="1"/>
    <xf numFmtId="0" fontId="46" fillId="20" borderId="18" xfId="0" applyFont="1" applyFill="1" applyBorder="1"/>
    <xf numFmtId="0" fontId="47" fillId="20" borderId="17" xfId="0" applyFont="1" applyFill="1" applyBorder="1" applyAlignment="1">
      <alignment horizontal="center" vertical="center"/>
    </xf>
    <xf numFmtId="0" fontId="47" fillId="20" borderId="47" xfId="0" applyFont="1" applyFill="1" applyBorder="1" applyAlignment="1">
      <alignment horizontal="center" vertical="center" wrapText="1"/>
    </xf>
    <xf numFmtId="0" fontId="47" fillId="20" borderId="9" xfId="0" applyFont="1" applyFill="1" applyBorder="1" applyAlignment="1">
      <alignment horizontal="center" vertical="center" wrapText="1"/>
    </xf>
    <xf numFmtId="0" fontId="47" fillId="20" borderId="48" xfId="0" applyFont="1" applyFill="1" applyBorder="1" applyAlignment="1">
      <alignment horizontal="center" vertical="center"/>
    </xf>
    <xf numFmtId="164" fontId="46" fillId="20" borderId="9" xfId="1" applyNumberFormat="1" applyFont="1" applyFill="1" applyBorder="1"/>
    <xf numFmtId="164" fontId="46" fillId="20" borderId="48" xfId="1" applyNumberFormat="1" applyFont="1" applyFill="1" applyBorder="1"/>
    <xf numFmtId="42" fontId="46" fillId="20" borderId="0" xfId="0" applyNumberFormat="1" applyFont="1" applyFill="1" applyBorder="1"/>
    <xf numFmtId="42" fontId="46" fillId="20" borderId="13" xfId="0" applyNumberFormat="1" applyFont="1" applyFill="1" applyBorder="1"/>
    <xf numFmtId="42" fontId="46" fillId="20" borderId="2" xfId="0" applyNumberFormat="1" applyFont="1" applyFill="1" applyBorder="1"/>
    <xf numFmtId="42" fontId="46" fillId="20" borderId="19" xfId="0" applyNumberFormat="1" applyFont="1" applyFill="1" applyBorder="1"/>
    <xf numFmtId="164" fontId="47" fillId="20" borderId="2" xfId="1" applyNumberFormat="1" applyFont="1" applyFill="1" applyBorder="1"/>
    <xf numFmtId="42" fontId="47" fillId="20" borderId="19" xfId="0" applyNumberFormat="1" applyFont="1" applyFill="1" applyBorder="1"/>
    <xf numFmtId="42" fontId="47" fillId="20" borderId="13" xfId="0" applyNumberFormat="1" applyFont="1" applyFill="1" applyBorder="1" applyAlignment="1">
      <alignment horizontal="center" wrapText="1"/>
    </xf>
    <xf numFmtId="42" fontId="46" fillId="20" borderId="33" xfId="0" applyNumberFormat="1" applyFont="1" applyFill="1" applyBorder="1"/>
    <xf numFmtId="164" fontId="46" fillId="20" borderId="13" xfId="1" applyNumberFormat="1" applyFont="1" applyFill="1" applyBorder="1"/>
    <xf numFmtId="42" fontId="47" fillId="20" borderId="19" xfId="0" applyNumberFormat="1" applyFont="1" applyFill="1" applyBorder="1" applyAlignment="1">
      <alignment horizontal="center" wrapText="1"/>
    </xf>
    <xf numFmtId="0" fontId="0" fillId="20" borderId="0" xfId="0" applyFill="1" applyBorder="1"/>
    <xf numFmtId="38" fontId="46" fillId="20" borderId="13" xfId="0" applyNumberFormat="1" applyFont="1" applyFill="1" applyBorder="1"/>
    <xf numFmtId="0" fontId="0" fillId="20" borderId="6" xfId="0" applyFill="1" applyBorder="1"/>
    <xf numFmtId="0" fontId="0" fillId="20" borderId="11" xfId="0" applyFill="1" applyBorder="1"/>
    <xf numFmtId="37" fontId="3" fillId="20" borderId="30" xfId="38578" applyNumberFormat="1" applyFont="1" applyFill="1" applyBorder="1"/>
    <xf numFmtId="37" fontId="3" fillId="20" borderId="27" xfId="38578" applyNumberFormat="1" applyFont="1" applyFill="1" applyBorder="1"/>
    <xf numFmtId="37" fontId="3" fillId="20" borderId="53" xfId="38578" applyNumberFormat="1" applyFont="1" applyFill="1" applyBorder="1"/>
    <xf numFmtId="37" fontId="3" fillId="20" borderId="23" xfId="38578" applyNumberFormat="1" applyFont="1" applyFill="1" applyBorder="1" applyAlignment="1">
      <alignment horizontal="right"/>
    </xf>
    <xf numFmtId="0" fontId="47" fillId="20" borderId="9" xfId="0" applyFont="1" applyFill="1" applyBorder="1" applyAlignment="1">
      <alignment wrapText="1"/>
    </xf>
    <xf numFmtId="0" fontId="46" fillId="20" borderId="0" xfId="0" applyFont="1" applyFill="1" applyBorder="1" applyAlignment="1">
      <alignment wrapText="1"/>
    </xf>
    <xf numFmtId="0" fontId="47" fillId="20" borderId="0" xfId="0" applyFont="1" applyFill="1" applyBorder="1"/>
    <xf numFmtId="5" fontId="46" fillId="20" borderId="0" xfId="0" applyNumberFormat="1" applyFont="1" applyFill="1" applyBorder="1"/>
    <xf numFmtId="167" fontId="46" fillId="20" borderId="38" xfId="2" applyNumberFormat="1" applyFont="1" applyFill="1" applyBorder="1"/>
    <xf numFmtId="167" fontId="46" fillId="20" borderId="0" xfId="2" applyNumberFormat="1" applyFont="1" applyFill="1" applyBorder="1"/>
    <xf numFmtId="167" fontId="47" fillId="20" borderId="2" xfId="2" applyNumberFormat="1" applyFont="1" applyFill="1" applyBorder="1" applyAlignment="1">
      <alignment horizontal="right" wrapText="1"/>
    </xf>
    <xf numFmtId="167" fontId="47" fillId="20" borderId="0" xfId="2" applyNumberFormat="1" applyFont="1" applyFill="1" applyBorder="1" applyAlignment="1">
      <alignment horizontal="right" wrapText="1"/>
    </xf>
    <xf numFmtId="42" fontId="46" fillId="20" borderId="4" xfId="0" applyNumberFormat="1" applyFont="1" applyFill="1" applyBorder="1"/>
    <xf numFmtId="167" fontId="46" fillId="20" borderId="4" xfId="2" applyNumberFormat="1" applyFont="1" applyFill="1" applyBorder="1"/>
    <xf numFmtId="9" fontId="47" fillId="20" borderId="17" xfId="3" applyFont="1" applyFill="1" applyBorder="1" applyAlignment="1">
      <alignment horizontal="center" vertical="center"/>
    </xf>
    <xf numFmtId="9" fontId="47" fillId="20" borderId="9" xfId="3" applyFont="1" applyFill="1" applyBorder="1" applyAlignment="1">
      <alignment horizontal="center" vertical="center" wrapText="1"/>
    </xf>
    <xf numFmtId="9" fontId="46" fillId="20" borderId="0" xfId="3" applyFont="1" applyFill="1" applyBorder="1"/>
    <xf numFmtId="9" fontId="47" fillId="20" borderId="0" xfId="3" applyFont="1" applyFill="1" applyBorder="1" applyAlignment="1">
      <alignment horizontal="center" vertical="center" wrapText="1"/>
    </xf>
    <xf numFmtId="9" fontId="47" fillId="20" borderId="0" xfId="3" applyFont="1" applyFill="1" applyBorder="1" applyAlignment="1">
      <alignment horizontal="right" wrapText="1"/>
    </xf>
    <xf numFmtId="9" fontId="0" fillId="20" borderId="0" xfId="3" applyFont="1" applyFill="1" applyBorder="1"/>
    <xf numFmtId="9" fontId="0" fillId="0" borderId="0" xfId="3" applyFont="1"/>
    <xf numFmtId="9" fontId="46" fillId="20" borderId="2" xfId="3" applyFont="1" applyFill="1" applyBorder="1"/>
    <xf numFmtId="9" fontId="46" fillId="20" borderId="58" xfId="3" applyFont="1" applyFill="1" applyBorder="1"/>
    <xf numFmtId="9" fontId="47" fillId="20" borderId="2" xfId="3" applyFont="1" applyFill="1" applyBorder="1"/>
    <xf numFmtId="9" fontId="46" fillId="20" borderId="4" xfId="3" applyFont="1" applyFill="1" applyBorder="1"/>
    <xf numFmtId="9" fontId="46" fillId="20" borderId="38" xfId="3" applyFont="1" applyFill="1" applyBorder="1"/>
    <xf numFmtId="9" fontId="47" fillId="20" borderId="2" xfId="3" applyFont="1" applyFill="1" applyBorder="1" applyAlignment="1">
      <alignment horizontal="right" wrapText="1"/>
    </xf>
    <xf numFmtId="0" fontId="3" fillId="20" borderId="0" xfId="38578" applyFont="1" applyFill="1" applyBorder="1" applyAlignment="1">
      <alignment horizontal="left"/>
    </xf>
    <xf numFmtId="0" fontId="3" fillId="20" borderId="0" xfId="38578" applyNumberFormat="1" applyFont="1" applyFill="1" applyBorder="1" applyAlignment="1">
      <alignment horizontal="left"/>
    </xf>
    <xf numFmtId="0" fontId="0" fillId="20" borderId="17" xfId="0" applyFill="1" applyBorder="1"/>
    <xf numFmtId="0" fontId="0" fillId="20" borderId="16" xfId="0" applyFill="1" applyBorder="1"/>
    <xf numFmtId="0" fontId="0" fillId="20" borderId="13" xfId="0" applyFill="1" applyBorder="1"/>
    <xf numFmtId="0" fontId="3" fillId="20" borderId="14" xfId="38578" applyFont="1" applyFill="1" applyBorder="1" applyAlignment="1">
      <alignment horizontal="left"/>
    </xf>
    <xf numFmtId="0" fontId="3" fillId="20" borderId="56" xfId="38578" applyFont="1" applyFill="1" applyBorder="1" applyAlignment="1">
      <alignment horizontal="left"/>
    </xf>
    <xf numFmtId="167" fontId="3" fillId="20" borderId="0" xfId="2" applyNumberFormat="1" applyFont="1" applyFill="1" applyBorder="1"/>
    <xf numFmtId="0" fontId="67" fillId="20" borderId="0" xfId="42327" applyFill="1" applyAlignment="1">
      <alignment horizontal="left"/>
    </xf>
    <xf numFmtId="0" fontId="2" fillId="20" borderId="0" xfId="0" applyFont="1" applyFill="1" applyBorder="1" applyAlignment="1">
      <alignment horizontal="center"/>
    </xf>
    <xf numFmtId="0" fontId="3" fillId="20" borderId="14" xfId="38578" applyFont="1" applyFill="1" applyBorder="1"/>
    <xf numFmtId="0" fontId="69" fillId="20" borderId="0" xfId="0" applyFont="1" applyFill="1" applyBorder="1" applyAlignment="1">
      <alignment horizontal="left"/>
    </xf>
    <xf numFmtId="167" fontId="46" fillId="20" borderId="0" xfId="2" applyNumberFormat="1" applyFont="1" applyFill="1" applyBorder="1" applyAlignment="1">
      <alignment horizontal="right" vertical="center" wrapText="1"/>
    </xf>
    <xf numFmtId="167" fontId="47" fillId="20" borderId="0" xfId="2" applyNumberFormat="1" applyFont="1" applyFill="1" applyBorder="1" applyAlignment="1">
      <alignment horizontal="right" vertical="center" wrapText="1"/>
    </xf>
    <xf numFmtId="167" fontId="47" fillId="20" borderId="0" xfId="2" applyNumberFormat="1" applyFont="1" applyFill="1" applyBorder="1" applyAlignment="1">
      <alignment vertical="center" wrapText="1"/>
    </xf>
    <xf numFmtId="0" fontId="67" fillId="20" borderId="0" xfId="42327" applyFill="1" applyAlignment="1"/>
    <xf numFmtId="0" fontId="67" fillId="20" borderId="16" xfId="42327" applyFill="1" applyBorder="1" applyAlignment="1">
      <alignment horizontal="centerContinuous" wrapText="1"/>
    </xf>
    <xf numFmtId="0" fontId="67" fillId="20" borderId="17" xfId="42327" applyFill="1" applyBorder="1"/>
    <xf numFmtId="164" fontId="67" fillId="0" borderId="0" xfId="42327" applyNumberFormat="1" applyFill="1" applyBorder="1" applyAlignment="1">
      <alignment horizontal="center"/>
    </xf>
    <xf numFmtId="0" fontId="46" fillId="0" borderId="0" xfId="0" applyFont="1" applyAlignment="1">
      <alignment horizontal="center"/>
    </xf>
    <xf numFmtId="9" fontId="0" fillId="20" borderId="17" xfId="3" applyFont="1" applyFill="1" applyBorder="1"/>
    <xf numFmtId="0" fontId="47" fillId="20" borderId="20" xfId="0" applyFont="1" applyFill="1" applyBorder="1" applyAlignment="1">
      <alignment horizontal="center"/>
    </xf>
    <xf numFmtId="9" fontId="0" fillId="20" borderId="6" xfId="3" applyFont="1" applyFill="1" applyBorder="1"/>
    <xf numFmtId="0" fontId="46" fillId="20" borderId="38" xfId="0" applyFont="1" applyFill="1" applyBorder="1" applyAlignment="1">
      <alignment wrapText="1"/>
    </xf>
    <xf numFmtId="0" fontId="46" fillId="20" borderId="2" xfId="0" applyFont="1" applyFill="1" applyBorder="1" applyAlignment="1">
      <alignment wrapText="1"/>
    </xf>
    <xf numFmtId="0" fontId="46" fillId="20" borderId="38" xfId="0" applyFont="1" applyFill="1" applyBorder="1" applyAlignment="1"/>
    <xf numFmtId="0" fontId="46" fillId="20" borderId="4" xfId="0" applyFont="1" applyFill="1" applyBorder="1" applyAlignment="1">
      <alignment wrapText="1"/>
    </xf>
    <xf numFmtId="0" fontId="3" fillId="20" borderId="46" xfId="38578" applyNumberFormat="1" applyFont="1" applyFill="1" applyBorder="1"/>
    <xf numFmtId="37" fontId="3" fillId="20" borderId="53" xfId="38578" applyNumberFormat="1" applyFont="1" applyFill="1" applyBorder="1" applyAlignment="1">
      <alignment horizontal="right"/>
    </xf>
    <xf numFmtId="37" fontId="3" fillId="20" borderId="22" xfId="38578" applyNumberFormat="1" applyFont="1" applyFill="1" applyBorder="1" applyAlignment="1">
      <alignment horizontal="right"/>
    </xf>
    <xf numFmtId="0" fontId="3" fillId="20" borderId="0" xfId="38578" applyFont="1" applyFill="1" applyBorder="1"/>
    <xf numFmtId="180" fontId="3" fillId="0" borderId="0" xfId="0" applyNumberFormat="1" applyFont="1" applyFill="1" applyBorder="1" applyAlignment="1">
      <alignment horizontal="center"/>
    </xf>
    <xf numFmtId="180" fontId="3" fillId="0" borderId="0" xfId="1" applyNumberFormat="1" applyFont="1" applyFill="1" applyBorder="1" applyAlignment="1">
      <alignment horizontal="center"/>
    </xf>
    <xf numFmtId="0" fontId="55" fillId="20" borderId="13" xfId="0" applyFont="1" applyFill="1" applyBorder="1"/>
    <xf numFmtId="10" fontId="55" fillId="20" borderId="6" xfId="3" applyNumberFormat="1" applyFont="1" applyFill="1" applyBorder="1"/>
    <xf numFmtId="0" fontId="0" fillId="20" borderId="12" xfId="0" applyFill="1" applyBorder="1" applyAlignment="1">
      <alignment horizontal="center"/>
    </xf>
    <xf numFmtId="0" fontId="3" fillId="20" borderId="0" xfId="38578" applyFont="1" applyFill="1" applyBorder="1" applyAlignment="1">
      <alignment wrapText="1"/>
    </xf>
    <xf numFmtId="0" fontId="51" fillId="0" borderId="0" xfId="0" applyFont="1" applyFill="1" applyBorder="1" applyAlignment="1">
      <alignment horizontal="center" vertical="top" readingOrder="1"/>
    </xf>
    <xf numFmtId="0" fontId="51" fillId="20" borderId="0" xfId="0" applyFont="1" applyFill="1" applyBorder="1" applyAlignment="1">
      <alignment horizontal="left" vertical="top"/>
    </xf>
    <xf numFmtId="0" fontId="51" fillId="20" borderId="0" xfId="0" applyFont="1" applyFill="1" applyBorder="1" applyAlignment="1">
      <alignment horizontal="left" vertical="top" wrapText="1"/>
    </xf>
    <xf numFmtId="0" fontId="51" fillId="20" borderId="0" xfId="0" applyFont="1" applyFill="1" applyBorder="1" applyAlignment="1">
      <alignment horizontal="center" vertical="top"/>
    </xf>
    <xf numFmtId="167" fontId="61" fillId="20" borderId="0" xfId="0" applyNumberFormat="1" applyFont="1" applyFill="1" applyBorder="1"/>
    <xf numFmtId="0" fontId="59" fillId="20" borderId="0" xfId="0" applyFont="1" applyFill="1" applyBorder="1" applyAlignment="1">
      <alignment horizontal="left" vertical="top"/>
    </xf>
    <xf numFmtId="0" fontId="51" fillId="20" borderId="0" xfId="0" applyFont="1" applyFill="1" applyBorder="1" applyAlignment="1">
      <alignment wrapText="1"/>
    </xf>
    <xf numFmtId="167" fontId="51" fillId="20" borderId="0" xfId="2" applyNumberFormat="1" applyFont="1" applyFill="1" applyBorder="1"/>
    <xf numFmtId="0" fontId="60" fillId="20" borderId="0" xfId="0" applyFont="1" applyFill="1" applyBorder="1" applyAlignment="1">
      <alignment horizontal="center" vertical="center" wrapText="1" readingOrder="1"/>
    </xf>
    <xf numFmtId="0" fontId="55" fillId="20" borderId="17" xfId="0" applyFont="1" applyFill="1" applyBorder="1" applyAlignment="1">
      <alignment horizontal="left" vertical="top" wrapText="1"/>
    </xf>
    <xf numFmtId="0" fontId="51" fillId="20" borderId="17" xfId="0" applyFont="1" applyFill="1" applyBorder="1" applyAlignment="1">
      <alignment horizontal="center" vertical="top"/>
    </xf>
    <xf numFmtId="167" fontId="51" fillId="20" borderId="17" xfId="2" applyNumberFormat="1" applyFont="1" applyFill="1" applyBorder="1"/>
    <xf numFmtId="0" fontId="51" fillId="20" borderId="17" xfId="0" applyFont="1" applyFill="1" applyBorder="1"/>
    <xf numFmtId="0" fontId="51" fillId="20" borderId="16" xfId="0" applyFont="1" applyFill="1" applyBorder="1"/>
    <xf numFmtId="0" fontId="55" fillId="20" borderId="0" xfId="0" applyFont="1" applyFill="1" applyBorder="1" applyAlignment="1">
      <alignment horizontal="left" vertical="top" wrapText="1"/>
    </xf>
    <xf numFmtId="0" fontId="59" fillId="20" borderId="0" xfId="0" applyFont="1" applyFill="1" applyBorder="1" applyAlignment="1">
      <alignment horizontal="center" vertical="center" wrapText="1" readingOrder="1"/>
    </xf>
    <xf numFmtId="0" fontId="59" fillId="20" borderId="5" xfId="0" applyFont="1" applyFill="1" applyBorder="1" applyAlignment="1">
      <alignment horizontal="center" vertical="center" wrapText="1"/>
    </xf>
    <xf numFmtId="167" fontId="59" fillId="20" borderId="0" xfId="2" applyNumberFormat="1" applyFont="1" applyFill="1" applyBorder="1" applyAlignment="1">
      <alignment horizontal="center" vertical="center" wrapText="1" readingOrder="1"/>
    </xf>
    <xf numFmtId="0" fontId="60" fillId="20" borderId="8" xfId="0" applyFont="1" applyFill="1" applyBorder="1" applyAlignment="1">
      <alignment horizontal="center" vertical="center" wrapText="1" readingOrder="1"/>
    </xf>
    <xf numFmtId="0" fontId="59" fillId="20" borderId="13" xfId="0" applyFont="1" applyFill="1" applyBorder="1" applyAlignment="1">
      <alignment horizontal="center" vertical="center" wrapText="1" readingOrder="1"/>
    </xf>
    <xf numFmtId="0" fontId="51" fillId="20" borderId="14" xfId="0" applyFont="1" applyFill="1" applyBorder="1" applyAlignment="1">
      <alignment horizontal="left" vertical="top"/>
    </xf>
    <xf numFmtId="0" fontId="59" fillId="20" borderId="14" xfId="0" applyFont="1" applyFill="1" applyBorder="1" applyAlignment="1">
      <alignment horizontal="center" vertical="center" wrapText="1" readingOrder="1"/>
    </xf>
    <xf numFmtId="0" fontId="59" fillId="0" borderId="14" xfId="0" applyFont="1" applyFill="1" applyBorder="1" applyAlignment="1">
      <alignment horizontal="left" vertical="top"/>
    </xf>
    <xf numFmtId="0" fontId="51" fillId="20" borderId="14" xfId="0" applyFont="1" applyFill="1" applyBorder="1"/>
    <xf numFmtId="0" fontId="51" fillId="20" borderId="12" xfId="0" applyFont="1" applyFill="1" applyBorder="1" applyAlignment="1">
      <alignment horizontal="left" vertical="top"/>
    </xf>
    <xf numFmtId="0" fontId="51" fillId="20" borderId="6" xfId="0" applyFont="1" applyFill="1" applyBorder="1" applyAlignment="1">
      <alignment horizontal="left" vertical="top"/>
    </xf>
    <xf numFmtId="0" fontId="51" fillId="20" borderId="49" xfId="0" applyFont="1" applyFill="1" applyBorder="1" applyAlignment="1">
      <alignment horizontal="left" vertical="top"/>
    </xf>
    <xf numFmtId="0" fontId="51" fillId="20" borderId="38" xfId="0" applyFont="1" applyFill="1" applyBorder="1" applyAlignment="1">
      <alignment horizontal="left" vertical="top"/>
    </xf>
    <xf numFmtId="0" fontId="51" fillId="20" borderId="38" xfId="0" applyFont="1" applyFill="1" applyBorder="1" applyAlignment="1">
      <alignment horizontal="left" vertical="top" wrapText="1"/>
    </xf>
    <xf numFmtId="0" fontId="51" fillId="20" borderId="38" xfId="0" applyFont="1" applyFill="1" applyBorder="1"/>
    <xf numFmtId="0" fontId="51" fillId="20" borderId="38" xfId="0" applyFont="1" applyFill="1" applyBorder="1" applyAlignment="1">
      <alignment horizontal="center" vertical="top"/>
    </xf>
    <xf numFmtId="167" fontId="51" fillId="20" borderId="38" xfId="2" applyNumberFormat="1" applyFont="1" applyFill="1" applyBorder="1"/>
    <xf numFmtId="0" fontId="51" fillId="20" borderId="33" xfId="0" applyFont="1" applyFill="1" applyBorder="1"/>
    <xf numFmtId="0" fontId="70" fillId="20" borderId="18" xfId="0" applyFont="1" applyFill="1" applyBorder="1" applyAlignment="1">
      <alignment horizontal="left" vertical="top"/>
    </xf>
    <xf numFmtId="0" fontId="51" fillId="20" borderId="17" xfId="0" applyFont="1" applyFill="1" applyBorder="1" applyAlignment="1">
      <alignment horizontal="left" vertical="top" wrapText="1"/>
    </xf>
    <xf numFmtId="0" fontId="70" fillId="20" borderId="14" xfId="0" applyFont="1" applyFill="1" applyBorder="1" applyAlignment="1">
      <alignment horizontal="left" vertical="top"/>
    </xf>
    <xf numFmtId="0" fontId="71" fillId="20" borderId="17" xfId="0" applyFont="1" applyFill="1" applyBorder="1" applyAlignment="1">
      <alignment horizontal="left" vertical="top"/>
    </xf>
    <xf numFmtId="0" fontId="52" fillId="20" borderId="17" xfId="0" applyFont="1" applyFill="1" applyBorder="1"/>
    <xf numFmtId="0" fontId="71" fillId="20" borderId="0" xfId="0" applyFont="1" applyFill="1" applyBorder="1" applyAlignment="1">
      <alignment horizontal="left" vertical="top"/>
    </xf>
    <xf numFmtId="0" fontId="53" fillId="20" borderId="49" xfId="0" applyFont="1" applyFill="1" applyBorder="1" applyAlignment="1">
      <alignment horizontal="center" readingOrder="1"/>
    </xf>
    <xf numFmtId="0" fontId="53" fillId="20" borderId="0" xfId="0" applyFont="1" applyFill="1" applyBorder="1" applyAlignment="1">
      <alignment horizontal="center" readingOrder="1"/>
    </xf>
    <xf numFmtId="0" fontId="53" fillId="20" borderId="0" xfId="0" applyFont="1" applyFill="1" applyBorder="1" applyAlignment="1">
      <alignment horizontal="center" wrapText="1" readingOrder="1"/>
    </xf>
    <xf numFmtId="0" fontId="52" fillId="20" borderId="14" xfId="0" applyFont="1" applyFill="1" applyBorder="1" applyAlignment="1">
      <alignment horizontal="left" vertical="top"/>
    </xf>
    <xf numFmtId="0" fontId="52" fillId="20" borderId="0" xfId="0" applyFont="1" applyFill="1" applyBorder="1" applyAlignment="1">
      <alignment horizontal="left" vertical="top"/>
    </xf>
    <xf numFmtId="0" fontId="51" fillId="26" borderId="14" xfId="0" applyFont="1" applyFill="1" applyBorder="1" applyAlignment="1">
      <alignment horizontal="left" vertical="top"/>
    </xf>
    <xf numFmtId="0" fontId="52" fillId="26" borderId="0" xfId="0" applyFont="1" applyFill="1" applyBorder="1" applyAlignment="1">
      <alignment horizontal="left" vertical="top"/>
    </xf>
    <xf numFmtId="0" fontId="52" fillId="26" borderId="0" xfId="0" applyFont="1" applyFill="1" applyBorder="1"/>
    <xf numFmtId="0" fontId="52" fillId="26" borderId="13" xfId="0" applyFont="1" applyFill="1" applyBorder="1"/>
    <xf numFmtId="0" fontId="52" fillId="20" borderId="12" xfId="0" applyFont="1" applyFill="1" applyBorder="1"/>
    <xf numFmtId="0" fontId="67" fillId="20" borderId="16" xfId="42327" applyFill="1" applyBorder="1"/>
    <xf numFmtId="0" fontId="53" fillId="20" borderId="13" xfId="0" applyFont="1" applyFill="1" applyBorder="1" applyAlignment="1">
      <alignment horizontal="center" readingOrder="1"/>
    </xf>
    <xf numFmtId="0" fontId="52" fillId="20" borderId="6" xfId="0" applyFont="1" applyFill="1" applyBorder="1" applyAlignment="1">
      <alignment horizontal="left" vertical="top"/>
    </xf>
    <xf numFmtId="0" fontId="3" fillId="20" borderId="28" xfId="38578" applyFont="1" applyFill="1" applyBorder="1" applyAlignment="1">
      <alignment horizontal="left"/>
    </xf>
    <xf numFmtId="0" fontId="67" fillId="20" borderId="28" xfId="42327" applyFill="1" applyBorder="1"/>
    <xf numFmtId="0" fontId="46" fillId="20" borderId="5" xfId="0" applyFont="1" applyFill="1" applyBorder="1"/>
    <xf numFmtId="0" fontId="0" fillId="20" borderId="7" xfId="0" applyFill="1" applyBorder="1"/>
    <xf numFmtId="0" fontId="0" fillId="20" borderId="7" xfId="0" applyFill="1" applyBorder="1" applyAlignment="1">
      <alignment vertical="center" wrapText="1"/>
    </xf>
    <xf numFmtId="0" fontId="52" fillId="20" borderId="16" xfId="0" applyFont="1" applyFill="1" applyBorder="1" applyAlignment="1">
      <alignment horizontal="centerContinuous" wrapText="1"/>
    </xf>
    <xf numFmtId="0" fontId="0" fillId="20" borderId="14" xfId="0" applyFill="1" applyBorder="1"/>
    <xf numFmtId="0" fontId="52" fillId="20" borderId="20" xfId="0" applyFont="1" applyFill="1" applyBorder="1" applyAlignment="1">
      <alignment horizontal="center"/>
    </xf>
    <xf numFmtId="37" fontId="3" fillId="20" borderId="15" xfId="42319" applyNumberFormat="1" applyFont="1" applyFill="1" applyBorder="1" applyAlignment="1">
      <alignment horizontal="center"/>
    </xf>
    <xf numFmtId="167" fontId="52" fillId="20" borderId="13" xfId="0" applyNumberFormat="1" applyFont="1" applyFill="1" applyBorder="1"/>
    <xf numFmtId="0" fontId="52" fillId="20" borderId="59" xfId="0" applyFont="1" applyFill="1" applyBorder="1" applyAlignment="1">
      <alignment horizontal="center"/>
    </xf>
    <xf numFmtId="0" fontId="66" fillId="20" borderId="46" xfId="0" applyFont="1" applyFill="1" applyBorder="1" applyAlignment="1">
      <alignment horizontal="left"/>
    </xf>
    <xf numFmtId="5" fontId="55" fillId="20" borderId="46" xfId="0" applyNumberFormat="1" applyFont="1" applyFill="1" applyBorder="1"/>
    <xf numFmtId="0" fontId="55" fillId="20" borderId="46" xfId="0" applyFont="1" applyFill="1" applyBorder="1"/>
    <xf numFmtId="9" fontId="55" fillId="20" borderId="46" xfId="3" applyFont="1" applyFill="1" applyBorder="1"/>
    <xf numFmtId="0" fontId="51" fillId="20" borderId="46" xfId="0" applyFont="1" applyFill="1" applyBorder="1"/>
    <xf numFmtId="0" fontId="51" fillId="20" borderId="21" xfId="0" applyFont="1" applyFill="1" applyBorder="1"/>
    <xf numFmtId="0" fontId="55" fillId="20" borderId="21" xfId="0" applyFont="1" applyFill="1" applyBorder="1"/>
    <xf numFmtId="0" fontId="67" fillId="20" borderId="13" xfId="42327" applyFill="1" applyBorder="1" applyAlignment="1">
      <alignment horizontal="centerContinuous" wrapText="1"/>
    </xf>
    <xf numFmtId="0" fontId="67" fillId="20" borderId="16" xfId="42327" applyFill="1" applyBorder="1" applyAlignment="1">
      <alignment horizontal="left" wrapText="1"/>
    </xf>
    <xf numFmtId="0" fontId="67" fillId="20" borderId="17" xfId="42327" applyFill="1" applyBorder="1" applyAlignment="1">
      <alignment horizontal="left"/>
    </xf>
    <xf numFmtId="0" fontId="52" fillId="20" borderId="18" xfId="0" applyFont="1" applyFill="1" applyBorder="1" applyAlignment="1">
      <alignment horizontal="left" vertical="top"/>
    </xf>
    <xf numFmtId="0" fontId="67" fillId="20" borderId="0" xfId="42327" applyFill="1" applyAlignment="1">
      <alignment horizontal="left"/>
    </xf>
    <xf numFmtId="0" fontId="57" fillId="20" borderId="0" xfId="0" applyFont="1" applyFill="1" applyAlignment="1">
      <alignment horizontal="center"/>
    </xf>
    <xf numFmtId="0" fontId="68" fillId="20" borderId="0" xfId="0" applyFont="1" applyFill="1" applyAlignment="1">
      <alignment horizontal="center"/>
    </xf>
    <xf numFmtId="0" fontId="2" fillId="20" borderId="0" xfId="0" applyFont="1" applyFill="1" applyBorder="1" applyAlignment="1">
      <alignment horizontal="center"/>
    </xf>
    <xf numFmtId="0" fontId="2" fillId="20" borderId="13" xfId="0" applyFont="1" applyFill="1" applyBorder="1" applyAlignment="1">
      <alignment horizontal="center"/>
    </xf>
    <xf numFmtId="0" fontId="2" fillId="20" borderId="6" xfId="0" applyFont="1" applyFill="1" applyBorder="1" applyAlignment="1">
      <alignment horizontal="center"/>
    </xf>
    <xf numFmtId="0" fontId="2" fillId="20" borderId="11" xfId="0" applyFont="1" applyFill="1" applyBorder="1" applyAlignment="1">
      <alignment horizontal="center"/>
    </xf>
    <xf numFmtId="0" fontId="3" fillId="20" borderId="0" xfId="38578" applyFont="1" applyFill="1" applyBorder="1" applyAlignment="1">
      <alignment wrapText="1"/>
    </xf>
    <xf numFmtId="0" fontId="3" fillId="20" borderId="13" xfId="38578" applyFont="1" applyFill="1" applyBorder="1" applyAlignment="1">
      <alignment wrapText="1"/>
    </xf>
    <xf numFmtId="0" fontId="3" fillId="20" borderId="0" xfId="38578" applyFont="1" applyFill="1" applyBorder="1"/>
    <xf numFmtId="0" fontId="3" fillId="20" borderId="13" xfId="38578" applyFont="1" applyFill="1" applyBorder="1"/>
    <xf numFmtId="0" fontId="3" fillId="20" borderId="0" xfId="38578" applyFont="1" applyFill="1" applyBorder="1" applyAlignment="1"/>
    <xf numFmtId="0" fontId="3" fillId="20" borderId="13" xfId="38578" applyFont="1" applyFill="1" applyBorder="1" applyAlignment="1"/>
    <xf numFmtId="0" fontId="3" fillId="20" borderId="0" xfId="38578" applyFont="1" applyFill="1" applyBorder="1" applyAlignment="1">
      <alignment horizontal="left"/>
    </xf>
    <xf numFmtId="0" fontId="3" fillId="20" borderId="13" xfId="38578" applyFont="1" applyFill="1" applyBorder="1" applyAlignment="1">
      <alignment horizontal="left"/>
    </xf>
    <xf numFmtId="0" fontId="46" fillId="20" borderId="0" xfId="0" applyFont="1" applyFill="1" applyBorder="1" applyAlignment="1">
      <alignment horizontal="left"/>
    </xf>
    <xf numFmtId="0" fontId="46" fillId="20" borderId="13" xfId="0" applyFont="1" applyFill="1" applyBorder="1" applyAlignment="1">
      <alignment horizontal="left"/>
    </xf>
    <xf numFmtId="0" fontId="46" fillId="20" borderId="6" xfId="0" applyFont="1" applyFill="1" applyBorder="1" applyAlignment="1">
      <alignment horizontal="left"/>
    </xf>
    <xf numFmtId="0" fontId="46" fillId="20" borderId="11"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59" fillId="20" borderId="38" xfId="0" applyFont="1" applyFill="1" applyBorder="1" applyAlignment="1">
      <alignment horizontal="center"/>
    </xf>
    <xf numFmtId="0" fontId="51" fillId="20" borderId="6" xfId="0" applyFont="1" applyFill="1" applyBorder="1" applyAlignment="1">
      <alignment horizontal="left" vertical="top" wrapText="1"/>
    </xf>
    <xf numFmtId="0" fontId="51" fillId="20" borderId="11" xfId="0" applyFont="1" applyFill="1" applyBorder="1" applyAlignment="1">
      <alignment horizontal="left" vertical="top" wrapText="1"/>
    </xf>
  </cellXfs>
  <cellStyles count="42328">
    <cellStyle name="20% - Accent1 10" xfId="4" xr:uid="{00000000-0005-0000-0000-000000000000}"/>
    <cellStyle name="20% - Accent1 10 2" xfId="5" xr:uid="{00000000-0005-0000-0000-000001000000}"/>
    <cellStyle name="20% - Accent1 10 2 2" xfId="6" xr:uid="{00000000-0005-0000-0000-000002000000}"/>
    <cellStyle name="20% - Accent1 10 2 2 2" xfId="7" xr:uid="{00000000-0005-0000-0000-000003000000}"/>
    <cellStyle name="20% - Accent1 10 2 3" xfId="8" xr:uid="{00000000-0005-0000-0000-000004000000}"/>
    <cellStyle name="20% - Accent1 10 2 4" xfId="9" xr:uid="{00000000-0005-0000-0000-000005000000}"/>
    <cellStyle name="20% - Accent1 10 2 5" xfId="10" xr:uid="{00000000-0005-0000-0000-000006000000}"/>
    <cellStyle name="20% - Accent1 10 3" xfId="11" xr:uid="{00000000-0005-0000-0000-000007000000}"/>
    <cellStyle name="20% - Accent1 10 3 2" xfId="12" xr:uid="{00000000-0005-0000-0000-000008000000}"/>
    <cellStyle name="20% - Accent1 10 3 3" xfId="13" xr:uid="{00000000-0005-0000-0000-000009000000}"/>
    <cellStyle name="20% - Accent1 10 3 4" xfId="14" xr:uid="{00000000-0005-0000-0000-00000A000000}"/>
    <cellStyle name="20% - Accent1 10 4" xfId="15" xr:uid="{00000000-0005-0000-0000-00000B000000}"/>
    <cellStyle name="20% - Accent1 10 4 2" xfId="16" xr:uid="{00000000-0005-0000-0000-00000C000000}"/>
    <cellStyle name="20% - Accent1 10 5" xfId="17" xr:uid="{00000000-0005-0000-0000-00000D000000}"/>
    <cellStyle name="20% - Accent1 10 6" xfId="18" xr:uid="{00000000-0005-0000-0000-00000E000000}"/>
    <cellStyle name="20% - Accent1 10 7" xfId="19" xr:uid="{00000000-0005-0000-0000-00000F000000}"/>
    <cellStyle name="20% - Accent1 10 8" xfId="20" xr:uid="{00000000-0005-0000-0000-000010000000}"/>
    <cellStyle name="20% - Accent1 11" xfId="21" xr:uid="{00000000-0005-0000-0000-000011000000}"/>
    <cellStyle name="20% - Accent1 11 2" xfId="22" xr:uid="{00000000-0005-0000-0000-000012000000}"/>
    <cellStyle name="20% - Accent1 11 2 2" xfId="23" xr:uid="{00000000-0005-0000-0000-000013000000}"/>
    <cellStyle name="20% - Accent1 11 2 2 2" xfId="24" xr:uid="{00000000-0005-0000-0000-000014000000}"/>
    <cellStyle name="20% - Accent1 11 2 3" xfId="25" xr:uid="{00000000-0005-0000-0000-000015000000}"/>
    <cellStyle name="20% - Accent1 11 2 4" xfId="26" xr:uid="{00000000-0005-0000-0000-000016000000}"/>
    <cellStyle name="20% - Accent1 11 2 5" xfId="27" xr:uid="{00000000-0005-0000-0000-000017000000}"/>
    <cellStyle name="20% - Accent1 11 3" xfId="28" xr:uid="{00000000-0005-0000-0000-000018000000}"/>
    <cellStyle name="20% - Accent1 11 3 2" xfId="29" xr:uid="{00000000-0005-0000-0000-000019000000}"/>
    <cellStyle name="20% - Accent1 11 3 3" xfId="30" xr:uid="{00000000-0005-0000-0000-00001A000000}"/>
    <cellStyle name="20% - Accent1 11 3 4" xfId="31" xr:uid="{00000000-0005-0000-0000-00001B000000}"/>
    <cellStyle name="20% - Accent1 11 4" xfId="32" xr:uid="{00000000-0005-0000-0000-00001C000000}"/>
    <cellStyle name="20% - Accent1 11 4 2" xfId="33" xr:uid="{00000000-0005-0000-0000-00001D000000}"/>
    <cellStyle name="20% - Accent1 11 5" xfId="34" xr:uid="{00000000-0005-0000-0000-00001E000000}"/>
    <cellStyle name="20% - Accent1 11 6" xfId="35" xr:uid="{00000000-0005-0000-0000-00001F000000}"/>
    <cellStyle name="20% - Accent1 11 7" xfId="36" xr:uid="{00000000-0005-0000-0000-000020000000}"/>
    <cellStyle name="20% - Accent1 11 8" xfId="37" xr:uid="{00000000-0005-0000-0000-000021000000}"/>
    <cellStyle name="20% - Accent1 12" xfId="38" xr:uid="{00000000-0005-0000-0000-000022000000}"/>
    <cellStyle name="20% - Accent1 12 2" xfId="39" xr:uid="{00000000-0005-0000-0000-000023000000}"/>
    <cellStyle name="20% - Accent1 12 2 2" xfId="40" xr:uid="{00000000-0005-0000-0000-000024000000}"/>
    <cellStyle name="20% - Accent1 12 2 2 2" xfId="41" xr:uid="{00000000-0005-0000-0000-000025000000}"/>
    <cellStyle name="20% - Accent1 12 2 3" xfId="42" xr:uid="{00000000-0005-0000-0000-000026000000}"/>
    <cellStyle name="20% - Accent1 12 2 4" xfId="43" xr:uid="{00000000-0005-0000-0000-000027000000}"/>
    <cellStyle name="20% - Accent1 12 2 5" xfId="44" xr:uid="{00000000-0005-0000-0000-000028000000}"/>
    <cellStyle name="20% - Accent1 12 3" xfId="45" xr:uid="{00000000-0005-0000-0000-000029000000}"/>
    <cellStyle name="20% - Accent1 12 3 2" xfId="46" xr:uid="{00000000-0005-0000-0000-00002A000000}"/>
    <cellStyle name="20% - Accent1 12 3 3" xfId="47" xr:uid="{00000000-0005-0000-0000-00002B000000}"/>
    <cellStyle name="20% - Accent1 12 3 4" xfId="48" xr:uid="{00000000-0005-0000-0000-00002C000000}"/>
    <cellStyle name="20% - Accent1 12 4" xfId="49" xr:uid="{00000000-0005-0000-0000-00002D000000}"/>
    <cellStyle name="20% - Accent1 12 4 2" xfId="50" xr:uid="{00000000-0005-0000-0000-00002E000000}"/>
    <cellStyle name="20% - Accent1 12 5" xfId="51" xr:uid="{00000000-0005-0000-0000-00002F000000}"/>
    <cellStyle name="20% - Accent1 12 6" xfId="52" xr:uid="{00000000-0005-0000-0000-000030000000}"/>
    <cellStyle name="20% - Accent1 12 7" xfId="53" xr:uid="{00000000-0005-0000-0000-000031000000}"/>
    <cellStyle name="20% - Accent1 12 8" xfId="54" xr:uid="{00000000-0005-0000-0000-000032000000}"/>
    <cellStyle name="20% - Accent1 13" xfId="55" xr:uid="{00000000-0005-0000-0000-000033000000}"/>
    <cellStyle name="20% - Accent1 13 2" xfId="56" xr:uid="{00000000-0005-0000-0000-000034000000}"/>
    <cellStyle name="20% - Accent1 13 2 2" xfId="57" xr:uid="{00000000-0005-0000-0000-000035000000}"/>
    <cellStyle name="20% - Accent1 13 2 3" xfId="58" xr:uid="{00000000-0005-0000-0000-000036000000}"/>
    <cellStyle name="20% - Accent1 13 2 4" xfId="59" xr:uid="{00000000-0005-0000-0000-000037000000}"/>
    <cellStyle name="20% - Accent1 13 3" xfId="60" xr:uid="{00000000-0005-0000-0000-000038000000}"/>
    <cellStyle name="20% - Accent1 13 3 2" xfId="61" xr:uid="{00000000-0005-0000-0000-000039000000}"/>
    <cellStyle name="20% - Accent1 13 4" xfId="62" xr:uid="{00000000-0005-0000-0000-00003A000000}"/>
    <cellStyle name="20% - Accent1 13 5" xfId="63" xr:uid="{00000000-0005-0000-0000-00003B000000}"/>
    <cellStyle name="20% - Accent1 13 6" xfId="64" xr:uid="{00000000-0005-0000-0000-00003C000000}"/>
    <cellStyle name="20% - Accent1 14" xfId="65" xr:uid="{00000000-0005-0000-0000-00003D000000}"/>
    <cellStyle name="20% - Accent1 14 2" xfId="66" xr:uid="{00000000-0005-0000-0000-00003E000000}"/>
    <cellStyle name="20% - Accent1 14 2 2" xfId="67" xr:uid="{00000000-0005-0000-0000-00003F000000}"/>
    <cellStyle name="20% - Accent1 14 3" xfId="68" xr:uid="{00000000-0005-0000-0000-000040000000}"/>
    <cellStyle name="20% - Accent1 14 4" xfId="69" xr:uid="{00000000-0005-0000-0000-000041000000}"/>
    <cellStyle name="20% - Accent1 14 5" xfId="70" xr:uid="{00000000-0005-0000-0000-000042000000}"/>
    <cellStyle name="20% - Accent1 15" xfId="71" xr:uid="{00000000-0005-0000-0000-000043000000}"/>
    <cellStyle name="20% - Accent1 15 2" xfId="72" xr:uid="{00000000-0005-0000-0000-000044000000}"/>
    <cellStyle name="20% - Accent1 15 2 2" xfId="73" xr:uid="{00000000-0005-0000-0000-000045000000}"/>
    <cellStyle name="20% - Accent1 15 3" xfId="74" xr:uid="{00000000-0005-0000-0000-000046000000}"/>
    <cellStyle name="20% - Accent1 15 4" xfId="75" xr:uid="{00000000-0005-0000-0000-000047000000}"/>
    <cellStyle name="20% - Accent1 15 5" xfId="76" xr:uid="{00000000-0005-0000-0000-000048000000}"/>
    <cellStyle name="20% - Accent1 16" xfId="77" xr:uid="{00000000-0005-0000-0000-000049000000}"/>
    <cellStyle name="20% - Accent1 16 2" xfId="78" xr:uid="{00000000-0005-0000-0000-00004A000000}"/>
    <cellStyle name="20% - Accent1 17" xfId="79" xr:uid="{00000000-0005-0000-0000-00004B000000}"/>
    <cellStyle name="20% - Accent1 18" xfId="80" xr:uid="{00000000-0005-0000-0000-00004C000000}"/>
    <cellStyle name="20% - Accent1 19" xfId="81" xr:uid="{00000000-0005-0000-0000-00004D000000}"/>
    <cellStyle name="20% - Accent1 2" xfId="82" xr:uid="{00000000-0005-0000-0000-00004E000000}"/>
    <cellStyle name="20% - Accent1 2 10" xfId="83" xr:uid="{00000000-0005-0000-0000-00004F000000}"/>
    <cellStyle name="20% - Accent1 2 11" xfId="84" xr:uid="{00000000-0005-0000-0000-000050000000}"/>
    <cellStyle name="20% - Accent1 2 2" xfId="85" xr:uid="{00000000-0005-0000-0000-000051000000}"/>
    <cellStyle name="20% - Accent1 2 2 10" xfId="86" xr:uid="{00000000-0005-0000-0000-000052000000}"/>
    <cellStyle name="20% - Accent1 2 2 2" xfId="87" xr:uid="{00000000-0005-0000-0000-000053000000}"/>
    <cellStyle name="20% - Accent1 2 2 2 2" xfId="88" xr:uid="{00000000-0005-0000-0000-000054000000}"/>
    <cellStyle name="20% - Accent1 2 2 2 2 2" xfId="89" xr:uid="{00000000-0005-0000-0000-000055000000}"/>
    <cellStyle name="20% - Accent1 2 2 2 2 2 2" xfId="90" xr:uid="{00000000-0005-0000-0000-000056000000}"/>
    <cellStyle name="20% - Accent1 2 2 2 2 2 3" xfId="91" xr:uid="{00000000-0005-0000-0000-000057000000}"/>
    <cellStyle name="20% - Accent1 2 2 2 2 3" xfId="92" xr:uid="{00000000-0005-0000-0000-000058000000}"/>
    <cellStyle name="20% - Accent1 2 2 2 2 4" xfId="93" xr:uid="{00000000-0005-0000-0000-000059000000}"/>
    <cellStyle name="20% - Accent1 2 2 2 2 5" xfId="94" xr:uid="{00000000-0005-0000-0000-00005A000000}"/>
    <cellStyle name="20% - Accent1 2 2 2 2 6" xfId="95" xr:uid="{00000000-0005-0000-0000-00005B000000}"/>
    <cellStyle name="20% - Accent1 2 2 2 3" xfId="96" xr:uid="{00000000-0005-0000-0000-00005C000000}"/>
    <cellStyle name="20% - Accent1 2 2 2 3 2" xfId="97" xr:uid="{00000000-0005-0000-0000-00005D000000}"/>
    <cellStyle name="20% - Accent1 2 2 2 3 2 2" xfId="98" xr:uid="{00000000-0005-0000-0000-00005E000000}"/>
    <cellStyle name="20% - Accent1 2 2 2 3 3" xfId="99" xr:uid="{00000000-0005-0000-0000-00005F000000}"/>
    <cellStyle name="20% - Accent1 2 2 2 3 4" xfId="100" xr:uid="{00000000-0005-0000-0000-000060000000}"/>
    <cellStyle name="20% - Accent1 2 2 2 3 5" xfId="101" xr:uid="{00000000-0005-0000-0000-000061000000}"/>
    <cellStyle name="20% - Accent1 2 2 2 4" xfId="102" xr:uid="{00000000-0005-0000-0000-000062000000}"/>
    <cellStyle name="20% - Accent1 2 2 2 4 2" xfId="103" xr:uid="{00000000-0005-0000-0000-000063000000}"/>
    <cellStyle name="20% - Accent1 2 2 2 4 3" xfId="104" xr:uid="{00000000-0005-0000-0000-000064000000}"/>
    <cellStyle name="20% - Accent1 2 2 2 4 4" xfId="105" xr:uid="{00000000-0005-0000-0000-000065000000}"/>
    <cellStyle name="20% - Accent1 2 2 2 5" xfId="106" xr:uid="{00000000-0005-0000-0000-000066000000}"/>
    <cellStyle name="20% - Accent1 2 2 2 5 2" xfId="107" xr:uid="{00000000-0005-0000-0000-000067000000}"/>
    <cellStyle name="20% - Accent1 2 2 2 6" xfId="108" xr:uid="{00000000-0005-0000-0000-000068000000}"/>
    <cellStyle name="20% - Accent1 2 2 2 7" xfId="109" xr:uid="{00000000-0005-0000-0000-000069000000}"/>
    <cellStyle name="20% - Accent1 2 2 2 8" xfId="110" xr:uid="{00000000-0005-0000-0000-00006A000000}"/>
    <cellStyle name="20% - Accent1 2 2 2 9" xfId="111" xr:uid="{00000000-0005-0000-0000-00006B000000}"/>
    <cellStyle name="20% - Accent1 2 2 3" xfId="112" xr:uid="{00000000-0005-0000-0000-00006C000000}"/>
    <cellStyle name="20% - Accent1 2 2 3 2" xfId="113" xr:uid="{00000000-0005-0000-0000-00006D000000}"/>
    <cellStyle name="20% - Accent1 2 2 3 2 2" xfId="114" xr:uid="{00000000-0005-0000-0000-00006E000000}"/>
    <cellStyle name="20% - Accent1 2 2 3 2 3" xfId="115" xr:uid="{00000000-0005-0000-0000-00006F000000}"/>
    <cellStyle name="20% - Accent1 2 2 3 3" xfId="116" xr:uid="{00000000-0005-0000-0000-000070000000}"/>
    <cellStyle name="20% - Accent1 2 2 3 4" xfId="117" xr:uid="{00000000-0005-0000-0000-000071000000}"/>
    <cellStyle name="20% - Accent1 2 2 3 5" xfId="118" xr:uid="{00000000-0005-0000-0000-000072000000}"/>
    <cellStyle name="20% - Accent1 2 2 3 6" xfId="119" xr:uid="{00000000-0005-0000-0000-000073000000}"/>
    <cellStyle name="20% - Accent1 2 2 4" xfId="120" xr:uid="{00000000-0005-0000-0000-000074000000}"/>
    <cellStyle name="20% - Accent1 2 2 4 2" xfId="121" xr:uid="{00000000-0005-0000-0000-000075000000}"/>
    <cellStyle name="20% - Accent1 2 2 4 2 2" xfId="122" xr:uid="{00000000-0005-0000-0000-000076000000}"/>
    <cellStyle name="20% - Accent1 2 2 4 3" xfId="123" xr:uid="{00000000-0005-0000-0000-000077000000}"/>
    <cellStyle name="20% - Accent1 2 2 4 4" xfId="124" xr:uid="{00000000-0005-0000-0000-000078000000}"/>
    <cellStyle name="20% - Accent1 2 2 4 5" xfId="125" xr:uid="{00000000-0005-0000-0000-000079000000}"/>
    <cellStyle name="20% - Accent1 2 2 5" xfId="126" xr:uid="{00000000-0005-0000-0000-00007A000000}"/>
    <cellStyle name="20% - Accent1 2 2 5 2" xfId="127" xr:uid="{00000000-0005-0000-0000-00007B000000}"/>
    <cellStyle name="20% - Accent1 2 2 5 3" xfId="128" xr:uid="{00000000-0005-0000-0000-00007C000000}"/>
    <cellStyle name="20% - Accent1 2 2 5 4" xfId="129" xr:uid="{00000000-0005-0000-0000-00007D000000}"/>
    <cellStyle name="20% - Accent1 2 2 6" xfId="130" xr:uid="{00000000-0005-0000-0000-00007E000000}"/>
    <cellStyle name="20% - Accent1 2 2 6 2" xfId="131" xr:uid="{00000000-0005-0000-0000-00007F000000}"/>
    <cellStyle name="20% - Accent1 2 2 7" xfId="132" xr:uid="{00000000-0005-0000-0000-000080000000}"/>
    <cellStyle name="20% - Accent1 2 2 8" xfId="133" xr:uid="{00000000-0005-0000-0000-000081000000}"/>
    <cellStyle name="20% - Accent1 2 2 9" xfId="134" xr:uid="{00000000-0005-0000-0000-000082000000}"/>
    <cellStyle name="20% - Accent1 2 3" xfId="135" xr:uid="{00000000-0005-0000-0000-000083000000}"/>
    <cellStyle name="20% - Accent1 2 3 2" xfId="136" xr:uid="{00000000-0005-0000-0000-000084000000}"/>
    <cellStyle name="20% - Accent1 2 3 2 2" xfId="137" xr:uid="{00000000-0005-0000-0000-000085000000}"/>
    <cellStyle name="20% - Accent1 2 3 2 2 2" xfId="138" xr:uid="{00000000-0005-0000-0000-000086000000}"/>
    <cellStyle name="20% - Accent1 2 3 2 2 3" xfId="139" xr:uid="{00000000-0005-0000-0000-000087000000}"/>
    <cellStyle name="20% - Accent1 2 3 2 3" xfId="140" xr:uid="{00000000-0005-0000-0000-000088000000}"/>
    <cellStyle name="20% - Accent1 2 3 2 4" xfId="141" xr:uid="{00000000-0005-0000-0000-000089000000}"/>
    <cellStyle name="20% - Accent1 2 3 2 5" xfId="142" xr:uid="{00000000-0005-0000-0000-00008A000000}"/>
    <cellStyle name="20% - Accent1 2 3 2 6" xfId="143" xr:uid="{00000000-0005-0000-0000-00008B000000}"/>
    <cellStyle name="20% - Accent1 2 3 3" xfId="144" xr:uid="{00000000-0005-0000-0000-00008C000000}"/>
    <cellStyle name="20% - Accent1 2 3 3 2" xfId="145" xr:uid="{00000000-0005-0000-0000-00008D000000}"/>
    <cellStyle name="20% - Accent1 2 3 3 2 2" xfId="146" xr:uid="{00000000-0005-0000-0000-00008E000000}"/>
    <cellStyle name="20% - Accent1 2 3 3 3" xfId="147" xr:uid="{00000000-0005-0000-0000-00008F000000}"/>
    <cellStyle name="20% - Accent1 2 3 3 4" xfId="148" xr:uid="{00000000-0005-0000-0000-000090000000}"/>
    <cellStyle name="20% - Accent1 2 3 3 5" xfId="149" xr:uid="{00000000-0005-0000-0000-000091000000}"/>
    <cellStyle name="20% - Accent1 2 3 4" xfId="150" xr:uid="{00000000-0005-0000-0000-000092000000}"/>
    <cellStyle name="20% - Accent1 2 3 4 2" xfId="151" xr:uid="{00000000-0005-0000-0000-000093000000}"/>
    <cellStyle name="20% - Accent1 2 3 4 3" xfId="152" xr:uid="{00000000-0005-0000-0000-000094000000}"/>
    <cellStyle name="20% - Accent1 2 3 4 4" xfId="153" xr:uid="{00000000-0005-0000-0000-000095000000}"/>
    <cellStyle name="20% - Accent1 2 3 5" xfId="154" xr:uid="{00000000-0005-0000-0000-000096000000}"/>
    <cellStyle name="20% - Accent1 2 3 5 2" xfId="155" xr:uid="{00000000-0005-0000-0000-000097000000}"/>
    <cellStyle name="20% - Accent1 2 3 6" xfId="156" xr:uid="{00000000-0005-0000-0000-000098000000}"/>
    <cellStyle name="20% - Accent1 2 3 7" xfId="157" xr:uid="{00000000-0005-0000-0000-000099000000}"/>
    <cellStyle name="20% - Accent1 2 3 8" xfId="158" xr:uid="{00000000-0005-0000-0000-00009A000000}"/>
    <cellStyle name="20% - Accent1 2 3 9" xfId="159" xr:uid="{00000000-0005-0000-0000-00009B000000}"/>
    <cellStyle name="20% - Accent1 2 4" xfId="160" xr:uid="{00000000-0005-0000-0000-00009C000000}"/>
    <cellStyle name="20% - Accent1 2 4 2" xfId="161" xr:uid="{00000000-0005-0000-0000-00009D000000}"/>
    <cellStyle name="20% - Accent1 2 4 2 2" xfId="162" xr:uid="{00000000-0005-0000-0000-00009E000000}"/>
    <cellStyle name="20% - Accent1 2 4 2 3" xfId="163" xr:uid="{00000000-0005-0000-0000-00009F000000}"/>
    <cellStyle name="20% - Accent1 2 4 3" xfId="164" xr:uid="{00000000-0005-0000-0000-0000A0000000}"/>
    <cellStyle name="20% - Accent1 2 4 4" xfId="165" xr:uid="{00000000-0005-0000-0000-0000A1000000}"/>
    <cellStyle name="20% - Accent1 2 4 5" xfId="166" xr:uid="{00000000-0005-0000-0000-0000A2000000}"/>
    <cellStyle name="20% - Accent1 2 4 6" xfId="167" xr:uid="{00000000-0005-0000-0000-0000A3000000}"/>
    <cellStyle name="20% - Accent1 2 5" xfId="168" xr:uid="{00000000-0005-0000-0000-0000A4000000}"/>
    <cellStyle name="20% - Accent1 2 5 2" xfId="169" xr:uid="{00000000-0005-0000-0000-0000A5000000}"/>
    <cellStyle name="20% - Accent1 2 5 2 2" xfId="170" xr:uid="{00000000-0005-0000-0000-0000A6000000}"/>
    <cellStyle name="20% - Accent1 2 5 3" xfId="171" xr:uid="{00000000-0005-0000-0000-0000A7000000}"/>
    <cellStyle name="20% - Accent1 2 5 4" xfId="172" xr:uid="{00000000-0005-0000-0000-0000A8000000}"/>
    <cellStyle name="20% - Accent1 2 5 5" xfId="173" xr:uid="{00000000-0005-0000-0000-0000A9000000}"/>
    <cellStyle name="20% - Accent1 2 6" xfId="174" xr:uid="{00000000-0005-0000-0000-0000AA000000}"/>
    <cellStyle name="20% - Accent1 2 6 2" xfId="175" xr:uid="{00000000-0005-0000-0000-0000AB000000}"/>
    <cellStyle name="20% - Accent1 2 6 2 2" xfId="176" xr:uid="{00000000-0005-0000-0000-0000AC000000}"/>
    <cellStyle name="20% - Accent1 2 6 3" xfId="177" xr:uid="{00000000-0005-0000-0000-0000AD000000}"/>
    <cellStyle name="20% - Accent1 2 6 4" xfId="178" xr:uid="{00000000-0005-0000-0000-0000AE000000}"/>
    <cellStyle name="20% - Accent1 2 6 5" xfId="179" xr:uid="{00000000-0005-0000-0000-0000AF000000}"/>
    <cellStyle name="20% - Accent1 2 7" xfId="180" xr:uid="{00000000-0005-0000-0000-0000B0000000}"/>
    <cellStyle name="20% - Accent1 2 7 2" xfId="181" xr:uid="{00000000-0005-0000-0000-0000B1000000}"/>
    <cellStyle name="20% - Accent1 2 8" xfId="182" xr:uid="{00000000-0005-0000-0000-0000B2000000}"/>
    <cellStyle name="20% - Accent1 2 9" xfId="183" xr:uid="{00000000-0005-0000-0000-0000B3000000}"/>
    <cellStyle name="20% - Accent1 3" xfId="184" xr:uid="{00000000-0005-0000-0000-0000B4000000}"/>
    <cellStyle name="20% - Accent1 3 10" xfId="185" xr:uid="{00000000-0005-0000-0000-0000B5000000}"/>
    <cellStyle name="20% - Accent1 3 2" xfId="186" xr:uid="{00000000-0005-0000-0000-0000B6000000}"/>
    <cellStyle name="20% - Accent1 3 2 2" xfId="187" xr:uid="{00000000-0005-0000-0000-0000B7000000}"/>
    <cellStyle name="20% - Accent1 3 2 2 2" xfId="188" xr:uid="{00000000-0005-0000-0000-0000B8000000}"/>
    <cellStyle name="20% - Accent1 3 2 2 2 2" xfId="189" xr:uid="{00000000-0005-0000-0000-0000B9000000}"/>
    <cellStyle name="20% - Accent1 3 2 2 2 3" xfId="190" xr:uid="{00000000-0005-0000-0000-0000BA000000}"/>
    <cellStyle name="20% - Accent1 3 2 2 3" xfId="191" xr:uid="{00000000-0005-0000-0000-0000BB000000}"/>
    <cellStyle name="20% - Accent1 3 2 2 4" xfId="192" xr:uid="{00000000-0005-0000-0000-0000BC000000}"/>
    <cellStyle name="20% - Accent1 3 2 2 5" xfId="193" xr:uid="{00000000-0005-0000-0000-0000BD000000}"/>
    <cellStyle name="20% - Accent1 3 2 2 6" xfId="194" xr:uid="{00000000-0005-0000-0000-0000BE000000}"/>
    <cellStyle name="20% - Accent1 3 2 3" xfId="195" xr:uid="{00000000-0005-0000-0000-0000BF000000}"/>
    <cellStyle name="20% - Accent1 3 2 3 2" xfId="196" xr:uid="{00000000-0005-0000-0000-0000C0000000}"/>
    <cellStyle name="20% - Accent1 3 2 3 2 2" xfId="197" xr:uid="{00000000-0005-0000-0000-0000C1000000}"/>
    <cellStyle name="20% - Accent1 3 2 3 3" xfId="198" xr:uid="{00000000-0005-0000-0000-0000C2000000}"/>
    <cellStyle name="20% - Accent1 3 2 3 4" xfId="199" xr:uid="{00000000-0005-0000-0000-0000C3000000}"/>
    <cellStyle name="20% - Accent1 3 2 3 5" xfId="200" xr:uid="{00000000-0005-0000-0000-0000C4000000}"/>
    <cellStyle name="20% - Accent1 3 2 4" xfId="201" xr:uid="{00000000-0005-0000-0000-0000C5000000}"/>
    <cellStyle name="20% - Accent1 3 2 4 2" xfId="202" xr:uid="{00000000-0005-0000-0000-0000C6000000}"/>
    <cellStyle name="20% - Accent1 3 2 4 3" xfId="203" xr:uid="{00000000-0005-0000-0000-0000C7000000}"/>
    <cellStyle name="20% - Accent1 3 2 4 4" xfId="204" xr:uid="{00000000-0005-0000-0000-0000C8000000}"/>
    <cellStyle name="20% - Accent1 3 2 5" xfId="205" xr:uid="{00000000-0005-0000-0000-0000C9000000}"/>
    <cellStyle name="20% - Accent1 3 2 5 2" xfId="206" xr:uid="{00000000-0005-0000-0000-0000CA000000}"/>
    <cellStyle name="20% - Accent1 3 2 6" xfId="207" xr:uid="{00000000-0005-0000-0000-0000CB000000}"/>
    <cellStyle name="20% - Accent1 3 2 7" xfId="208" xr:uid="{00000000-0005-0000-0000-0000CC000000}"/>
    <cellStyle name="20% - Accent1 3 2 8" xfId="209" xr:uid="{00000000-0005-0000-0000-0000CD000000}"/>
    <cellStyle name="20% - Accent1 3 2 9" xfId="210" xr:uid="{00000000-0005-0000-0000-0000CE000000}"/>
    <cellStyle name="20% - Accent1 3 3" xfId="211" xr:uid="{00000000-0005-0000-0000-0000CF000000}"/>
    <cellStyle name="20% - Accent1 3 3 2" xfId="212" xr:uid="{00000000-0005-0000-0000-0000D0000000}"/>
    <cellStyle name="20% - Accent1 3 3 2 2" xfId="213" xr:uid="{00000000-0005-0000-0000-0000D1000000}"/>
    <cellStyle name="20% - Accent1 3 3 2 3" xfId="214" xr:uid="{00000000-0005-0000-0000-0000D2000000}"/>
    <cellStyle name="20% - Accent1 3 3 3" xfId="215" xr:uid="{00000000-0005-0000-0000-0000D3000000}"/>
    <cellStyle name="20% - Accent1 3 3 4" xfId="216" xr:uid="{00000000-0005-0000-0000-0000D4000000}"/>
    <cellStyle name="20% - Accent1 3 3 5" xfId="217" xr:uid="{00000000-0005-0000-0000-0000D5000000}"/>
    <cellStyle name="20% - Accent1 3 3 6" xfId="218" xr:uid="{00000000-0005-0000-0000-0000D6000000}"/>
    <cellStyle name="20% - Accent1 3 4" xfId="219" xr:uid="{00000000-0005-0000-0000-0000D7000000}"/>
    <cellStyle name="20% - Accent1 3 4 2" xfId="220" xr:uid="{00000000-0005-0000-0000-0000D8000000}"/>
    <cellStyle name="20% - Accent1 3 4 2 2" xfId="221" xr:uid="{00000000-0005-0000-0000-0000D9000000}"/>
    <cellStyle name="20% - Accent1 3 4 3" xfId="222" xr:uid="{00000000-0005-0000-0000-0000DA000000}"/>
    <cellStyle name="20% - Accent1 3 4 4" xfId="223" xr:uid="{00000000-0005-0000-0000-0000DB000000}"/>
    <cellStyle name="20% - Accent1 3 4 5" xfId="224" xr:uid="{00000000-0005-0000-0000-0000DC000000}"/>
    <cellStyle name="20% - Accent1 3 5" xfId="225" xr:uid="{00000000-0005-0000-0000-0000DD000000}"/>
    <cellStyle name="20% - Accent1 3 5 2" xfId="226" xr:uid="{00000000-0005-0000-0000-0000DE000000}"/>
    <cellStyle name="20% - Accent1 3 5 2 2" xfId="227" xr:uid="{00000000-0005-0000-0000-0000DF000000}"/>
    <cellStyle name="20% - Accent1 3 5 3" xfId="228" xr:uid="{00000000-0005-0000-0000-0000E0000000}"/>
    <cellStyle name="20% - Accent1 3 5 4" xfId="229" xr:uid="{00000000-0005-0000-0000-0000E1000000}"/>
    <cellStyle name="20% - Accent1 3 5 5" xfId="230" xr:uid="{00000000-0005-0000-0000-0000E2000000}"/>
    <cellStyle name="20% - Accent1 3 6" xfId="231" xr:uid="{00000000-0005-0000-0000-0000E3000000}"/>
    <cellStyle name="20% - Accent1 3 6 2" xfId="232" xr:uid="{00000000-0005-0000-0000-0000E4000000}"/>
    <cellStyle name="20% - Accent1 3 7" xfId="233" xr:uid="{00000000-0005-0000-0000-0000E5000000}"/>
    <cellStyle name="20% - Accent1 3 8" xfId="234" xr:uid="{00000000-0005-0000-0000-0000E6000000}"/>
    <cellStyle name="20% - Accent1 3 9" xfId="235" xr:uid="{00000000-0005-0000-0000-0000E7000000}"/>
    <cellStyle name="20% - Accent1 4" xfId="236" xr:uid="{00000000-0005-0000-0000-0000E8000000}"/>
    <cellStyle name="20% - Accent1 4 10" xfId="237" xr:uid="{00000000-0005-0000-0000-0000E9000000}"/>
    <cellStyle name="20% - Accent1 4 2" xfId="238" xr:uid="{00000000-0005-0000-0000-0000EA000000}"/>
    <cellStyle name="20% - Accent1 4 2 2" xfId="239" xr:uid="{00000000-0005-0000-0000-0000EB000000}"/>
    <cellStyle name="20% - Accent1 4 2 2 2" xfId="240" xr:uid="{00000000-0005-0000-0000-0000EC000000}"/>
    <cellStyle name="20% - Accent1 4 2 2 2 2" xfId="241" xr:uid="{00000000-0005-0000-0000-0000ED000000}"/>
    <cellStyle name="20% - Accent1 4 2 2 2 3" xfId="242" xr:uid="{00000000-0005-0000-0000-0000EE000000}"/>
    <cellStyle name="20% - Accent1 4 2 2 3" xfId="243" xr:uid="{00000000-0005-0000-0000-0000EF000000}"/>
    <cellStyle name="20% - Accent1 4 2 2 4" xfId="244" xr:uid="{00000000-0005-0000-0000-0000F0000000}"/>
    <cellStyle name="20% - Accent1 4 2 2 5" xfId="245" xr:uid="{00000000-0005-0000-0000-0000F1000000}"/>
    <cellStyle name="20% - Accent1 4 2 2 6" xfId="246" xr:uid="{00000000-0005-0000-0000-0000F2000000}"/>
    <cellStyle name="20% - Accent1 4 2 3" xfId="247" xr:uid="{00000000-0005-0000-0000-0000F3000000}"/>
    <cellStyle name="20% - Accent1 4 2 3 2" xfId="248" xr:uid="{00000000-0005-0000-0000-0000F4000000}"/>
    <cellStyle name="20% - Accent1 4 2 3 2 2" xfId="249" xr:uid="{00000000-0005-0000-0000-0000F5000000}"/>
    <cellStyle name="20% - Accent1 4 2 3 3" xfId="250" xr:uid="{00000000-0005-0000-0000-0000F6000000}"/>
    <cellStyle name="20% - Accent1 4 2 3 4" xfId="251" xr:uid="{00000000-0005-0000-0000-0000F7000000}"/>
    <cellStyle name="20% - Accent1 4 2 3 5" xfId="252" xr:uid="{00000000-0005-0000-0000-0000F8000000}"/>
    <cellStyle name="20% - Accent1 4 2 4" xfId="253" xr:uid="{00000000-0005-0000-0000-0000F9000000}"/>
    <cellStyle name="20% - Accent1 4 2 4 2" xfId="254" xr:uid="{00000000-0005-0000-0000-0000FA000000}"/>
    <cellStyle name="20% - Accent1 4 2 4 3" xfId="255" xr:uid="{00000000-0005-0000-0000-0000FB000000}"/>
    <cellStyle name="20% - Accent1 4 2 4 4" xfId="256" xr:uid="{00000000-0005-0000-0000-0000FC000000}"/>
    <cellStyle name="20% - Accent1 4 2 5" xfId="257" xr:uid="{00000000-0005-0000-0000-0000FD000000}"/>
    <cellStyle name="20% - Accent1 4 2 5 2" xfId="258" xr:uid="{00000000-0005-0000-0000-0000FE000000}"/>
    <cellStyle name="20% - Accent1 4 2 6" xfId="259" xr:uid="{00000000-0005-0000-0000-0000FF000000}"/>
    <cellStyle name="20% - Accent1 4 2 7" xfId="260" xr:uid="{00000000-0005-0000-0000-000000010000}"/>
    <cellStyle name="20% - Accent1 4 2 8" xfId="261" xr:uid="{00000000-0005-0000-0000-000001010000}"/>
    <cellStyle name="20% - Accent1 4 2 9" xfId="262" xr:uid="{00000000-0005-0000-0000-000002010000}"/>
    <cellStyle name="20% - Accent1 4 3" xfId="263" xr:uid="{00000000-0005-0000-0000-000003010000}"/>
    <cellStyle name="20% - Accent1 4 3 2" xfId="264" xr:uid="{00000000-0005-0000-0000-000004010000}"/>
    <cellStyle name="20% - Accent1 4 3 2 2" xfId="265" xr:uid="{00000000-0005-0000-0000-000005010000}"/>
    <cellStyle name="20% - Accent1 4 3 2 3" xfId="266" xr:uid="{00000000-0005-0000-0000-000006010000}"/>
    <cellStyle name="20% - Accent1 4 3 3" xfId="267" xr:uid="{00000000-0005-0000-0000-000007010000}"/>
    <cellStyle name="20% - Accent1 4 3 4" xfId="268" xr:uid="{00000000-0005-0000-0000-000008010000}"/>
    <cellStyle name="20% - Accent1 4 3 5" xfId="269" xr:uid="{00000000-0005-0000-0000-000009010000}"/>
    <cellStyle name="20% - Accent1 4 3 6" xfId="270" xr:uid="{00000000-0005-0000-0000-00000A010000}"/>
    <cellStyle name="20% - Accent1 4 4" xfId="271" xr:uid="{00000000-0005-0000-0000-00000B010000}"/>
    <cellStyle name="20% - Accent1 4 4 2" xfId="272" xr:uid="{00000000-0005-0000-0000-00000C010000}"/>
    <cellStyle name="20% - Accent1 4 4 2 2" xfId="273" xr:uid="{00000000-0005-0000-0000-00000D010000}"/>
    <cellStyle name="20% - Accent1 4 4 3" xfId="274" xr:uid="{00000000-0005-0000-0000-00000E010000}"/>
    <cellStyle name="20% - Accent1 4 4 4" xfId="275" xr:uid="{00000000-0005-0000-0000-00000F010000}"/>
    <cellStyle name="20% - Accent1 4 4 5" xfId="276" xr:uid="{00000000-0005-0000-0000-000010010000}"/>
    <cellStyle name="20% - Accent1 4 5" xfId="277" xr:uid="{00000000-0005-0000-0000-000011010000}"/>
    <cellStyle name="20% - Accent1 4 5 2" xfId="278" xr:uid="{00000000-0005-0000-0000-000012010000}"/>
    <cellStyle name="20% - Accent1 4 5 2 2" xfId="279" xr:uid="{00000000-0005-0000-0000-000013010000}"/>
    <cellStyle name="20% - Accent1 4 5 3" xfId="280" xr:uid="{00000000-0005-0000-0000-000014010000}"/>
    <cellStyle name="20% - Accent1 4 5 4" xfId="281" xr:uid="{00000000-0005-0000-0000-000015010000}"/>
    <cellStyle name="20% - Accent1 4 5 5" xfId="282" xr:uid="{00000000-0005-0000-0000-000016010000}"/>
    <cellStyle name="20% - Accent1 4 6" xfId="283" xr:uid="{00000000-0005-0000-0000-000017010000}"/>
    <cellStyle name="20% - Accent1 4 6 2" xfId="284" xr:uid="{00000000-0005-0000-0000-000018010000}"/>
    <cellStyle name="20% - Accent1 4 7" xfId="285" xr:uid="{00000000-0005-0000-0000-000019010000}"/>
    <cellStyle name="20% - Accent1 4 8" xfId="286" xr:uid="{00000000-0005-0000-0000-00001A010000}"/>
    <cellStyle name="20% - Accent1 4 9" xfId="287" xr:uid="{00000000-0005-0000-0000-00001B010000}"/>
    <cellStyle name="20% - Accent1 5" xfId="288" xr:uid="{00000000-0005-0000-0000-00001C010000}"/>
    <cellStyle name="20% - Accent1 5 10" xfId="289" xr:uid="{00000000-0005-0000-0000-00001D010000}"/>
    <cellStyle name="20% - Accent1 5 2" xfId="290" xr:uid="{00000000-0005-0000-0000-00001E010000}"/>
    <cellStyle name="20% - Accent1 5 2 2" xfId="291" xr:uid="{00000000-0005-0000-0000-00001F010000}"/>
    <cellStyle name="20% - Accent1 5 2 2 2" xfId="292" xr:uid="{00000000-0005-0000-0000-000020010000}"/>
    <cellStyle name="20% - Accent1 5 2 2 2 2" xfId="293" xr:uid="{00000000-0005-0000-0000-000021010000}"/>
    <cellStyle name="20% - Accent1 5 2 2 2 3" xfId="294" xr:uid="{00000000-0005-0000-0000-000022010000}"/>
    <cellStyle name="20% - Accent1 5 2 2 3" xfId="295" xr:uid="{00000000-0005-0000-0000-000023010000}"/>
    <cellStyle name="20% - Accent1 5 2 2 4" xfId="296" xr:uid="{00000000-0005-0000-0000-000024010000}"/>
    <cellStyle name="20% - Accent1 5 2 2 5" xfId="297" xr:uid="{00000000-0005-0000-0000-000025010000}"/>
    <cellStyle name="20% - Accent1 5 2 2 6" xfId="298" xr:uid="{00000000-0005-0000-0000-000026010000}"/>
    <cellStyle name="20% - Accent1 5 2 3" xfId="299" xr:uid="{00000000-0005-0000-0000-000027010000}"/>
    <cellStyle name="20% - Accent1 5 2 3 2" xfId="300" xr:uid="{00000000-0005-0000-0000-000028010000}"/>
    <cellStyle name="20% - Accent1 5 2 3 2 2" xfId="301" xr:uid="{00000000-0005-0000-0000-000029010000}"/>
    <cellStyle name="20% - Accent1 5 2 3 3" xfId="302" xr:uid="{00000000-0005-0000-0000-00002A010000}"/>
    <cellStyle name="20% - Accent1 5 2 3 4" xfId="303" xr:uid="{00000000-0005-0000-0000-00002B010000}"/>
    <cellStyle name="20% - Accent1 5 2 3 5" xfId="304" xr:uid="{00000000-0005-0000-0000-00002C010000}"/>
    <cellStyle name="20% - Accent1 5 2 4" xfId="305" xr:uid="{00000000-0005-0000-0000-00002D010000}"/>
    <cellStyle name="20% - Accent1 5 2 4 2" xfId="306" xr:uid="{00000000-0005-0000-0000-00002E010000}"/>
    <cellStyle name="20% - Accent1 5 2 4 3" xfId="307" xr:uid="{00000000-0005-0000-0000-00002F010000}"/>
    <cellStyle name="20% - Accent1 5 2 4 4" xfId="308" xr:uid="{00000000-0005-0000-0000-000030010000}"/>
    <cellStyle name="20% - Accent1 5 2 5" xfId="309" xr:uid="{00000000-0005-0000-0000-000031010000}"/>
    <cellStyle name="20% - Accent1 5 2 5 2" xfId="310" xr:uid="{00000000-0005-0000-0000-000032010000}"/>
    <cellStyle name="20% - Accent1 5 2 6" xfId="311" xr:uid="{00000000-0005-0000-0000-000033010000}"/>
    <cellStyle name="20% - Accent1 5 2 7" xfId="312" xr:uid="{00000000-0005-0000-0000-000034010000}"/>
    <cellStyle name="20% - Accent1 5 2 8" xfId="313" xr:uid="{00000000-0005-0000-0000-000035010000}"/>
    <cellStyle name="20% - Accent1 5 2 9" xfId="314" xr:uid="{00000000-0005-0000-0000-000036010000}"/>
    <cellStyle name="20% - Accent1 5 3" xfId="315" xr:uid="{00000000-0005-0000-0000-000037010000}"/>
    <cellStyle name="20% - Accent1 5 3 2" xfId="316" xr:uid="{00000000-0005-0000-0000-000038010000}"/>
    <cellStyle name="20% - Accent1 5 3 2 2" xfId="317" xr:uid="{00000000-0005-0000-0000-000039010000}"/>
    <cellStyle name="20% - Accent1 5 3 2 3" xfId="318" xr:uid="{00000000-0005-0000-0000-00003A010000}"/>
    <cellStyle name="20% - Accent1 5 3 3" xfId="319" xr:uid="{00000000-0005-0000-0000-00003B010000}"/>
    <cellStyle name="20% - Accent1 5 3 4" xfId="320" xr:uid="{00000000-0005-0000-0000-00003C010000}"/>
    <cellStyle name="20% - Accent1 5 3 5" xfId="321" xr:uid="{00000000-0005-0000-0000-00003D010000}"/>
    <cellStyle name="20% - Accent1 5 3 6" xfId="322" xr:uid="{00000000-0005-0000-0000-00003E010000}"/>
    <cellStyle name="20% - Accent1 5 4" xfId="323" xr:uid="{00000000-0005-0000-0000-00003F010000}"/>
    <cellStyle name="20% - Accent1 5 4 2" xfId="324" xr:uid="{00000000-0005-0000-0000-000040010000}"/>
    <cellStyle name="20% - Accent1 5 4 2 2" xfId="325" xr:uid="{00000000-0005-0000-0000-000041010000}"/>
    <cellStyle name="20% - Accent1 5 4 3" xfId="326" xr:uid="{00000000-0005-0000-0000-000042010000}"/>
    <cellStyle name="20% - Accent1 5 4 4" xfId="327" xr:uid="{00000000-0005-0000-0000-000043010000}"/>
    <cellStyle name="20% - Accent1 5 4 5" xfId="328" xr:uid="{00000000-0005-0000-0000-000044010000}"/>
    <cellStyle name="20% - Accent1 5 5" xfId="329" xr:uid="{00000000-0005-0000-0000-000045010000}"/>
    <cellStyle name="20% - Accent1 5 5 2" xfId="330" xr:uid="{00000000-0005-0000-0000-000046010000}"/>
    <cellStyle name="20% - Accent1 5 5 3" xfId="331" xr:uid="{00000000-0005-0000-0000-000047010000}"/>
    <cellStyle name="20% - Accent1 5 5 4" xfId="332" xr:uid="{00000000-0005-0000-0000-000048010000}"/>
    <cellStyle name="20% - Accent1 5 6" xfId="333" xr:uid="{00000000-0005-0000-0000-000049010000}"/>
    <cellStyle name="20% - Accent1 5 6 2" xfId="334" xr:uid="{00000000-0005-0000-0000-00004A010000}"/>
    <cellStyle name="20% - Accent1 5 7" xfId="335" xr:uid="{00000000-0005-0000-0000-00004B010000}"/>
    <cellStyle name="20% - Accent1 5 8" xfId="336" xr:uid="{00000000-0005-0000-0000-00004C010000}"/>
    <cellStyle name="20% - Accent1 5 9" xfId="337" xr:uid="{00000000-0005-0000-0000-00004D010000}"/>
    <cellStyle name="20% - Accent1 6" xfId="338" xr:uid="{00000000-0005-0000-0000-00004E010000}"/>
    <cellStyle name="20% - Accent1 6 10" xfId="339" xr:uid="{00000000-0005-0000-0000-00004F010000}"/>
    <cellStyle name="20% - Accent1 6 2" xfId="340" xr:uid="{00000000-0005-0000-0000-000050010000}"/>
    <cellStyle name="20% - Accent1 6 2 2" xfId="341" xr:uid="{00000000-0005-0000-0000-000051010000}"/>
    <cellStyle name="20% - Accent1 6 2 2 2" xfId="342" xr:uid="{00000000-0005-0000-0000-000052010000}"/>
    <cellStyle name="20% - Accent1 6 2 2 2 2" xfId="343" xr:uid="{00000000-0005-0000-0000-000053010000}"/>
    <cellStyle name="20% - Accent1 6 2 2 2 3" xfId="344" xr:uid="{00000000-0005-0000-0000-000054010000}"/>
    <cellStyle name="20% - Accent1 6 2 2 3" xfId="345" xr:uid="{00000000-0005-0000-0000-000055010000}"/>
    <cellStyle name="20% - Accent1 6 2 2 4" xfId="346" xr:uid="{00000000-0005-0000-0000-000056010000}"/>
    <cellStyle name="20% - Accent1 6 2 2 5" xfId="347" xr:uid="{00000000-0005-0000-0000-000057010000}"/>
    <cellStyle name="20% - Accent1 6 2 2 6" xfId="348" xr:uid="{00000000-0005-0000-0000-000058010000}"/>
    <cellStyle name="20% - Accent1 6 2 3" xfId="349" xr:uid="{00000000-0005-0000-0000-000059010000}"/>
    <cellStyle name="20% - Accent1 6 2 3 2" xfId="350" xr:uid="{00000000-0005-0000-0000-00005A010000}"/>
    <cellStyle name="20% - Accent1 6 2 3 2 2" xfId="351" xr:uid="{00000000-0005-0000-0000-00005B010000}"/>
    <cellStyle name="20% - Accent1 6 2 3 3" xfId="352" xr:uid="{00000000-0005-0000-0000-00005C010000}"/>
    <cellStyle name="20% - Accent1 6 2 3 4" xfId="353" xr:uid="{00000000-0005-0000-0000-00005D010000}"/>
    <cellStyle name="20% - Accent1 6 2 3 5" xfId="354" xr:uid="{00000000-0005-0000-0000-00005E010000}"/>
    <cellStyle name="20% - Accent1 6 2 4" xfId="355" xr:uid="{00000000-0005-0000-0000-00005F010000}"/>
    <cellStyle name="20% - Accent1 6 2 4 2" xfId="356" xr:uid="{00000000-0005-0000-0000-000060010000}"/>
    <cellStyle name="20% - Accent1 6 2 4 3" xfId="357" xr:uid="{00000000-0005-0000-0000-000061010000}"/>
    <cellStyle name="20% - Accent1 6 2 4 4" xfId="358" xr:uid="{00000000-0005-0000-0000-000062010000}"/>
    <cellStyle name="20% - Accent1 6 2 5" xfId="359" xr:uid="{00000000-0005-0000-0000-000063010000}"/>
    <cellStyle name="20% - Accent1 6 2 5 2" xfId="360" xr:uid="{00000000-0005-0000-0000-000064010000}"/>
    <cellStyle name="20% - Accent1 6 2 6" xfId="361" xr:uid="{00000000-0005-0000-0000-000065010000}"/>
    <cellStyle name="20% - Accent1 6 2 7" xfId="362" xr:uid="{00000000-0005-0000-0000-000066010000}"/>
    <cellStyle name="20% - Accent1 6 2 8" xfId="363" xr:uid="{00000000-0005-0000-0000-000067010000}"/>
    <cellStyle name="20% - Accent1 6 2 9" xfId="364" xr:uid="{00000000-0005-0000-0000-000068010000}"/>
    <cellStyle name="20% - Accent1 6 3" xfId="365" xr:uid="{00000000-0005-0000-0000-000069010000}"/>
    <cellStyle name="20% - Accent1 6 3 2" xfId="366" xr:uid="{00000000-0005-0000-0000-00006A010000}"/>
    <cellStyle name="20% - Accent1 6 3 2 2" xfId="367" xr:uid="{00000000-0005-0000-0000-00006B010000}"/>
    <cellStyle name="20% - Accent1 6 3 2 3" xfId="368" xr:uid="{00000000-0005-0000-0000-00006C010000}"/>
    <cellStyle name="20% - Accent1 6 3 3" xfId="369" xr:uid="{00000000-0005-0000-0000-00006D010000}"/>
    <cellStyle name="20% - Accent1 6 3 4" xfId="370" xr:uid="{00000000-0005-0000-0000-00006E010000}"/>
    <cellStyle name="20% - Accent1 6 3 5" xfId="371" xr:uid="{00000000-0005-0000-0000-00006F010000}"/>
    <cellStyle name="20% - Accent1 6 3 6" xfId="372" xr:uid="{00000000-0005-0000-0000-000070010000}"/>
    <cellStyle name="20% - Accent1 6 4" xfId="373" xr:uid="{00000000-0005-0000-0000-000071010000}"/>
    <cellStyle name="20% - Accent1 6 4 2" xfId="374" xr:uid="{00000000-0005-0000-0000-000072010000}"/>
    <cellStyle name="20% - Accent1 6 4 2 2" xfId="375" xr:uid="{00000000-0005-0000-0000-000073010000}"/>
    <cellStyle name="20% - Accent1 6 4 3" xfId="376" xr:uid="{00000000-0005-0000-0000-000074010000}"/>
    <cellStyle name="20% - Accent1 6 4 4" xfId="377" xr:uid="{00000000-0005-0000-0000-000075010000}"/>
    <cellStyle name="20% - Accent1 6 4 5" xfId="378" xr:uid="{00000000-0005-0000-0000-000076010000}"/>
    <cellStyle name="20% - Accent1 6 5" xfId="379" xr:uid="{00000000-0005-0000-0000-000077010000}"/>
    <cellStyle name="20% - Accent1 6 5 2" xfId="380" xr:uid="{00000000-0005-0000-0000-000078010000}"/>
    <cellStyle name="20% - Accent1 6 5 3" xfId="381" xr:uid="{00000000-0005-0000-0000-000079010000}"/>
    <cellStyle name="20% - Accent1 6 5 4" xfId="382" xr:uid="{00000000-0005-0000-0000-00007A010000}"/>
    <cellStyle name="20% - Accent1 6 6" xfId="383" xr:uid="{00000000-0005-0000-0000-00007B010000}"/>
    <cellStyle name="20% - Accent1 6 6 2" xfId="384" xr:uid="{00000000-0005-0000-0000-00007C010000}"/>
    <cellStyle name="20% - Accent1 6 7" xfId="385" xr:uid="{00000000-0005-0000-0000-00007D010000}"/>
    <cellStyle name="20% - Accent1 6 8" xfId="386" xr:uid="{00000000-0005-0000-0000-00007E010000}"/>
    <cellStyle name="20% - Accent1 6 9" xfId="387" xr:uid="{00000000-0005-0000-0000-00007F010000}"/>
    <cellStyle name="20% - Accent1 7" xfId="388" xr:uid="{00000000-0005-0000-0000-000080010000}"/>
    <cellStyle name="20% - Accent1 7 2" xfId="389" xr:uid="{00000000-0005-0000-0000-000081010000}"/>
    <cellStyle name="20% - Accent1 7 2 2" xfId="390" xr:uid="{00000000-0005-0000-0000-000082010000}"/>
    <cellStyle name="20% - Accent1 7 2 2 2" xfId="391" xr:uid="{00000000-0005-0000-0000-000083010000}"/>
    <cellStyle name="20% - Accent1 7 2 2 3" xfId="392" xr:uid="{00000000-0005-0000-0000-000084010000}"/>
    <cellStyle name="20% - Accent1 7 2 3" xfId="393" xr:uid="{00000000-0005-0000-0000-000085010000}"/>
    <cellStyle name="20% - Accent1 7 2 4" xfId="394" xr:uid="{00000000-0005-0000-0000-000086010000}"/>
    <cellStyle name="20% - Accent1 7 2 5" xfId="395" xr:uid="{00000000-0005-0000-0000-000087010000}"/>
    <cellStyle name="20% - Accent1 7 2 6" xfId="396" xr:uid="{00000000-0005-0000-0000-000088010000}"/>
    <cellStyle name="20% - Accent1 7 3" xfId="397" xr:uid="{00000000-0005-0000-0000-000089010000}"/>
    <cellStyle name="20% - Accent1 7 3 2" xfId="398" xr:uid="{00000000-0005-0000-0000-00008A010000}"/>
    <cellStyle name="20% - Accent1 7 3 2 2" xfId="399" xr:uid="{00000000-0005-0000-0000-00008B010000}"/>
    <cellStyle name="20% - Accent1 7 3 3" xfId="400" xr:uid="{00000000-0005-0000-0000-00008C010000}"/>
    <cellStyle name="20% - Accent1 7 3 4" xfId="401" xr:uid="{00000000-0005-0000-0000-00008D010000}"/>
    <cellStyle name="20% - Accent1 7 3 5" xfId="402" xr:uid="{00000000-0005-0000-0000-00008E010000}"/>
    <cellStyle name="20% - Accent1 7 4" xfId="403" xr:uid="{00000000-0005-0000-0000-00008F010000}"/>
    <cellStyle name="20% - Accent1 7 4 2" xfId="404" xr:uid="{00000000-0005-0000-0000-000090010000}"/>
    <cellStyle name="20% - Accent1 7 4 3" xfId="405" xr:uid="{00000000-0005-0000-0000-000091010000}"/>
    <cellStyle name="20% - Accent1 7 4 4" xfId="406" xr:uid="{00000000-0005-0000-0000-000092010000}"/>
    <cellStyle name="20% - Accent1 7 5" xfId="407" xr:uid="{00000000-0005-0000-0000-000093010000}"/>
    <cellStyle name="20% - Accent1 7 5 2" xfId="408" xr:uid="{00000000-0005-0000-0000-000094010000}"/>
    <cellStyle name="20% - Accent1 7 6" xfId="409" xr:uid="{00000000-0005-0000-0000-000095010000}"/>
    <cellStyle name="20% - Accent1 7 7" xfId="410" xr:uid="{00000000-0005-0000-0000-000096010000}"/>
    <cellStyle name="20% - Accent1 7 8" xfId="411" xr:uid="{00000000-0005-0000-0000-000097010000}"/>
    <cellStyle name="20% - Accent1 7 9" xfId="412" xr:uid="{00000000-0005-0000-0000-000098010000}"/>
    <cellStyle name="20% - Accent1 8" xfId="413" xr:uid="{00000000-0005-0000-0000-000099010000}"/>
    <cellStyle name="20% - Accent1 8 2" xfId="414" xr:uid="{00000000-0005-0000-0000-00009A010000}"/>
    <cellStyle name="20% - Accent1 8 2 2" xfId="415" xr:uid="{00000000-0005-0000-0000-00009B010000}"/>
    <cellStyle name="20% - Accent1 8 2 2 2" xfId="416" xr:uid="{00000000-0005-0000-0000-00009C010000}"/>
    <cellStyle name="20% - Accent1 8 2 2 3" xfId="417" xr:uid="{00000000-0005-0000-0000-00009D010000}"/>
    <cellStyle name="20% - Accent1 8 2 3" xfId="418" xr:uid="{00000000-0005-0000-0000-00009E010000}"/>
    <cellStyle name="20% - Accent1 8 2 4" xfId="419" xr:uid="{00000000-0005-0000-0000-00009F010000}"/>
    <cellStyle name="20% - Accent1 8 2 5" xfId="420" xr:uid="{00000000-0005-0000-0000-0000A0010000}"/>
    <cellStyle name="20% - Accent1 8 2 6" xfId="421" xr:uid="{00000000-0005-0000-0000-0000A1010000}"/>
    <cellStyle name="20% - Accent1 8 3" xfId="422" xr:uid="{00000000-0005-0000-0000-0000A2010000}"/>
    <cellStyle name="20% - Accent1 8 3 2" xfId="423" xr:uid="{00000000-0005-0000-0000-0000A3010000}"/>
    <cellStyle name="20% - Accent1 8 3 2 2" xfId="424" xr:uid="{00000000-0005-0000-0000-0000A4010000}"/>
    <cellStyle name="20% - Accent1 8 3 3" xfId="425" xr:uid="{00000000-0005-0000-0000-0000A5010000}"/>
    <cellStyle name="20% - Accent1 8 3 4" xfId="426" xr:uid="{00000000-0005-0000-0000-0000A6010000}"/>
    <cellStyle name="20% - Accent1 8 3 5" xfId="427" xr:uid="{00000000-0005-0000-0000-0000A7010000}"/>
    <cellStyle name="20% - Accent1 8 4" xfId="428" xr:uid="{00000000-0005-0000-0000-0000A8010000}"/>
    <cellStyle name="20% - Accent1 8 4 2" xfId="429" xr:uid="{00000000-0005-0000-0000-0000A9010000}"/>
    <cellStyle name="20% - Accent1 8 4 3" xfId="430" xr:uid="{00000000-0005-0000-0000-0000AA010000}"/>
    <cellStyle name="20% - Accent1 8 4 4" xfId="431" xr:uid="{00000000-0005-0000-0000-0000AB010000}"/>
    <cellStyle name="20% - Accent1 8 5" xfId="432" xr:uid="{00000000-0005-0000-0000-0000AC010000}"/>
    <cellStyle name="20% - Accent1 8 5 2" xfId="433" xr:uid="{00000000-0005-0000-0000-0000AD010000}"/>
    <cellStyle name="20% - Accent1 8 6" xfId="434" xr:uid="{00000000-0005-0000-0000-0000AE010000}"/>
    <cellStyle name="20% - Accent1 8 7" xfId="435" xr:uid="{00000000-0005-0000-0000-0000AF010000}"/>
    <cellStyle name="20% - Accent1 8 8" xfId="436" xr:uid="{00000000-0005-0000-0000-0000B0010000}"/>
    <cellStyle name="20% - Accent1 8 9" xfId="437" xr:uid="{00000000-0005-0000-0000-0000B1010000}"/>
    <cellStyle name="20% - Accent1 9" xfId="438" xr:uid="{00000000-0005-0000-0000-0000B2010000}"/>
    <cellStyle name="20% - Accent1 9 2" xfId="439" xr:uid="{00000000-0005-0000-0000-0000B3010000}"/>
    <cellStyle name="20% - Accent1 9 2 2" xfId="440" xr:uid="{00000000-0005-0000-0000-0000B4010000}"/>
    <cellStyle name="20% - Accent1 9 2 2 2" xfId="441" xr:uid="{00000000-0005-0000-0000-0000B5010000}"/>
    <cellStyle name="20% - Accent1 9 2 3" xfId="442" xr:uid="{00000000-0005-0000-0000-0000B6010000}"/>
    <cellStyle name="20% - Accent1 9 2 4" xfId="443" xr:uid="{00000000-0005-0000-0000-0000B7010000}"/>
    <cellStyle name="20% - Accent1 9 2 5" xfId="444" xr:uid="{00000000-0005-0000-0000-0000B8010000}"/>
    <cellStyle name="20% - Accent1 9 3" xfId="445" xr:uid="{00000000-0005-0000-0000-0000B9010000}"/>
    <cellStyle name="20% - Accent1 9 3 2" xfId="446" xr:uid="{00000000-0005-0000-0000-0000BA010000}"/>
    <cellStyle name="20% - Accent1 9 3 3" xfId="447" xr:uid="{00000000-0005-0000-0000-0000BB010000}"/>
    <cellStyle name="20% - Accent1 9 3 4" xfId="448" xr:uid="{00000000-0005-0000-0000-0000BC010000}"/>
    <cellStyle name="20% - Accent1 9 4" xfId="449" xr:uid="{00000000-0005-0000-0000-0000BD010000}"/>
    <cellStyle name="20% - Accent1 9 4 2" xfId="450" xr:uid="{00000000-0005-0000-0000-0000BE010000}"/>
    <cellStyle name="20% - Accent1 9 5" xfId="451" xr:uid="{00000000-0005-0000-0000-0000BF010000}"/>
    <cellStyle name="20% - Accent1 9 6" xfId="452" xr:uid="{00000000-0005-0000-0000-0000C0010000}"/>
    <cellStyle name="20% - Accent1 9 7" xfId="453" xr:uid="{00000000-0005-0000-0000-0000C1010000}"/>
    <cellStyle name="20% - Accent1 9 8" xfId="454" xr:uid="{00000000-0005-0000-0000-0000C2010000}"/>
    <cellStyle name="20% - Accent2 10" xfId="455" xr:uid="{00000000-0005-0000-0000-0000C3010000}"/>
    <cellStyle name="20% - Accent2 10 2" xfId="456" xr:uid="{00000000-0005-0000-0000-0000C4010000}"/>
    <cellStyle name="20% - Accent2 10 2 2" xfId="457" xr:uid="{00000000-0005-0000-0000-0000C5010000}"/>
    <cellStyle name="20% - Accent2 10 2 2 2" xfId="458" xr:uid="{00000000-0005-0000-0000-0000C6010000}"/>
    <cellStyle name="20% - Accent2 10 2 3" xfId="459" xr:uid="{00000000-0005-0000-0000-0000C7010000}"/>
    <cellStyle name="20% - Accent2 10 2 4" xfId="460" xr:uid="{00000000-0005-0000-0000-0000C8010000}"/>
    <cellStyle name="20% - Accent2 10 2 5" xfId="461" xr:uid="{00000000-0005-0000-0000-0000C9010000}"/>
    <cellStyle name="20% - Accent2 10 3" xfId="462" xr:uid="{00000000-0005-0000-0000-0000CA010000}"/>
    <cellStyle name="20% - Accent2 10 3 2" xfId="463" xr:uid="{00000000-0005-0000-0000-0000CB010000}"/>
    <cellStyle name="20% - Accent2 10 3 3" xfId="464" xr:uid="{00000000-0005-0000-0000-0000CC010000}"/>
    <cellStyle name="20% - Accent2 10 3 4" xfId="465" xr:uid="{00000000-0005-0000-0000-0000CD010000}"/>
    <cellStyle name="20% - Accent2 10 4" xfId="466" xr:uid="{00000000-0005-0000-0000-0000CE010000}"/>
    <cellStyle name="20% - Accent2 10 4 2" xfId="467" xr:uid="{00000000-0005-0000-0000-0000CF010000}"/>
    <cellStyle name="20% - Accent2 10 5" xfId="468" xr:uid="{00000000-0005-0000-0000-0000D0010000}"/>
    <cellStyle name="20% - Accent2 10 6" xfId="469" xr:uid="{00000000-0005-0000-0000-0000D1010000}"/>
    <cellStyle name="20% - Accent2 10 7" xfId="470" xr:uid="{00000000-0005-0000-0000-0000D2010000}"/>
    <cellStyle name="20% - Accent2 10 8" xfId="471" xr:uid="{00000000-0005-0000-0000-0000D3010000}"/>
    <cellStyle name="20% - Accent2 11" xfId="472" xr:uid="{00000000-0005-0000-0000-0000D4010000}"/>
    <cellStyle name="20% - Accent2 11 2" xfId="473" xr:uid="{00000000-0005-0000-0000-0000D5010000}"/>
    <cellStyle name="20% - Accent2 11 2 2" xfId="474" xr:uid="{00000000-0005-0000-0000-0000D6010000}"/>
    <cellStyle name="20% - Accent2 11 2 2 2" xfId="475" xr:uid="{00000000-0005-0000-0000-0000D7010000}"/>
    <cellStyle name="20% - Accent2 11 2 3" xfId="476" xr:uid="{00000000-0005-0000-0000-0000D8010000}"/>
    <cellStyle name="20% - Accent2 11 2 4" xfId="477" xr:uid="{00000000-0005-0000-0000-0000D9010000}"/>
    <cellStyle name="20% - Accent2 11 2 5" xfId="478" xr:uid="{00000000-0005-0000-0000-0000DA010000}"/>
    <cellStyle name="20% - Accent2 11 3" xfId="479" xr:uid="{00000000-0005-0000-0000-0000DB010000}"/>
    <cellStyle name="20% - Accent2 11 3 2" xfId="480" xr:uid="{00000000-0005-0000-0000-0000DC010000}"/>
    <cellStyle name="20% - Accent2 11 3 3" xfId="481" xr:uid="{00000000-0005-0000-0000-0000DD010000}"/>
    <cellStyle name="20% - Accent2 11 3 4" xfId="482" xr:uid="{00000000-0005-0000-0000-0000DE010000}"/>
    <cellStyle name="20% - Accent2 11 4" xfId="483" xr:uid="{00000000-0005-0000-0000-0000DF010000}"/>
    <cellStyle name="20% - Accent2 11 4 2" xfId="484" xr:uid="{00000000-0005-0000-0000-0000E0010000}"/>
    <cellStyle name="20% - Accent2 11 5" xfId="485" xr:uid="{00000000-0005-0000-0000-0000E1010000}"/>
    <cellStyle name="20% - Accent2 11 6" xfId="486" xr:uid="{00000000-0005-0000-0000-0000E2010000}"/>
    <cellStyle name="20% - Accent2 11 7" xfId="487" xr:uid="{00000000-0005-0000-0000-0000E3010000}"/>
    <cellStyle name="20% - Accent2 11 8" xfId="488" xr:uid="{00000000-0005-0000-0000-0000E4010000}"/>
    <cellStyle name="20% - Accent2 12" xfId="489" xr:uid="{00000000-0005-0000-0000-0000E5010000}"/>
    <cellStyle name="20% - Accent2 12 2" xfId="490" xr:uid="{00000000-0005-0000-0000-0000E6010000}"/>
    <cellStyle name="20% - Accent2 12 2 2" xfId="491" xr:uid="{00000000-0005-0000-0000-0000E7010000}"/>
    <cellStyle name="20% - Accent2 12 2 2 2" xfId="492" xr:uid="{00000000-0005-0000-0000-0000E8010000}"/>
    <cellStyle name="20% - Accent2 12 2 3" xfId="493" xr:uid="{00000000-0005-0000-0000-0000E9010000}"/>
    <cellStyle name="20% - Accent2 12 2 4" xfId="494" xr:uid="{00000000-0005-0000-0000-0000EA010000}"/>
    <cellStyle name="20% - Accent2 12 2 5" xfId="495" xr:uid="{00000000-0005-0000-0000-0000EB010000}"/>
    <cellStyle name="20% - Accent2 12 3" xfId="496" xr:uid="{00000000-0005-0000-0000-0000EC010000}"/>
    <cellStyle name="20% - Accent2 12 3 2" xfId="497" xr:uid="{00000000-0005-0000-0000-0000ED010000}"/>
    <cellStyle name="20% - Accent2 12 3 3" xfId="498" xr:uid="{00000000-0005-0000-0000-0000EE010000}"/>
    <cellStyle name="20% - Accent2 12 3 4" xfId="499" xr:uid="{00000000-0005-0000-0000-0000EF010000}"/>
    <cellStyle name="20% - Accent2 12 4" xfId="500" xr:uid="{00000000-0005-0000-0000-0000F0010000}"/>
    <cellStyle name="20% - Accent2 12 4 2" xfId="501" xr:uid="{00000000-0005-0000-0000-0000F1010000}"/>
    <cellStyle name="20% - Accent2 12 5" xfId="502" xr:uid="{00000000-0005-0000-0000-0000F2010000}"/>
    <cellStyle name="20% - Accent2 12 6" xfId="503" xr:uid="{00000000-0005-0000-0000-0000F3010000}"/>
    <cellStyle name="20% - Accent2 12 7" xfId="504" xr:uid="{00000000-0005-0000-0000-0000F4010000}"/>
    <cellStyle name="20% - Accent2 12 8" xfId="505" xr:uid="{00000000-0005-0000-0000-0000F5010000}"/>
    <cellStyle name="20% - Accent2 13" xfId="506" xr:uid="{00000000-0005-0000-0000-0000F6010000}"/>
    <cellStyle name="20% - Accent2 13 2" xfId="507" xr:uid="{00000000-0005-0000-0000-0000F7010000}"/>
    <cellStyle name="20% - Accent2 13 2 2" xfId="508" xr:uid="{00000000-0005-0000-0000-0000F8010000}"/>
    <cellStyle name="20% - Accent2 13 2 3" xfId="509" xr:uid="{00000000-0005-0000-0000-0000F9010000}"/>
    <cellStyle name="20% - Accent2 13 2 4" xfId="510" xr:uid="{00000000-0005-0000-0000-0000FA010000}"/>
    <cellStyle name="20% - Accent2 13 3" xfId="511" xr:uid="{00000000-0005-0000-0000-0000FB010000}"/>
    <cellStyle name="20% - Accent2 13 3 2" xfId="512" xr:uid="{00000000-0005-0000-0000-0000FC010000}"/>
    <cellStyle name="20% - Accent2 13 4" xfId="513" xr:uid="{00000000-0005-0000-0000-0000FD010000}"/>
    <cellStyle name="20% - Accent2 13 5" xfId="514" xr:uid="{00000000-0005-0000-0000-0000FE010000}"/>
    <cellStyle name="20% - Accent2 13 6" xfId="515" xr:uid="{00000000-0005-0000-0000-0000FF010000}"/>
    <cellStyle name="20% - Accent2 14" xfId="516" xr:uid="{00000000-0005-0000-0000-000000020000}"/>
    <cellStyle name="20% - Accent2 14 2" xfId="517" xr:uid="{00000000-0005-0000-0000-000001020000}"/>
    <cellStyle name="20% - Accent2 14 2 2" xfId="518" xr:uid="{00000000-0005-0000-0000-000002020000}"/>
    <cellStyle name="20% - Accent2 14 3" xfId="519" xr:uid="{00000000-0005-0000-0000-000003020000}"/>
    <cellStyle name="20% - Accent2 14 4" xfId="520" xr:uid="{00000000-0005-0000-0000-000004020000}"/>
    <cellStyle name="20% - Accent2 14 5" xfId="521" xr:uid="{00000000-0005-0000-0000-000005020000}"/>
    <cellStyle name="20% - Accent2 15" xfId="522" xr:uid="{00000000-0005-0000-0000-000006020000}"/>
    <cellStyle name="20% - Accent2 15 2" xfId="523" xr:uid="{00000000-0005-0000-0000-000007020000}"/>
    <cellStyle name="20% - Accent2 15 2 2" xfId="524" xr:uid="{00000000-0005-0000-0000-000008020000}"/>
    <cellStyle name="20% - Accent2 15 3" xfId="525" xr:uid="{00000000-0005-0000-0000-000009020000}"/>
    <cellStyle name="20% - Accent2 15 4" xfId="526" xr:uid="{00000000-0005-0000-0000-00000A020000}"/>
    <cellStyle name="20% - Accent2 15 5" xfId="527" xr:uid="{00000000-0005-0000-0000-00000B020000}"/>
    <cellStyle name="20% - Accent2 16" xfId="528" xr:uid="{00000000-0005-0000-0000-00000C020000}"/>
    <cellStyle name="20% - Accent2 16 2" xfId="529" xr:uid="{00000000-0005-0000-0000-00000D020000}"/>
    <cellStyle name="20% - Accent2 17" xfId="530" xr:uid="{00000000-0005-0000-0000-00000E020000}"/>
    <cellStyle name="20% - Accent2 18" xfId="531" xr:uid="{00000000-0005-0000-0000-00000F020000}"/>
    <cellStyle name="20% - Accent2 19" xfId="532" xr:uid="{00000000-0005-0000-0000-000010020000}"/>
    <cellStyle name="20% - Accent2 2" xfId="533" xr:uid="{00000000-0005-0000-0000-000011020000}"/>
    <cellStyle name="20% - Accent2 2 10" xfId="534" xr:uid="{00000000-0005-0000-0000-000012020000}"/>
    <cellStyle name="20% - Accent2 2 11" xfId="535" xr:uid="{00000000-0005-0000-0000-000013020000}"/>
    <cellStyle name="20% - Accent2 2 2" xfId="536" xr:uid="{00000000-0005-0000-0000-000014020000}"/>
    <cellStyle name="20% - Accent2 2 2 10" xfId="537" xr:uid="{00000000-0005-0000-0000-000015020000}"/>
    <cellStyle name="20% - Accent2 2 2 2" xfId="538" xr:uid="{00000000-0005-0000-0000-000016020000}"/>
    <cellStyle name="20% - Accent2 2 2 2 2" xfId="539" xr:uid="{00000000-0005-0000-0000-000017020000}"/>
    <cellStyle name="20% - Accent2 2 2 2 2 2" xfId="540" xr:uid="{00000000-0005-0000-0000-000018020000}"/>
    <cellStyle name="20% - Accent2 2 2 2 2 2 2" xfId="541" xr:uid="{00000000-0005-0000-0000-000019020000}"/>
    <cellStyle name="20% - Accent2 2 2 2 2 2 3" xfId="542" xr:uid="{00000000-0005-0000-0000-00001A020000}"/>
    <cellStyle name="20% - Accent2 2 2 2 2 3" xfId="543" xr:uid="{00000000-0005-0000-0000-00001B020000}"/>
    <cellStyle name="20% - Accent2 2 2 2 2 4" xfId="544" xr:uid="{00000000-0005-0000-0000-00001C020000}"/>
    <cellStyle name="20% - Accent2 2 2 2 2 5" xfId="545" xr:uid="{00000000-0005-0000-0000-00001D020000}"/>
    <cellStyle name="20% - Accent2 2 2 2 2 6" xfId="546" xr:uid="{00000000-0005-0000-0000-00001E020000}"/>
    <cellStyle name="20% - Accent2 2 2 2 3" xfId="547" xr:uid="{00000000-0005-0000-0000-00001F020000}"/>
    <cellStyle name="20% - Accent2 2 2 2 3 2" xfId="548" xr:uid="{00000000-0005-0000-0000-000020020000}"/>
    <cellStyle name="20% - Accent2 2 2 2 3 2 2" xfId="549" xr:uid="{00000000-0005-0000-0000-000021020000}"/>
    <cellStyle name="20% - Accent2 2 2 2 3 3" xfId="550" xr:uid="{00000000-0005-0000-0000-000022020000}"/>
    <cellStyle name="20% - Accent2 2 2 2 3 4" xfId="551" xr:uid="{00000000-0005-0000-0000-000023020000}"/>
    <cellStyle name="20% - Accent2 2 2 2 3 5" xfId="552" xr:uid="{00000000-0005-0000-0000-000024020000}"/>
    <cellStyle name="20% - Accent2 2 2 2 4" xfId="553" xr:uid="{00000000-0005-0000-0000-000025020000}"/>
    <cellStyle name="20% - Accent2 2 2 2 4 2" xfId="554" xr:uid="{00000000-0005-0000-0000-000026020000}"/>
    <cellStyle name="20% - Accent2 2 2 2 4 3" xfId="555" xr:uid="{00000000-0005-0000-0000-000027020000}"/>
    <cellStyle name="20% - Accent2 2 2 2 4 4" xfId="556" xr:uid="{00000000-0005-0000-0000-000028020000}"/>
    <cellStyle name="20% - Accent2 2 2 2 5" xfId="557" xr:uid="{00000000-0005-0000-0000-000029020000}"/>
    <cellStyle name="20% - Accent2 2 2 2 5 2" xfId="558" xr:uid="{00000000-0005-0000-0000-00002A020000}"/>
    <cellStyle name="20% - Accent2 2 2 2 6" xfId="559" xr:uid="{00000000-0005-0000-0000-00002B020000}"/>
    <cellStyle name="20% - Accent2 2 2 2 7" xfId="560" xr:uid="{00000000-0005-0000-0000-00002C020000}"/>
    <cellStyle name="20% - Accent2 2 2 2 8" xfId="561" xr:uid="{00000000-0005-0000-0000-00002D020000}"/>
    <cellStyle name="20% - Accent2 2 2 2 9" xfId="562" xr:uid="{00000000-0005-0000-0000-00002E020000}"/>
    <cellStyle name="20% - Accent2 2 2 3" xfId="563" xr:uid="{00000000-0005-0000-0000-00002F020000}"/>
    <cellStyle name="20% - Accent2 2 2 3 2" xfId="564" xr:uid="{00000000-0005-0000-0000-000030020000}"/>
    <cellStyle name="20% - Accent2 2 2 3 2 2" xfId="565" xr:uid="{00000000-0005-0000-0000-000031020000}"/>
    <cellStyle name="20% - Accent2 2 2 3 2 3" xfId="566" xr:uid="{00000000-0005-0000-0000-000032020000}"/>
    <cellStyle name="20% - Accent2 2 2 3 3" xfId="567" xr:uid="{00000000-0005-0000-0000-000033020000}"/>
    <cellStyle name="20% - Accent2 2 2 3 4" xfId="568" xr:uid="{00000000-0005-0000-0000-000034020000}"/>
    <cellStyle name="20% - Accent2 2 2 3 5" xfId="569" xr:uid="{00000000-0005-0000-0000-000035020000}"/>
    <cellStyle name="20% - Accent2 2 2 3 6" xfId="570" xr:uid="{00000000-0005-0000-0000-000036020000}"/>
    <cellStyle name="20% - Accent2 2 2 4" xfId="571" xr:uid="{00000000-0005-0000-0000-000037020000}"/>
    <cellStyle name="20% - Accent2 2 2 4 2" xfId="572" xr:uid="{00000000-0005-0000-0000-000038020000}"/>
    <cellStyle name="20% - Accent2 2 2 4 2 2" xfId="573" xr:uid="{00000000-0005-0000-0000-000039020000}"/>
    <cellStyle name="20% - Accent2 2 2 4 3" xfId="574" xr:uid="{00000000-0005-0000-0000-00003A020000}"/>
    <cellStyle name="20% - Accent2 2 2 4 4" xfId="575" xr:uid="{00000000-0005-0000-0000-00003B020000}"/>
    <cellStyle name="20% - Accent2 2 2 4 5" xfId="576" xr:uid="{00000000-0005-0000-0000-00003C020000}"/>
    <cellStyle name="20% - Accent2 2 2 5" xfId="577" xr:uid="{00000000-0005-0000-0000-00003D020000}"/>
    <cellStyle name="20% - Accent2 2 2 5 2" xfId="578" xr:uid="{00000000-0005-0000-0000-00003E020000}"/>
    <cellStyle name="20% - Accent2 2 2 5 3" xfId="579" xr:uid="{00000000-0005-0000-0000-00003F020000}"/>
    <cellStyle name="20% - Accent2 2 2 5 4" xfId="580" xr:uid="{00000000-0005-0000-0000-000040020000}"/>
    <cellStyle name="20% - Accent2 2 2 6" xfId="581" xr:uid="{00000000-0005-0000-0000-000041020000}"/>
    <cellStyle name="20% - Accent2 2 2 6 2" xfId="582" xr:uid="{00000000-0005-0000-0000-000042020000}"/>
    <cellStyle name="20% - Accent2 2 2 7" xfId="583" xr:uid="{00000000-0005-0000-0000-000043020000}"/>
    <cellStyle name="20% - Accent2 2 2 8" xfId="584" xr:uid="{00000000-0005-0000-0000-000044020000}"/>
    <cellStyle name="20% - Accent2 2 2 9" xfId="585" xr:uid="{00000000-0005-0000-0000-000045020000}"/>
    <cellStyle name="20% - Accent2 2 3" xfId="586" xr:uid="{00000000-0005-0000-0000-000046020000}"/>
    <cellStyle name="20% - Accent2 2 3 2" xfId="587" xr:uid="{00000000-0005-0000-0000-000047020000}"/>
    <cellStyle name="20% - Accent2 2 3 2 2" xfId="588" xr:uid="{00000000-0005-0000-0000-000048020000}"/>
    <cellStyle name="20% - Accent2 2 3 2 2 2" xfId="589" xr:uid="{00000000-0005-0000-0000-000049020000}"/>
    <cellStyle name="20% - Accent2 2 3 2 2 3" xfId="590" xr:uid="{00000000-0005-0000-0000-00004A020000}"/>
    <cellStyle name="20% - Accent2 2 3 2 3" xfId="591" xr:uid="{00000000-0005-0000-0000-00004B020000}"/>
    <cellStyle name="20% - Accent2 2 3 2 4" xfId="592" xr:uid="{00000000-0005-0000-0000-00004C020000}"/>
    <cellStyle name="20% - Accent2 2 3 2 5" xfId="593" xr:uid="{00000000-0005-0000-0000-00004D020000}"/>
    <cellStyle name="20% - Accent2 2 3 2 6" xfId="594" xr:uid="{00000000-0005-0000-0000-00004E020000}"/>
    <cellStyle name="20% - Accent2 2 3 3" xfId="595" xr:uid="{00000000-0005-0000-0000-00004F020000}"/>
    <cellStyle name="20% - Accent2 2 3 3 2" xfId="596" xr:uid="{00000000-0005-0000-0000-000050020000}"/>
    <cellStyle name="20% - Accent2 2 3 3 2 2" xfId="597" xr:uid="{00000000-0005-0000-0000-000051020000}"/>
    <cellStyle name="20% - Accent2 2 3 3 3" xfId="598" xr:uid="{00000000-0005-0000-0000-000052020000}"/>
    <cellStyle name="20% - Accent2 2 3 3 4" xfId="599" xr:uid="{00000000-0005-0000-0000-000053020000}"/>
    <cellStyle name="20% - Accent2 2 3 3 5" xfId="600" xr:uid="{00000000-0005-0000-0000-000054020000}"/>
    <cellStyle name="20% - Accent2 2 3 4" xfId="601" xr:uid="{00000000-0005-0000-0000-000055020000}"/>
    <cellStyle name="20% - Accent2 2 3 4 2" xfId="602" xr:uid="{00000000-0005-0000-0000-000056020000}"/>
    <cellStyle name="20% - Accent2 2 3 4 3" xfId="603" xr:uid="{00000000-0005-0000-0000-000057020000}"/>
    <cellStyle name="20% - Accent2 2 3 4 4" xfId="604" xr:uid="{00000000-0005-0000-0000-000058020000}"/>
    <cellStyle name="20% - Accent2 2 3 5" xfId="605" xr:uid="{00000000-0005-0000-0000-000059020000}"/>
    <cellStyle name="20% - Accent2 2 3 5 2" xfId="606" xr:uid="{00000000-0005-0000-0000-00005A020000}"/>
    <cellStyle name="20% - Accent2 2 3 6" xfId="607" xr:uid="{00000000-0005-0000-0000-00005B020000}"/>
    <cellStyle name="20% - Accent2 2 3 7" xfId="608" xr:uid="{00000000-0005-0000-0000-00005C020000}"/>
    <cellStyle name="20% - Accent2 2 3 8" xfId="609" xr:uid="{00000000-0005-0000-0000-00005D020000}"/>
    <cellStyle name="20% - Accent2 2 3 9" xfId="610" xr:uid="{00000000-0005-0000-0000-00005E020000}"/>
    <cellStyle name="20% - Accent2 2 4" xfId="611" xr:uid="{00000000-0005-0000-0000-00005F020000}"/>
    <cellStyle name="20% - Accent2 2 4 2" xfId="612" xr:uid="{00000000-0005-0000-0000-000060020000}"/>
    <cellStyle name="20% - Accent2 2 4 2 2" xfId="613" xr:uid="{00000000-0005-0000-0000-000061020000}"/>
    <cellStyle name="20% - Accent2 2 4 2 3" xfId="614" xr:uid="{00000000-0005-0000-0000-000062020000}"/>
    <cellStyle name="20% - Accent2 2 4 3" xfId="615" xr:uid="{00000000-0005-0000-0000-000063020000}"/>
    <cellStyle name="20% - Accent2 2 4 4" xfId="616" xr:uid="{00000000-0005-0000-0000-000064020000}"/>
    <cellStyle name="20% - Accent2 2 4 5" xfId="617" xr:uid="{00000000-0005-0000-0000-000065020000}"/>
    <cellStyle name="20% - Accent2 2 4 6" xfId="618" xr:uid="{00000000-0005-0000-0000-000066020000}"/>
    <cellStyle name="20% - Accent2 2 5" xfId="619" xr:uid="{00000000-0005-0000-0000-000067020000}"/>
    <cellStyle name="20% - Accent2 2 5 2" xfId="620" xr:uid="{00000000-0005-0000-0000-000068020000}"/>
    <cellStyle name="20% - Accent2 2 5 2 2" xfId="621" xr:uid="{00000000-0005-0000-0000-000069020000}"/>
    <cellStyle name="20% - Accent2 2 5 3" xfId="622" xr:uid="{00000000-0005-0000-0000-00006A020000}"/>
    <cellStyle name="20% - Accent2 2 5 4" xfId="623" xr:uid="{00000000-0005-0000-0000-00006B020000}"/>
    <cellStyle name="20% - Accent2 2 5 5" xfId="624" xr:uid="{00000000-0005-0000-0000-00006C020000}"/>
    <cellStyle name="20% - Accent2 2 6" xfId="625" xr:uid="{00000000-0005-0000-0000-00006D020000}"/>
    <cellStyle name="20% - Accent2 2 6 2" xfId="626" xr:uid="{00000000-0005-0000-0000-00006E020000}"/>
    <cellStyle name="20% - Accent2 2 6 2 2" xfId="627" xr:uid="{00000000-0005-0000-0000-00006F020000}"/>
    <cellStyle name="20% - Accent2 2 6 3" xfId="628" xr:uid="{00000000-0005-0000-0000-000070020000}"/>
    <cellStyle name="20% - Accent2 2 6 4" xfId="629" xr:uid="{00000000-0005-0000-0000-000071020000}"/>
    <cellStyle name="20% - Accent2 2 6 5" xfId="630" xr:uid="{00000000-0005-0000-0000-000072020000}"/>
    <cellStyle name="20% - Accent2 2 7" xfId="631" xr:uid="{00000000-0005-0000-0000-000073020000}"/>
    <cellStyle name="20% - Accent2 2 7 2" xfId="632" xr:uid="{00000000-0005-0000-0000-000074020000}"/>
    <cellStyle name="20% - Accent2 2 8" xfId="633" xr:uid="{00000000-0005-0000-0000-000075020000}"/>
    <cellStyle name="20% - Accent2 2 9" xfId="634" xr:uid="{00000000-0005-0000-0000-000076020000}"/>
    <cellStyle name="20% - Accent2 3" xfId="635" xr:uid="{00000000-0005-0000-0000-000077020000}"/>
    <cellStyle name="20% - Accent2 3 10" xfId="636" xr:uid="{00000000-0005-0000-0000-000078020000}"/>
    <cellStyle name="20% - Accent2 3 2" xfId="637" xr:uid="{00000000-0005-0000-0000-000079020000}"/>
    <cellStyle name="20% - Accent2 3 2 2" xfId="638" xr:uid="{00000000-0005-0000-0000-00007A020000}"/>
    <cellStyle name="20% - Accent2 3 2 2 2" xfId="639" xr:uid="{00000000-0005-0000-0000-00007B020000}"/>
    <cellStyle name="20% - Accent2 3 2 2 2 2" xfId="640" xr:uid="{00000000-0005-0000-0000-00007C020000}"/>
    <cellStyle name="20% - Accent2 3 2 2 2 3" xfId="641" xr:uid="{00000000-0005-0000-0000-00007D020000}"/>
    <cellStyle name="20% - Accent2 3 2 2 3" xfId="642" xr:uid="{00000000-0005-0000-0000-00007E020000}"/>
    <cellStyle name="20% - Accent2 3 2 2 4" xfId="643" xr:uid="{00000000-0005-0000-0000-00007F020000}"/>
    <cellStyle name="20% - Accent2 3 2 2 5" xfId="644" xr:uid="{00000000-0005-0000-0000-000080020000}"/>
    <cellStyle name="20% - Accent2 3 2 2 6" xfId="645" xr:uid="{00000000-0005-0000-0000-000081020000}"/>
    <cellStyle name="20% - Accent2 3 2 3" xfId="646" xr:uid="{00000000-0005-0000-0000-000082020000}"/>
    <cellStyle name="20% - Accent2 3 2 3 2" xfId="647" xr:uid="{00000000-0005-0000-0000-000083020000}"/>
    <cellStyle name="20% - Accent2 3 2 3 2 2" xfId="648" xr:uid="{00000000-0005-0000-0000-000084020000}"/>
    <cellStyle name="20% - Accent2 3 2 3 3" xfId="649" xr:uid="{00000000-0005-0000-0000-000085020000}"/>
    <cellStyle name="20% - Accent2 3 2 3 4" xfId="650" xr:uid="{00000000-0005-0000-0000-000086020000}"/>
    <cellStyle name="20% - Accent2 3 2 3 5" xfId="651" xr:uid="{00000000-0005-0000-0000-000087020000}"/>
    <cellStyle name="20% - Accent2 3 2 4" xfId="652" xr:uid="{00000000-0005-0000-0000-000088020000}"/>
    <cellStyle name="20% - Accent2 3 2 4 2" xfId="653" xr:uid="{00000000-0005-0000-0000-000089020000}"/>
    <cellStyle name="20% - Accent2 3 2 4 3" xfId="654" xr:uid="{00000000-0005-0000-0000-00008A020000}"/>
    <cellStyle name="20% - Accent2 3 2 4 4" xfId="655" xr:uid="{00000000-0005-0000-0000-00008B020000}"/>
    <cellStyle name="20% - Accent2 3 2 5" xfId="656" xr:uid="{00000000-0005-0000-0000-00008C020000}"/>
    <cellStyle name="20% - Accent2 3 2 5 2" xfId="657" xr:uid="{00000000-0005-0000-0000-00008D020000}"/>
    <cellStyle name="20% - Accent2 3 2 6" xfId="658" xr:uid="{00000000-0005-0000-0000-00008E020000}"/>
    <cellStyle name="20% - Accent2 3 2 7" xfId="659" xr:uid="{00000000-0005-0000-0000-00008F020000}"/>
    <cellStyle name="20% - Accent2 3 2 8" xfId="660" xr:uid="{00000000-0005-0000-0000-000090020000}"/>
    <cellStyle name="20% - Accent2 3 2 9" xfId="661" xr:uid="{00000000-0005-0000-0000-000091020000}"/>
    <cellStyle name="20% - Accent2 3 3" xfId="662" xr:uid="{00000000-0005-0000-0000-000092020000}"/>
    <cellStyle name="20% - Accent2 3 3 2" xfId="663" xr:uid="{00000000-0005-0000-0000-000093020000}"/>
    <cellStyle name="20% - Accent2 3 3 2 2" xfId="664" xr:uid="{00000000-0005-0000-0000-000094020000}"/>
    <cellStyle name="20% - Accent2 3 3 2 3" xfId="665" xr:uid="{00000000-0005-0000-0000-000095020000}"/>
    <cellStyle name="20% - Accent2 3 3 3" xfId="666" xr:uid="{00000000-0005-0000-0000-000096020000}"/>
    <cellStyle name="20% - Accent2 3 3 4" xfId="667" xr:uid="{00000000-0005-0000-0000-000097020000}"/>
    <cellStyle name="20% - Accent2 3 3 5" xfId="668" xr:uid="{00000000-0005-0000-0000-000098020000}"/>
    <cellStyle name="20% - Accent2 3 3 6" xfId="669" xr:uid="{00000000-0005-0000-0000-000099020000}"/>
    <cellStyle name="20% - Accent2 3 4" xfId="670" xr:uid="{00000000-0005-0000-0000-00009A020000}"/>
    <cellStyle name="20% - Accent2 3 4 2" xfId="671" xr:uid="{00000000-0005-0000-0000-00009B020000}"/>
    <cellStyle name="20% - Accent2 3 4 2 2" xfId="672" xr:uid="{00000000-0005-0000-0000-00009C020000}"/>
    <cellStyle name="20% - Accent2 3 4 3" xfId="673" xr:uid="{00000000-0005-0000-0000-00009D020000}"/>
    <cellStyle name="20% - Accent2 3 4 4" xfId="674" xr:uid="{00000000-0005-0000-0000-00009E020000}"/>
    <cellStyle name="20% - Accent2 3 4 5" xfId="675" xr:uid="{00000000-0005-0000-0000-00009F020000}"/>
    <cellStyle name="20% - Accent2 3 5" xfId="676" xr:uid="{00000000-0005-0000-0000-0000A0020000}"/>
    <cellStyle name="20% - Accent2 3 5 2" xfId="677" xr:uid="{00000000-0005-0000-0000-0000A1020000}"/>
    <cellStyle name="20% - Accent2 3 5 2 2" xfId="678" xr:uid="{00000000-0005-0000-0000-0000A2020000}"/>
    <cellStyle name="20% - Accent2 3 5 3" xfId="679" xr:uid="{00000000-0005-0000-0000-0000A3020000}"/>
    <cellStyle name="20% - Accent2 3 5 4" xfId="680" xr:uid="{00000000-0005-0000-0000-0000A4020000}"/>
    <cellStyle name="20% - Accent2 3 5 5" xfId="681" xr:uid="{00000000-0005-0000-0000-0000A5020000}"/>
    <cellStyle name="20% - Accent2 3 6" xfId="682" xr:uid="{00000000-0005-0000-0000-0000A6020000}"/>
    <cellStyle name="20% - Accent2 3 6 2" xfId="683" xr:uid="{00000000-0005-0000-0000-0000A7020000}"/>
    <cellStyle name="20% - Accent2 3 7" xfId="684" xr:uid="{00000000-0005-0000-0000-0000A8020000}"/>
    <cellStyle name="20% - Accent2 3 8" xfId="685" xr:uid="{00000000-0005-0000-0000-0000A9020000}"/>
    <cellStyle name="20% - Accent2 3 9" xfId="686" xr:uid="{00000000-0005-0000-0000-0000AA020000}"/>
    <cellStyle name="20% - Accent2 4" xfId="687" xr:uid="{00000000-0005-0000-0000-0000AB020000}"/>
    <cellStyle name="20% - Accent2 4 10" xfId="688" xr:uid="{00000000-0005-0000-0000-0000AC020000}"/>
    <cellStyle name="20% - Accent2 4 2" xfId="689" xr:uid="{00000000-0005-0000-0000-0000AD020000}"/>
    <cellStyle name="20% - Accent2 4 2 2" xfId="690" xr:uid="{00000000-0005-0000-0000-0000AE020000}"/>
    <cellStyle name="20% - Accent2 4 2 2 2" xfId="691" xr:uid="{00000000-0005-0000-0000-0000AF020000}"/>
    <cellStyle name="20% - Accent2 4 2 2 2 2" xfId="692" xr:uid="{00000000-0005-0000-0000-0000B0020000}"/>
    <cellStyle name="20% - Accent2 4 2 2 2 3" xfId="693" xr:uid="{00000000-0005-0000-0000-0000B1020000}"/>
    <cellStyle name="20% - Accent2 4 2 2 3" xfId="694" xr:uid="{00000000-0005-0000-0000-0000B2020000}"/>
    <cellStyle name="20% - Accent2 4 2 2 4" xfId="695" xr:uid="{00000000-0005-0000-0000-0000B3020000}"/>
    <cellStyle name="20% - Accent2 4 2 2 5" xfId="696" xr:uid="{00000000-0005-0000-0000-0000B4020000}"/>
    <cellStyle name="20% - Accent2 4 2 2 6" xfId="697" xr:uid="{00000000-0005-0000-0000-0000B5020000}"/>
    <cellStyle name="20% - Accent2 4 2 3" xfId="698" xr:uid="{00000000-0005-0000-0000-0000B6020000}"/>
    <cellStyle name="20% - Accent2 4 2 3 2" xfId="699" xr:uid="{00000000-0005-0000-0000-0000B7020000}"/>
    <cellStyle name="20% - Accent2 4 2 3 2 2" xfId="700" xr:uid="{00000000-0005-0000-0000-0000B8020000}"/>
    <cellStyle name="20% - Accent2 4 2 3 3" xfId="701" xr:uid="{00000000-0005-0000-0000-0000B9020000}"/>
    <cellStyle name="20% - Accent2 4 2 3 4" xfId="702" xr:uid="{00000000-0005-0000-0000-0000BA020000}"/>
    <cellStyle name="20% - Accent2 4 2 3 5" xfId="703" xr:uid="{00000000-0005-0000-0000-0000BB020000}"/>
    <cellStyle name="20% - Accent2 4 2 4" xfId="704" xr:uid="{00000000-0005-0000-0000-0000BC020000}"/>
    <cellStyle name="20% - Accent2 4 2 4 2" xfId="705" xr:uid="{00000000-0005-0000-0000-0000BD020000}"/>
    <cellStyle name="20% - Accent2 4 2 4 3" xfId="706" xr:uid="{00000000-0005-0000-0000-0000BE020000}"/>
    <cellStyle name="20% - Accent2 4 2 4 4" xfId="707" xr:uid="{00000000-0005-0000-0000-0000BF020000}"/>
    <cellStyle name="20% - Accent2 4 2 5" xfId="708" xr:uid="{00000000-0005-0000-0000-0000C0020000}"/>
    <cellStyle name="20% - Accent2 4 2 5 2" xfId="709" xr:uid="{00000000-0005-0000-0000-0000C1020000}"/>
    <cellStyle name="20% - Accent2 4 2 6" xfId="710" xr:uid="{00000000-0005-0000-0000-0000C2020000}"/>
    <cellStyle name="20% - Accent2 4 2 7" xfId="711" xr:uid="{00000000-0005-0000-0000-0000C3020000}"/>
    <cellStyle name="20% - Accent2 4 2 8" xfId="712" xr:uid="{00000000-0005-0000-0000-0000C4020000}"/>
    <cellStyle name="20% - Accent2 4 2 9" xfId="713" xr:uid="{00000000-0005-0000-0000-0000C5020000}"/>
    <cellStyle name="20% - Accent2 4 3" xfId="714" xr:uid="{00000000-0005-0000-0000-0000C6020000}"/>
    <cellStyle name="20% - Accent2 4 3 2" xfId="715" xr:uid="{00000000-0005-0000-0000-0000C7020000}"/>
    <cellStyle name="20% - Accent2 4 3 2 2" xfId="716" xr:uid="{00000000-0005-0000-0000-0000C8020000}"/>
    <cellStyle name="20% - Accent2 4 3 2 3" xfId="717" xr:uid="{00000000-0005-0000-0000-0000C9020000}"/>
    <cellStyle name="20% - Accent2 4 3 3" xfId="718" xr:uid="{00000000-0005-0000-0000-0000CA020000}"/>
    <cellStyle name="20% - Accent2 4 3 4" xfId="719" xr:uid="{00000000-0005-0000-0000-0000CB020000}"/>
    <cellStyle name="20% - Accent2 4 3 5" xfId="720" xr:uid="{00000000-0005-0000-0000-0000CC020000}"/>
    <cellStyle name="20% - Accent2 4 3 6" xfId="721" xr:uid="{00000000-0005-0000-0000-0000CD020000}"/>
    <cellStyle name="20% - Accent2 4 4" xfId="722" xr:uid="{00000000-0005-0000-0000-0000CE020000}"/>
    <cellStyle name="20% - Accent2 4 4 2" xfId="723" xr:uid="{00000000-0005-0000-0000-0000CF020000}"/>
    <cellStyle name="20% - Accent2 4 4 2 2" xfId="724" xr:uid="{00000000-0005-0000-0000-0000D0020000}"/>
    <cellStyle name="20% - Accent2 4 4 3" xfId="725" xr:uid="{00000000-0005-0000-0000-0000D1020000}"/>
    <cellStyle name="20% - Accent2 4 4 4" xfId="726" xr:uid="{00000000-0005-0000-0000-0000D2020000}"/>
    <cellStyle name="20% - Accent2 4 4 5" xfId="727" xr:uid="{00000000-0005-0000-0000-0000D3020000}"/>
    <cellStyle name="20% - Accent2 4 5" xfId="728" xr:uid="{00000000-0005-0000-0000-0000D4020000}"/>
    <cellStyle name="20% - Accent2 4 5 2" xfId="729" xr:uid="{00000000-0005-0000-0000-0000D5020000}"/>
    <cellStyle name="20% - Accent2 4 5 2 2" xfId="730" xr:uid="{00000000-0005-0000-0000-0000D6020000}"/>
    <cellStyle name="20% - Accent2 4 5 3" xfId="731" xr:uid="{00000000-0005-0000-0000-0000D7020000}"/>
    <cellStyle name="20% - Accent2 4 5 4" xfId="732" xr:uid="{00000000-0005-0000-0000-0000D8020000}"/>
    <cellStyle name="20% - Accent2 4 5 5" xfId="733" xr:uid="{00000000-0005-0000-0000-0000D9020000}"/>
    <cellStyle name="20% - Accent2 4 6" xfId="734" xr:uid="{00000000-0005-0000-0000-0000DA020000}"/>
    <cellStyle name="20% - Accent2 4 6 2" xfId="735" xr:uid="{00000000-0005-0000-0000-0000DB020000}"/>
    <cellStyle name="20% - Accent2 4 7" xfId="736" xr:uid="{00000000-0005-0000-0000-0000DC020000}"/>
    <cellStyle name="20% - Accent2 4 8" xfId="737" xr:uid="{00000000-0005-0000-0000-0000DD020000}"/>
    <cellStyle name="20% - Accent2 4 9" xfId="738" xr:uid="{00000000-0005-0000-0000-0000DE020000}"/>
    <cellStyle name="20% - Accent2 5" xfId="739" xr:uid="{00000000-0005-0000-0000-0000DF020000}"/>
    <cellStyle name="20% - Accent2 5 10" xfId="740" xr:uid="{00000000-0005-0000-0000-0000E0020000}"/>
    <cellStyle name="20% - Accent2 5 2" xfId="741" xr:uid="{00000000-0005-0000-0000-0000E1020000}"/>
    <cellStyle name="20% - Accent2 5 2 2" xfId="742" xr:uid="{00000000-0005-0000-0000-0000E2020000}"/>
    <cellStyle name="20% - Accent2 5 2 2 2" xfId="743" xr:uid="{00000000-0005-0000-0000-0000E3020000}"/>
    <cellStyle name="20% - Accent2 5 2 2 2 2" xfId="744" xr:uid="{00000000-0005-0000-0000-0000E4020000}"/>
    <cellStyle name="20% - Accent2 5 2 2 2 3" xfId="745" xr:uid="{00000000-0005-0000-0000-0000E5020000}"/>
    <cellStyle name="20% - Accent2 5 2 2 3" xfId="746" xr:uid="{00000000-0005-0000-0000-0000E6020000}"/>
    <cellStyle name="20% - Accent2 5 2 2 4" xfId="747" xr:uid="{00000000-0005-0000-0000-0000E7020000}"/>
    <cellStyle name="20% - Accent2 5 2 2 5" xfId="748" xr:uid="{00000000-0005-0000-0000-0000E8020000}"/>
    <cellStyle name="20% - Accent2 5 2 2 6" xfId="749" xr:uid="{00000000-0005-0000-0000-0000E9020000}"/>
    <cellStyle name="20% - Accent2 5 2 3" xfId="750" xr:uid="{00000000-0005-0000-0000-0000EA020000}"/>
    <cellStyle name="20% - Accent2 5 2 3 2" xfId="751" xr:uid="{00000000-0005-0000-0000-0000EB020000}"/>
    <cellStyle name="20% - Accent2 5 2 3 2 2" xfId="752" xr:uid="{00000000-0005-0000-0000-0000EC020000}"/>
    <cellStyle name="20% - Accent2 5 2 3 3" xfId="753" xr:uid="{00000000-0005-0000-0000-0000ED020000}"/>
    <cellStyle name="20% - Accent2 5 2 3 4" xfId="754" xr:uid="{00000000-0005-0000-0000-0000EE020000}"/>
    <cellStyle name="20% - Accent2 5 2 3 5" xfId="755" xr:uid="{00000000-0005-0000-0000-0000EF020000}"/>
    <cellStyle name="20% - Accent2 5 2 4" xfId="756" xr:uid="{00000000-0005-0000-0000-0000F0020000}"/>
    <cellStyle name="20% - Accent2 5 2 4 2" xfId="757" xr:uid="{00000000-0005-0000-0000-0000F1020000}"/>
    <cellStyle name="20% - Accent2 5 2 4 3" xfId="758" xr:uid="{00000000-0005-0000-0000-0000F2020000}"/>
    <cellStyle name="20% - Accent2 5 2 4 4" xfId="759" xr:uid="{00000000-0005-0000-0000-0000F3020000}"/>
    <cellStyle name="20% - Accent2 5 2 5" xfId="760" xr:uid="{00000000-0005-0000-0000-0000F4020000}"/>
    <cellStyle name="20% - Accent2 5 2 5 2" xfId="761" xr:uid="{00000000-0005-0000-0000-0000F5020000}"/>
    <cellStyle name="20% - Accent2 5 2 6" xfId="762" xr:uid="{00000000-0005-0000-0000-0000F6020000}"/>
    <cellStyle name="20% - Accent2 5 2 7" xfId="763" xr:uid="{00000000-0005-0000-0000-0000F7020000}"/>
    <cellStyle name="20% - Accent2 5 2 8" xfId="764" xr:uid="{00000000-0005-0000-0000-0000F8020000}"/>
    <cellStyle name="20% - Accent2 5 2 9" xfId="765" xr:uid="{00000000-0005-0000-0000-0000F9020000}"/>
    <cellStyle name="20% - Accent2 5 3" xfId="766" xr:uid="{00000000-0005-0000-0000-0000FA020000}"/>
    <cellStyle name="20% - Accent2 5 3 2" xfId="767" xr:uid="{00000000-0005-0000-0000-0000FB020000}"/>
    <cellStyle name="20% - Accent2 5 3 2 2" xfId="768" xr:uid="{00000000-0005-0000-0000-0000FC020000}"/>
    <cellStyle name="20% - Accent2 5 3 2 3" xfId="769" xr:uid="{00000000-0005-0000-0000-0000FD020000}"/>
    <cellStyle name="20% - Accent2 5 3 3" xfId="770" xr:uid="{00000000-0005-0000-0000-0000FE020000}"/>
    <cellStyle name="20% - Accent2 5 3 4" xfId="771" xr:uid="{00000000-0005-0000-0000-0000FF020000}"/>
    <cellStyle name="20% - Accent2 5 3 5" xfId="772" xr:uid="{00000000-0005-0000-0000-000000030000}"/>
    <cellStyle name="20% - Accent2 5 3 6" xfId="773" xr:uid="{00000000-0005-0000-0000-000001030000}"/>
    <cellStyle name="20% - Accent2 5 4" xfId="774" xr:uid="{00000000-0005-0000-0000-000002030000}"/>
    <cellStyle name="20% - Accent2 5 4 2" xfId="775" xr:uid="{00000000-0005-0000-0000-000003030000}"/>
    <cellStyle name="20% - Accent2 5 4 2 2" xfId="776" xr:uid="{00000000-0005-0000-0000-000004030000}"/>
    <cellStyle name="20% - Accent2 5 4 3" xfId="777" xr:uid="{00000000-0005-0000-0000-000005030000}"/>
    <cellStyle name="20% - Accent2 5 4 4" xfId="778" xr:uid="{00000000-0005-0000-0000-000006030000}"/>
    <cellStyle name="20% - Accent2 5 4 5" xfId="779" xr:uid="{00000000-0005-0000-0000-000007030000}"/>
    <cellStyle name="20% - Accent2 5 5" xfId="780" xr:uid="{00000000-0005-0000-0000-000008030000}"/>
    <cellStyle name="20% - Accent2 5 5 2" xfId="781" xr:uid="{00000000-0005-0000-0000-000009030000}"/>
    <cellStyle name="20% - Accent2 5 5 3" xfId="782" xr:uid="{00000000-0005-0000-0000-00000A030000}"/>
    <cellStyle name="20% - Accent2 5 5 4" xfId="783" xr:uid="{00000000-0005-0000-0000-00000B030000}"/>
    <cellStyle name="20% - Accent2 5 6" xfId="784" xr:uid="{00000000-0005-0000-0000-00000C030000}"/>
    <cellStyle name="20% - Accent2 5 6 2" xfId="785" xr:uid="{00000000-0005-0000-0000-00000D030000}"/>
    <cellStyle name="20% - Accent2 5 7" xfId="786" xr:uid="{00000000-0005-0000-0000-00000E030000}"/>
    <cellStyle name="20% - Accent2 5 8" xfId="787" xr:uid="{00000000-0005-0000-0000-00000F030000}"/>
    <cellStyle name="20% - Accent2 5 9" xfId="788" xr:uid="{00000000-0005-0000-0000-000010030000}"/>
    <cellStyle name="20% - Accent2 6" xfId="789" xr:uid="{00000000-0005-0000-0000-000011030000}"/>
    <cellStyle name="20% - Accent2 6 10" xfId="790" xr:uid="{00000000-0005-0000-0000-000012030000}"/>
    <cellStyle name="20% - Accent2 6 2" xfId="791" xr:uid="{00000000-0005-0000-0000-000013030000}"/>
    <cellStyle name="20% - Accent2 6 2 2" xfId="792" xr:uid="{00000000-0005-0000-0000-000014030000}"/>
    <cellStyle name="20% - Accent2 6 2 2 2" xfId="793" xr:uid="{00000000-0005-0000-0000-000015030000}"/>
    <cellStyle name="20% - Accent2 6 2 2 2 2" xfId="794" xr:uid="{00000000-0005-0000-0000-000016030000}"/>
    <cellStyle name="20% - Accent2 6 2 2 2 3" xfId="795" xr:uid="{00000000-0005-0000-0000-000017030000}"/>
    <cellStyle name="20% - Accent2 6 2 2 3" xfId="796" xr:uid="{00000000-0005-0000-0000-000018030000}"/>
    <cellStyle name="20% - Accent2 6 2 2 4" xfId="797" xr:uid="{00000000-0005-0000-0000-000019030000}"/>
    <cellStyle name="20% - Accent2 6 2 2 5" xfId="798" xr:uid="{00000000-0005-0000-0000-00001A030000}"/>
    <cellStyle name="20% - Accent2 6 2 2 6" xfId="799" xr:uid="{00000000-0005-0000-0000-00001B030000}"/>
    <cellStyle name="20% - Accent2 6 2 3" xfId="800" xr:uid="{00000000-0005-0000-0000-00001C030000}"/>
    <cellStyle name="20% - Accent2 6 2 3 2" xfId="801" xr:uid="{00000000-0005-0000-0000-00001D030000}"/>
    <cellStyle name="20% - Accent2 6 2 3 2 2" xfId="802" xr:uid="{00000000-0005-0000-0000-00001E030000}"/>
    <cellStyle name="20% - Accent2 6 2 3 3" xfId="803" xr:uid="{00000000-0005-0000-0000-00001F030000}"/>
    <cellStyle name="20% - Accent2 6 2 3 4" xfId="804" xr:uid="{00000000-0005-0000-0000-000020030000}"/>
    <cellStyle name="20% - Accent2 6 2 3 5" xfId="805" xr:uid="{00000000-0005-0000-0000-000021030000}"/>
    <cellStyle name="20% - Accent2 6 2 4" xfId="806" xr:uid="{00000000-0005-0000-0000-000022030000}"/>
    <cellStyle name="20% - Accent2 6 2 4 2" xfId="807" xr:uid="{00000000-0005-0000-0000-000023030000}"/>
    <cellStyle name="20% - Accent2 6 2 4 3" xfId="808" xr:uid="{00000000-0005-0000-0000-000024030000}"/>
    <cellStyle name="20% - Accent2 6 2 4 4" xfId="809" xr:uid="{00000000-0005-0000-0000-000025030000}"/>
    <cellStyle name="20% - Accent2 6 2 5" xfId="810" xr:uid="{00000000-0005-0000-0000-000026030000}"/>
    <cellStyle name="20% - Accent2 6 2 5 2" xfId="811" xr:uid="{00000000-0005-0000-0000-000027030000}"/>
    <cellStyle name="20% - Accent2 6 2 6" xfId="812" xr:uid="{00000000-0005-0000-0000-000028030000}"/>
    <cellStyle name="20% - Accent2 6 2 7" xfId="813" xr:uid="{00000000-0005-0000-0000-000029030000}"/>
    <cellStyle name="20% - Accent2 6 2 8" xfId="814" xr:uid="{00000000-0005-0000-0000-00002A030000}"/>
    <cellStyle name="20% - Accent2 6 2 9" xfId="815" xr:uid="{00000000-0005-0000-0000-00002B030000}"/>
    <cellStyle name="20% - Accent2 6 3" xfId="816" xr:uid="{00000000-0005-0000-0000-00002C030000}"/>
    <cellStyle name="20% - Accent2 6 3 2" xfId="817" xr:uid="{00000000-0005-0000-0000-00002D030000}"/>
    <cellStyle name="20% - Accent2 6 3 2 2" xfId="818" xr:uid="{00000000-0005-0000-0000-00002E030000}"/>
    <cellStyle name="20% - Accent2 6 3 2 3" xfId="819" xr:uid="{00000000-0005-0000-0000-00002F030000}"/>
    <cellStyle name="20% - Accent2 6 3 3" xfId="820" xr:uid="{00000000-0005-0000-0000-000030030000}"/>
    <cellStyle name="20% - Accent2 6 3 4" xfId="821" xr:uid="{00000000-0005-0000-0000-000031030000}"/>
    <cellStyle name="20% - Accent2 6 3 5" xfId="822" xr:uid="{00000000-0005-0000-0000-000032030000}"/>
    <cellStyle name="20% - Accent2 6 3 6" xfId="823" xr:uid="{00000000-0005-0000-0000-000033030000}"/>
    <cellStyle name="20% - Accent2 6 4" xfId="824" xr:uid="{00000000-0005-0000-0000-000034030000}"/>
    <cellStyle name="20% - Accent2 6 4 2" xfId="825" xr:uid="{00000000-0005-0000-0000-000035030000}"/>
    <cellStyle name="20% - Accent2 6 4 2 2" xfId="826" xr:uid="{00000000-0005-0000-0000-000036030000}"/>
    <cellStyle name="20% - Accent2 6 4 3" xfId="827" xr:uid="{00000000-0005-0000-0000-000037030000}"/>
    <cellStyle name="20% - Accent2 6 4 4" xfId="828" xr:uid="{00000000-0005-0000-0000-000038030000}"/>
    <cellStyle name="20% - Accent2 6 4 5" xfId="829" xr:uid="{00000000-0005-0000-0000-000039030000}"/>
    <cellStyle name="20% - Accent2 6 5" xfId="830" xr:uid="{00000000-0005-0000-0000-00003A030000}"/>
    <cellStyle name="20% - Accent2 6 5 2" xfId="831" xr:uid="{00000000-0005-0000-0000-00003B030000}"/>
    <cellStyle name="20% - Accent2 6 5 3" xfId="832" xr:uid="{00000000-0005-0000-0000-00003C030000}"/>
    <cellStyle name="20% - Accent2 6 5 4" xfId="833" xr:uid="{00000000-0005-0000-0000-00003D030000}"/>
    <cellStyle name="20% - Accent2 6 6" xfId="834" xr:uid="{00000000-0005-0000-0000-00003E030000}"/>
    <cellStyle name="20% - Accent2 6 6 2" xfId="835" xr:uid="{00000000-0005-0000-0000-00003F030000}"/>
    <cellStyle name="20% - Accent2 6 7" xfId="836" xr:uid="{00000000-0005-0000-0000-000040030000}"/>
    <cellStyle name="20% - Accent2 6 8" xfId="837" xr:uid="{00000000-0005-0000-0000-000041030000}"/>
    <cellStyle name="20% - Accent2 6 9" xfId="838" xr:uid="{00000000-0005-0000-0000-000042030000}"/>
    <cellStyle name="20% - Accent2 7" xfId="839" xr:uid="{00000000-0005-0000-0000-000043030000}"/>
    <cellStyle name="20% - Accent2 7 2" xfId="840" xr:uid="{00000000-0005-0000-0000-000044030000}"/>
    <cellStyle name="20% - Accent2 7 2 2" xfId="841" xr:uid="{00000000-0005-0000-0000-000045030000}"/>
    <cellStyle name="20% - Accent2 7 2 2 2" xfId="842" xr:uid="{00000000-0005-0000-0000-000046030000}"/>
    <cellStyle name="20% - Accent2 7 2 2 3" xfId="843" xr:uid="{00000000-0005-0000-0000-000047030000}"/>
    <cellStyle name="20% - Accent2 7 2 3" xfId="844" xr:uid="{00000000-0005-0000-0000-000048030000}"/>
    <cellStyle name="20% - Accent2 7 2 4" xfId="845" xr:uid="{00000000-0005-0000-0000-000049030000}"/>
    <cellStyle name="20% - Accent2 7 2 5" xfId="846" xr:uid="{00000000-0005-0000-0000-00004A030000}"/>
    <cellStyle name="20% - Accent2 7 2 6" xfId="847" xr:uid="{00000000-0005-0000-0000-00004B030000}"/>
    <cellStyle name="20% - Accent2 7 3" xfId="848" xr:uid="{00000000-0005-0000-0000-00004C030000}"/>
    <cellStyle name="20% - Accent2 7 3 2" xfId="849" xr:uid="{00000000-0005-0000-0000-00004D030000}"/>
    <cellStyle name="20% - Accent2 7 3 2 2" xfId="850" xr:uid="{00000000-0005-0000-0000-00004E030000}"/>
    <cellStyle name="20% - Accent2 7 3 3" xfId="851" xr:uid="{00000000-0005-0000-0000-00004F030000}"/>
    <cellStyle name="20% - Accent2 7 3 4" xfId="852" xr:uid="{00000000-0005-0000-0000-000050030000}"/>
    <cellStyle name="20% - Accent2 7 3 5" xfId="853" xr:uid="{00000000-0005-0000-0000-000051030000}"/>
    <cellStyle name="20% - Accent2 7 4" xfId="854" xr:uid="{00000000-0005-0000-0000-000052030000}"/>
    <cellStyle name="20% - Accent2 7 4 2" xfId="855" xr:uid="{00000000-0005-0000-0000-000053030000}"/>
    <cellStyle name="20% - Accent2 7 4 3" xfId="856" xr:uid="{00000000-0005-0000-0000-000054030000}"/>
    <cellStyle name="20% - Accent2 7 4 4" xfId="857" xr:uid="{00000000-0005-0000-0000-000055030000}"/>
    <cellStyle name="20% - Accent2 7 5" xfId="858" xr:uid="{00000000-0005-0000-0000-000056030000}"/>
    <cellStyle name="20% - Accent2 7 5 2" xfId="859" xr:uid="{00000000-0005-0000-0000-000057030000}"/>
    <cellStyle name="20% - Accent2 7 6" xfId="860" xr:uid="{00000000-0005-0000-0000-000058030000}"/>
    <cellStyle name="20% - Accent2 7 7" xfId="861" xr:uid="{00000000-0005-0000-0000-000059030000}"/>
    <cellStyle name="20% - Accent2 7 8" xfId="862" xr:uid="{00000000-0005-0000-0000-00005A030000}"/>
    <cellStyle name="20% - Accent2 7 9" xfId="863" xr:uid="{00000000-0005-0000-0000-00005B030000}"/>
    <cellStyle name="20% - Accent2 8" xfId="864" xr:uid="{00000000-0005-0000-0000-00005C030000}"/>
    <cellStyle name="20% - Accent2 8 2" xfId="865" xr:uid="{00000000-0005-0000-0000-00005D030000}"/>
    <cellStyle name="20% - Accent2 8 2 2" xfId="866" xr:uid="{00000000-0005-0000-0000-00005E030000}"/>
    <cellStyle name="20% - Accent2 8 2 2 2" xfId="867" xr:uid="{00000000-0005-0000-0000-00005F030000}"/>
    <cellStyle name="20% - Accent2 8 2 2 3" xfId="868" xr:uid="{00000000-0005-0000-0000-000060030000}"/>
    <cellStyle name="20% - Accent2 8 2 3" xfId="869" xr:uid="{00000000-0005-0000-0000-000061030000}"/>
    <cellStyle name="20% - Accent2 8 2 4" xfId="870" xr:uid="{00000000-0005-0000-0000-000062030000}"/>
    <cellStyle name="20% - Accent2 8 2 5" xfId="871" xr:uid="{00000000-0005-0000-0000-000063030000}"/>
    <cellStyle name="20% - Accent2 8 2 6" xfId="872" xr:uid="{00000000-0005-0000-0000-000064030000}"/>
    <cellStyle name="20% - Accent2 8 3" xfId="873" xr:uid="{00000000-0005-0000-0000-000065030000}"/>
    <cellStyle name="20% - Accent2 8 3 2" xfId="874" xr:uid="{00000000-0005-0000-0000-000066030000}"/>
    <cellStyle name="20% - Accent2 8 3 2 2" xfId="875" xr:uid="{00000000-0005-0000-0000-000067030000}"/>
    <cellStyle name="20% - Accent2 8 3 3" xfId="876" xr:uid="{00000000-0005-0000-0000-000068030000}"/>
    <cellStyle name="20% - Accent2 8 3 4" xfId="877" xr:uid="{00000000-0005-0000-0000-000069030000}"/>
    <cellStyle name="20% - Accent2 8 3 5" xfId="878" xr:uid="{00000000-0005-0000-0000-00006A030000}"/>
    <cellStyle name="20% - Accent2 8 4" xfId="879" xr:uid="{00000000-0005-0000-0000-00006B030000}"/>
    <cellStyle name="20% - Accent2 8 4 2" xfId="880" xr:uid="{00000000-0005-0000-0000-00006C030000}"/>
    <cellStyle name="20% - Accent2 8 4 3" xfId="881" xr:uid="{00000000-0005-0000-0000-00006D030000}"/>
    <cellStyle name="20% - Accent2 8 4 4" xfId="882" xr:uid="{00000000-0005-0000-0000-00006E030000}"/>
    <cellStyle name="20% - Accent2 8 5" xfId="883" xr:uid="{00000000-0005-0000-0000-00006F030000}"/>
    <cellStyle name="20% - Accent2 8 5 2" xfId="884" xr:uid="{00000000-0005-0000-0000-000070030000}"/>
    <cellStyle name="20% - Accent2 8 6" xfId="885" xr:uid="{00000000-0005-0000-0000-000071030000}"/>
    <cellStyle name="20% - Accent2 8 7" xfId="886" xr:uid="{00000000-0005-0000-0000-000072030000}"/>
    <cellStyle name="20% - Accent2 8 8" xfId="887" xr:uid="{00000000-0005-0000-0000-000073030000}"/>
    <cellStyle name="20% - Accent2 8 9" xfId="888" xr:uid="{00000000-0005-0000-0000-000074030000}"/>
    <cellStyle name="20% - Accent2 9" xfId="889" xr:uid="{00000000-0005-0000-0000-000075030000}"/>
    <cellStyle name="20% - Accent2 9 2" xfId="890" xr:uid="{00000000-0005-0000-0000-000076030000}"/>
    <cellStyle name="20% - Accent2 9 2 2" xfId="891" xr:uid="{00000000-0005-0000-0000-000077030000}"/>
    <cellStyle name="20% - Accent2 9 2 2 2" xfId="892" xr:uid="{00000000-0005-0000-0000-000078030000}"/>
    <cellStyle name="20% - Accent2 9 2 3" xfId="893" xr:uid="{00000000-0005-0000-0000-000079030000}"/>
    <cellStyle name="20% - Accent2 9 2 4" xfId="894" xr:uid="{00000000-0005-0000-0000-00007A030000}"/>
    <cellStyle name="20% - Accent2 9 2 5" xfId="895" xr:uid="{00000000-0005-0000-0000-00007B030000}"/>
    <cellStyle name="20% - Accent2 9 3" xfId="896" xr:uid="{00000000-0005-0000-0000-00007C030000}"/>
    <cellStyle name="20% - Accent2 9 3 2" xfId="897" xr:uid="{00000000-0005-0000-0000-00007D030000}"/>
    <cellStyle name="20% - Accent2 9 3 3" xfId="898" xr:uid="{00000000-0005-0000-0000-00007E030000}"/>
    <cellStyle name="20% - Accent2 9 3 4" xfId="899" xr:uid="{00000000-0005-0000-0000-00007F030000}"/>
    <cellStyle name="20% - Accent2 9 4" xfId="900" xr:uid="{00000000-0005-0000-0000-000080030000}"/>
    <cellStyle name="20% - Accent2 9 4 2" xfId="901" xr:uid="{00000000-0005-0000-0000-000081030000}"/>
    <cellStyle name="20% - Accent2 9 5" xfId="902" xr:uid="{00000000-0005-0000-0000-000082030000}"/>
    <cellStyle name="20% - Accent2 9 6" xfId="903" xr:uid="{00000000-0005-0000-0000-000083030000}"/>
    <cellStyle name="20% - Accent2 9 7" xfId="904" xr:uid="{00000000-0005-0000-0000-000084030000}"/>
    <cellStyle name="20% - Accent2 9 8" xfId="905" xr:uid="{00000000-0005-0000-0000-000085030000}"/>
    <cellStyle name="20% - Accent3 10" xfId="906" xr:uid="{00000000-0005-0000-0000-000086030000}"/>
    <cellStyle name="20% - Accent3 10 2" xfId="907" xr:uid="{00000000-0005-0000-0000-000087030000}"/>
    <cellStyle name="20% - Accent3 10 2 2" xfId="908" xr:uid="{00000000-0005-0000-0000-000088030000}"/>
    <cellStyle name="20% - Accent3 10 2 2 2" xfId="909" xr:uid="{00000000-0005-0000-0000-000089030000}"/>
    <cellStyle name="20% - Accent3 10 2 3" xfId="910" xr:uid="{00000000-0005-0000-0000-00008A030000}"/>
    <cellStyle name="20% - Accent3 10 2 4" xfId="911" xr:uid="{00000000-0005-0000-0000-00008B030000}"/>
    <cellStyle name="20% - Accent3 10 2 5" xfId="912" xr:uid="{00000000-0005-0000-0000-00008C030000}"/>
    <cellStyle name="20% - Accent3 10 3" xfId="913" xr:uid="{00000000-0005-0000-0000-00008D030000}"/>
    <cellStyle name="20% - Accent3 10 3 2" xfId="914" xr:uid="{00000000-0005-0000-0000-00008E030000}"/>
    <cellStyle name="20% - Accent3 10 3 3" xfId="915" xr:uid="{00000000-0005-0000-0000-00008F030000}"/>
    <cellStyle name="20% - Accent3 10 3 4" xfId="916" xr:uid="{00000000-0005-0000-0000-000090030000}"/>
    <cellStyle name="20% - Accent3 10 4" xfId="917" xr:uid="{00000000-0005-0000-0000-000091030000}"/>
    <cellStyle name="20% - Accent3 10 4 2" xfId="918" xr:uid="{00000000-0005-0000-0000-000092030000}"/>
    <cellStyle name="20% - Accent3 10 5" xfId="919" xr:uid="{00000000-0005-0000-0000-000093030000}"/>
    <cellStyle name="20% - Accent3 10 6" xfId="920" xr:uid="{00000000-0005-0000-0000-000094030000}"/>
    <cellStyle name="20% - Accent3 10 7" xfId="921" xr:uid="{00000000-0005-0000-0000-000095030000}"/>
    <cellStyle name="20% - Accent3 10 8" xfId="922" xr:uid="{00000000-0005-0000-0000-000096030000}"/>
    <cellStyle name="20% - Accent3 11" xfId="923" xr:uid="{00000000-0005-0000-0000-000097030000}"/>
    <cellStyle name="20% - Accent3 11 2" xfId="924" xr:uid="{00000000-0005-0000-0000-000098030000}"/>
    <cellStyle name="20% - Accent3 11 2 2" xfId="925" xr:uid="{00000000-0005-0000-0000-000099030000}"/>
    <cellStyle name="20% - Accent3 11 2 2 2" xfId="926" xr:uid="{00000000-0005-0000-0000-00009A030000}"/>
    <cellStyle name="20% - Accent3 11 2 3" xfId="927" xr:uid="{00000000-0005-0000-0000-00009B030000}"/>
    <cellStyle name="20% - Accent3 11 2 4" xfId="928" xr:uid="{00000000-0005-0000-0000-00009C030000}"/>
    <cellStyle name="20% - Accent3 11 2 5" xfId="929" xr:uid="{00000000-0005-0000-0000-00009D030000}"/>
    <cellStyle name="20% - Accent3 11 3" xfId="930" xr:uid="{00000000-0005-0000-0000-00009E030000}"/>
    <cellStyle name="20% - Accent3 11 3 2" xfId="931" xr:uid="{00000000-0005-0000-0000-00009F030000}"/>
    <cellStyle name="20% - Accent3 11 3 3" xfId="932" xr:uid="{00000000-0005-0000-0000-0000A0030000}"/>
    <cellStyle name="20% - Accent3 11 3 4" xfId="933" xr:uid="{00000000-0005-0000-0000-0000A1030000}"/>
    <cellStyle name="20% - Accent3 11 4" xfId="934" xr:uid="{00000000-0005-0000-0000-0000A2030000}"/>
    <cellStyle name="20% - Accent3 11 4 2" xfId="935" xr:uid="{00000000-0005-0000-0000-0000A3030000}"/>
    <cellStyle name="20% - Accent3 11 5" xfId="936" xr:uid="{00000000-0005-0000-0000-0000A4030000}"/>
    <cellStyle name="20% - Accent3 11 6" xfId="937" xr:uid="{00000000-0005-0000-0000-0000A5030000}"/>
    <cellStyle name="20% - Accent3 11 7" xfId="938" xr:uid="{00000000-0005-0000-0000-0000A6030000}"/>
    <cellStyle name="20% - Accent3 11 8" xfId="939" xr:uid="{00000000-0005-0000-0000-0000A7030000}"/>
    <cellStyle name="20% - Accent3 12" xfId="940" xr:uid="{00000000-0005-0000-0000-0000A8030000}"/>
    <cellStyle name="20% - Accent3 12 2" xfId="941" xr:uid="{00000000-0005-0000-0000-0000A9030000}"/>
    <cellStyle name="20% - Accent3 12 2 2" xfId="942" xr:uid="{00000000-0005-0000-0000-0000AA030000}"/>
    <cellStyle name="20% - Accent3 12 2 2 2" xfId="943" xr:uid="{00000000-0005-0000-0000-0000AB030000}"/>
    <cellStyle name="20% - Accent3 12 2 3" xfId="944" xr:uid="{00000000-0005-0000-0000-0000AC030000}"/>
    <cellStyle name="20% - Accent3 12 2 4" xfId="945" xr:uid="{00000000-0005-0000-0000-0000AD030000}"/>
    <cellStyle name="20% - Accent3 12 2 5" xfId="946" xr:uid="{00000000-0005-0000-0000-0000AE030000}"/>
    <cellStyle name="20% - Accent3 12 3" xfId="947" xr:uid="{00000000-0005-0000-0000-0000AF030000}"/>
    <cellStyle name="20% - Accent3 12 3 2" xfId="948" xr:uid="{00000000-0005-0000-0000-0000B0030000}"/>
    <cellStyle name="20% - Accent3 12 3 3" xfId="949" xr:uid="{00000000-0005-0000-0000-0000B1030000}"/>
    <cellStyle name="20% - Accent3 12 3 4" xfId="950" xr:uid="{00000000-0005-0000-0000-0000B2030000}"/>
    <cellStyle name="20% - Accent3 12 4" xfId="951" xr:uid="{00000000-0005-0000-0000-0000B3030000}"/>
    <cellStyle name="20% - Accent3 12 4 2" xfId="952" xr:uid="{00000000-0005-0000-0000-0000B4030000}"/>
    <cellStyle name="20% - Accent3 12 5" xfId="953" xr:uid="{00000000-0005-0000-0000-0000B5030000}"/>
    <cellStyle name="20% - Accent3 12 6" xfId="954" xr:uid="{00000000-0005-0000-0000-0000B6030000}"/>
    <cellStyle name="20% - Accent3 12 7" xfId="955" xr:uid="{00000000-0005-0000-0000-0000B7030000}"/>
    <cellStyle name="20% - Accent3 12 8" xfId="956" xr:uid="{00000000-0005-0000-0000-0000B8030000}"/>
    <cellStyle name="20% - Accent3 13" xfId="957" xr:uid="{00000000-0005-0000-0000-0000B9030000}"/>
    <cellStyle name="20% - Accent3 13 2" xfId="958" xr:uid="{00000000-0005-0000-0000-0000BA030000}"/>
    <cellStyle name="20% - Accent3 13 2 2" xfId="959" xr:uid="{00000000-0005-0000-0000-0000BB030000}"/>
    <cellStyle name="20% - Accent3 13 2 3" xfId="960" xr:uid="{00000000-0005-0000-0000-0000BC030000}"/>
    <cellStyle name="20% - Accent3 13 2 4" xfId="961" xr:uid="{00000000-0005-0000-0000-0000BD030000}"/>
    <cellStyle name="20% - Accent3 13 3" xfId="962" xr:uid="{00000000-0005-0000-0000-0000BE030000}"/>
    <cellStyle name="20% - Accent3 13 3 2" xfId="963" xr:uid="{00000000-0005-0000-0000-0000BF030000}"/>
    <cellStyle name="20% - Accent3 13 4" xfId="964" xr:uid="{00000000-0005-0000-0000-0000C0030000}"/>
    <cellStyle name="20% - Accent3 13 5" xfId="965" xr:uid="{00000000-0005-0000-0000-0000C1030000}"/>
    <cellStyle name="20% - Accent3 13 6" xfId="966" xr:uid="{00000000-0005-0000-0000-0000C2030000}"/>
    <cellStyle name="20% - Accent3 14" xfId="967" xr:uid="{00000000-0005-0000-0000-0000C3030000}"/>
    <cellStyle name="20% - Accent3 14 2" xfId="968" xr:uid="{00000000-0005-0000-0000-0000C4030000}"/>
    <cellStyle name="20% - Accent3 14 2 2" xfId="969" xr:uid="{00000000-0005-0000-0000-0000C5030000}"/>
    <cellStyle name="20% - Accent3 14 3" xfId="970" xr:uid="{00000000-0005-0000-0000-0000C6030000}"/>
    <cellStyle name="20% - Accent3 14 4" xfId="971" xr:uid="{00000000-0005-0000-0000-0000C7030000}"/>
    <cellStyle name="20% - Accent3 14 5" xfId="972" xr:uid="{00000000-0005-0000-0000-0000C8030000}"/>
    <cellStyle name="20% - Accent3 15" xfId="973" xr:uid="{00000000-0005-0000-0000-0000C9030000}"/>
    <cellStyle name="20% - Accent3 15 2" xfId="974" xr:uid="{00000000-0005-0000-0000-0000CA030000}"/>
    <cellStyle name="20% - Accent3 15 2 2" xfId="975" xr:uid="{00000000-0005-0000-0000-0000CB030000}"/>
    <cellStyle name="20% - Accent3 15 3" xfId="976" xr:uid="{00000000-0005-0000-0000-0000CC030000}"/>
    <cellStyle name="20% - Accent3 15 4" xfId="977" xr:uid="{00000000-0005-0000-0000-0000CD030000}"/>
    <cellStyle name="20% - Accent3 15 5" xfId="978" xr:uid="{00000000-0005-0000-0000-0000CE030000}"/>
    <cellStyle name="20% - Accent3 16" xfId="979" xr:uid="{00000000-0005-0000-0000-0000CF030000}"/>
    <cellStyle name="20% - Accent3 16 2" xfId="980" xr:uid="{00000000-0005-0000-0000-0000D0030000}"/>
    <cellStyle name="20% - Accent3 17" xfId="981" xr:uid="{00000000-0005-0000-0000-0000D1030000}"/>
    <cellStyle name="20% - Accent3 18" xfId="982" xr:uid="{00000000-0005-0000-0000-0000D2030000}"/>
    <cellStyle name="20% - Accent3 19" xfId="983" xr:uid="{00000000-0005-0000-0000-0000D3030000}"/>
    <cellStyle name="20% - Accent3 2" xfId="984" xr:uid="{00000000-0005-0000-0000-0000D4030000}"/>
    <cellStyle name="20% - Accent3 2 10" xfId="985" xr:uid="{00000000-0005-0000-0000-0000D5030000}"/>
    <cellStyle name="20% - Accent3 2 11" xfId="986" xr:uid="{00000000-0005-0000-0000-0000D6030000}"/>
    <cellStyle name="20% - Accent3 2 2" xfId="987" xr:uid="{00000000-0005-0000-0000-0000D7030000}"/>
    <cellStyle name="20% - Accent3 2 2 10" xfId="988" xr:uid="{00000000-0005-0000-0000-0000D8030000}"/>
    <cellStyle name="20% - Accent3 2 2 2" xfId="989" xr:uid="{00000000-0005-0000-0000-0000D9030000}"/>
    <cellStyle name="20% - Accent3 2 2 2 2" xfId="990" xr:uid="{00000000-0005-0000-0000-0000DA030000}"/>
    <cellStyle name="20% - Accent3 2 2 2 2 2" xfId="991" xr:uid="{00000000-0005-0000-0000-0000DB030000}"/>
    <cellStyle name="20% - Accent3 2 2 2 2 2 2" xfId="992" xr:uid="{00000000-0005-0000-0000-0000DC030000}"/>
    <cellStyle name="20% - Accent3 2 2 2 2 2 3" xfId="993" xr:uid="{00000000-0005-0000-0000-0000DD030000}"/>
    <cellStyle name="20% - Accent3 2 2 2 2 3" xfId="994" xr:uid="{00000000-0005-0000-0000-0000DE030000}"/>
    <cellStyle name="20% - Accent3 2 2 2 2 4" xfId="995" xr:uid="{00000000-0005-0000-0000-0000DF030000}"/>
    <cellStyle name="20% - Accent3 2 2 2 2 5" xfId="996" xr:uid="{00000000-0005-0000-0000-0000E0030000}"/>
    <cellStyle name="20% - Accent3 2 2 2 2 6" xfId="997" xr:uid="{00000000-0005-0000-0000-0000E1030000}"/>
    <cellStyle name="20% - Accent3 2 2 2 3" xfId="998" xr:uid="{00000000-0005-0000-0000-0000E2030000}"/>
    <cellStyle name="20% - Accent3 2 2 2 3 2" xfId="999" xr:uid="{00000000-0005-0000-0000-0000E3030000}"/>
    <cellStyle name="20% - Accent3 2 2 2 3 2 2" xfId="1000" xr:uid="{00000000-0005-0000-0000-0000E4030000}"/>
    <cellStyle name="20% - Accent3 2 2 2 3 3" xfId="1001" xr:uid="{00000000-0005-0000-0000-0000E5030000}"/>
    <cellStyle name="20% - Accent3 2 2 2 3 4" xfId="1002" xr:uid="{00000000-0005-0000-0000-0000E6030000}"/>
    <cellStyle name="20% - Accent3 2 2 2 3 5" xfId="1003" xr:uid="{00000000-0005-0000-0000-0000E7030000}"/>
    <cellStyle name="20% - Accent3 2 2 2 4" xfId="1004" xr:uid="{00000000-0005-0000-0000-0000E8030000}"/>
    <cellStyle name="20% - Accent3 2 2 2 4 2" xfId="1005" xr:uid="{00000000-0005-0000-0000-0000E9030000}"/>
    <cellStyle name="20% - Accent3 2 2 2 4 3" xfId="1006" xr:uid="{00000000-0005-0000-0000-0000EA030000}"/>
    <cellStyle name="20% - Accent3 2 2 2 4 4" xfId="1007" xr:uid="{00000000-0005-0000-0000-0000EB030000}"/>
    <cellStyle name="20% - Accent3 2 2 2 5" xfId="1008" xr:uid="{00000000-0005-0000-0000-0000EC030000}"/>
    <cellStyle name="20% - Accent3 2 2 2 5 2" xfId="1009" xr:uid="{00000000-0005-0000-0000-0000ED030000}"/>
    <cellStyle name="20% - Accent3 2 2 2 6" xfId="1010" xr:uid="{00000000-0005-0000-0000-0000EE030000}"/>
    <cellStyle name="20% - Accent3 2 2 2 7" xfId="1011" xr:uid="{00000000-0005-0000-0000-0000EF030000}"/>
    <cellStyle name="20% - Accent3 2 2 2 8" xfId="1012" xr:uid="{00000000-0005-0000-0000-0000F0030000}"/>
    <cellStyle name="20% - Accent3 2 2 2 9" xfId="1013" xr:uid="{00000000-0005-0000-0000-0000F1030000}"/>
    <cellStyle name="20% - Accent3 2 2 3" xfId="1014" xr:uid="{00000000-0005-0000-0000-0000F2030000}"/>
    <cellStyle name="20% - Accent3 2 2 3 2" xfId="1015" xr:uid="{00000000-0005-0000-0000-0000F3030000}"/>
    <cellStyle name="20% - Accent3 2 2 3 2 2" xfId="1016" xr:uid="{00000000-0005-0000-0000-0000F4030000}"/>
    <cellStyle name="20% - Accent3 2 2 3 2 3" xfId="1017" xr:uid="{00000000-0005-0000-0000-0000F5030000}"/>
    <cellStyle name="20% - Accent3 2 2 3 3" xfId="1018" xr:uid="{00000000-0005-0000-0000-0000F6030000}"/>
    <cellStyle name="20% - Accent3 2 2 3 4" xfId="1019" xr:uid="{00000000-0005-0000-0000-0000F7030000}"/>
    <cellStyle name="20% - Accent3 2 2 3 5" xfId="1020" xr:uid="{00000000-0005-0000-0000-0000F8030000}"/>
    <cellStyle name="20% - Accent3 2 2 3 6" xfId="1021" xr:uid="{00000000-0005-0000-0000-0000F9030000}"/>
    <cellStyle name="20% - Accent3 2 2 4" xfId="1022" xr:uid="{00000000-0005-0000-0000-0000FA030000}"/>
    <cellStyle name="20% - Accent3 2 2 4 2" xfId="1023" xr:uid="{00000000-0005-0000-0000-0000FB030000}"/>
    <cellStyle name="20% - Accent3 2 2 4 2 2" xfId="1024" xr:uid="{00000000-0005-0000-0000-0000FC030000}"/>
    <cellStyle name="20% - Accent3 2 2 4 3" xfId="1025" xr:uid="{00000000-0005-0000-0000-0000FD030000}"/>
    <cellStyle name="20% - Accent3 2 2 4 4" xfId="1026" xr:uid="{00000000-0005-0000-0000-0000FE030000}"/>
    <cellStyle name="20% - Accent3 2 2 4 5" xfId="1027" xr:uid="{00000000-0005-0000-0000-0000FF030000}"/>
    <cellStyle name="20% - Accent3 2 2 5" xfId="1028" xr:uid="{00000000-0005-0000-0000-000000040000}"/>
    <cellStyle name="20% - Accent3 2 2 5 2" xfId="1029" xr:uid="{00000000-0005-0000-0000-000001040000}"/>
    <cellStyle name="20% - Accent3 2 2 5 3" xfId="1030" xr:uid="{00000000-0005-0000-0000-000002040000}"/>
    <cellStyle name="20% - Accent3 2 2 5 4" xfId="1031" xr:uid="{00000000-0005-0000-0000-000003040000}"/>
    <cellStyle name="20% - Accent3 2 2 6" xfId="1032" xr:uid="{00000000-0005-0000-0000-000004040000}"/>
    <cellStyle name="20% - Accent3 2 2 6 2" xfId="1033" xr:uid="{00000000-0005-0000-0000-000005040000}"/>
    <cellStyle name="20% - Accent3 2 2 7" xfId="1034" xr:uid="{00000000-0005-0000-0000-000006040000}"/>
    <cellStyle name="20% - Accent3 2 2 8" xfId="1035" xr:uid="{00000000-0005-0000-0000-000007040000}"/>
    <cellStyle name="20% - Accent3 2 2 9" xfId="1036" xr:uid="{00000000-0005-0000-0000-000008040000}"/>
    <cellStyle name="20% - Accent3 2 3" xfId="1037" xr:uid="{00000000-0005-0000-0000-000009040000}"/>
    <cellStyle name="20% - Accent3 2 3 2" xfId="1038" xr:uid="{00000000-0005-0000-0000-00000A040000}"/>
    <cellStyle name="20% - Accent3 2 3 2 2" xfId="1039" xr:uid="{00000000-0005-0000-0000-00000B040000}"/>
    <cellStyle name="20% - Accent3 2 3 2 2 2" xfId="1040" xr:uid="{00000000-0005-0000-0000-00000C040000}"/>
    <cellStyle name="20% - Accent3 2 3 2 2 3" xfId="1041" xr:uid="{00000000-0005-0000-0000-00000D040000}"/>
    <cellStyle name="20% - Accent3 2 3 2 3" xfId="1042" xr:uid="{00000000-0005-0000-0000-00000E040000}"/>
    <cellStyle name="20% - Accent3 2 3 2 4" xfId="1043" xr:uid="{00000000-0005-0000-0000-00000F040000}"/>
    <cellStyle name="20% - Accent3 2 3 2 5" xfId="1044" xr:uid="{00000000-0005-0000-0000-000010040000}"/>
    <cellStyle name="20% - Accent3 2 3 2 6" xfId="1045" xr:uid="{00000000-0005-0000-0000-000011040000}"/>
    <cellStyle name="20% - Accent3 2 3 3" xfId="1046" xr:uid="{00000000-0005-0000-0000-000012040000}"/>
    <cellStyle name="20% - Accent3 2 3 3 2" xfId="1047" xr:uid="{00000000-0005-0000-0000-000013040000}"/>
    <cellStyle name="20% - Accent3 2 3 3 2 2" xfId="1048" xr:uid="{00000000-0005-0000-0000-000014040000}"/>
    <cellStyle name="20% - Accent3 2 3 3 3" xfId="1049" xr:uid="{00000000-0005-0000-0000-000015040000}"/>
    <cellStyle name="20% - Accent3 2 3 3 4" xfId="1050" xr:uid="{00000000-0005-0000-0000-000016040000}"/>
    <cellStyle name="20% - Accent3 2 3 3 5" xfId="1051" xr:uid="{00000000-0005-0000-0000-000017040000}"/>
    <cellStyle name="20% - Accent3 2 3 4" xfId="1052" xr:uid="{00000000-0005-0000-0000-000018040000}"/>
    <cellStyle name="20% - Accent3 2 3 4 2" xfId="1053" xr:uid="{00000000-0005-0000-0000-000019040000}"/>
    <cellStyle name="20% - Accent3 2 3 4 3" xfId="1054" xr:uid="{00000000-0005-0000-0000-00001A040000}"/>
    <cellStyle name="20% - Accent3 2 3 4 4" xfId="1055" xr:uid="{00000000-0005-0000-0000-00001B040000}"/>
    <cellStyle name="20% - Accent3 2 3 5" xfId="1056" xr:uid="{00000000-0005-0000-0000-00001C040000}"/>
    <cellStyle name="20% - Accent3 2 3 5 2" xfId="1057" xr:uid="{00000000-0005-0000-0000-00001D040000}"/>
    <cellStyle name="20% - Accent3 2 3 6" xfId="1058" xr:uid="{00000000-0005-0000-0000-00001E040000}"/>
    <cellStyle name="20% - Accent3 2 3 7" xfId="1059" xr:uid="{00000000-0005-0000-0000-00001F040000}"/>
    <cellStyle name="20% - Accent3 2 3 8" xfId="1060" xr:uid="{00000000-0005-0000-0000-000020040000}"/>
    <cellStyle name="20% - Accent3 2 3 9" xfId="1061" xr:uid="{00000000-0005-0000-0000-000021040000}"/>
    <cellStyle name="20% - Accent3 2 4" xfId="1062" xr:uid="{00000000-0005-0000-0000-000022040000}"/>
    <cellStyle name="20% - Accent3 2 4 2" xfId="1063" xr:uid="{00000000-0005-0000-0000-000023040000}"/>
    <cellStyle name="20% - Accent3 2 4 2 2" xfId="1064" xr:uid="{00000000-0005-0000-0000-000024040000}"/>
    <cellStyle name="20% - Accent3 2 4 2 3" xfId="1065" xr:uid="{00000000-0005-0000-0000-000025040000}"/>
    <cellStyle name="20% - Accent3 2 4 3" xfId="1066" xr:uid="{00000000-0005-0000-0000-000026040000}"/>
    <cellStyle name="20% - Accent3 2 4 4" xfId="1067" xr:uid="{00000000-0005-0000-0000-000027040000}"/>
    <cellStyle name="20% - Accent3 2 4 5" xfId="1068" xr:uid="{00000000-0005-0000-0000-000028040000}"/>
    <cellStyle name="20% - Accent3 2 4 6" xfId="1069" xr:uid="{00000000-0005-0000-0000-000029040000}"/>
    <cellStyle name="20% - Accent3 2 5" xfId="1070" xr:uid="{00000000-0005-0000-0000-00002A040000}"/>
    <cellStyle name="20% - Accent3 2 5 2" xfId="1071" xr:uid="{00000000-0005-0000-0000-00002B040000}"/>
    <cellStyle name="20% - Accent3 2 5 2 2" xfId="1072" xr:uid="{00000000-0005-0000-0000-00002C040000}"/>
    <cellStyle name="20% - Accent3 2 5 3" xfId="1073" xr:uid="{00000000-0005-0000-0000-00002D040000}"/>
    <cellStyle name="20% - Accent3 2 5 4" xfId="1074" xr:uid="{00000000-0005-0000-0000-00002E040000}"/>
    <cellStyle name="20% - Accent3 2 5 5" xfId="1075" xr:uid="{00000000-0005-0000-0000-00002F040000}"/>
    <cellStyle name="20% - Accent3 2 6" xfId="1076" xr:uid="{00000000-0005-0000-0000-000030040000}"/>
    <cellStyle name="20% - Accent3 2 6 2" xfId="1077" xr:uid="{00000000-0005-0000-0000-000031040000}"/>
    <cellStyle name="20% - Accent3 2 6 2 2" xfId="1078" xr:uid="{00000000-0005-0000-0000-000032040000}"/>
    <cellStyle name="20% - Accent3 2 6 3" xfId="1079" xr:uid="{00000000-0005-0000-0000-000033040000}"/>
    <cellStyle name="20% - Accent3 2 6 4" xfId="1080" xr:uid="{00000000-0005-0000-0000-000034040000}"/>
    <cellStyle name="20% - Accent3 2 6 5" xfId="1081" xr:uid="{00000000-0005-0000-0000-000035040000}"/>
    <cellStyle name="20% - Accent3 2 7" xfId="1082" xr:uid="{00000000-0005-0000-0000-000036040000}"/>
    <cellStyle name="20% - Accent3 2 7 2" xfId="1083" xr:uid="{00000000-0005-0000-0000-000037040000}"/>
    <cellStyle name="20% - Accent3 2 8" xfId="1084" xr:uid="{00000000-0005-0000-0000-000038040000}"/>
    <cellStyle name="20% - Accent3 2 9" xfId="1085" xr:uid="{00000000-0005-0000-0000-000039040000}"/>
    <cellStyle name="20% - Accent3 3" xfId="1086" xr:uid="{00000000-0005-0000-0000-00003A040000}"/>
    <cellStyle name="20% - Accent3 3 10" xfId="1087" xr:uid="{00000000-0005-0000-0000-00003B040000}"/>
    <cellStyle name="20% - Accent3 3 2" xfId="1088" xr:uid="{00000000-0005-0000-0000-00003C040000}"/>
    <cellStyle name="20% - Accent3 3 2 2" xfId="1089" xr:uid="{00000000-0005-0000-0000-00003D040000}"/>
    <cellStyle name="20% - Accent3 3 2 2 2" xfId="1090" xr:uid="{00000000-0005-0000-0000-00003E040000}"/>
    <cellStyle name="20% - Accent3 3 2 2 2 2" xfId="1091" xr:uid="{00000000-0005-0000-0000-00003F040000}"/>
    <cellStyle name="20% - Accent3 3 2 2 2 3" xfId="1092" xr:uid="{00000000-0005-0000-0000-000040040000}"/>
    <cellStyle name="20% - Accent3 3 2 2 3" xfId="1093" xr:uid="{00000000-0005-0000-0000-000041040000}"/>
    <cellStyle name="20% - Accent3 3 2 2 4" xfId="1094" xr:uid="{00000000-0005-0000-0000-000042040000}"/>
    <cellStyle name="20% - Accent3 3 2 2 5" xfId="1095" xr:uid="{00000000-0005-0000-0000-000043040000}"/>
    <cellStyle name="20% - Accent3 3 2 2 6" xfId="1096" xr:uid="{00000000-0005-0000-0000-000044040000}"/>
    <cellStyle name="20% - Accent3 3 2 3" xfId="1097" xr:uid="{00000000-0005-0000-0000-000045040000}"/>
    <cellStyle name="20% - Accent3 3 2 3 2" xfId="1098" xr:uid="{00000000-0005-0000-0000-000046040000}"/>
    <cellStyle name="20% - Accent3 3 2 3 2 2" xfId="1099" xr:uid="{00000000-0005-0000-0000-000047040000}"/>
    <cellStyle name="20% - Accent3 3 2 3 3" xfId="1100" xr:uid="{00000000-0005-0000-0000-000048040000}"/>
    <cellStyle name="20% - Accent3 3 2 3 4" xfId="1101" xr:uid="{00000000-0005-0000-0000-000049040000}"/>
    <cellStyle name="20% - Accent3 3 2 3 5" xfId="1102" xr:uid="{00000000-0005-0000-0000-00004A040000}"/>
    <cellStyle name="20% - Accent3 3 2 4" xfId="1103" xr:uid="{00000000-0005-0000-0000-00004B040000}"/>
    <cellStyle name="20% - Accent3 3 2 4 2" xfId="1104" xr:uid="{00000000-0005-0000-0000-00004C040000}"/>
    <cellStyle name="20% - Accent3 3 2 4 3" xfId="1105" xr:uid="{00000000-0005-0000-0000-00004D040000}"/>
    <cellStyle name="20% - Accent3 3 2 4 4" xfId="1106" xr:uid="{00000000-0005-0000-0000-00004E040000}"/>
    <cellStyle name="20% - Accent3 3 2 5" xfId="1107" xr:uid="{00000000-0005-0000-0000-00004F040000}"/>
    <cellStyle name="20% - Accent3 3 2 5 2" xfId="1108" xr:uid="{00000000-0005-0000-0000-000050040000}"/>
    <cellStyle name="20% - Accent3 3 2 6" xfId="1109" xr:uid="{00000000-0005-0000-0000-000051040000}"/>
    <cellStyle name="20% - Accent3 3 2 7" xfId="1110" xr:uid="{00000000-0005-0000-0000-000052040000}"/>
    <cellStyle name="20% - Accent3 3 2 8" xfId="1111" xr:uid="{00000000-0005-0000-0000-000053040000}"/>
    <cellStyle name="20% - Accent3 3 2 9" xfId="1112" xr:uid="{00000000-0005-0000-0000-000054040000}"/>
    <cellStyle name="20% - Accent3 3 3" xfId="1113" xr:uid="{00000000-0005-0000-0000-000055040000}"/>
    <cellStyle name="20% - Accent3 3 3 2" xfId="1114" xr:uid="{00000000-0005-0000-0000-000056040000}"/>
    <cellStyle name="20% - Accent3 3 3 2 2" xfId="1115" xr:uid="{00000000-0005-0000-0000-000057040000}"/>
    <cellStyle name="20% - Accent3 3 3 2 3" xfId="1116" xr:uid="{00000000-0005-0000-0000-000058040000}"/>
    <cellStyle name="20% - Accent3 3 3 3" xfId="1117" xr:uid="{00000000-0005-0000-0000-000059040000}"/>
    <cellStyle name="20% - Accent3 3 3 4" xfId="1118" xr:uid="{00000000-0005-0000-0000-00005A040000}"/>
    <cellStyle name="20% - Accent3 3 3 5" xfId="1119" xr:uid="{00000000-0005-0000-0000-00005B040000}"/>
    <cellStyle name="20% - Accent3 3 3 6" xfId="1120" xr:uid="{00000000-0005-0000-0000-00005C040000}"/>
    <cellStyle name="20% - Accent3 3 4" xfId="1121" xr:uid="{00000000-0005-0000-0000-00005D040000}"/>
    <cellStyle name="20% - Accent3 3 4 2" xfId="1122" xr:uid="{00000000-0005-0000-0000-00005E040000}"/>
    <cellStyle name="20% - Accent3 3 4 2 2" xfId="1123" xr:uid="{00000000-0005-0000-0000-00005F040000}"/>
    <cellStyle name="20% - Accent3 3 4 3" xfId="1124" xr:uid="{00000000-0005-0000-0000-000060040000}"/>
    <cellStyle name="20% - Accent3 3 4 4" xfId="1125" xr:uid="{00000000-0005-0000-0000-000061040000}"/>
    <cellStyle name="20% - Accent3 3 4 5" xfId="1126" xr:uid="{00000000-0005-0000-0000-000062040000}"/>
    <cellStyle name="20% - Accent3 3 5" xfId="1127" xr:uid="{00000000-0005-0000-0000-000063040000}"/>
    <cellStyle name="20% - Accent3 3 5 2" xfId="1128" xr:uid="{00000000-0005-0000-0000-000064040000}"/>
    <cellStyle name="20% - Accent3 3 5 2 2" xfId="1129" xr:uid="{00000000-0005-0000-0000-000065040000}"/>
    <cellStyle name="20% - Accent3 3 5 3" xfId="1130" xr:uid="{00000000-0005-0000-0000-000066040000}"/>
    <cellStyle name="20% - Accent3 3 5 4" xfId="1131" xr:uid="{00000000-0005-0000-0000-000067040000}"/>
    <cellStyle name="20% - Accent3 3 5 5" xfId="1132" xr:uid="{00000000-0005-0000-0000-000068040000}"/>
    <cellStyle name="20% - Accent3 3 6" xfId="1133" xr:uid="{00000000-0005-0000-0000-000069040000}"/>
    <cellStyle name="20% - Accent3 3 6 2" xfId="1134" xr:uid="{00000000-0005-0000-0000-00006A040000}"/>
    <cellStyle name="20% - Accent3 3 7" xfId="1135" xr:uid="{00000000-0005-0000-0000-00006B040000}"/>
    <cellStyle name="20% - Accent3 3 8" xfId="1136" xr:uid="{00000000-0005-0000-0000-00006C040000}"/>
    <cellStyle name="20% - Accent3 3 9" xfId="1137" xr:uid="{00000000-0005-0000-0000-00006D040000}"/>
    <cellStyle name="20% - Accent3 4" xfId="1138" xr:uid="{00000000-0005-0000-0000-00006E040000}"/>
    <cellStyle name="20% - Accent3 4 10" xfId="1139" xr:uid="{00000000-0005-0000-0000-00006F040000}"/>
    <cellStyle name="20% - Accent3 4 2" xfId="1140" xr:uid="{00000000-0005-0000-0000-000070040000}"/>
    <cellStyle name="20% - Accent3 4 2 2" xfId="1141" xr:uid="{00000000-0005-0000-0000-000071040000}"/>
    <cellStyle name="20% - Accent3 4 2 2 2" xfId="1142" xr:uid="{00000000-0005-0000-0000-000072040000}"/>
    <cellStyle name="20% - Accent3 4 2 2 2 2" xfId="1143" xr:uid="{00000000-0005-0000-0000-000073040000}"/>
    <cellStyle name="20% - Accent3 4 2 2 2 3" xfId="1144" xr:uid="{00000000-0005-0000-0000-000074040000}"/>
    <cellStyle name="20% - Accent3 4 2 2 3" xfId="1145" xr:uid="{00000000-0005-0000-0000-000075040000}"/>
    <cellStyle name="20% - Accent3 4 2 2 4" xfId="1146" xr:uid="{00000000-0005-0000-0000-000076040000}"/>
    <cellStyle name="20% - Accent3 4 2 2 5" xfId="1147" xr:uid="{00000000-0005-0000-0000-000077040000}"/>
    <cellStyle name="20% - Accent3 4 2 2 6" xfId="1148" xr:uid="{00000000-0005-0000-0000-000078040000}"/>
    <cellStyle name="20% - Accent3 4 2 3" xfId="1149" xr:uid="{00000000-0005-0000-0000-000079040000}"/>
    <cellStyle name="20% - Accent3 4 2 3 2" xfId="1150" xr:uid="{00000000-0005-0000-0000-00007A040000}"/>
    <cellStyle name="20% - Accent3 4 2 3 2 2" xfId="1151" xr:uid="{00000000-0005-0000-0000-00007B040000}"/>
    <cellStyle name="20% - Accent3 4 2 3 3" xfId="1152" xr:uid="{00000000-0005-0000-0000-00007C040000}"/>
    <cellStyle name="20% - Accent3 4 2 3 4" xfId="1153" xr:uid="{00000000-0005-0000-0000-00007D040000}"/>
    <cellStyle name="20% - Accent3 4 2 3 5" xfId="1154" xr:uid="{00000000-0005-0000-0000-00007E040000}"/>
    <cellStyle name="20% - Accent3 4 2 4" xfId="1155" xr:uid="{00000000-0005-0000-0000-00007F040000}"/>
    <cellStyle name="20% - Accent3 4 2 4 2" xfId="1156" xr:uid="{00000000-0005-0000-0000-000080040000}"/>
    <cellStyle name="20% - Accent3 4 2 4 3" xfId="1157" xr:uid="{00000000-0005-0000-0000-000081040000}"/>
    <cellStyle name="20% - Accent3 4 2 4 4" xfId="1158" xr:uid="{00000000-0005-0000-0000-000082040000}"/>
    <cellStyle name="20% - Accent3 4 2 5" xfId="1159" xr:uid="{00000000-0005-0000-0000-000083040000}"/>
    <cellStyle name="20% - Accent3 4 2 5 2" xfId="1160" xr:uid="{00000000-0005-0000-0000-000084040000}"/>
    <cellStyle name="20% - Accent3 4 2 6" xfId="1161" xr:uid="{00000000-0005-0000-0000-000085040000}"/>
    <cellStyle name="20% - Accent3 4 2 7" xfId="1162" xr:uid="{00000000-0005-0000-0000-000086040000}"/>
    <cellStyle name="20% - Accent3 4 2 8" xfId="1163" xr:uid="{00000000-0005-0000-0000-000087040000}"/>
    <cellStyle name="20% - Accent3 4 2 9" xfId="1164" xr:uid="{00000000-0005-0000-0000-000088040000}"/>
    <cellStyle name="20% - Accent3 4 3" xfId="1165" xr:uid="{00000000-0005-0000-0000-000089040000}"/>
    <cellStyle name="20% - Accent3 4 3 2" xfId="1166" xr:uid="{00000000-0005-0000-0000-00008A040000}"/>
    <cellStyle name="20% - Accent3 4 3 2 2" xfId="1167" xr:uid="{00000000-0005-0000-0000-00008B040000}"/>
    <cellStyle name="20% - Accent3 4 3 2 3" xfId="1168" xr:uid="{00000000-0005-0000-0000-00008C040000}"/>
    <cellStyle name="20% - Accent3 4 3 3" xfId="1169" xr:uid="{00000000-0005-0000-0000-00008D040000}"/>
    <cellStyle name="20% - Accent3 4 3 4" xfId="1170" xr:uid="{00000000-0005-0000-0000-00008E040000}"/>
    <cellStyle name="20% - Accent3 4 3 5" xfId="1171" xr:uid="{00000000-0005-0000-0000-00008F040000}"/>
    <cellStyle name="20% - Accent3 4 3 6" xfId="1172" xr:uid="{00000000-0005-0000-0000-000090040000}"/>
    <cellStyle name="20% - Accent3 4 4" xfId="1173" xr:uid="{00000000-0005-0000-0000-000091040000}"/>
    <cellStyle name="20% - Accent3 4 4 2" xfId="1174" xr:uid="{00000000-0005-0000-0000-000092040000}"/>
    <cellStyle name="20% - Accent3 4 4 2 2" xfId="1175" xr:uid="{00000000-0005-0000-0000-000093040000}"/>
    <cellStyle name="20% - Accent3 4 4 3" xfId="1176" xr:uid="{00000000-0005-0000-0000-000094040000}"/>
    <cellStyle name="20% - Accent3 4 4 4" xfId="1177" xr:uid="{00000000-0005-0000-0000-000095040000}"/>
    <cellStyle name="20% - Accent3 4 4 5" xfId="1178" xr:uid="{00000000-0005-0000-0000-000096040000}"/>
    <cellStyle name="20% - Accent3 4 5" xfId="1179" xr:uid="{00000000-0005-0000-0000-000097040000}"/>
    <cellStyle name="20% - Accent3 4 5 2" xfId="1180" xr:uid="{00000000-0005-0000-0000-000098040000}"/>
    <cellStyle name="20% - Accent3 4 5 2 2" xfId="1181" xr:uid="{00000000-0005-0000-0000-000099040000}"/>
    <cellStyle name="20% - Accent3 4 5 3" xfId="1182" xr:uid="{00000000-0005-0000-0000-00009A040000}"/>
    <cellStyle name="20% - Accent3 4 5 4" xfId="1183" xr:uid="{00000000-0005-0000-0000-00009B040000}"/>
    <cellStyle name="20% - Accent3 4 5 5" xfId="1184" xr:uid="{00000000-0005-0000-0000-00009C040000}"/>
    <cellStyle name="20% - Accent3 4 6" xfId="1185" xr:uid="{00000000-0005-0000-0000-00009D040000}"/>
    <cellStyle name="20% - Accent3 4 6 2" xfId="1186" xr:uid="{00000000-0005-0000-0000-00009E040000}"/>
    <cellStyle name="20% - Accent3 4 7" xfId="1187" xr:uid="{00000000-0005-0000-0000-00009F040000}"/>
    <cellStyle name="20% - Accent3 4 8" xfId="1188" xr:uid="{00000000-0005-0000-0000-0000A0040000}"/>
    <cellStyle name="20% - Accent3 4 9" xfId="1189" xr:uid="{00000000-0005-0000-0000-0000A1040000}"/>
    <cellStyle name="20% - Accent3 5" xfId="1190" xr:uid="{00000000-0005-0000-0000-0000A2040000}"/>
    <cellStyle name="20% - Accent3 5 10" xfId="1191" xr:uid="{00000000-0005-0000-0000-0000A3040000}"/>
    <cellStyle name="20% - Accent3 5 2" xfId="1192" xr:uid="{00000000-0005-0000-0000-0000A4040000}"/>
    <cellStyle name="20% - Accent3 5 2 2" xfId="1193" xr:uid="{00000000-0005-0000-0000-0000A5040000}"/>
    <cellStyle name="20% - Accent3 5 2 2 2" xfId="1194" xr:uid="{00000000-0005-0000-0000-0000A6040000}"/>
    <cellStyle name="20% - Accent3 5 2 2 2 2" xfId="1195" xr:uid="{00000000-0005-0000-0000-0000A7040000}"/>
    <cellStyle name="20% - Accent3 5 2 2 2 3" xfId="1196" xr:uid="{00000000-0005-0000-0000-0000A8040000}"/>
    <cellStyle name="20% - Accent3 5 2 2 3" xfId="1197" xr:uid="{00000000-0005-0000-0000-0000A9040000}"/>
    <cellStyle name="20% - Accent3 5 2 2 4" xfId="1198" xr:uid="{00000000-0005-0000-0000-0000AA040000}"/>
    <cellStyle name="20% - Accent3 5 2 2 5" xfId="1199" xr:uid="{00000000-0005-0000-0000-0000AB040000}"/>
    <cellStyle name="20% - Accent3 5 2 2 6" xfId="1200" xr:uid="{00000000-0005-0000-0000-0000AC040000}"/>
    <cellStyle name="20% - Accent3 5 2 3" xfId="1201" xr:uid="{00000000-0005-0000-0000-0000AD040000}"/>
    <cellStyle name="20% - Accent3 5 2 3 2" xfId="1202" xr:uid="{00000000-0005-0000-0000-0000AE040000}"/>
    <cellStyle name="20% - Accent3 5 2 3 2 2" xfId="1203" xr:uid="{00000000-0005-0000-0000-0000AF040000}"/>
    <cellStyle name="20% - Accent3 5 2 3 3" xfId="1204" xr:uid="{00000000-0005-0000-0000-0000B0040000}"/>
    <cellStyle name="20% - Accent3 5 2 3 4" xfId="1205" xr:uid="{00000000-0005-0000-0000-0000B1040000}"/>
    <cellStyle name="20% - Accent3 5 2 3 5" xfId="1206" xr:uid="{00000000-0005-0000-0000-0000B2040000}"/>
    <cellStyle name="20% - Accent3 5 2 4" xfId="1207" xr:uid="{00000000-0005-0000-0000-0000B3040000}"/>
    <cellStyle name="20% - Accent3 5 2 4 2" xfId="1208" xr:uid="{00000000-0005-0000-0000-0000B4040000}"/>
    <cellStyle name="20% - Accent3 5 2 4 3" xfId="1209" xr:uid="{00000000-0005-0000-0000-0000B5040000}"/>
    <cellStyle name="20% - Accent3 5 2 4 4" xfId="1210" xr:uid="{00000000-0005-0000-0000-0000B6040000}"/>
    <cellStyle name="20% - Accent3 5 2 5" xfId="1211" xr:uid="{00000000-0005-0000-0000-0000B7040000}"/>
    <cellStyle name="20% - Accent3 5 2 5 2" xfId="1212" xr:uid="{00000000-0005-0000-0000-0000B8040000}"/>
    <cellStyle name="20% - Accent3 5 2 6" xfId="1213" xr:uid="{00000000-0005-0000-0000-0000B9040000}"/>
    <cellStyle name="20% - Accent3 5 2 7" xfId="1214" xr:uid="{00000000-0005-0000-0000-0000BA040000}"/>
    <cellStyle name="20% - Accent3 5 2 8" xfId="1215" xr:uid="{00000000-0005-0000-0000-0000BB040000}"/>
    <cellStyle name="20% - Accent3 5 2 9" xfId="1216" xr:uid="{00000000-0005-0000-0000-0000BC040000}"/>
    <cellStyle name="20% - Accent3 5 3" xfId="1217" xr:uid="{00000000-0005-0000-0000-0000BD040000}"/>
    <cellStyle name="20% - Accent3 5 3 2" xfId="1218" xr:uid="{00000000-0005-0000-0000-0000BE040000}"/>
    <cellStyle name="20% - Accent3 5 3 2 2" xfId="1219" xr:uid="{00000000-0005-0000-0000-0000BF040000}"/>
    <cellStyle name="20% - Accent3 5 3 2 3" xfId="1220" xr:uid="{00000000-0005-0000-0000-0000C0040000}"/>
    <cellStyle name="20% - Accent3 5 3 3" xfId="1221" xr:uid="{00000000-0005-0000-0000-0000C1040000}"/>
    <cellStyle name="20% - Accent3 5 3 4" xfId="1222" xr:uid="{00000000-0005-0000-0000-0000C2040000}"/>
    <cellStyle name="20% - Accent3 5 3 5" xfId="1223" xr:uid="{00000000-0005-0000-0000-0000C3040000}"/>
    <cellStyle name="20% - Accent3 5 3 6" xfId="1224" xr:uid="{00000000-0005-0000-0000-0000C4040000}"/>
    <cellStyle name="20% - Accent3 5 4" xfId="1225" xr:uid="{00000000-0005-0000-0000-0000C5040000}"/>
    <cellStyle name="20% - Accent3 5 4 2" xfId="1226" xr:uid="{00000000-0005-0000-0000-0000C6040000}"/>
    <cellStyle name="20% - Accent3 5 4 2 2" xfId="1227" xr:uid="{00000000-0005-0000-0000-0000C7040000}"/>
    <cellStyle name="20% - Accent3 5 4 3" xfId="1228" xr:uid="{00000000-0005-0000-0000-0000C8040000}"/>
    <cellStyle name="20% - Accent3 5 4 4" xfId="1229" xr:uid="{00000000-0005-0000-0000-0000C9040000}"/>
    <cellStyle name="20% - Accent3 5 4 5" xfId="1230" xr:uid="{00000000-0005-0000-0000-0000CA040000}"/>
    <cellStyle name="20% - Accent3 5 5" xfId="1231" xr:uid="{00000000-0005-0000-0000-0000CB040000}"/>
    <cellStyle name="20% - Accent3 5 5 2" xfId="1232" xr:uid="{00000000-0005-0000-0000-0000CC040000}"/>
    <cellStyle name="20% - Accent3 5 5 3" xfId="1233" xr:uid="{00000000-0005-0000-0000-0000CD040000}"/>
    <cellStyle name="20% - Accent3 5 5 4" xfId="1234" xr:uid="{00000000-0005-0000-0000-0000CE040000}"/>
    <cellStyle name="20% - Accent3 5 6" xfId="1235" xr:uid="{00000000-0005-0000-0000-0000CF040000}"/>
    <cellStyle name="20% - Accent3 5 6 2" xfId="1236" xr:uid="{00000000-0005-0000-0000-0000D0040000}"/>
    <cellStyle name="20% - Accent3 5 7" xfId="1237" xr:uid="{00000000-0005-0000-0000-0000D1040000}"/>
    <cellStyle name="20% - Accent3 5 8" xfId="1238" xr:uid="{00000000-0005-0000-0000-0000D2040000}"/>
    <cellStyle name="20% - Accent3 5 9" xfId="1239" xr:uid="{00000000-0005-0000-0000-0000D3040000}"/>
    <cellStyle name="20% - Accent3 6" xfId="1240" xr:uid="{00000000-0005-0000-0000-0000D4040000}"/>
    <cellStyle name="20% - Accent3 6 10" xfId="1241" xr:uid="{00000000-0005-0000-0000-0000D5040000}"/>
    <cellStyle name="20% - Accent3 6 2" xfId="1242" xr:uid="{00000000-0005-0000-0000-0000D6040000}"/>
    <cellStyle name="20% - Accent3 6 2 2" xfId="1243" xr:uid="{00000000-0005-0000-0000-0000D7040000}"/>
    <cellStyle name="20% - Accent3 6 2 2 2" xfId="1244" xr:uid="{00000000-0005-0000-0000-0000D8040000}"/>
    <cellStyle name="20% - Accent3 6 2 2 2 2" xfId="1245" xr:uid="{00000000-0005-0000-0000-0000D9040000}"/>
    <cellStyle name="20% - Accent3 6 2 2 2 3" xfId="1246" xr:uid="{00000000-0005-0000-0000-0000DA040000}"/>
    <cellStyle name="20% - Accent3 6 2 2 3" xfId="1247" xr:uid="{00000000-0005-0000-0000-0000DB040000}"/>
    <cellStyle name="20% - Accent3 6 2 2 4" xfId="1248" xr:uid="{00000000-0005-0000-0000-0000DC040000}"/>
    <cellStyle name="20% - Accent3 6 2 2 5" xfId="1249" xr:uid="{00000000-0005-0000-0000-0000DD040000}"/>
    <cellStyle name="20% - Accent3 6 2 2 6" xfId="1250" xr:uid="{00000000-0005-0000-0000-0000DE040000}"/>
    <cellStyle name="20% - Accent3 6 2 3" xfId="1251" xr:uid="{00000000-0005-0000-0000-0000DF040000}"/>
    <cellStyle name="20% - Accent3 6 2 3 2" xfId="1252" xr:uid="{00000000-0005-0000-0000-0000E0040000}"/>
    <cellStyle name="20% - Accent3 6 2 3 2 2" xfId="1253" xr:uid="{00000000-0005-0000-0000-0000E1040000}"/>
    <cellStyle name="20% - Accent3 6 2 3 3" xfId="1254" xr:uid="{00000000-0005-0000-0000-0000E2040000}"/>
    <cellStyle name="20% - Accent3 6 2 3 4" xfId="1255" xr:uid="{00000000-0005-0000-0000-0000E3040000}"/>
    <cellStyle name="20% - Accent3 6 2 3 5" xfId="1256" xr:uid="{00000000-0005-0000-0000-0000E4040000}"/>
    <cellStyle name="20% - Accent3 6 2 4" xfId="1257" xr:uid="{00000000-0005-0000-0000-0000E5040000}"/>
    <cellStyle name="20% - Accent3 6 2 4 2" xfId="1258" xr:uid="{00000000-0005-0000-0000-0000E6040000}"/>
    <cellStyle name="20% - Accent3 6 2 4 3" xfId="1259" xr:uid="{00000000-0005-0000-0000-0000E7040000}"/>
    <cellStyle name="20% - Accent3 6 2 4 4" xfId="1260" xr:uid="{00000000-0005-0000-0000-0000E8040000}"/>
    <cellStyle name="20% - Accent3 6 2 5" xfId="1261" xr:uid="{00000000-0005-0000-0000-0000E9040000}"/>
    <cellStyle name="20% - Accent3 6 2 5 2" xfId="1262" xr:uid="{00000000-0005-0000-0000-0000EA040000}"/>
    <cellStyle name="20% - Accent3 6 2 6" xfId="1263" xr:uid="{00000000-0005-0000-0000-0000EB040000}"/>
    <cellStyle name="20% - Accent3 6 2 7" xfId="1264" xr:uid="{00000000-0005-0000-0000-0000EC040000}"/>
    <cellStyle name="20% - Accent3 6 2 8" xfId="1265" xr:uid="{00000000-0005-0000-0000-0000ED040000}"/>
    <cellStyle name="20% - Accent3 6 2 9" xfId="1266" xr:uid="{00000000-0005-0000-0000-0000EE040000}"/>
    <cellStyle name="20% - Accent3 6 3" xfId="1267" xr:uid="{00000000-0005-0000-0000-0000EF040000}"/>
    <cellStyle name="20% - Accent3 6 3 2" xfId="1268" xr:uid="{00000000-0005-0000-0000-0000F0040000}"/>
    <cellStyle name="20% - Accent3 6 3 2 2" xfId="1269" xr:uid="{00000000-0005-0000-0000-0000F1040000}"/>
    <cellStyle name="20% - Accent3 6 3 2 3" xfId="1270" xr:uid="{00000000-0005-0000-0000-0000F2040000}"/>
    <cellStyle name="20% - Accent3 6 3 3" xfId="1271" xr:uid="{00000000-0005-0000-0000-0000F3040000}"/>
    <cellStyle name="20% - Accent3 6 3 4" xfId="1272" xr:uid="{00000000-0005-0000-0000-0000F4040000}"/>
    <cellStyle name="20% - Accent3 6 3 5" xfId="1273" xr:uid="{00000000-0005-0000-0000-0000F5040000}"/>
    <cellStyle name="20% - Accent3 6 3 6" xfId="1274" xr:uid="{00000000-0005-0000-0000-0000F6040000}"/>
    <cellStyle name="20% - Accent3 6 4" xfId="1275" xr:uid="{00000000-0005-0000-0000-0000F7040000}"/>
    <cellStyle name="20% - Accent3 6 4 2" xfId="1276" xr:uid="{00000000-0005-0000-0000-0000F8040000}"/>
    <cellStyle name="20% - Accent3 6 4 2 2" xfId="1277" xr:uid="{00000000-0005-0000-0000-0000F9040000}"/>
    <cellStyle name="20% - Accent3 6 4 3" xfId="1278" xr:uid="{00000000-0005-0000-0000-0000FA040000}"/>
    <cellStyle name="20% - Accent3 6 4 4" xfId="1279" xr:uid="{00000000-0005-0000-0000-0000FB040000}"/>
    <cellStyle name="20% - Accent3 6 4 5" xfId="1280" xr:uid="{00000000-0005-0000-0000-0000FC040000}"/>
    <cellStyle name="20% - Accent3 6 5" xfId="1281" xr:uid="{00000000-0005-0000-0000-0000FD040000}"/>
    <cellStyle name="20% - Accent3 6 5 2" xfId="1282" xr:uid="{00000000-0005-0000-0000-0000FE040000}"/>
    <cellStyle name="20% - Accent3 6 5 3" xfId="1283" xr:uid="{00000000-0005-0000-0000-0000FF040000}"/>
    <cellStyle name="20% - Accent3 6 5 4" xfId="1284" xr:uid="{00000000-0005-0000-0000-000000050000}"/>
    <cellStyle name="20% - Accent3 6 6" xfId="1285" xr:uid="{00000000-0005-0000-0000-000001050000}"/>
    <cellStyle name="20% - Accent3 6 6 2" xfId="1286" xr:uid="{00000000-0005-0000-0000-000002050000}"/>
    <cellStyle name="20% - Accent3 6 7" xfId="1287" xr:uid="{00000000-0005-0000-0000-000003050000}"/>
    <cellStyle name="20% - Accent3 6 8" xfId="1288" xr:uid="{00000000-0005-0000-0000-000004050000}"/>
    <cellStyle name="20% - Accent3 6 9" xfId="1289" xr:uid="{00000000-0005-0000-0000-000005050000}"/>
    <cellStyle name="20% - Accent3 7" xfId="1290" xr:uid="{00000000-0005-0000-0000-000006050000}"/>
    <cellStyle name="20% - Accent3 7 2" xfId="1291" xr:uid="{00000000-0005-0000-0000-000007050000}"/>
    <cellStyle name="20% - Accent3 7 2 2" xfId="1292" xr:uid="{00000000-0005-0000-0000-000008050000}"/>
    <cellStyle name="20% - Accent3 7 2 2 2" xfId="1293" xr:uid="{00000000-0005-0000-0000-000009050000}"/>
    <cellStyle name="20% - Accent3 7 2 2 3" xfId="1294" xr:uid="{00000000-0005-0000-0000-00000A050000}"/>
    <cellStyle name="20% - Accent3 7 2 3" xfId="1295" xr:uid="{00000000-0005-0000-0000-00000B050000}"/>
    <cellStyle name="20% - Accent3 7 2 4" xfId="1296" xr:uid="{00000000-0005-0000-0000-00000C050000}"/>
    <cellStyle name="20% - Accent3 7 2 5" xfId="1297" xr:uid="{00000000-0005-0000-0000-00000D050000}"/>
    <cellStyle name="20% - Accent3 7 2 6" xfId="1298" xr:uid="{00000000-0005-0000-0000-00000E050000}"/>
    <cellStyle name="20% - Accent3 7 3" xfId="1299" xr:uid="{00000000-0005-0000-0000-00000F050000}"/>
    <cellStyle name="20% - Accent3 7 3 2" xfId="1300" xr:uid="{00000000-0005-0000-0000-000010050000}"/>
    <cellStyle name="20% - Accent3 7 3 2 2" xfId="1301" xr:uid="{00000000-0005-0000-0000-000011050000}"/>
    <cellStyle name="20% - Accent3 7 3 3" xfId="1302" xr:uid="{00000000-0005-0000-0000-000012050000}"/>
    <cellStyle name="20% - Accent3 7 3 4" xfId="1303" xr:uid="{00000000-0005-0000-0000-000013050000}"/>
    <cellStyle name="20% - Accent3 7 3 5" xfId="1304" xr:uid="{00000000-0005-0000-0000-000014050000}"/>
    <cellStyle name="20% - Accent3 7 4" xfId="1305" xr:uid="{00000000-0005-0000-0000-000015050000}"/>
    <cellStyle name="20% - Accent3 7 4 2" xfId="1306" xr:uid="{00000000-0005-0000-0000-000016050000}"/>
    <cellStyle name="20% - Accent3 7 4 3" xfId="1307" xr:uid="{00000000-0005-0000-0000-000017050000}"/>
    <cellStyle name="20% - Accent3 7 4 4" xfId="1308" xr:uid="{00000000-0005-0000-0000-000018050000}"/>
    <cellStyle name="20% - Accent3 7 5" xfId="1309" xr:uid="{00000000-0005-0000-0000-000019050000}"/>
    <cellStyle name="20% - Accent3 7 5 2" xfId="1310" xr:uid="{00000000-0005-0000-0000-00001A050000}"/>
    <cellStyle name="20% - Accent3 7 6" xfId="1311" xr:uid="{00000000-0005-0000-0000-00001B050000}"/>
    <cellStyle name="20% - Accent3 7 7" xfId="1312" xr:uid="{00000000-0005-0000-0000-00001C050000}"/>
    <cellStyle name="20% - Accent3 7 8" xfId="1313" xr:uid="{00000000-0005-0000-0000-00001D050000}"/>
    <cellStyle name="20% - Accent3 7 9" xfId="1314" xr:uid="{00000000-0005-0000-0000-00001E050000}"/>
    <cellStyle name="20% - Accent3 8" xfId="1315" xr:uid="{00000000-0005-0000-0000-00001F050000}"/>
    <cellStyle name="20% - Accent3 8 2" xfId="1316" xr:uid="{00000000-0005-0000-0000-000020050000}"/>
    <cellStyle name="20% - Accent3 8 2 2" xfId="1317" xr:uid="{00000000-0005-0000-0000-000021050000}"/>
    <cellStyle name="20% - Accent3 8 2 2 2" xfId="1318" xr:uid="{00000000-0005-0000-0000-000022050000}"/>
    <cellStyle name="20% - Accent3 8 2 2 3" xfId="1319" xr:uid="{00000000-0005-0000-0000-000023050000}"/>
    <cellStyle name="20% - Accent3 8 2 3" xfId="1320" xr:uid="{00000000-0005-0000-0000-000024050000}"/>
    <cellStyle name="20% - Accent3 8 2 4" xfId="1321" xr:uid="{00000000-0005-0000-0000-000025050000}"/>
    <cellStyle name="20% - Accent3 8 2 5" xfId="1322" xr:uid="{00000000-0005-0000-0000-000026050000}"/>
    <cellStyle name="20% - Accent3 8 2 6" xfId="1323" xr:uid="{00000000-0005-0000-0000-000027050000}"/>
    <cellStyle name="20% - Accent3 8 3" xfId="1324" xr:uid="{00000000-0005-0000-0000-000028050000}"/>
    <cellStyle name="20% - Accent3 8 3 2" xfId="1325" xr:uid="{00000000-0005-0000-0000-000029050000}"/>
    <cellStyle name="20% - Accent3 8 3 2 2" xfId="1326" xr:uid="{00000000-0005-0000-0000-00002A050000}"/>
    <cellStyle name="20% - Accent3 8 3 3" xfId="1327" xr:uid="{00000000-0005-0000-0000-00002B050000}"/>
    <cellStyle name="20% - Accent3 8 3 4" xfId="1328" xr:uid="{00000000-0005-0000-0000-00002C050000}"/>
    <cellStyle name="20% - Accent3 8 3 5" xfId="1329" xr:uid="{00000000-0005-0000-0000-00002D050000}"/>
    <cellStyle name="20% - Accent3 8 4" xfId="1330" xr:uid="{00000000-0005-0000-0000-00002E050000}"/>
    <cellStyle name="20% - Accent3 8 4 2" xfId="1331" xr:uid="{00000000-0005-0000-0000-00002F050000}"/>
    <cellStyle name="20% - Accent3 8 4 3" xfId="1332" xr:uid="{00000000-0005-0000-0000-000030050000}"/>
    <cellStyle name="20% - Accent3 8 4 4" xfId="1333" xr:uid="{00000000-0005-0000-0000-000031050000}"/>
    <cellStyle name="20% - Accent3 8 5" xfId="1334" xr:uid="{00000000-0005-0000-0000-000032050000}"/>
    <cellStyle name="20% - Accent3 8 5 2" xfId="1335" xr:uid="{00000000-0005-0000-0000-000033050000}"/>
    <cellStyle name="20% - Accent3 8 6" xfId="1336" xr:uid="{00000000-0005-0000-0000-000034050000}"/>
    <cellStyle name="20% - Accent3 8 7" xfId="1337" xr:uid="{00000000-0005-0000-0000-000035050000}"/>
    <cellStyle name="20% - Accent3 8 8" xfId="1338" xr:uid="{00000000-0005-0000-0000-000036050000}"/>
    <cellStyle name="20% - Accent3 8 9" xfId="1339" xr:uid="{00000000-0005-0000-0000-000037050000}"/>
    <cellStyle name="20% - Accent3 9" xfId="1340" xr:uid="{00000000-0005-0000-0000-000038050000}"/>
    <cellStyle name="20% - Accent3 9 2" xfId="1341" xr:uid="{00000000-0005-0000-0000-000039050000}"/>
    <cellStyle name="20% - Accent3 9 2 2" xfId="1342" xr:uid="{00000000-0005-0000-0000-00003A050000}"/>
    <cellStyle name="20% - Accent3 9 2 2 2" xfId="1343" xr:uid="{00000000-0005-0000-0000-00003B050000}"/>
    <cellStyle name="20% - Accent3 9 2 3" xfId="1344" xr:uid="{00000000-0005-0000-0000-00003C050000}"/>
    <cellStyle name="20% - Accent3 9 2 4" xfId="1345" xr:uid="{00000000-0005-0000-0000-00003D050000}"/>
    <cellStyle name="20% - Accent3 9 2 5" xfId="1346" xr:uid="{00000000-0005-0000-0000-00003E050000}"/>
    <cellStyle name="20% - Accent3 9 3" xfId="1347" xr:uid="{00000000-0005-0000-0000-00003F050000}"/>
    <cellStyle name="20% - Accent3 9 3 2" xfId="1348" xr:uid="{00000000-0005-0000-0000-000040050000}"/>
    <cellStyle name="20% - Accent3 9 3 3" xfId="1349" xr:uid="{00000000-0005-0000-0000-000041050000}"/>
    <cellStyle name="20% - Accent3 9 3 4" xfId="1350" xr:uid="{00000000-0005-0000-0000-000042050000}"/>
    <cellStyle name="20% - Accent3 9 4" xfId="1351" xr:uid="{00000000-0005-0000-0000-000043050000}"/>
    <cellStyle name="20% - Accent3 9 4 2" xfId="1352" xr:uid="{00000000-0005-0000-0000-000044050000}"/>
    <cellStyle name="20% - Accent3 9 5" xfId="1353" xr:uid="{00000000-0005-0000-0000-000045050000}"/>
    <cellStyle name="20% - Accent3 9 6" xfId="1354" xr:uid="{00000000-0005-0000-0000-000046050000}"/>
    <cellStyle name="20% - Accent3 9 7" xfId="1355" xr:uid="{00000000-0005-0000-0000-000047050000}"/>
    <cellStyle name="20% - Accent3 9 8" xfId="1356" xr:uid="{00000000-0005-0000-0000-000048050000}"/>
    <cellStyle name="20% - Accent4 10" xfId="1357" xr:uid="{00000000-0005-0000-0000-000049050000}"/>
    <cellStyle name="20% - Accent4 10 2" xfId="1358" xr:uid="{00000000-0005-0000-0000-00004A050000}"/>
    <cellStyle name="20% - Accent4 10 2 2" xfId="1359" xr:uid="{00000000-0005-0000-0000-00004B050000}"/>
    <cellStyle name="20% - Accent4 10 2 2 2" xfId="1360" xr:uid="{00000000-0005-0000-0000-00004C050000}"/>
    <cellStyle name="20% - Accent4 10 2 3" xfId="1361" xr:uid="{00000000-0005-0000-0000-00004D050000}"/>
    <cellStyle name="20% - Accent4 10 2 4" xfId="1362" xr:uid="{00000000-0005-0000-0000-00004E050000}"/>
    <cellStyle name="20% - Accent4 10 2 5" xfId="1363" xr:uid="{00000000-0005-0000-0000-00004F050000}"/>
    <cellStyle name="20% - Accent4 10 3" xfId="1364" xr:uid="{00000000-0005-0000-0000-000050050000}"/>
    <cellStyle name="20% - Accent4 10 3 2" xfId="1365" xr:uid="{00000000-0005-0000-0000-000051050000}"/>
    <cellStyle name="20% - Accent4 10 3 3" xfId="1366" xr:uid="{00000000-0005-0000-0000-000052050000}"/>
    <cellStyle name="20% - Accent4 10 3 4" xfId="1367" xr:uid="{00000000-0005-0000-0000-000053050000}"/>
    <cellStyle name="20% - Accent4 10 4" xfId="1368" xr:uid="{00000000-0005-0000-0000-000054050000}"/>
    <cellStyle name="20% - Accent4 10 4 2" xfId="1369" xr:uid="{00000000-0005-0000-0000-000055050000}"/>
    <cellStyle name="20% - Accent4 10 5" xfId="1370" xr:uid="{00000000-0005-0000-0000-000056050000}"/>
    <cellStyle name="20% - Accent4 10 6" xfId="1371" xr:uid="{00000000-0005-0000-0000-000057050000}"/>
    <cellStyle name="20% - Accent4 10 7" xfId="1372" xr:uid="{00000000-0005-0000-0000-000058050000}"/>
    <cellStyle name="20% - Accent4 10 8" xfId="1373" xr:uid="{00000000-0005-0000-0000-000059050000}"/>
    <cellStyle name="20% - Accent4 11" xfId="1374" xr:uid="{00000000-0005-0000-0000-00005A050000}"/>
    <cellStyle name="20% - Accent4 11 2" xfId="1375" xr:uid="{00000000-0005-0000-0000-00005B050000}"/>
    <cellStyle name="20% - Accent4 11 2 2" xfId="1376" xr:uid="{00000000-0005-0000-0000-00005C050000}"/>
    <cellStyle name="20% - Accent4 11 2 2 2" xfId="1377" xr:uid="{00000000-0005-0000-0000-00005D050000}"/>
    <cellStyle name="20% - Accent4 11 2 3" xfId="1378" xr:uid="{00000000-0005-0000-0000-00005E050000}"/>
    <cellStyle name="20% - Accent4 11 2 4" xfId="1379" xr:uid="{00000000-0005-0000-0000-00005F050000}"/>
    <cellStyle name="20% - Accent4 11 2 5" xfId="1380" xr:uid="{00000000-0005-0000-0000-000060050000}"/>
    <cellStyle name="20% - Accent4 11 3" xfId="1381" xr:uid="{00000000-0005-0000-0000-000061050000}"/>
    <cellStyle name="20% - Accent4 11 3 2" xfId="1382" xr:uid="{00000000-0005-0000-0000-000062050000}"/>
    <cellStyle name="20% - Accent4 11 3 3" xfId="1383" xr:uid="{00000000-0005-0000-0000-000063050000}"/>
    <cellStyle name="20% - Accent4 11 3 4" xfId="1384" xr:uid="{00000000-0005-0000-0000-000064050000}"/>
    <cellStyle name="20% - Accent4 11 4" xfId="1385" xr:uid="{00000000-0005-0000-0000-000065050000}"/>
    <cellStyle name="20% - Accent4 11 4 2" xfId="1386" xr:uid="{00000000-0005-0000-0000-000066050000}"/>
    <cellStyle name="20% - Accent4 11 5" xfId="1387" xr:uid="{00000000-0005-0000-0000-000067050000}"/>
    <cellStyle name="20% - Accent4 11 6" xfId="1388" xr:uid="{00000000-0005-0000-0000-000068050000}"/>
    <cellStyle name="20% - Accent4 11 7" xfId="1389" xr:uid="{00000000-0005-0000-0000-000069050000}"/>
    <cellStyle name="20% - Accent4 11 8" xfId="1390" xr:uid="{00000000-0005-0000-0000-00006A050000}"/>
    <cellStyle name="20% - Accent4 12" xfId="1391" xr:uid="{00000000-0005-0000-0000-00006B050000}"/>
    <cellStyle name="20% - Accent4 12 2" xfId="1392" xr:uid="{00000000-0005-0000-0000-00006C050000}"/>
    <cellStyle name="20% - Accent4 12 2 2" xfId="1393" xr:uid="{00000000-0005-0000-0000-00006D050000}"/>
    <cellStyle name="20% - Accent4 12 2 2 2" xfId="1394" xr:uid="{00000000-0005-0000-0000-00006E050000}"/>
    <cellStyle name="20% - Accent4 12 2 3" xfId="1395" xr:uid="{00000000-0005-0000-0000-00006F050000}"/>
    <cellStyle name="20% - Accent4 12 2 4" xfId="1396" xr:uid="{00000000-0005-0000-0000-000070050000}"/>
    <cellStyle name="20% - Accent4 12 2 5" xfId="1397" xr:uid="{00000000-0005-0000-0000-000071050000}"/>
    <cellStyle name="20% - Accent4 12 3" xfId="1398" xr:uid="{00000000-0005-0000-0000-000072050000}"/>
    <cellStyle name="20% - Accent4 12 3 2" xfId="1399" xr:uid="{00000000-0005-0000-0000-000073050000}"/>
    <cellStyle name="20% - Accent4 12 3 3" xfId="1400" xr:uid="{00000000-0005-0000-0000-000074050000}"/>
    <cellStyle name="20% - Accent4 12 3 4" xfId="1401" xr:uid="{00000000-0005-0000-0000-000075050000}"/>
    <cellStyle name="20% - Accent4 12 4" xfId="1402" xr:uid="{00000000-0005-0000-0000-000076050000}"/>
    <cellStyle name="20% - Accent4 12 4 2" xfId="1403" xr:uid="{00000000-0005-0000-0000-000077050000}"/>
    <cellStyle name="20% - Accent4 12 5" xfId="1404" xr:uid="{00000000-0005-0000-0000-000078050000}"/>
    <cellStyle name="20% - Accent4 12 6" xfId="1405" xr:uid="{00000000-0005-0000-0000-000079050000}"/>
    <cellStyle name="20% - Accent4 12 7" xfId="1406" xr:uid="{00000000-0005-0000-0000-00007A050000}"/>
    <cellStyle name="20% - Accent4 12 8" xfId="1407" xr:uid="{00000000-0005-0000-0000-00007B050000}"/>
    <cellStyle name="20% - Accent4 13" xfId="1408" xr:uid="{00000000-0005-0000-0000-00007C050000}"/>
    <cellStyle name="20% - Accent4 13 2" xfId="1409" xr:uid="{00000000-0005-0000-0000-00007D050000}"/>
    <cellStyle name="20% - Accent4 13 2 2" xfId="1410" xr:uid="{00000000-0005-0000-0000-00007E050000}"/>
    <cellStyle name="20% - Accent4 13 2 3" xfId="1411" xr:uid="{00000000-0005-0000-0000-00007F050000}"/>
    <cellStyle name="20% - Accent4 13 2 4" xfId="1412" xr:uid="{00000000-0005-0000-0000-000080050000}"/>
    <cellStyle name="20% - Accent4 13 3" xfId="1413" xr:uid="{00000000-0005-0000-0000-000081050000}"/>
    <cellStyle name="20% - Accent4 13 3 2" xfId="1414" xr:uid="{00000000-0005-0000-0000-000082050000}"/>
    <cellStyle name="20% - Accent4 13 4" xfId="1415" xr:uid="{00000000-0005-0000-0000-000083050000}"/>
    <cellStyle name="20% - Accent4 13 5" xfId="1416" xr:uid="{00000000-0005-0000-0000-000084050000}"/>
    <cellStyle name="20% - Accent4 13 6" xfId="1417" xr:uid="{00000000-0005-0000-0000-000085050000}"/>
    <cellStyle name="20% - Accent4 14" xfId="1418" xr:uid="{00000000-0005-0000-0000-000086050000}"/>
    <cellStyle name="20% - Accent4 14 2" xfId="1419" xr:uid="{00000000-0005-0000-0000-000087050000}"/>
    <cellStyle name="20% - Accent4 14 2 2" xfId="1420" xr:uid="{00000000-0005-0000-0000-000088050000}"/>
    <cellStyle name="20% - Accent4 14 3" xfId="1421" xr:uid="{00000000-0005-0000-0000-000089050000}"/>
    <cellStyle name="20% - Accent4 14 4" xfId="1422" xr:uid="{00000000-0005-0000-0000-00008A050000}"/>
    <cellStyle name="20% - Accent4 14 5" xfId="1423" xr:uid="{00000000-0005-0000-0000-00008B050000}"/>
    <cellStyle name="20% - Accent4 15" xfId="1424" xr:uid="{00000000-0005-0000-0000-00008C050000}"/>
    <cellStyle name="20% - Accent4 15 2" xfId="1425" xr:uid="{00000000-0005-0000-0000-00008D050000}"/>
    <cellStyle name="20% - Accent4 15 2 2" xfId="1426" xr:uid="{00000000-0005-0000-0000-00008E050000}"/>
    <cellStyle name="20% - Accent4 15 3" xfId="1427" xr:uid="{00000000-0005-0000-0000-00008F050000}"/>
    <cellStyle name="20% - Accent4 15 4" xfId="1428" xr:uid="{00000000-0005-0000-0000-000090050000}"/>
    <cellStyle name="20% - Accent4 15 5" xfId="1429" xr:uid="{00000000-0005-0000-0000-000091050000}"/>
    <cellStyle name="20% - Accent4 16" xfId="1430" xr:uid="{00000000-0005-0000-0000-000092050000}"/>
    <cellStyle name="20% - Accent4 16 2" xfId="1431" xr:uid="{00000000-0005-0000-0000-000093050000}"/>
    <cellStyle name="20% - Accent4 17" xfId="1432" xr:uid="{00000000-0005-0000-0000-000094050000}"/>
    <cellStyle name="20% - Accent4 18" xfId="1433" xr:uid="{00000000-0005-0000-0000-000095050000}"/>
    <cellStyle name="20% - Accent4 19" xfId="1434" xr:uid="{00000000-0005-0000-0000-000096050000}"/>
    <cellStyle name="20% - Accent4 2" xfId="1435" xr:uid="{00000000-0005-0000-0000-000097050000}"/>
    <cellStyle name="20% - Accent4 2 10" xfId="1436" xr:uid="{00000000-0005-0000-0000-000098050000}"/>
    <cellStyle name="20% - Accent4 2 11" xfId="1437" xr:uid="{00000000-0005-0000-0000-000099050000}"/>
    <cellStyle name="20% - Accent4 2 2" xfId="1438" xr:uid="{00000000-0005-0000-0000-00009A050000}"/>
    <cellStyle name="20% - Accent4 2 2 10" xfId="1439" xr:uid="{00000000-0005-0000-0000-00009B050000}"/>
    <cellStyle name="20% - Accent4 2 2 2" xfId="1440" xr:uid="{00000000-0005-0000-0000-00009C050000}"/>
    <cellStyle name="20% - Accent4 2 2 2 2" xfId="1441" xr:uid="{00000000-0005-0000-0000-00009D050000}"/>
    <cellStyle name="20% - Accent4 2 2 2 2 2" xfId="1442" xr:uid="{00000000-0005-0000-0000-00009E050000}"/>
    <cellStyle name="20% - Accent4 2 2 2 2 2 2" xfId="1443" xr:uid="{00000000-0005-0000-0000-00009F050000}"/>
    <cellStyle name="20% - Accent4 2 2 2 2 2 3" xfId="1444" xr:uid="{00000000-0005-0000-0000-0000A0050000}"/>
    <cellStyle name="20% - Accent4 2 2 2 2 3" xfId="1445" xr:uid="{00000000-0005-0000-0000-0000A1050000}"/>
    <cellStyle name="20% - Accent4 2 2 2 2 4" xfId="1446" xr:uid="{00000000-0005-0000-0000-0000A2050000}"/>
    <cellStyle name="20% - Accent4 2 2 2 2 5" xfId="1447" xr:uid="{00000000-0005-0000-0000-0000A3050000}"/>
    <cellStyle name="20% - Accent4 2 2 2 2 6" xfId="1448" xr:uid="{00000000-0005-0000-0000-0000A4050000}"/>
    <cellStyle name="20% - Accent4 2 2 2 3" xfId="1449" xr:uid="{00000000-0005-0000-0000-0000A5050000}"/>
    <cellStyle name="20% - Accent4 2 2 2 3 2" xfId="1450" xr:uid="{00000000-0005-0000-0000-0000A6050000}"/>
    <cellStyle name="20% - Accent4 2 2 2 3 2 2" xfId="1451" xr:uid="{00000000-0005-0000-0000-0000A7050000}"/>
    <cellStyle name="20% - Accent4 2 2 2 3 3" xfId="1452" xr:uid="{00000000-0005-0000-0000-0000A8050000}"/>
    <cellStyle name="20% - Accent4 2 2 2 3 4" xfId="1453" xr:uid="{00000000-0005-0000-0000-0000A9050000}"/>
    <cellStyle name="20% - Accent4 2 2 2 3 5" xfId="1454" xr:uid="{00000000-0005-0000-0000-0000AA050000}"/>
    <cellStyle name="20% - Accent4 2 2 2 4" xfId="1455" xr:uid="{00000000-0005-0000-0000-0000AB050000}"/>
    <cellStyle name="20% - Accent4 2 2 2 4 2" xfId="1456" xr:uid="{00000000-0005-0000-0000-0000AC050000}"/>
    <cellStyle name="20% - Accent4 2 2 2 4 3" xfId="1457" xr:uid="{00000000-0005-0000-0000-0000AD050000}"/>
    <cellStyle name="20% - Accent4 2 2 2 4 4" xfId="1458" xr:uid="{00000000-0005-0000-0000-0000AE050000}"/>
    <cellStyle name="20% - Accent4 2 2 2 5" xfId="1459" xr:uid="{00000000-0005-0000-0000-0000AF050000}"/>
    <cellStyle name="20% - Accent4 2 2 2 5 2" xfId="1460" xr:uid="{00000000-0005-0000-0000-0000B0050000}"/>
    <cellStyle name="20% - Accent4 2 2 2 6" xfId="1461" xr:uid="{00000000-0005-0000-0000-0000B1050000}"/>
    <cellStyle name="20% - Accent4 2 2 2 7" xfId="1462" xr:uid="{00000000-0005-0000-0000-0000B2050000}"/>
    <cellStyle name="20% - Accent4 2 2 2 8" xfId="1463" xr:uid="{00000000-0005-0000-0000-0000B3050000}"/>
    <cellStyle name="20% - Accent4 2 2 2 9" xfId="1464" xr:uid="{00000000-0005-0000-0000-0000B4050000}"/>
    <cellStyle name="20% - Accent4 2 2 3" xfId="1465" xr:uid="{00000000-0005-0000-0000-0000B5050000}"/>
    <cellStyle name="20% - Accent4 2 2 3 2" xfId="1466" xr:uid="{00000000-0005-0000-0000-0000B6050000}"/>
    <cellStyle name="20% - Accent4 2 2 3 2 2" xfId="1467" xr:uid="{00000000-0005-0000-0000-0000B7050000}"/>
    <cellStyle name="20% - Accent4 2 2 3 2 3" xfId="1468" xr:uid="{00000000-0005-0000-0000-0000B8050000}"/>
    <cellStyle name="20% - Accent4 2 2 3 3" xfId="1469" xr:uid="{00000000-0005-0000-0000-0000B9050000}"/>
    <cellStyle name="20% - Accent4 2 2 3 4" xfId="1470" xr:uid="{00000000-0005-0000-0000-0000BA050000}"/>
    <cellStyle name="20% - Accent4 2 2 3 5" xfId="1471" xr:uid="{00000000-0005-0000-0000-0000BB050000}"/>
    <cellStyle name="20% - Accent4 2 2 3 6" xfId="1472" xr:uid="{00000000-0005-0000-0000-0000BC050000}"/>
    <cellStyle name="20% - Accent4 2 2 4" xfId="1473" xr:uid="{00000000-0005-0000-0000-0000BD050000}"/>
    <cellStyle name="20% - Accent4 2 2 4 2" xfId="1474" xr:uid="{00000000-0005-0000-0000-0000BE050000}"/>
    <cellStyle name="20% - Accent4 2 2 4 2 2" xfId="1475" xr:uid="{00000000-0005-0000-0000-0000BF050000}"/>
    <cellStyle name="20% - Accent4 2 2 4 3" xfId="1476" xr:uid="{00000000-0005-0000-0000-0000C0050000}"/>
    <cellStyle name="20% - Accent4 2 2 4 4" xfId="1477" xr:uid="{00000000-0005-0000-0000-0000C1050000}"/>
    <cellStyle name="20% - Accent4 2 2 4 5" xfId="1478" xr:uid="{00000000-0005-0000-0000-0000C2050000}"/>
    <cellStyle name="20% - Accent4 2 2 5" xfId="1479" xr:uid="{00000000-0005-0000-0000-0000C3050000}"/>
    <cellStyle name="20% - Accent4 2 2 5 2" xfId="1480" xr:uid="{00000000-0005-0000-0000-0000C4050000}"/>
    <cellStyle name="20% - Accent4 2 2 5 3" xfId="1481" xr:uid="{00000000-0005-0000-0000-0000C5050000}"/>
    <cellStyle name="20% - Accent4 2 2 5 4" xfId="1482" xr:uid="{00000000-0005-0000-0000-0000C6050000}"/>
    <cellStyle name="20% - Accent4 2 2 6" xfId="1483" xr:uid="{00000000-0005-0000-0000-0000C7050000}"/>
    <cellStyle name="20% - Accent4 2 2 6 2" xfId="1484" xr:uid="{00000000-0005-0000-0000-0000C8050000}"/>
    <cellStyle name="20% - Accent4 2 2 7" xfId="1485" xr:uid="{00000000-0005-0000-0000-0000C9050000}"/>
    <cellStyle name="20% - Accent4 2 2 8" xfId="1486" xr:uid="{00000000-0005-0000-0000-0000CA050000}"/>
    <cellStyle name="20% - Accent4 2 2 9" xfId="1487" xr:uid="{00000000-0005-0000-0000-0000CB050000}"/>
    <cellStyle name="20% - Accent4 2 3" xfId="1488" xr:uid="{00000000-0005-0000-0000-0000CC050000}"/>
    <cellStyle name="20% - Accent4 2 3 2" xfId="1489" xr:uid="{00000000-0005-0000-0000-0000CD050000}"/>
    <cellStyle name="20% - Accent4 2 3 2 2" xfId="1490" xr:uid="{00000000-0005-0000-0000-0000CE050000}"/>
    <cellStyle name="20% - Accent4 2 3 2 2 2" xfId="1491" xr:uid="{00000000-0005-0000-0000-0000CF050000}"/>
    <cellStyle name="20% - Accent4 2 3 2 2 3" xfId="1492" xr:uid="{00000000-0005-0000-0000-0000D0050000}"/>
    <cellStyle name="20% - Accent4 2 3 2 3" xfId="1493" xr:uid="{00000000-0005-0000-0000-0000D1050000}"/>
    <cellStyle name="20% - Accent4 2 3 2 4" xfId="1494" xr:uid="{00000000-0005-0000-0000-0000D2050000}"/>
    <cellStyle name="20% - Accent4 2 3 2 5" xfId="1495" xr:uid="{00000000-0005-0000-0000-0000D3050000}"/>
    <cellStyle name="20% - Accent4 2 3 2 6" xfId="1496" xr:uid="{00000000-0005-0000-0000-0000D4050000}"/>
    <cellStyle name="20% - Accent4 2 3 3" xfId="1497" xr:uid="{00000000-0005-0000-0000-0000D5050000}"/>
    <cellStyle name="20% - Accent4 2 3 3 2" xfId="1498" xr:uid="{00000000-0005-0000-0000-0000D6050000}"/>
    <cellStyle name="20% - Accent4 2 3 3 2 2" xfId="1499" xr:uid="{00000000-0005-0000-0000-0000D7050000}"/>
    <cellStyle name="20% - Accent4 2 3 3 3" xfId="1500" xr:uid="{00000000-0005-0000-0000-0000D8050000}"/>
    <cellStyle name="20% - Accent4 2 3 3 4" xfId="1501" xr:uid="{00000000-0005-0000-0000-0000D9050000}"/>
    <cellStyle name="20% - Accent4 2 3 3 5" xfId="1502" xr:uid="{00000000-0005-0000-0000-0000DA050000}"/>
    <cellStyle name="20% - Accent4 2 3 4" xfId="1503" xr:uid="{00000000-0005-0000-0000-0000DB050000}"/>
    <cellStyle name="20% - Accent4 2 3 4 2" xfId="1504" xr:uid="{00000000-0005-0000-0000-0000DC050000}"/>
    <cellStyle name="20% - Accent4 2 3 4 3" xfId="1505" xr:uid="{00000000-0005-0000-0000-0000DD050000}"/>
    <cellStyle name="20% - Accent4 2 3 4 4" xfId="1506" xr:uid="{00000000-0005-0000-0000-0000DE050000}"/>
    <cellStyle name="20% - Accent4 2 3 5" xfId="1507" xr:uid="{00000000-0005-0000-0000-0000DF050000}"/>
    <cellStyle name="20% - Accent4 2 3 5 2" xfId="1508" xr:uid="{00000000-0005-0000-0000-0000E0050000}"/>
    <cellStyle name="20% - Accent4 2 3 6" xfId="1509" xr:uid="{00000000-0005-0000-0000-0000E1050000}"/>
    <cellStyle name="20% - Accent4 2 3 7" xfId="1510" xr:uid="{00000000-0005-0000-0000-0000E2050000}"/>
    <cellStyle name="20% - Accent4 2 3 8" xfId="1511" xr:uid="{00000000-0005-0000-0000-0000E3050000}"/>
    <cellStyle name="20% - Accent4 2 3 9" xfId="1512" xr:uid="{00000000-0005-0000-0000-0000E4050000}"/>
    <cellStyle name="20% - Accent4 2 4" xfId="1513" xr:uid="{00000000-0005-0000-0000-0000E5050000}"/>
    <cellStyle name="20% - Accent4 2 4 2" xfId="1514" xr:uid="{00000000-0005-0000-0000-0000E6050000}"/>
    <cellStyle name="20% - Accent4 2 4 2 2" xfId="1515" xr:uid="{00000000-0005-0000-0000-0000E7050000}"/>
    <cellStyle name="20% - Accent4 2 4 2 3" xfId="1516" xr:uid="{00000000-0005-0000-0000-0000E8050000}"/>
    <cellStyle name="20% - Accent4 2 4 3" xfId="1517" xr:uid="{00000000-0005-0000-0000-0000E9050000}"/>
    <cellStyle name="20% - Accent4 2 4 4" xfId="1518" xr:uid="{00000000-0005-0000-0000-0000EA050000}"/>
    <cellStyle name="20% - Accent4 2 4 5" xfId="1519" xr:uid="{00000000-0005-0000-0000-0000EB050000}"/>
    <cellStyle name="20% - Accent4 2 4 6" xfId="1520" xr:uid="{00000000-0005-0000-0000-0000EC050000}"/>
    <cellStyle name="20% - Accent4 2 5" xfId="1521" xr:uid="{00000000-0005-0000-0000-0000ED050000}"/>
    <cellStyle name="20% - Accent4 2 5 2" xfId="1522" xr:uid="{00000000-0005-0000-0000-0000EE050000}"/>
    <cellStyle name="20% - Accent4 2 5 2 2" xfId="1523" xr:uid="{00000000-0005-0000-0000-0000EF050000}"/>
    <cellStyle name="20% - Accent4 2 5 3" xfId="1524" xr:uid="{00000000-0005-0000-0000-0000F0050000}"/>
    <cellStyle name="20% - Accent4 2 5 4" xfId="1525" xr:uid="{00000000-0005-0000-0000-0000F1050000}"/>
    <cellStyle name="20% - Accent4 2 5 5" xfId="1526" xr:uid="{00000000-0005-0000-0000-0000F2050000}"/>
    <cellStyle name="20% - Accent4 2 6" xfId="1527" xr:uid="{00000000-0005-0000-0000-0000F3050000}"/>
    <cellStyle name="20% - Accent4 2 6 2" xfId="1528" xr:uid="{00000000-0005-0000-0000-0000F4050000}"/>
    <cellStyle name="20% - Accent4 2 6 2 2" xfId="1529" xr:uid="{00000000-0005-0000-0000-0000F5050000}"/>
    <cellStyle name="20% - Accent4 2 6 3" xfId="1530" xr:uid="{00000000-0005-0000-0000-0000F6050000}"/>
    <cellStyle name="20% - Accent4 2 6 4" xfId="1531" xr:uid="{00000000-0005-0000-0000-0000F7050000}"/>
    <cellStyle name="20% - Accent4 2 6 5" xfId="1532" xr:uid="{00000000-0005-0000-0000-0000F8050000}"/>
    <cellStyle name="20% - Accent4 2 7" xfId="1533" xr:uid="{00000000-0005-0000-0000-0000F9050000}"/>
    <cellStyle name="20% - Accent4 2 7 2" xfId="1534" xr:uid="{00000000-0005-0000-0000-0000FA050000}"/>
    <cellStyle name="20% - Accent4 2 8" xfId="1535" xr:uid="{00000000-0005-0000-0000-0000FB050000}"/>
    <cellStyle name="20% - Accent4 2 9" xfId="1536" xr:uid="{00000000-0005-0000-0000-0000FC050000}"/>
    <cellStyle name="20% - Accent4 3" xfId="1537" xr:uid="{00000000-0005-0000-0000-0000FD050000}"/>
    <cellStyle name="20% - Accent4 3 10" xfId="1538" xr:uid="{00000000-0005-0000-0000-0000FE050000}"/>
    <cellStyle name="20% - Accent4 3 2" xfId="1539" xr:uid="{00000000-0005-0000-0000-0000FF050000}"/>
    <cellStyle name="20% - Accent4 3 2 2" xfId="1540" xr:uid="{00000000-0005-0000-0000-000000060000}"/>
    <cellStyle name="20% - Accent4 3 2 2 2" xfId="1541" xr:uid="{00000000-0005-0000-0000-000001060000}"/>
    <cellStyle name="20% - Accent4 3 2 2 2 2" xfId="1542" xr:uid="{00000000-0005-0000-0000-000002060000}"/>
    <cellStyle name="20% - Accent4 3 2 2 2 3" xfId="1543" xr:uid="{00000000-0005-0000-0000-000003060000}"/>
    <cellStyle name="20% - Accent4 3 2 2 3" xfId="1544" xr:uid="{00000000-0005-0000-0000-000004060000}"/>
    <cellStyle name="20% - Accent4 3 2 2 4" xfId="1545" xr:uid="{00000000-0005-0000-0000-000005060000}"/>
    <cellStyle name="20% - Accent4 3 2 2 5" xfId="1546" xr:uid="{00000000-0005-0000-0000-000006060000}"/>
    <cellStyle name="20% - Accent4 3 2 2 6" xfId="1547" xr:uid="{00000000-0005-0000-0000-000007060000}"/>
    <cellStyle name="20% - Accent4 3 2 3" xfId="1548" xr:uid="{00000000-0005-0000-0000-000008060000}"/>
    <cellStyle name="20% - Accent4 3 2 3 2" xfId="1549" xr:uid="{00000000-0005-0000-0000-000009060000}"/>
    <cellStyle name="20% - Accent4 3 2 3 2 2" xfId="1550" xr:uid="{00000000-0005-0000-0000-00000A060000}"/>
    <cellStyle name="20% - Accent4 3 2 3 3" xfId="1551" xr:uid="{00000000-0005-0000-0000-00000B060000}"/>
    <cellStyle name="20% - Accent4 3 2 3 4" xfId="1552" xr:uid="{00000000-0005-0000-0000-00000C060000}"/>
    <cellStyle name="20% - Accent4 3 2 3 5" xfId="1553" xr:uid="{00000000-0005-0000-0000-00000D060000}"/>
    <cellStyle name="20% - Accent4 3 2 4" xfId="1554" xr:uid="{00000000-0005-0000-0000-00000E060000}"/>
    <cellStyle name="20% - Accent4 3 2 4 2" xfId="1555" xr:uid="{00000000-0005-0000-0000-00000F060000}"/>
    <cellStyle name="20% - Accent4 3 2 4 3" xfId="1556" xr:uid="{00000000-0005-0000-0000-000010060000}"/>
    <cellStyle name="20% - Accent4 3 2 4 4" xfId="1557" xr:uid="{00000000-0005-0000-0000-000011060000}"/>
    <cellStyle name="20% - Accent4 3 2 5" xfId="1558" xr:uid="{00000000-0005-0000-0000-000012060000}"/>
    <cellStyle name="20% - Accent4 3 2 5 2" xfId="1559" xr:uid="{00000000-0005-0000-0000-000013060000}"/>
    <cellStyle name="20% - Accent4 3 2 6" xfId="1560" xr:uid="{00000000-0005-0000-0000-000014060000}"/>
    <cellStyle name="20% - Accent4 3 2 7" xfId="1561" xr:uid="{00000000-0005-0000-0000-000015060000}"/>
    <cellStyle name="20% - Accent4 3 2 8" xfId="1562" xr:uid="{00000000-0005-0000-0000-000016060000}"/>
    <cellStyle name="20% - Accent4 3 2 9" xfId="1563" xr:uid="{00000000-0005-0000-0000-000017060000}"/>
    <cellStyle name="20% - Accent4 3 3" xfId="1564" xr:uid="{00000000-0005-0000-0000-000018060000}"/>
    <cellStyle name="20% - Accent4 3 3 2" xfId="1565" xr:uid="{00000000-0005-0000-0000-000019060000}"/>
    <cellStyle name="20% - Accent4 3 3 2 2" xfId="1566" xr:uid="{00000000-0005-0000-0000-00001A060000}"/>
    <cellStyle name="20% - Accent4 3 3 2 3" xfId="1567" xr:uid="{00000000-0005-0000-0000-00001B060000}"/>
    <cellStyle name="20% - Accent4 3 3 3" xfId="1568" xr:uid="{00000000-0005-0000-0000-00001C060000}"/>
    <cellStyle name="20% - Accent4 3 3 4" xfId="1569" xr:uid="{00000000-0005-0000-0000-00001D060000}"/>
    <cellStyle name="20% - Accent4 3 3 5" xfId="1570" xr:uid="{00000000-0005-0000-0000-00001E060000}"/>
    <cellStyle name="20% - Accent4 3 3 6" xfId="1571" xr:uid="{00000000-0005-0000-0000-00001F060000}"/>
    <cellStyle name="20% - Accent4 3 4" xfId="1572" xr:uid="{00000000-0005-0000-0000-000020060000}"/>
    <cellStyle name="20% - Accent4 3 4 2" xfId="1573" xr:uid="{00000000-0005-0000-0000-000021060000}"/>
    <cellStyle name="20% - Accent4 3 4 2 2" xfId="1574" xr:uid="{00000000-0005-0000-0000-000022060000}"/>
    <cellStyle name="20% - Accent4 3 4 3" xfId="1575" xr:uid="{00000000-0005-0000-0000-000023060000}"/>
    <cellStyle name="20% - Accent4 3 4 4" xfId="1576" xr:uid="{00000000-0005-0000-0000-000024060000}"/>
    <cellStyle name="20% - Accent4 3 4 5" xfId="1577" xr:uid="{00000000-0005-0000-0000-000025060000}"/>
    <cellStyle name="20% - Accent4 3 5" xfId="1578" xr:uid="{00000000-0005-0000-0000-000026060000}"/>
    <cellStyle name="20% - Accent4 3 5 2" xfId="1579" xr:uid="{00000000-0005-0000-0000-000027060000}"/>
    <cellStyle name="20% - Accent4 3 5 2 2" xfId="1580" xr:uid="{00000000-0005-0000-0000-000028060000}"/>
    <cellStyle name="20% - Accent4 3 5 3" xfId="1581" xr:uid="{00000000-0005-0000-0000-000029060000}"/>
    <cellStyle name="20% - Accent4 3 5 4" xfId="1582" xr:uid="{00000000-0005-0000-0000-00002A060000}"/>
    <cellStyle name="20% - Accent4 3 5 5" xfId="1583" xr:uid="{00000000-0005-0000-0000-00002B060000}"/>
    <cellStyle name="20% - Accent4 3 6" xfId="1584" xr:uid="{00000000-0005-0000-0000-00002C060000}"/>
    <cellStyle name="20% - Accent4 3 6 2" xfId="1585" xr:uid="{00000000-0005-0000-0000-00002D060000}"/>
    <cellStyle name="20% - Accent4 3 7" xfId="1586" xr:uid="{00000000-0005-0000-0000-00002E060000}"/>
    <cellStyle name="20% - Accent4 3 8" xfId="1587" xr:uid="{00000000-0005-0000-0000-00002F060000}"/>
    <cellStyle name="20% - Accent4 3 9" xfId="1588" xr:uid="{00000000-0005-0000-0000-000030060000}"/>
    <cellStyle name="20% - Accent4 4" xfId="1589" xr:uid="{00000000-0005-0000-0000-000031060000}"/>
    <cellStyle name="20% - Accent4 4 10" xfId="1590" xr:uid="{00000000-0005-0000-0000-000032060000}"/>
    <cellStyle name="20% - Accent4 4 2" xfId="1591" xr:uid="{00000000-0005-0000-0000-000033060000}"/>
    <cellStyle name="20% - Accent4 4 2 2" xfId="1592" xr:uid="{00000000-0005-0000-0000-000034060000}"/>
    <cellStyle name="20% - Accent4 4 2 2 2" xfId="1593" xr:uid="{00000000-0005-0000-0000-000035060000}"/>
    <cellStyle name="20% - Accent4 4 2 2 2 2" xfId="1594" xr:uid="{00000000-0005-0000-0000-000036060000}"/>
    <cellStyle name="20% - Accent4 4 2 2 2 3" xfId="1595" xr:uid="{00000000-0005-0000-0000-000037060000}"/>
    <cellStyle name="20% - Accent4 4 2 2 3" xfId="1596" xr:uid="{00000000-0005-0000-0000-000038060000}"/>
    <cellStyle name="20% - Accent4 4 2 2 4" xfId="1597" xr:uid="{00000000-0005-0000-0000-000039060000}"/>
    <cellStyle name="20% - Accent4 4 2 2 5" xfId="1598" xr:uid="{00000000-0005-0000-0000-00003A060000}"/>
    <cellStyle name="20% - Accent4 4 2 2 6" xfId="1599" xr:uid="{00000000-0005-0000-0000-00003B060000}"/>
    <cellStyle name="20% - Accent4 4 2 3" xfId="1600" xr:uid="{00000000-0005-0000-0000-00003C060000}"/>
    <cellStyle name="20% - Accent4 4 2 3 2" xfId="1601" xr:uid="{00000000-0005-0000-0000-00003D060000}"/>
    <cellStyle name="20% - Accent4 4 2 3 2 2" xfId="1602" xr:uid="{00000000-0005-0000-0000-00003E060000}"/>
    <cellStyle name="20% - Accent4 4 2 3 3" xfId="1603" xr:uid="{00000000-0005-0000-0000-00003F060000}"/>
    <cellStyle name="20% - Accent4 4 2 3 4" xfId="1604" xr:uid="{00000000-0005-0000-0000-000040060000}"/>
    <cellStyle name="20% - Accent4 4 2 3 5" xfId="1605" xr:uid="{00000000-0005-0000-0000-000041060000}"/>
    <cellStyle name="20% - Accent4 4 2 4" xfId="1606" xr:uid="{00000000-0005-0000-0000-000042060000}"/>
    <cellStyle name="20% - Accent4 4 2 4 2" xfId="1607" xr:uid="{00000000-0005-0000-0000-000043060000}"/>
    <cellStyle name="20% - Accent4 4 2 4 3" xfId="1608" xr:uid="{00000000-0005-0000-0000-000044060000}"/>
    <cellStyle name="20% - Accent4 4 2 4 4" xfId="1609" xr:uid="{00000000-0005-0000-0000-000045060000}"/>
    <cellStyle name="20% - Accent4 4 2 5" xfId="1610" xr:uid="{00000000-0005-0000-0000-000046060000}"/>
    <cellStyle name="20% - Accent4 4 2 5 2" xfId="1611" xr:uid="{00000000-0005-0000-0000-000047060000}"/>
    <cellStyle name="20% - Accent4 4 2 6" xfId="1612" xr:uid="{00000000-0005-0000-0000-000048060000}"/>
    <cellStyle name="20% - Accent4 4 2 7" xfId="1613" xr:uid="{00000000-0005-0000-0000-000049060000}"/>
    <cellStyle name="20% - Accent4 4 2 8" xfId="1614" xr:uid="{00000000-0005-0000-0000-00004A060000}"/>
    <cellStyle name="20% - Accent4 4 2 9" xfId="1615" xr:uid="{00000000-0005-0000-0000-00004B060000}"/>
    <cellStyle name="20% - Accent4 4 3" xfId="1616" xr:uid="{00000000-0005-0000-0000-00004C060000}"/>
    <cellStyle name="20% - Accent4 4 3 2" xfId="1617" xr:uid="{00000000-0005-0000-0000-00004D060000}"/>
    <cellStyle name="20% - Accent4 4 3 2 2" xfId="1618" xr:uid="{00000000-0005-0000-0000-00004E060000}"/>
    <cellStyle name="20% - Accent4 4 3 2 3" xfId="1619" xr:uid="{00000000-0005-0000-0000-00004F060000}"/>
    <cellStyle name="20% - Accent4 4 3 3" xfId="1620" xr:uid="{00000000-0005-0000-0000-000050060000}"/>
    <cellStyle name="20% - Accent4 4 3 4" xfId="1621" xr:uid="{00000000-0005-0000-0000-000051060000}"/>
    <cellStyle name="20% - Accent4 4 3 5" xfId="1622" xr:uid="{00000000-0005-0000-0000-000052060000}"/>
    <cellStyle name="20% - Accent4 4 3 6" xfId="1623" xr:uid="{00000000-0005-0000-0000-000053060000}"/>
    <cellStyle name="20% - Accent4 4 4" xfId="1624" xr:uid="{00000000-0005-0000-0000-000054060000}"/>
    <cellStyle name="20% - Accent4 4 4 2" xfId="1625" xr:uid="{00000000-0005-0000-0000-000055060000}"/>
    <cellStyle name="20% - Accent4 4 4 2 2" xfId="1626" xr:uid="{00000000-0005-0000-0000-000056060000}"/>
    <cellStyle name="20% - Accent4 4 4 3" xfId="1627" xr:uid="{00000000-0005-0000-0000-000057060000}"/>
    <cellStyle name="20% - Accent4 4 4 4" xfId="1628" xr:uid="{00000000-0005-0000-0000-000058060000}"/>
    <cellStyle name="20% - Accent4 4 4 5" xfId="1629" xr:uid="{00000000-0005-0000-0000-000059060000}"/>
    <cellStyle name="20% - Accent4 4 5" xfId="1630" xr:uid="{00000000-0005-0000-0000-00005A060000}"/>
    <cellStyle name="20% - Accent4 4 5 2" xfId="1631" xr:uid="{00000000-0005-0000-0000-00005B060000}"/>
    <cellStyle name="20% - Accent4 4 5 2 2" xfId="1632" xr:uid="{00000000-0005-0000-0000-00005C060000}"/>
    <cellStyle name="20% - Accent4 4 5 3" xfId="1633" xr:uid="{00000000-0005-0000-0000-00005D060000}"/>
    <cellStyle name="20% - Accent4 4 5 4" xfId="1634" xr:uid="{00000000-0005-0000-0000-00005E060000}"/>
    <cellStyle name="20% - Accent4 4 5 5" xfId="1635" xr:uid="{00000000-0005-0000-0000-00005F060000}"/>
    <cellStyle name="20% - Accent4 4 6" xfId="1636" xr:uid="{00000000-0005-0000-0000-000060060000}"/>
    <cellStyle name="20% - Accent4 4 6 2" xfId="1637" xr:uid="{00000000-0005-0000-0000-000061060000}"/>
    <cellStyle name="20% - Accent4 4 7" xfId="1638" xr:uid="{00000000-0005-0000-0000-000062060000}"/>
    <cellStyle name="20% - Accent4 4 8" xfId="1639" xr:uid="{00000000-0005-0000-0000-000063060000}"/>
    <cellStyle name="20% - Accent4 4 9" xfId="1640" xr:uid="{00000000-0005-0000-0000-000064060000}"/>
    <cellStyle name="20% - Accent4 5" xfId="1641" xr:uid="{00000000-0005-0000-0000-000065060000}"/>
    <cellStyle name="20% - Accent4 5 10" xfId="1642" xr:uid="{00000000-0005-0000-0000-000066060000}"/>
    <cellStyle name="20% - Accent4 5 2" xfId="1643" xr:uid="{00000000-0005-0000-0000-000067060000}"/>
    <cellStyle name="20% - Accent4 5 2 2" xfId="1644" xr:uid="{00000000-0005-0000-0000-000068060000}"/>
    <cellStyle name="20% - Accent4 5 2 2 2" xfId="1645" xr:uid="{00000000-0005-0000-0000-000069060000}"/>
    <cellStyle name="20% - Accent4 5 2 2 2 2" xfId="1646" xr:uid="{00000000-0005-0000-0000-00006A060000}"/>
    <cellStyle name="20% - Accent4 5 2 2 2 3" xfId="1647" xr:uid="{00000000-0005-0000-0000-00006B060000}"/>
    <cellStyle name="20% - Accent4 5 2 2 3" xfId="1648" xr:uid="{00000000-0005-0000-0000-00006C060000}"/>
    <cellStyle name="20% - Accent4 5 2 2 4" xfId="1649" xr:uid="{00000000-0005-0000-0000-00006D060000}"/>
    <cellStyle name="20% - Accent4 5 2 2 5" xfId="1650" xr:uid="{00000000-0005-0000-0000-00006E060000}"/>
    <cellStyle name="20% - Accent4 5 2 2 6" xfId="1651" xr:uid="{00000000-0005-0000-0000-00006F060000}"/>
    <cellStyle name="20% - Accent4 5 2 3" xfId="1652" xr:uid="{00000000-0005-0000-0000-000070060000}"/>
    <cellStyle name="20% - Accent4 5 2 3 2" xfId="1653" xr:uid="{00000000-0005-0000-0000-000071060000}"/>
    <cellStyle name="20% - Accent4 5 2 3 2 2" xfId="1654" xr:uid="{00000000-0005-0000-0000-000072060000}"/>
    <cellStyle name="20% - Accent4 5 2 3 3" xfId="1655" xr:uid="{00000000-0005-0000-0000-000073060000}"/>
    <cellStyle name="20% - Accent4 5 2 3 4" xfId="1656" xr:uid="{00000000-0005-0000-0000-000074060000}"/>
    <cellStyle name="20% - Accent4 5 2 3 5" xfId="1657" xr:uid="{00000000-0005-0000-0000-000075060000}"/>
    <cellStyle name="20% - Accent4 5 2 4" xfId="1658" xr:uid="{00000000-0005-0000-0000-000076060000}"/>
    <cellStyle name="20% - Accent4 5 2 4 2" xfId="1659" xr:uid="{00000000-0005-0000-0000-000077060000}"/>
    <cellStyle name="20% - Accent4 5 2 4 3" xfId="1660" xr:uid="{00000000-0005-0000-0000-000078060000}"/>
    <cellStyle name="20% - Accent4 5 2 4 4" xfId="1661" xr:uid="{00000000-0005-0000-0000-000079060000}"/>
    <cellStyle name="20% - Accent4 5 2 5" xfId="1662" xr:uid="{00000000-0005-0000-0000-00007A060000}"/>
    <cellStyle name="20% - Accent4 5 2 5 2" xfId="1663" xr:uid="{00000000-0005-0000-0000-00007B060000}"/>
    <cellStyle name="20% - Accent4 5 2 6" xfId="1664" xr:uid="{00000000-0005-0000-0000-00007C060000}"/>
    <cellStyle name="20% - Accent4 5 2 7" xfId="1665" xr:uid="{00000000-0005-0000-0000-00007D060000}"/>
    <cellStyle name="20% - Accent4 5 2 8" xfId="1666" xr:uid="{00000000-0005-0000-0000-00007E060000}"/>
    <cellStyle name="20% - Accent4 5 2 9" xfId="1667" xr:uid="{00000000-0005-0000-0000-00007F060000}"/>
    <cellStyle name="20% - Accent4 5 3" xfId="1668" xr:uid="{00000000-0005-0000-0000-000080060000}"/>
    <cellStyle name="20% - Accent4 5 3 2" xfId="1669" xr:uid="{00000000-0005-0000-0000-000081060000}"/>
    <cellStyle name="20% - Accent4 5 3 2 2" xfId="1670" xr:uid="{00000000-0005-0000-0000-000082060000}"/>
    <cellStyle name="20% - Accent4 5 3 2 3" xfId="1671" xr:uid="{00000000-0005-0000-0000-000083060000}"/>
    <cellStyle name="20% - Accent4 5 3 3" xfId="1672" xr:uid="{00000000-0005-0000-0000-000084060000}"/>
    <cellStyle name="20% - Accent4 5 3 4" xfId="1673" xr:uid="{00000000-0005-0000-0000-000085060000}"/>
    <cellStyle name="20% - Accent4 5 3 5" xfId="1674" xr:uid="{00000000-0005-0000-0000-000086060000}"/>
    <cellStyle name="20% - Accent4 5 3 6" xfId="1675" xr:uid="{00000000-0005-0000-0000-000087060000}"/>
    <cellStyle name="20% - Accent4 5 4" xfId="1676" xr:uid="{00000000-0005-0000-0000-000088060000}"/>
    <cellStyle name="20% - Accent4 5 4 2" xfId="1677" xr:uid="{00000000-0005-0000-0000-000089060000}"/>
    <cellStyle name="20% - Accent4 5 4 2 2" xfId="1678" xr:uid="{00000000-0005-0000-0000-00008A060000}"/>
    <cellStyle name="20% - Accent4 5 4 3" xfId="1679" xr:uid="{00000000-0005-0000-0000-00008B060000}"/>
    <cellStyle name="20% - Accent4 5 4 4" xfId="1680" xr:uid="{00000000-0005-0000-0000-00008C060000}"/>
    <cellStyle name="20% - Accent4 5 4 5" xfId="1681" xr:uid="{00000000-0005-0000-0000-00008D060000}"/>
    <cellStyle name="20% - Accent4 5 5" xfId="1682" xr:uid="{00000000-0005-0000-0000-00008E060000}"/>
    <cellStyle name="20% - Accent4 5 5 2" xfId="1683" xr:uid="{00000000-0005-0000-0000-00008F060000}"/>
    <cellStyle name="20% - Accent4 5 5 3" xfId="1684" xr:uid="{00000000-0005-0000-0000-000090060000}"/>
    <cellStyle name="20% - Accent4 5 5 4" xfId="1685" xr:uid="{00000000-0005-0000-0000-000091060000}"/>
    <cellStyle name="20% - Accent4 5 6" xfId="1686" xr:uid="{00000000-0005-0000-0000-000092060000}"/>
    <cellStyle name="20% - Accent4 5 6 2" xfId="1687" xr:uid="{00000000-0005-0000-0000-000093060000}"/>
    <cellStyle name="20% - Accent4 5 7" xfId="1688" xr:uid="{00000000-0005-0000-0000-000094060000}"/>
    <cellStyle name="20% - Accent4 5 8" xfId="1689" xr:uid="{00000000-0005-0000-0000-000095060000}"/>
    <cellStyle name="20% - Accent4 5 9" xfId="1690" xr:uid="{00000000-0005-0000-0000-000096060000}"/>
    <cellStyle name="20% - Accent4 6" xfId="1691" xr:uid="{00000000-0005-0000-0000-000097060000}"/>
    <cellStyle name="20% - Accent4 6 10" xfId="1692" xr:uid="{00000000-0005-0000-0000-000098060000}"/>
    <cellStyle name="20% - Accent4 6 2" xfId="1693" xr:uid="{00000000-0005-0000-0000-000099060000}"/>
    <cellStyle name="20% - Accent4 6 2 2" xfId="1694" xr:uid="{00000000-0005-0000-0000-00009A060000}"/>
    <cellStyle name="20% - Accent4 6 2 2 2" xfId="1695" xr:uid="{00000000-0005-0000-0000-00009B060000}"/>
    <cellStyle name="20% - Accent4 6 2 2 2 2" xfId="1696" xr:uid="{00000000-0005-0000-0000-00009C060000}"/>
    <cellStyle name="20% - Accent4 6 2 2 2 3" xfId="1697" xr:uid="{00000000-0005-0000-0000-00009D060000}"/>
    <cellStyle name="20% - Accent4 6 2 2 3" xfId="1698" xr:uid="{00000000-0005-0000-0000-00009E060000}"/>
    <cellStyle name="20% - Accent4 6 2 2 4" xfId="1699" xr:uid="{00000000-0005-0000-0000-00009F060000}"/>
    <cellStyle name="20% - Accent4 6 2 2 5" xfId="1700" xr:uid="{00000000-0005-0000-0000-0000A0060000}"/>
    <cellStyle name="20% - Accent4 6 2 2 6" xfId="1701" xr:uid="{00000000-0005-0000-0000-0000A1060000}"/>
    <cellStyle name="20% - Accent4 6 2 3" xfId="1702" xr:uid="{00000000-0005-0000-0000-0000A2060000}"/>
    <cellStyle name="20% - Accent4 6 2 3 2" xfId="1703" xr:uid="{00000000-0005-0000-0000-0000A3060000}"/>
    <cellStyle name="20% - Accent4 6 2 3 2 2" xfId="1704" xr:uid="{00000000-0005-0000-0000-0000A4060000}"/>
    <cellStyle name="20% - Accent4 6 2 3 3" xfId="1705" xr:uid="{00000000-0005-0000-0000-0000A5060000}"/>
    <cellStyle name="20% - Accent4 6 2 3 4" xfId="1706" xr:uid="{00000000-0005-0000-0000-0000A6060000}"/>
    <cellStyle name="20% - Accent4 6 2 3 5" xfId="1707" xr:uid="{00000000-0005-0000-0000-0000A7060000}"/>
    <cellStyle name="20% - Accent4 6 2 4" xfId="1708" xr:uid="{00000000-0005-0000-0000-0000A8060000}"/>
    <cellStyle name="20% - Accent4 6 2 4 2" xfId="1709" xr:uid="{00000000-0005-0000-0000-0000A9060000}"/>
    <cellStyle name="20% - Accent4 6 2 4 3" xfId="1710" xr:uid="{00000000-0005-0000-0000-0000AA060000}"/>
    <cellStyle name="20% - Accent4 6 2 4 4" xfId="1711" xr:uid="{00000000-0005-0000-0000-0000AB060000}"/>
    <cellStyle name="20% - Accent4 6 2 5" xfId="1712" xr:uid="{00000000-0005-0000-0000-0000AC060000}"/>
    <cellStyle name="20% - Accent4 6 2 5 2" xfId="1713" xr:uid="{00000000-0005-0000-0000-0000AD060000}"/>
    <cellStyle name="20% - Accent4 6 2 6" xfId="1714" xr:uid="{00000000-0005-0000-0000-0000AE060000}"/>
    <cellStyle name="20% - Accent4 6 2 7" xfId="1715" xr:uid="{00000000-0005-0000-0000-0000AF060000}"/>
    <cellStyle name="20% - Accent4 6 2 8" xfId="1716" xr:uid="{00000000-0005-0000-0000-0000B0060000}"/>
    <cellStyle name="20% - Accent4 6 2 9" xfId="1717" xr:uid="{00000000-0005-0000-0000-0000B1060000}"/>
    <cellStyle name="20% - Accent4 6 3" xfId="1718" xr:uid="{00000000-0005-0000-0000-0000B2060000}"/>
    <cellStyle name="20% - Accent4 6 3 2" xfId="1719" xr:uid="{00000000-0005-0000-0000-0000B3060000}"/>
    <cellStyle name="20% - Accent4 6 3 2 2" xfId="1720" xr:uid="{00000000-0005-0000-0000-0000B4060000}"/>
    <cellStyle name="20% - Accent4 6 3 2 3" xfId="1721" xr:uid="{00000000-0005-0000-0000-0000B5060000}"/>
    <cellStyle name="20% - Accent4 6 3 3" xfId="1722" xr:uid="{00000000-0005-0000-0000-0000B6060000}"/>
    <cellStyle name="20% - Accent4 6 3 4" xfId="1723" xr:uid="{00000000-0005-0000-0000-0000B7060000}"/>
    <cellStyle name="20% - Accent4 6 3 5" xfId="1724" xr:uid="{00000000-0005-0000-0000-0000B8060000}"/>
    <cellStyle name="20% - Accent4 6 3 6" xfId="1725" xr:uid="{00000000-0005-0000-0000-0000B9060000}"/>
    <cellStyle name="20% - Accent4 6 4" xfId="1726" xr:uid="{00000000-0005-0000-0000-0000BA060000}"/>
    <cellStyle name="20% - Accent4 6 4 2" xfId="1727" xr:uid="{00000000-0005-0000-0000-0000BB060000}"/>
    <cellStyle name="20% - Accent4 6 4 2 2" xfId="1728" xr:uid="{00000000-0005-0000-0000-0000BC060000}"/>
    <cellStyle name="20% - Accent4 6 4 3" xfId="1729" xr:uid="{00000000-0005-0000-0000-0000BD060000}"/>
    <cellStyle name="20% - Accent4 6 4 4" xfId="1730" xr:uid="{00000000-0005-0000-0000-0000BE060000}"/>
    <cellStyle name="20% - Accent4 6 4 5" xfId="1731" xr:uid="{00000000-0005-0000-0000-0000BF060000}"/>
    <cellStyle name="20% - Accent4 6 5" xfId="1732" xr:uid="{00000000-0005-0000-0000-0000C0060000}"/>
    <cellStyle name="20% - Accent4 6 5 2" xfId="1733" xr:uid="{00000000-0005-0000-0000-0000C1060000}"/>
    <cellStyle name="20% - Accent4 6 5 3" xfId="1734" xr:uid="{00000000-0005-0000-0000-0000C2060000}"/>
    <cellStyle name="20% - Accent4 6 5 4" xfId="1735" xr:uid="{00000000-0005-0000-0000-0000C3060000}"/>
    <cellStyle name="20% - Accent4 6 6" xfId="1736" xr:uid="{00000000-0005-0000-0000-0000C4060000}"/>
    <cellStyle name="20% - Accent4 6 6 2" xfId="1737" xr:uid="{00000000-0005-0000-0000-0000C5060000}"/>
    <cellStyle name="20% - Accent4 6 7" xfId="1738" xr:uid="{00000000-0005-0000-0000-0000C6060000}"/>
    <cellStyle name="20% - Accent4 6 8" xfId="1739" xr:uid="{00000000-0005-0000-0000-0000C7060000}"/>
    <cellStyle name="20% - Accent4 6 9" xfId="1740" xr:uid="{00000000-0005-0000-0000-0000C8060000}"/>
    <cellStyle name="20% - Accent4 7" xfId="1741" xr:uid="{00000000-0005-0000-0000-0000C9060000}"/>
    <cellStyle name="20% - Accent4 7 2" xfId="1742" xr:uid="{00000000-0005-0000-0000-0000CA060000}"/>
    <cellStyle name="20% - Accent4 7 2 2" xfId="1743" xr:uid="{00000000-0005-0000-0000-0000CB060000}"/>
    <cellStyle name="20% - Accent4 7 2 2 2" xfId="1744" xr:uid="{00000000-0005-0000-0000-0000CC060000}"/>
    <cellStyle name="20% - Accent4 7 2 2 3" xfId="1745" xr:uid="{00000000-0005-0000-0000-0000CD060000}"/>
    <cellStyle name="20% - Accent4 7 2 3" xfId="1746" xr:uid="{00000000-0005-0000-0000-0000CE060000}"/>
    <cellStyle name="20% - Accent4 7 2 4" xfId="1747" xr:uid="{00000000-0005-0000-0000-0000CF060000}"/>
    <cellStyle name="20% - Accent4 7 2 5" xfId="1748" xr:uid="{00000000-0005-0000-0000-0000D0060000}"/>
    <cellStyle name="20% - Accent4 7 2 6" xfId="1749" xr:uid="{00000000-0005-0000-0000-0000D1060000}"/>
    <cellStyle name="20% - Accent4 7 3" xfId="1750" xr:uid="{00000000-0005-0000-0000-0000D2060000}"/>
    <cellStyle name="20% - Accent4 7 3 2" xfId="1751" xr:uid="{00000000-0005-0000-0000-0000D3060000}"/>
    <cellStyle name="20% - Accent4 7 3 2 2" xfId="1752" xr:uid="{00000000-0005-0000-0000-0000D4060000}"/>
    <cellStyle name="20% - Accent4 7 3 3" xfId="1753" xr:uid="{00000000-0005-0000-0000-0000D5060000}"/>
    <cellStyle name="20% - Accent4 7 3 4" xfId="1754" xr:uid="{00000000-0005-0000-0000-0000D6060000}"/>
    <cellStyle name="20% - Accent4 7 3 5" xfId="1755" xr:uid="{00000000-0005-0000-0000-0000D7060000}"/>
    <cellStyle name="20% - Accent4 7 4" xfId="1756" xr:uid="{00000000-0005-0000-0000-0000D8060000}"/>
    <cellStyle name="20% - Accent4 7 4 2" xfId="1757" xr:uid="{00000000-0005-0000-0000-0000D9060000}"/>
    <cellStyle name="20% - Accent4 7 4 3" xfId="1758" xr:uid="{00000000-0005-0000-0000-0000DA060000}"/>
    <cellStyle name="20% - Accent4 7 4 4" xfId="1759" xr:uid="{00000000-0005-0000-0000-0000DB060000}"/>
    <cellStyle name="20% - Accent4 7 5" xfId="1760" xr:uid="{00000000-0005-0000-0000-0000DC060000}"/>
    <cellStyle name="20% - Accent4 7 5 2" xfId="1761" xr:uid="{00000000-0005-0000-0000-0000DD060000}"/>
    <cellStyle name="20% - Accent4 7 6" xfId="1762" xr:uid="{00000000-0005-0000-0000-0000DE060000}"/>
    <cellStyle name="20% - Accent4 7 7" xfId="1763" xr:uid="{00000000-0005-0000-0000-0000DF060000}"/>
    <cellStyle name="20% - Accent4 7 8" xfId="1764" xr:uid="{00000000-0005-0000-0000-0000E0060000}"/>
    <cellStyle name="20% - Accent4 7 9" xfId="1765" xr:uid="{00000000-0005-0000-0000-0000E1060000}"/>
    <cellStyle name="20% - Accent4 8" xfId="1766" xr:uid="{00000000-0005-0000-0000-0000E2060000}"/>
    <cellStyle name="20% - Accent4 8 2" xfId="1767" xr:uid="{00000000-0005-0000-0000-0000E3060000}"/>
    <cellStyle name="20% - Accent4 8 2 2" xfId="1768" xr:uid="{00000000-0005-0000-0000-0000E4060000}"/>
    <cellStyle name="20% - Accent4 8 2 2 2" xfId="1769" xr:uid="{00000000-0005-0000-0000-0000E5060000}"/>
    <cellStyle name="20% - Accent4 8 2 2 3" xfId="1770" xr:uid="{00000000-0005-0000-0000-0000E6060000}"/>
    <cellStyle name="20% - Accent4 8 2 3" xfId="1771" xr:uid="{00000000-0005-0000-0000-0000E7060000}"/>
    <cellStyle name="20% - Accent4 8 2 4" xfId="1772" xr:uid="{00000000-0005-0000-0000-0000E8060000}"/>
    <cellStyle name="20% - Accent4 8 2 5" xfId="1773" xr:uid="{00000000-0005-0000-0000-0000E9060000}"/>
    <cellStyle name="20% - Accent4 8 2 6" xfId="1774" xr:uid="{00000000-0005-0000-0000-0000EA060000}"/>
    <cellStyle name="20% - Accent4 8 3" xfId="1775" xr:uid="{00000000-0005-0000-0000-0000EB060000}"/>
    <cellStyle name="20% - Accent4 8 3 2" xfId="1776" xr:uid="{00000000-0005-0000-0000-0000EC060000}"/>
    <cellStyle name="20% - Accent4 8 3 2 2" xfId="1777" xr:uid="{00000000-0005-0000-0000-0000ED060000}"/>
    <cellStyle name="20% - Accent4 8 3 3" xfId="1778" xr:uid="{00000000-0005-0000-0000-0000EE060000}"/>
    <cellStyle name="20% - Accent4 8 3 4" xfId="1779" xr:uid="{00000000-0005-0000-0000-0000EF060000}"/>
    <cellStyle name="20% - Accent4 8 3 5" xfId="1780" xr:uid="{00000000-0005-0000-0000-0000F0060000}"/>
    <cellStyle name="20% - Accent4 8 4" xfId="1781" xr:uid="{00000000-0005-0000-0000-0000F1060000}"/>
    <cellStyle name="20% - Accent4 8 4 2" xfId="1782" xr:uid="{00000000-0005-0000-0000-0000F2060000}"/>
    <cellStyle name="20% - Accent4 8 4 3" xfId="1783" xr:uid="{00000000-0005-0000-0000-0000F3060000}"/>
    <cellStyle name="20% - Accent4 8 4 4" xfId="1784" xr:uid="{00000000-0005-0000-0000-0000F4060000}"/>
    <cellStyle name="20% - Accent4 8 5" xfId="1785" xr:uid="{00000000-0005-0000-0000-0000F5060000}"/>
    <cellStyle name="20% - Accent4 8 5 2" xfId="1786" xr:uid="{00000000-0005-0000-0000-0000F6060000}"/>
    <cellStyle name="20% - Accent4 8 6" xfId="1787" xr:uid="{00000000-0005-0000-0000-0000F7060000}"/>
    <cellStyle name="20% - Accent4 8 7" xfId="1788" xr:uid="{00000000-0005-0000-0000-0000F8060000}"/>
    <cellStyle name="20% - Accent4 8 8" xfId="1789" xr:uid="{00000000-0005-0000-0000-0000F9060000}"/>
    <cellStyle name="20% - Accent4 8 9" xfId="1790" xr:uid="{00000000-0005-0000-0000-0000FA060000}"/>
    <cellStyle name="20% - Accent4 9" xfId="1791" xr:uid="{00000000-0005-0000-0000-0000FB060000}"/>
    <cellStyle name="20% - Accent4 9 2" xfId="1792" xr:uid="{00000000-0005-0000-0000-0000FC060000}"/>
    <cellStyle name="20% - Accent4 9 2 2" xfId="1793" xr:uid="{00000000-0005-0000-0000-0000FD060000}"/>
    <cellStyle name="20% - Accent4 9 2 2 2" xfId="1794" xr:uid="{00000000-0005-0000-0000-0000FE060000}"/>
    <cellStyle name="20% - Accent4 9 2 3" xfId="1795" xr:uid="{00000000-0005-0000-0000-0000FF060000}"/>
    <cellStyle name="20% - Accent4 9 2 4" xfId="1796" xr:uid="{00000000-0005-0000-0000-000000070000}"/>
    <cellStyle name="20% - Accent4 9 2 5" xfId="1797" xr:uid="{00000000-0005-0000-0000-000001070000}"/>
    <cellStyle name="20% - Accent4 9 3" xfId="1798" xr:uid="{00000000-0005-0000-0000-000002070000}"/>
    <cellStyle name="20% - Accent4 9 3 2" xfId="1799" xr:uid="{00000000-0005-0000-0000-000003070000}"/>
    <cellStyle name="20% - Accent4 9 3 3" xfId="1800" xr:uid="{00000000-0005-0000-0000-000004070000}"/>
    <cellStyle name="20% - Accent4 9 3 4" xfId="1801" xr:uid="{00000000-0005-0000-0000-000005070000}"/>
    <cellStyle name="20% - Accent4 9 4" xfId="1802" xr:uid="{00000000-0005-0000-0000-000006070000}"/>
    <cellStyle name="20% - Accent4 9 4 2" xfId="1803" xr:uid="{00000000-0005-0000-0000-000007070000}"/>
    <cellStyle name="20% - Accent4 9 5" xfId="1804" xr:uid="{00000000-0005-0000-0000-000008070000}"/>
    <cellStyle name="20% - Accent4 9 6" xfId="1805" xr:uid="{00000000-0005-0000-0000-000009070000}"/>
    <cellStyle name="20% - Accent4 9 7" xfId="1806" xr:uid="{00000000-0005-0000-0000-00000A070000}"/>
    <cellStyle name="20% - Accent4 9 8" xfId="1807" xr:uid="{00000000-0005-0000-0000-00000B070000}"/>
    <cellStyle name="20% - Accent5 10" xfId="1808" xr:uid="{00000000-0005-0000-0000-00000C070000}"/>
    <cellStyle name="20% - Accent5 10 2" xfId="1809" xr:uid="{00000000-0005-0000-0000-00000D070000}"/>
    <cellStyle name="20% - Accent5 10 2 2" xfId="1810" xr:uid="{00000000-0005-0000-0000-00000E070000}"/>
    <cellStyle name="20% - Accent5 10 2 2 2" xfId="1811" xr:uid="{00000000-0005-0000-0000-00000F070000}"/>
    <cellStyle name="20% - Accent5 10 2 3" xfId="1812" xr:uid="{00000000-0005-0000-0000-000010070000}"/>
    <cellStyle name="20% - Accent5 10 2 4" xfId="1813" xr:uid="{00000000-0005-0000-0000-000011070000}"/>
    <cellStyle name="20% - Accent5 10 2 5" xfId="1814" xr:uid="{00000000-0005-0000-0000-000012070000}"/>
    <cellStyle name="20% - Accent5 10 3" xfId="1815" xr:uid="{00000000-0005-0000-0000-000013070000}"/>
    <cellStyle name="20% - Accent5 10 3 2" xfId="1816" xr:uid="{00000000-0005-0000-0000-000014070000}"/>
    <cellStyle name="20% - Accent5 10 3 3" xfId="1817" xr:uid="{00000000-0005-0000-0000-000015070000}"/>
    <cellStyle name="20% - Accent5 10 3 4" xfId="1818" xr:uid="{00000000-0005-0000-0000-000016070000}"/>
    <cellStyle name="20% - Accent5 10 4" xfId="1819" xr:uid="{00000000-0005-0000-0000-000017070000}"/>
    <cellStyle name="20% - Accent5 10 4 2" xfId="1820" xr:uid="{00000000-0005-0000-0000-000018070000}"/>
    <cellStyle name="20% - Accent5 10 5" xfId="1821" xr:uid="{00000000-0005-0000-0000-000019070000}"/>
    <cellStyle name="20% - Accent5 10 6" xfId="1822" xr:uid="{00000000-0005-0000-0000-00001A070000}"/>
    <cellStyle name="20% - Accent5 10 7" xfId="1823" xr:uid="{00000000-0005-0000-0000-00001B070000}"/>
    <cellStyle name="20% - Accent5 10 8" xfId="1824" xr:uid="{00000000-0005-0000-0000-00001C070000}"/>
    <cellStyle name="20% - Accent5 11" xfId="1825" xr:uid="{00000000-0005-0000-0000-00001D070000}"/>
    <cellStyle name="20% - Accent5 11 2" xfId="1826" xr:uid="{00000000-0005-0000-0000-00001E070000}"/>
    <cellStyle name="20% - Accent5 11 2 2" xfId="1827" xr:uid="{00000000-0005-0000-0000-00001F070000}"/>
    <cellStyle name="20% - Accent5 11 2 2 2" xfId="1828" xr:uid="{00000000-0005-0000-0000-000020070000}"/>
    <cellStyle name="20% - Accent5 11 2 3" xfId="1829" xr:uid="{00000000-0005-0000-0000-000021070000}"/>
    <cellStyle name="20% - Accent5 11 2 4" xfId="1830" xr:uid="{00000000-0005-0000-0000-000022070000}"/>
    <cellStyle name="20% - Accent5 11 2 5" xfId="1831" xr:uid="{00000000-0005-0000-0000-000023070000}"/>
    <cellStyle name="20% - Accent5 11 3" xfId="1832" xr:uid="{00000000-0005-0000-0000-000024070000}"/>
    <cellStyle name="20% - Accent5 11 3 2" xfId="1833" xr:uid="{00000000-0005-0000-0000-000025070000}"/>
    <cellStyle name="20% - Accent5 11 3 3" xfId="1834" xr:uid="{00000000-0005-0000-0000-000026070000}"/>
    <cellStyle name="20% - Accent5 11 3 4" xfId="1835" xr:uid="{00000000-0005-0000-0000-000027070000}"/>
    <cellStyle name="20% - Accent5 11 4" xfId="1836" xr:uid="{00000000-0005-0000-0000-000028070000}"/>
    <cellStyle name="20% - Accent5 11 4 2" xfId="1837" xr:uid="{00000000-0005-0000-0000-000029070000}"/>
    <cellStyle name="20% - Accent5 11 5" xfId="1838" xr:uid="{00000000-0005-0000-0000-00002A070000}"/>
    <cellStyle name="20% - Accent5 11 6" xfId="1839" xr:uid="{00000000-0005-0000-0000-00002B070000}"/>
    <cellStyle name="20% - Accent5 11 7" xfId="1840" xr:uid="{00000000-0005-0000-0000-00002C070000}"/>
    <cellStyle name="20% - Accent5 11 8" xfId="1841" xr:uid="{00000000-0005-0000-0000-00002D070000}"/>
    <cellStyle name="20% - Accent5 12" xfId="1842" xr:uid="{00000000-0005-0000-0000-00002E070000}"/>
    <cellStyle name="20% - Accent5 12 2" xfId="1843" xr:uid="{00000000-0005-0000-0000-00002F070000}"/>
    <cellStyle name="20% - Accent5 12 2 2" xfId="1844" xr:uid="{00000000-0005-0000-0000-000030070000}"/>
    <cellStyle name="20% - Accent5 12 2 2 2" xfId="1845" xr:uid="{00000000-0005-0000-0000-000031070000}"/>
    <cellStyle name="20% - Accent5 12 2 3" xfId="1846" xr:uid="{00000000-0005-0000-0000-000032070000}"/>
    <cellStyle name="20% - Accent5 12 2 4" xfId="1847" xr:uid="{00000000-0005-0000-0000-000033070000}"/>
    <cellStyle name="20% - Accent5 12 2 5" xfId="1848" xr:uid="{00000000-0005-0000-0000-000034070000}"/>
    <cellStyle name="20% - Accent5 12 3" xfId="1849" xr:uid="{00000000-0005-0000-0000-000035070000}"/>
    <cellStyle name="20% - Accent5 12 3 2" xfId="1850" xr:uid="{00000000-0005-0000-0000-000036070000}"/>
    <cellStyle name="20% - Accent5 12 3 3" xfId="1851" xr:uid="{00000000-0005-0000-0000-000037070000}"/>
    <cellStyle name="20% - Accent5 12 3 4" xfId="1852" xr:uid="{00000000-0005-0000-0000-000038070000}"/>
    <cellStyle name="20% - Accent5 12 4" xfId="1853" xr:uid="{00000000-0005-0000-0000-000039070000}"/>
    <cellStyle name="20% - Accent5 12 4 2" xfId="1854" xr:uid="{00000000-0005-0000-0000-00003A070000}"/>
    <cellStyle name="20% - Accent5 12 5" xfId="1855" xr:uid="{00000000-0005-0000-0000-00003B070000}"/>
    <cellStyle name="20% - Accent5 12 6" xfId="1856" xr:uid="{00000000-0005-0000-0000-00003C070000}"/>
    <cellStyle name="20% - Accent5 12 7" xfId="1857" xr:uid="{00000000-0005-0000-0000-00003D070000}"/>
    <cellStyle name="20% - Accent5 12 8" xfId="1858" xr:uid="{00000000-0005-0000-0000-00003E070000}"/>
    <cellStyle name="20% - Accent5 13" xfId="1859" xr:uid="{00000000-0005-0000-0000-00003F070000}"/>
    <cellStyle name="20% - Accent5 13 2" xfId="1860" xr:uid="{00000000-0005-0000-0000-000040070000}"/>
    <cellStyle name="20% - Accent5 13 2 2" xfId="1861" xr:uid="{00000000-0005-0000-0000-000041070000}"/>
    <cellStyle name="20% - Accent5 13 2 3" xfId="1862" xr:uid="{00000000-0005-0000-0000-000042070000}"/>
    <cellStyle name="20% - Accent5 13 2 4" xfId="1863" xr:uid="{00000000-0005-0000-0000-000043070000}"/>
    <cellStyle name="20% - Accent5 13 3" xfId="1864" xr:uid="{00000000-0005-0000-0000-000044070000}"/>
    <cellStyle name="20% - Accent5 13 3 2" xfId="1865" xr:uid="{00000000-0005-0000-0000-000045070000}"/>
    <cellStyle name="20% - Accent5 13 4" xfId="1866" xr:uid="{00000000-0005-0000-0000-000046070000}"/>
    <cellStyle name="20% - Accent5 13 5" xfId="1867" xr:uid="{00000000-0005-0000-0000-000047070000}"/>
    <cellStyle name="20% - Accent5 13 6" xfId="1868" xr:uid="{00000000-0005-0000-0000-000048070000}"/>
    <cellStyle name="20% - Accent5 14" xfId="1869" xr:uid="{00000000-0005-0000-0000-000049070000}"/>
    <cellStyle name="20% - Accent5 14 2" xfId="1870" xr:uid="{00000000-0005-0000-0000-00004A070000}"/>
    <cellStyle name="20% - Accent5 14 2 2" xfId="1871" xr:uid="{00000000-0005-0000-0000-00004B070000}"/>
    <cellStyle name="20% - Accent5 14 3" xfId="1872" xr:uid="{00000000-0005-0000-0000-00004C070000}"/>
    <cellStyle name="20% - Accent5 14 4" xfId="1873" xr:uid="{00000000-0005-0000-0000-00004D070000}"/>
    <cellStyle name="20% - Accent5 14 5" xfId="1874" xr:uid="{00000000-0005-0000-0000-00004E070000}"/>
    <cellStyle name="20% - Accent5 15" xfId="1875" xr:uid="{00000000-0005-0000-0000-00004F070000}"/>
    <cellStyle name="20% - Accent5 15 2" xfId="1876" xr:uid="{00000000-0005-0000-0000-000050070000}"/>
    <cellStyle name="20% - Accent5 15 2 2" xfId="1877" xr:uid="{00000000-0005-0000-0000-000051070000}"/>
    <cellStyle name="20% - Accent5 15 3" xfId="1878" xr:uid="{00000000-0005-0000-0000-000052070000}"/>
    <cellStyle name="20% - Accent5 15 4" xfId="1879" xr:uid="{00000000-0005-0000-0000-000053070000}"/>
    <cellStyle name="20% - Accent5 15 5" xfId="1880" xr:uid="{00000000-0005-0000-0000-000054070000}"/>
    <cellStyle name="20% - Accent5 16" xfId="1881" xr:uid="{00000000-0005-0000-0000-000055070000}"/>
    <cellStyle name="20% - Accent5 16 2" xfId="1882" xr:uid="{00000000-0005-0000-0000-000056070000}"/>
    <cellStyle name="20% - Accent5 17" xfId="1883" xr:uid="{00000000-0005-0000-0000-000057070000}"/>
    <cellStyle name="20% - Accent5 18" xfId="1884" xr:uid="{00000000-0005-0000-0000-000058070000}"/>
    <cellStyle name="20% - Accent5 19" xfId="1885" xr:uid="{00000000-0005-0000-0000-000059070000}"/>
    <cellStyle name="20% - Accent5 2" xfId="1886" xr:uid="{00000000-0005-0000-0000-00005A070000}"/>
    <cellStyle name="20% - Accent5 2 10" xfId="1887" xr:uid="{00000000-0005-0000-0000-00005B070000}"/>
    <cellStyle name="20% - Accent5 2 11" xfId="1888" xr:uid="{00000000-0005-0000-0000-00005C070000}"/>
    <cellStyle name="20% - Accent5 2 2" xfId="1889" xr:uid="{00000000-0005-0000-0000-00005D070000}"/>
    <cellStyle name="20% - Accent5 2 2 10" xfId="1890" xr:uid="{00000000-0005-0000-0000-00005E070000}"/>
    <cellStyle name="20% - Accent5 2 2 2" xfId="1891" xr:uid="{00000000-0005-0000-0000-00005F070000}"/>
    <cellStyle name="20% - Accent5 2 2 2 2" xfId="1892" xr:uid="{00000000-0005-0000-0000-000060070000}"/>
    <cellStyle name="20% - Accent5 2 2 2 2 2" xfId="1893" xr:uid="{00000000-0005-0000-0000-000061070000}"/>
    <cellStyle name="20% - Accent5 2 2 2 2 2 2" xfId="1894" xr:uid="{00000000-0005-0000-0000-000062070000}"/>
    <cellStyle name="20% - Accent5 2 2 2 2 2 3" xfId="1895" xr:uid="{00000000-0005-0000-0000-000063070000}"/>
    <cellStyle name="20% - Accent5 2 2 2 2 3" xfId="1896" xr:uid="{00000000-0005-0000-0000-000064070000}"/>
    <cellStyle name="20% - Accent5 2 2 2 2 4" xfId="1897" xr:uid="{00000000-0005-0000-0000-000065070000}"/>
    <cellStyle name="20% - Accent5 2 2 2 2 5" xfId="1898" xr:uid="{00000000-0005-0000-0000-000066070000}"/>
    <cellStyle name="20% - Accent5 2 2 2 2 6" xfId="1899" xr:uid="{00000000-0005-0000-0000-000067070000}"/>
    <cellStyle name="20% - Accent5 2 2 2 3" xfId="1900" xr:uid="{00000000-0005-0000-0000-000068070000}"/>
    <cellStyle name="20% - Accent5 2 2 2 3 2" xfId="1901" xr:uid="{00000000-0005-0000-0000-000069070000}"/>
    <cellStyle name="20% - Accent5 2 2 2 3 2 2" xfId="1902" xr:uid="{00000000-0005-0000-0000-00006A070000}"/>
    <cellStyle name="20% - Accent5 2 2 2 3 3" xfId="1903" xr:uid="{00000000-0005-0000-0000-00006B070000}"/>
    <cellStyle name="20% - Accent5 2 2 2 3 4" xfId="1904" xr:uid="{00000000-0005-0000-0000-00006C070000}"/>
    <cellStyle name="20% - Accent5 2 2 2 3 5" xfId="1905" xr:uid="{00000000-0005-0000-0000-00006D070000}"/>
    <cellStyle name="20% - Accent5 2 2 2 4" xfId="1906" xr:uid="{00000000-0005-0000-0000-00006E070000}"/>
    <cellStyle name="20% - Accent5 2 2 2 4 2" xfId="1907" xr:uid="{00000000-0005-0000-0000-00006F070000}"/>
    <cellStyle name="20% - Accent5 2 2 2 4 3" xfId="1908" xr:uid="{00000000-0005-0000-0000-000070070000}"/>
    <cellStyle name="20% - Accent5 2 2 2 4 4" xfId="1909" xr:uid="{00000000-0005-0000-0000-000071070000}"/>
    <cellStyle name="20% - Accent5 2 2 2 5" xfId="1910" xr:uid="{00000000-0005-0000-0000-000072070000}"/>
    <cellStyle name="20% - Accent5 2 2 2 5 2" xfId="1911" xr:uid="{00000000-0005-0000-0000-000073070000}"/>
    <cellStyle name="20% - Accent5 2 2 2 6" xfId="1912" xr:uid="{00000000-0005-0000-0000-000074070000}"/>
    <cellStyle name="20% - Accent5 2 2 2 7" xfId="1913" xr:uid="{00000000-0005-0000-0000-000075070000}"/>
    <cellStyle name="20% - Accent5 2 2 2 8" xfId="1914" xr:uid="{00000000-0005-0000-0000-000076070000}"/>
    <cellStyle name="20% - Accent5 2 2 2 9" xfId="1915" xr:uid="{00000000-0005-0000-0000-000077070000}"/>
    <cellStyle name="20% - Accent5 2 2 3" xfId="1916" xr:uid="{00000000-0005-0000-0000-000078070000}"/>
    <cellStyle name="20% - Accent5 2 2 3 2" xfId="1917" xr:uid="{00000000-0005-0000-0000-000079070000}"/>
    <cellStyle name="20% - Accent5 2 2 3 2 2" xfId="1918" xr:uid="{00000000-0005-0000-0000-00007A070000}"/>
    <cellStyle name="20% - Accent5 2 2 3 2 3" xfId="1919" xr:uid="{00000000-0005-0000-0000-00007B070000}"/>
    <cellStyle name="20% - Accent5 2 2 3 3" xfId="1920" xr:uid="{00000000-0005-0000-0000-00007C070000}"/>
    <cellStyle name="20% - Accent5 2 2 3 4" xfId="1921" xr:uid="{00000000-0005-0000-0000-00007D070000}"/>
    <cellStyle name="20% - Accent5 2 2 3 5" xfId="1922" xr:uid="{00000000-0005-0000-0000-00007E070000}"/>
    <cellStyle name="20% - Accent5 2 2 3 6" xfId="1923" xr:uid="{00000000-0005-0000-0000-00007F070000}"/>
    <cellStyle name="20% - Accent5 2 2 4" xfId="1924" xr:uid="{00000000-0005-0000-0000-000080070000}"/>
    <cellStyle name="20% - Accent5 2 2 4 2" xfId="1925" xr:uid="{00000000-0005-0000-0000-000081070000}"/>
    <cellStyle name="20% - Accent5 2 2 4 2 2" xfId="1926" xr:uid="{00000000-0005-0000-0000-000082070000}"/>
    <cellStyle name="20% - Accent5 2 2 4 3" xfId="1927" xr:uid="{00000000-0005-0000-0000-000083070000}"/>
    <cellStyle name="20% - Accent5 2 2 4 4" xfId="1928" xr:uid="{00000000-0005-0000-0000-000084070000}"/>
    <cellStyle name="20% - Accent5 2 2 4 5" xfId="1929" xr:uid="{00000000-0005-0000-0000-000085070000}"/>
    <cellStyle name="20% - Accent5 2 2 5" xfId="1930" xr:uid="{00000000-0005-0000-0000-000086070000}"/>
    <cellStyle name="20% - Accent5 2 2 5 2" xfId="1931" xr:uid="{00000000-0005-0000-0000-000087070000}"/>
    <cellStyle name="20% - Accent5 2 2 5 3" xfId="1932" xr:uid="{00000000-0005-0000-0000-000088070000}"/>
    <cellStyle name="20% - Accent5 2 2 5 4" xfId="1933" xr:uid="{00000000-0005-0000-0000-000089070000}"/>
    <cellStyle name="20% - Accent5 2 2 6" xfId="1934" xr:uid="{00000000-0005-0000-0000-00008A070000}"/>
    <cellStyle name="20% - Accent5 2 2 6 2" xfId="1935" xr:uid="{00000000-0005-0000-0000-00008B070000}"/>
    <cellStyle name="20% - Accent5 2 2 7" xfId="1936" xr:uid="{00000000-0005-0000-0000-00008C070000}"/>
    <cellStyle name="20% - Accent5 2 2 8" xfId="1937" xr:uid="{00000000-0005-0000-0000-00008D070000}"/>
    <cellStyle name="20% - Accent5 2 2 9" xfId="1938" xr:uid="{00000000-0005-0000-0000-00008E070000}"/>
    <cellStyle name="20% - Accent5 2 3" xfId="1939" xr:uid="{00000000-0005-0000-0000-00008F070000}"/>
    <cellStyle name="20% - Accent5 2 3 2" xfId="1940" xr:uid="{00000000-0005-0000-0000-000090070000}"/>
    <cellStyle name="20% - Accent5 2 3 2 2" xfId="1941" xr:uid="{00000000-0005-0000-0000-000091070000}"/>
    <cellStyle name="20% - Accent5 2 3 2 2 2" xfId="1942" xr:uid="{00000000-0005-0000-0000-000092070000}"/>
    <cellStyle name="20% - Accent5 2 3 2 2 3" xfId="1943" xr:uid="{00000000-0005-0000-0000-000093070000}"/>
    <cellStyle name="20% - Accent5 2 3 2 3" xfId="1944" xr:uid="{00000000-0005-0000-0000-000094070000}"/>
    <cellStyle name="20% - Accent5 2 3 2 4" xfId="1945" xr:uid="{00000000-0005-0000-0000-000095070000}"/>
    <cellStyle name="20% - Accent5 2 3 2 5" xfId="1946" xr:uid="{00000000-0005-0000-0000-000096070000}"/>
    <cellStyle name="20% - Accent5 2 3 2 6" xfId="1947" xr:uid="{00000000-0005-0000-0000-000097070000}"/>
    <cellStyle name="20% - Accent5 2 3 3" xfId="1948" xr:uid="{00000000-0005-0000-0000-000098070000}"/>
    <cellStyle name="20% - Accent5 2 3 3 2" xfId="1949" xr:uid="{00000000-0005-0000-0000-000099070000}"/>
    <cellStyle name="20% - Accent5 2 3 3 2 2" xfId="1950" xr:uid="{00000000-0005-0000-0000-00009A070000}"/>
    <cellStyle name="20% - Accent5 2 3 3 3" xfId="1951" xr:uid="{00000000-0005-0000-0000-00009B070000}"/>
    <cellStyle name="20% - Accent5 2 3 3 4" xfId="1952" xr:uid="{00000000-0005-0000-0000-00009C070000}"/>
    <cellStyle name="20% - Accent5 2 3 3 5" xfId="1953" xr:uid="{00000000-0005-0000-0000-00009D070000}"/>
    <cellStyle name="20% - Accent5 2 3 4" xfId="1954" xr:uid="{00000000-0005-0000-0000-00009E070000}"/>
    <cellStyle name="20% - Accent5 2 3 4 2" xfId="1955" xr:uid="{00000000-0005-0000-0000-00009F070000}"/>
    <cellStyle name="20% - Accent5 2 3 4 3" xfId="1956" xr:uid="{00000000-0005-0000-0000-0000A0070000}"/>
    <cellStyle name="20% - Accent5 2 3 4 4" xfId="1957" xr:uid="{00000000-0005-0000-0000-0000A1070000}"/>
    <cellStyle name="20% - Accent5 2 3 5" xfId="1958" xr:uid="{00000000-0005-0000-0000-0000A2070000}"/>
    <cellStyle name="20% - Accent5 2 3 5 2" xfId="1959" xr:uid="{00000000-0005-0000-0000-0000A3070000}"/>
    <cellStyle name="20% - Accent5 2 3 6" xfId="1960" xr:uid="{00000000-0005-0000-0000-0000A4070000}"/>
    <cellStyle name="20% - Accent5 2 3 7" xfId="1961" xr:uid="{00000000-0005-0000-0000-0000A5070000}"/>
    <cellStyle name="20% - Accent5 2 3 8" xfId="1962" xr:uid="{00000000-0005-0000-0000-0000A6070000}"/>
    <cellStyle name="20% - Accent5 2 3 9" xfId="1963" xr:uid="{00000000-0005-0000-0000-0000A7070000}"/>
    <cellStyle name="20% - Accent5 2 4" xfId="1964" xr:uid="{00000000-0005-0000-0000-0000A8070000}"/>
    <cellStyle name="20% - Accent5 2 4 2" xfId="1965" xr:uid="{00000000-0005-0000-0000-0000A9070000}"/>
    <cellStyle name="20% - Accent5 2 4 2 2" xfId="1966" xr:uid="{00000000-0005-0000-0000-0000AA070000}"/>
    <cellStyle name="20% - Accent5 2 4 2 3" xfId="1967" xr:uid="{00000000-0005-0000-0000-0000AB070000}"/>
    <cellStyle name="20% - Accent5 2 4 3" xfId="1968" xr:uid="{00000000-0005-0000-0000-0000AC070000}"/>
    <cellStyle name="20% - Accent5 2 4 4" xfId="1969" xr:uid="{00000000-0005-0000-0000-0000AD070000}"/>
    <cellStyle name="20% - Accent5 2 4 5" xfId="1970" xr:uid="{00000000-0005-0000-0000-0000AE070000}"/>
    <cellStyle name="20% - Accent5 2 4 6" xfId="1971" xr:uid="{00000000-0005-0000-0000-0000AF070000}"/>
    <cellStyle name="20% - Accent5 2 5" xfId="1972" xr:uid="{00000000-0005-0000-0000-0000B0070000}"/>
    <cellStyle name="20% - Accent5 2 5 2" xfId="1973" xr:uid="{00000000-0005-0000-0000-0000B1070000}"/>
    <cellStyle name="20% - Accent5 2 5 2 2" xfId="1974" xr:uid="{00000000-0005-0000-0000-0000B2070000}"/>
    <cellStyle name="20% - Accent5 2 5 3" xfId="1975" xr:uid="{00000000-0005-0000-0000-0000B3070000}"/>
    <cellStyle name="20% - Accent5 2 5 4" xfId="1976" xr:uid="{00000000-0005-0000-0000-0000B4070000}"/>
    <cellStyle name="20% - Accent5 2 5 5" xfId="1977" xr:uid="{00000000-0005-0000-0000-0000B5070000}"/>
    <cellStyle name="20% - Accent5 2 6" xfId="1978" xr:uid="{00000000-0005-0000-0000-0000B6070000}"/>
    <cellStyle name="20% - Accent5 2 6 2" xfId="1979" xr:uid="{00000000-0005-0000-0000-0000B7070000}"/>
    <cellStyle name="20% - Accent5 2 6 2 2" xfId="1980" xr:uid="{00000000-0005-0000-0000-0000B8070000}"/>
    <cellStyle name="20% - Accent5 2 6 3" xfId="1981" xr:uid="{00000000-0005-0000-0000-0000B9070000}"/>
    <cellStyle name="20% - Accent5 2 6 4" xfId="1982" xr:uid="{00000000-0005-0000-0000-0000BA070000}"/>
    <cellStyle name="20% - Accent5 2 6 5" xfId="1983" xr:uid="{00000000-0005-0000-0000-0000BB070000}"/>
    <cellStyle name="20% - Accent5 2 7" xfId="1984" xr:uid="{00000000-0005-0000-0000-0000BC070000}"/>
    <cellStyle name="20% - Accent5 2 7 2" xfId="1985" xr:uid="{00000000-0005-0000-0000-0000BD070000}"/>
    <cellStyle name="20% - Accent5 2 8" xfId="1986" xr:uid="{00000000-0005-0000-0000-0000BE070000}"/>
    <cellStyle name="20% - Accent5 2 9" xfId="1987" xr:uid="{00000000-0005-0000-0000-0000BF070000}"/>
    <cellStyle name="20% - Accent5 3" xfId="1988" xr:uid="{00000000-0005-0000-0000-0000C0070000}"/>
    <cellStyle name="20% - Accent5 3 10" xfId="1989" xr:uid="{00000000-0005-0000-0000-0000C1070000}"/>
    <cellStyle name="20% - Accent5 3 2" xfId="1990" xr:uid="{00000000-0005-0000-0000-0000C2070000}"/>
    <cellStyle name="20% - Accent5 3 2 2" xfId="1991" xr:uid="{00000000-0005-0000-0000-0000C3070000}"/>
    <cellStyle name="20% - Accent5 3 2 2 2" xfId="1992" xr:uid="{00000000-0005-0000-0000-0000C4070000}"/>
    <cellStyle name="20% - Accent5 3 2 2 2 2" xfId="1993" xr:uid="{00000000-0005-0000-0000-0000C5070000}"/>
    <cellStyle name="20% - Accent5 3 2 2 2 3" xfId="1994" xr:uid="{00000000-0005-0000-0000-0000C6070000}"/>
    <cellStyle name="20% - Accent5 3 2 2 3" xfId="1995" xr:uid="{00000000-0005-0000-0000-0000C7070000}"/>
    <cellStyle name="20% - Accent5 3 2 2 4" xfId="1996" xr:uid="{00000000-0005-0000-0000-0000C8070000}"/>
    <cellStyle name="20% - Accent5 3 2 2 5" xfId="1997" xr:uid="{00000000-0005-0000-0000-0000C9070000}"/>
    <cellStyle name="20% - Accent5 3 2 2 6" xfId="1998" xr:uid="{00000000-0005-0000-0000-0000CA070000}"/>
    <cellStyle name="20% - Accent5 3 2 3" xfId="1999" xr:uid="{00000000-0005-0000-0000-0000CB070000}"/>
    <cellStyle name="20% - Accent5 3 2 3 2" xfId="2000" xr:uid="{00000000-0005-0000-0000-0000CC070000}"/>
    <cellStyle name="20% - Accent5 3 2 3 2 2" xfId="2001" xr:uid="{00000000-0005-0000-0000-0000CD070000}"/>
    <cellStyle name="20% - Accent5 3 2 3 3" xfId="2002" xr:uid="{00000000-0005-0000-0000-0000CE070000}"/>
    <cellStyle name="20% - Accent5 3 2 3 4" xfId="2003" xr:uid="{00000000-0005-0000-0000-0000CF070000}"/>
    <cellStyle name="20% - Accent5 3 2 3 5" xfId="2004" xr:uid="{00000000-0005-0000-0000-0000D0070000}"/>
    <cellStyle name="20% - Accent5 3 2 4" xfId="2005" xr:uid="{00000000-0005-0000-0000-0000D1070000}"/>
    <cellStyle name="20% - Accent5 3 2 4 2" xfId="2006" xr:uid="{00000000-0005-0000-0000-0000D2070000}"/>
    <cellStyle name="20% - Accent5 3 2 4 3" xfId="2007" xr:uid="{00000000-0005-0000-0000-0000D3070000}"/>
    <cellStyle name="20% - Accent5 3 2 4 4" xfId="2008" xr:uid="{00000000-0005-0000-0000-0000D4070000}"/>
    <cellStyle name="20% - Accent5 3 2 5" xfId="2009" xr:uid="{00000000-0005-0000-0000-0000D5070000}"/>
    <cellStyle name="20% - Accent5 3 2 5 2" xfId="2010" xr:uid="{00000000-0005-0000-0000-0000D6070000}"/>
    <cellStyle name="20% - Accent5 3 2 6" xfId="2011" xr:uid="{00000000-0005-0000-0000-0000D7070000}"/>
    <cellStyle name="20% - Accent5 3 2 7" xfId="2012" xr:uid="{00000000-0005-0000-0000-0000D8070000}"/>
    <cellStyle name="20% - Accent5 3 2 8" xfId="2013" xr:uid="{00000000-0005-0000-0000-0000D9070000}"/>
    <cellStyle name="20% - Accent5 3 2 9" xfId="2014" xr:uid="{00000000-0005-0000-0000-0000DA070000}"/>
    <cellStyle name="20% - Accent5 3 3" xfId="2015" xr:uid="{00000000-0005-0000-0000-0000DB070000}"/>
    <cellStyle name="20% - Accent5 3 3 2" xfId="2016" xr:uid="{00000000-0005-0000-0000-0000DC070000}"/>
    <cellStyle name="20% - Accent5 3 3 2 2" xfId="2017" xr:uid="{00000000-0005-0000-0000-0000DD070000}"/>
    <cellStyle name="20% - Accent5 3 3 2 3" xfId="2018" xr:uid="{00000000-0005-0000-0000-0000DE070000}"/>
    <cellStyle name="20% - Accent5 3 3 3" xfId="2019" xr:uid="{00000000-0005-0000-0000-0000DF070000}"/>
    <cellStyle name="20% - Accent5 3 3 4" xfId="2020" xr:uid="{00000000-0005-0000-0000-0000E0070000}"/>
    <cellStyle name="20% - Accent5 3 3 5" xfId="2021" xr:uid="{00000000-0005-0000-0000-0000E1070000}"/>
    <cellStyle name="20% - Accent5 3 3 6" xfId="2022" xr:uid="{00000000-0005-0000-0000-0000E2070000}"/>
    <cellStyle name="20% - Accent5 3 4" xfId="2023" xr:uid="{00000000-0005-0000-0000-0000E3070000}"/>
    <cellStyle name="20% - Accent5 3 4 2" xfId="2024" xr:uid="{00000000-0005-0000-0000-0000E4070000}"/>
    <cellStyle name="20% - Accent5 3 4 2 2" xfId="2025" xr:uid="{00000000-0005-0000-0000-0000E5070000}"/>
    <cellStyle name="20% - Accent5 3 4 3" xfId="2026" xr:uid="{00000000-0005-0000-0000-0000E6070000}"/>
    <cellStyle name="20% - Accent5 3 4 4" xfId="2027" xr:uid="{00000000-0005-0000-0000-0000E7070000}"/>
    <cellStyle name="20% - Accent5 3 4 5" xfId="2028" xr:uid="{00000000-0005-0000-0000-0000E8070000}"/>
    <cellStyle name="20% - Accent5 3 5" xfId="2029" xr:uid="{00000000-0005-0000-0000-0000E9070000}"/>
    <cellStyle name="20% - Accent5 3 5 2" xfId="2030" xr:uid="{00000000-0005-0000-0000-0000EA070000}"/>
    <cellStyle name="20% - Accent5 3 5 2 2" xfId="2031" xr:uid="{00000000-0005-0000-0000-0000EB070000}"/>
    <cellStyle name="20% - Accent5 3 5 3" xfId="2032" xr:uid="{00000000-0005-0000-0000-0000EC070000}"/>
    <cellStyle name="20% - Accent5 3 5 4" xfId="2033" xr:uid="{00000000-0005-0000-0000-0000ED070000}"/>
    <cellStyle name="20% - Accent5 3 5 5" xfId="2034" xr:uid="{00000000-0005-0000-0000-0000EE070000}"/>
    <cellStyle name="20% - Accent5 3 6" xfId="2035" xr:uid="{00000000-0005-0000-0000-0000EF070000}"/>
    <cellStyle name="20% - Accent5 3 6 2" xfId="2036" xr:uid="{00000000-0005-0000-0000-0000F0070000}"/>
    <cellStyle name="20% - Accent5 3 7" xfId="2037" xr:uid="{00000000-0005-0000-0000-0000F1070000}"/>
    <cellStyle name="20% - Accent5 3 8" xfId="2038" xr:uid="{00000000-0005-0000-0000-0000F2070000}"/>
    <cellStyle name="20% - Accent5 3 9" xfId="2039" xr:uid="{00000000-0005-0000-0000-0000F3070000}"/>
    <cellStyle name="20% - Accent5 4" xfId="2040" xr:uid="{00000000-0005-0000-0000-0000F4070000}"/>
    <cellStyle name="20% - Accent5 4 10" xfId="2041" xr:uid="{00000000-0005-0000-0000-0000F5070000}"/>
    <cellStyle name="20% - Accent5 4 2" xfId="2042" xr:uid="{00000000-0005-0000-0000-0000F6070000}"/>
    <cellStyle name="20% - Accent5 4 2 2" xfId="2043" xr:uid="{00000000-0005-0000-0000-0000F7070000}"/>
    <cellStyle name="20% - Accent5 4 2 2 2" xfId="2044" xr:uid="{00000000-0005-0000-0000-0000F8070000}"/>
    <cellStyle name="20% - Accent5 4 2 2 2 2" xfId="2045" xr:uid="{00000000-0005-0000-0000-0000F9070000}"/>
    <cellStyle name="20% - Accent5 4 2 2 2 3" xfId="2046" xr:uid="{00000000-0005-0000-0000-0000FA070000}"/>
    <cellStyle name="20% - Accent5 4 2 2 3" xfId="2047" xr:uid="{00000000-0005-0000-0000-0000FB070000}"/>
    <cellStyle name="20% - Accent5 4 2 2 4" xfId="2048" xr:uid="{00000000-0005-0000-0000-0000FC070000}"/>
    <cellStyle name="20% - Accent5 4 2 2 5" xfId="2049" xr:uid="{00000000-0005-0000-0000-0000FD070000}"/>
    <cellStyle name="20% - Accent5 4 2 2 6" xfId="2050" xr:uid="{00000000-0005-0000-0000-0000FE070000}"/>
    <cellStyle name="20% - Accent5 4 2 3" xfId="2051" xr:uid="{00000000-0005-0000-0000-0000FF070000}"/>
    <cellStyle name="20% - Accent5 4 2 3 2" xfId="2052" xr:uid="{00000000-0005-0000-0000-000000080000}"/>
    <cellStyle name="20% - Accent5 4 2 3 2 2" xfId="2053" xr:uid="{00000000-0005-0000-0000-000001080000}"/>
    <cellStyle name="20% - Accent5 4 2 3 3" xfId="2054" xr:uid="{00000000-0005-0000-0000-000002080000}"/>
    <cellStyle name="20% - Accent5 4 2 3 4" xfId="2055" xr:uid="{00000000-0005-0000-0000-000003080000}"/>
    <cellStyle name="20% - Accent5 4 2 3 5" xfId="2056" xr:uid="{00000000-0005-0000-0000-000004080000}"/>
    <cellStyle name="20% - Accent5 4 2 4" xfId="2057" xr:uid="{00000000-0005-0000-0000-000005080000}"/>
    <cellStyle name="20% - Accent5 4 2 4 2" xfId="2058" xr:uid="{00000000-0005-0000-0000-000006080000}"/>
    <cellStyle name="20% - Accent5 4 2 4 3" xfId="2059" xr:uid="{00000000-0005-0000-0000-000007080000}"/>
    <cellStyle name="20% - Accent5 4 2 4 4" xfId="2060" xr:uid="{00000000-0005-0000-0000-000008080000}"/>
    <cellStyle name="20% - Accent5 4 2 5" xfId="2061" xr:uid="{00000000-0005-0000-0000-000009080000}"/>
    <cellStyle name="20% - Accent5 4 2 5 2" xfId="2062" xr:uid="{00000000-0005-0000-0000-00000A080000}"/>
    <cellStyle name="20% - Accent5 4 2 6" xfId="2063" xr:uid="{00000000-0005-0000-0000-00000B080000}"/>
    <cellStyle name="20% - Accent5 4 2 7" xfId="2064" xr:uid="{00000000-0005-0000-0000-00000C080000}"/>
    <cellStyle name="20% - Accent5 4 2 8" xfId="2065" xr:uid="{00000000-0005-0000-0000-00000D080000}"/>
    <cellStyle name="20% - Accent5 4 2 9" xfId="2066" xr:uid="{00000000-0005-0000-0000-00000E080000}"/>
    <cellStyle name="20% - Accent5 4 3" xfId="2067" xr:uid="{00000000-0005-0000-0000-00000F080000}"/>
    <cellStyle name="20% - Accent5 4 3 2" xfId="2068" xr:uid="{00000000-0005-0000-0000-000010080000}"/>
    <cellStyle name="20% - Accent5 4 3 2 2" xfId="2069" xr:uid="{00000000-0005-0000-0000-000011080000}"/>
    <cellStyle name="20% - Accent5 4 3 2 3" xfId="2070" xr:uid="{00000000-0005-0000-0000-000012080000}"/>
    <cellStyle name="20% - Accent5 4 3 3" xfId="2071" xr:uid="{00000000-0005-0000-0000-000013080000}"/>
    <cellStyle name="20% - Accent5 4 3 4" xfId="2072" xr:uid="{00000000-0005-0000-0000-000014080000}"/>
    <cellStyle name="20% - Accent5 4 3 5" xfId="2073" xr:uid="{00000000-0005-0000-0000-000015080000}"/>
    <cellStyle name="20% - Accent5 4 3 6" xfId="2074" xr:uid="{00000000-0005-0000-0000-000016080000}"/>
    <cellStyle name="20% - Accent5 4 4" xfId="2075" xr:uid="{00000000-0005-0000-0000-000017080000}"/>
    <cellStyle name="20% - Accent5 4 4 2" xfId="2076" xr:uid="{00000000-0005-0000-0000-000018080000}"/>
    <cellStyle name="20% - Accent5 4 4 2 2" xfId="2077" xr:uid="{00000000-0005-0000-0000-000019080000}"/>
    <cellStyle name="20% - Accent5 4 4 3" xfId="2078" xr:uid="{00000000-0005-0000-0000-00001A080000}"/>
    <cellStyle name="20% - Accent5 4 4 4" xfId="2079" xr:uid="{00000000-0005-0000-0000-00001B080000}"/>
    <cellStyle name="20% - Accent5 4 4 5" xfId="2080" xr:uid="{00000000-0005-0000-0000-00001C080000}"/>
    <cellStyle name="20% - Accent5 4 5" xfId="2081" xr:uid="{00000000-0005-0000-0000-00001D080000}"/>
    <cellStyle name="20% - Accent5 4 5 2" xfId="2082" xr:uid="{00000000-0005-0000-0000-00001E080000}"/>
    <cellStyle name="20% - Accent5 4 5 2 2" xfId="2083" xr:uid="{00000000-0005-0000-0000-00001F080000}"/>
    <cellStyle name="20% - Accent5 4 5 3" xfId="2084" xr:uid="{00000000-0005-0000-0000-000020080000}"/>
    <cellStyle name="20% - Accent5 4 5 4" xfId="2085" xr:uid="{00000000-0005-0000-0000-000021080000}"/>
    <cellStyle name="20% - Accent5 4 5 5" xfId="2086" xr:uid="{00000000-0005-0000-0000-000022080000}"/>
    <cellStyle name="20% - Accent5 4 6" xfId="2087" xr:uid="{00000000-0005-0000-0000-000023080000}"/>
    <cellStyle name="20% - Accent5 4 6 2" xfId="2088" xr:uid="{00000000-0005-0000-0000-000024080000}"/>
    <cellStyle name="20% - Accent5 4 7" xfId="2089" xr:uid="{00000000-0005-0000-0000-000025080000}"/>
    <cellStyle name="20% - Accent5 4 8" xfId="2090" xr:uid="{00000000-0005-0000-0000-000026080000}"/>
    <cellStyle name="20% - Accent5 4 9" xfId="2091" xr:uid="{00000000-0005-0000-0000-000027080000}"/>
    <cellStyle name="20% - Accent5 5" xfId="2092" xr:uid="{00000000-0005-0000-0000-000028080000}"/>
    <cellStyle name="20% - Accent5 5 10" xfId="2093" xr:uid="{00000000-0005-0000-0000-000029080000}"/>
    <cellStyle name="20% - Accent5 5 2" xfId="2094" xr:uid="{00000000-0005-0000-0000-00002A080000}"/>
    <cellStyle name="20% - Accent5 5 2 2" xfId="2095" xr:uid="{00000000-0005-0000-0000-00002B080000}"/>
    <cellStyle name="20% - Accent5 5 2 2 2" xfId="2096" xr:uid="{00000000-0005-0000-0000-00002C080000}"/>
    <cellStyle name="20% - Accent5 5 2 2 2 2" xfId="2097" xr:uid="{00000000-0005-0000-0000-00002D080000}"/>
    <cellStyle name="20% - Accent5 5 2 2 2 3" xfId="2098" xr:uid="{00000000-0005-0000-0000-00002E080000}"/>
    <cellStyle name="20% - Accent5 5 2 2 3" xfId="2099" xr:uid="{00000000-0005-0000-0000-00002F080000}"/>
    <cellStyle name="20% - Accent5 5 2 2 4" xfId="2100" xr:uid="{00000000-0005-0000-0000-000030080000}"/>
    <cellStyle name="20% - Accent5 5 2 2 5" xfId="2101" xr:uid="{00000000-0005-0000-0000-000031080000}"/>
    <cellStyle name="20% - Accent5 5 2 2 6" xfId="2102" xr:uid="{00000000-0005-0000-0000-000032080000}"/>
    <cellStyle name="20% - Accent5 5 2 3" xfId="2103" xr:uid="{00000000-0005-0000-0000-000033080000}"/>
    <cellStyle name="20% - Accent5 5 2 3 2" xfId="2104" xr:uid="{00000000-0005-0000-0000-000034080000}"/>
    <cellStyle name="20% - Accent5 5 2 3 2 2" xfId="2105" xr:uid="{00000000-0005-0000-0000-000035080000}"/>
    <cellStyle name="20% - Accent5 5 2 3 3" xfId="2106" xr:uid="{00000000-0005-0000-0000-000036080000}"/>
    <cellStyle name="20% - Accent5 5 2 3 4" xfId="2107" xr:uid="{00000000-0005-0000-0000-000037080000}"/>
    <cellStyle name="20% - Accent5 5 2 3 5" xfId="2108" xr:uid="{00000000-0005-0000-0000-000038080000}"/>
    <cellStyle name="20% - Accent5 5 2 4" xfId="2109" xr:uid="{00000000-0005-0000-0000-000039080000}"/>
    <cellStyle name="20% - Accent5 5 2 4 2" xfId="2110" xr:uid="{00000000-0005-0000-0000-00003A080000}"/>
    <cellStyle name="20% - Accent5 5 2 4 3" xfId="2111" xr:uid="{00000000-0005-0000-0000-00003B080000}"/>
    <cellStyle name="20% - Accent5 5 2 4 4" xfId="2112" xr:uid="{00000000-0005-0000-0000-00003C080000}"/>
    <cellStyle name="20% - Accent5 5 2 5" xfId="2113" xr:uid="{00000000-0005-0000-0000-00003D080000}"/>
    <cellStyle name="20% - Accent5 5 2 5 2" xfId="2114" xr:uid="{00000000-0005-0000-0000-00003E080000}"/>
    <cellStyle name="20% - Accent5 5 2 6" xfId="2115" xr:uid="{00000000-0005-0000-0000-00003F080000}"/>
    <cellStyle name="20% - Accent5 5 2 7" xfId="2116" xr:uid="{00000000-0005-0000-0000-000040080000}"/>
    <cellStyle name="20% - Accent5 5 2 8" xfId="2117" xr:uid="{00000000-0005-0000-0000-000041080000}"/>
    <cellStyle name="20% - Accent5 5 2 9" xfId="2118" xr:uid="{00000000-0005-0000-0000-000042080000}"/>
    <cellStyle name="20% - Accent5 5 3" xfId="2119" xr:uid="{00000000-0005-0000-0000-000043080000}"/>
    <cellStyle name="20% - Accent5 5 3 2" xfId="2120" xr:uid="{00000000-0005-0000-0000-000044080000}"/>
    <cellStyle name="20% - Accent5 5 3 2 2" xfId="2121" xr:uid="{00000000-0005-0000-0000-000045080000}"/>
    <cellStyle name="20% - Accent5 5 3 2 3" xfId="2122" xr:uid="{00000000-0005-0000-0000-000046080000}"/>
    <cellStyle name="20% - Accent5 5 3 3" xfId="2123" xr:uid="{00000000-0005-0000-0000-000047080000}"/>
    <cellStyle name="20% - Accent5 5 3 4" xfId="2124" xr:uid="{00000000-0005-0000-0000-000048080000}"/>
    <cellStyle name="20% - Accent5 5 3 5" xfId="2125" xr:uid="{00000000-0005-0000-0000-000049080000}"/>
    <cellStyle name="20% - Accent5 5 3 6" xfId="2126" xr:uid="{00000000-0005-0000-0000-00004A080000}"/>
    <cellStyle name="20% - Accent5 5 4" xfId="2127" xr:uid="{00000000-0005-0000-0000-00004B080000}"/>
    <cellStyle name="20% - Accent5 5 4 2" xfId="2128" xr:uid="{00000000-0005-0000-0000-00004C080000}"/>
    <cellStyle name="20% - Accent5 5 4 2 2" xfId="2129" xr:uid="{00000000-0005-0000-0000-00004D080000}"/>
    <cellStyle name="20% - Accent5 5 4 3" xfId="2130" xr:uid="{00000000-0005-0000-0000-00004E080000}"/>
    <cellStyle name="20% - Accent5 5 4 4" xfId="2131" xr:uid="{00000000-0005-0000-0000-00004F080000}"/>
    <cellStyle name="20% - Accent5 5 4 5" xfId="2132" xr:uid="{00000000-0005-0000-0000-000050080000}"/>
    <cellStyle name="20% - Accent5 5 5" xfId="2133" xr:uid="{00000000-0005-0000-0000-000051080000}"/>
    <cellStyle name="20% - Accent5 5 5 2" xfId="2134" xr:uid="{00000000-0005-0000-0000-000052080000}"/>
    <cellStyle name="20% - Accent5 5 5 3" xfId="2135" xr:uid="{00000000-0005-0000-0000-000053080000}"/>
    <cellStyle name="20% - Accent5 5 5 4" xfId="2136" xr:uid="{00000000-0005-0000-0000-000054080000}"/>
    <cellStyle name="20% - Accent5 5 6" xfId="2137" xr:uid="{00000000-0005-0000-0000-000055080000}"/>
    <cellStyle name="20% - Accent5 5 6 2" xfId="2138" xr:uid="{00000000-0005-0000-0000-000056080000}"/>
    <cellStyle name="20% - Accent5 5 7" xfId="2139" xr:uid="{00000000-0005-0000-0000-000057080000}"/>
    <cellStyle name="20% - Accent5 5 8" xfId="2140" xr:uid="{00000000-0005-0000-0000-000058080000}"/>
    <cellStyle name="20% - Accent5 5 9" xfId="2141" xr:uid="{00000000-0005-0000-0000-000059080000}"/>
    <cellStyle name="20% - Accent5 6" xfId="2142" xr:uid="{00000000-0005-0000-0000-00005A080000}"/>
    <cellStyle name="20% - Accent5 6 10" xfId="2143" xr:uid="{00000000-0005-0000-0000-00005B080000}"/>
    <cellStyle name="20% - Accent5 6 2" xfId="2144" xr:uid="{00000000-0005-0000-0000-00005C080000}"/>
    <cellStyle name="20% - Accent5 6 2 2" xfId="2145" xr:uid="{00000000-0005-0000-0000-00005D080000}"/>
    <cellStyle name="20% - Accent5 6 2 2 2" xfId="2146" xr:uid="{00000000-0005-0000-0000-00005E080000}"/>
    <cellStyle name="20% - Accent5 6 2 2 2 2" xfId="2147" xr:uid="{00000000-0005-0000-0000-00005F080000}"/>
    <cellStyle name="20% - Accent5 6 2 2 2 3" xfId="2148" xr:uid="{00000000-0005-0000-0000-000060080000}"/>
    <cellStyle name="20% - Accent5 6 2 2 3" xfId="2149" xr:uid="{00000000-0005-0000-0000-000061080000}"/>
    <cellStyle name="20% - Accent5 6 2 2 4" xfId="2150" xr:uid="{00000000-0005-0000-0000-000062080000}"/>
    <cellStyle name="20% - Accent5 6 2 2 5" xfId="2151" xr:uid="{00000000-0005-0000-0000-000063080000}"/>
    <cellStyle name="20% - Accent5 6 2 2 6" xfId="2152" xr:uid="{00000000-0005-0000-0000-000064080000}"/>
    <cellStyle name="20% - Accent5 6 2 3" xfId="2153" xr:uid="{00000000-0005-0000-0000-000065080000}"/>
    <cellStyle name="20% - Accent5 6 2 3 2" xfId="2154" xr:uid="{00000000-0005-0000-0000-000066080000}"/>
    <cellStyle name="20% - Accent5 6 2 3 2 2" xfId="2155" xr:uid="{00000000-0005-0000-0000-000067080000}"/>
    <cellStyle name="20% - Accent5 6 2 3 3" xfId="2156" xr:uid="{00000000-0005-0000-0000-000068080000}"/>
    <cellStyle name="20% - Accent5 6 2 3 4" xfId="2157" xr:uid="{00000000-0005-0000-0000-000069080000}"/>
    <cellStyle name="20% - Accent5 6 2 3 5" xfId="2158" xr:uid="{00000000-0005-0000-0000-00006A080000}"/>
    <cellStyle name="20% - Accent5 6 2 4" xfId="2159" xr:uid="{00000000-0005-0000-0000-00006B080000}"/>
    <cellStyle name="20% - Accent5 6 2 4 2" xfId="2160" xr:uid="{00000000-0005-0000-0000-00006C080000}"/>
    <cellStyle name="20% - Accent5 6 2 4 3" xfId="2161" xr:uid="{00000000-0005-0000-0000-00006D080000}"/>
    <cellStyle name="20% - Accent5 6 2 4 4" xfId="2162" xr:uid="{00000000-0005-0000-0000-00006E080000}"/>
    <cellStyle name="20% - Accent5 6 2 5" xfId="2163" xr:uid="{00000000-0005-0000-0000-00006F080000}"/>
    <cellStyle name="20% - Accent5 6 2 5 2" xfId="2164" xr:uid="{00000000-0005-0000-0000-000070080000}"/>
    <cellStyle name="20% - Accent5 6 2 6" xfId="2165" xr:uid="{00000000-0005-0000-0000-000071080000}"/>
    <cellStyle name="20% - Accent5 6 2 7" xfId="2166" xr:uid="{00000000-0005-0000-0000-000072080000}"/>
    <cellStyle name="20% - Accent5 6 2 8" xfId="2167" xr:uid="{00000000-0005-0000-0000-000073080000}"/>
    <cellStyle name="20% - Accent5 6 2 9" xfId="2168" xr:uid="{00000000-0005-0000-0000-000074080000}"/>
    <cellStyle name="20% - Accent5 6 3" xfId="2169" xr:uid="{00000000-0005-0000-0000-000075080000}"/>
    <cellStyle name="20% - Accent5 6 3 2" xfId="2170" xr:uid="{00000000-0005-0000-0000-000076080000}"/>
    <cellStyle name="20% - Accent5 6 3 2 2" xfId="2171" xr:uid="{00000000-0005-0000-0000-000077080000}"/>
    <cellStyle name="20% - Accent5 6 3 2 3" xfId="2172" xr:uid="{00000000-0005-0000-0000-000078080000}"/>
    <cellStyle name="20% - Accent5 6 3 3" xfId="2173" xr:uid="{00000000-0005-0000-0000-000079080000}"/>
    <cellStyle name="20% - Accent5 6 3 4" xfId="2174" xr:uid="{00000000-0005-0000-0000-00007A080000}"/>
    <cellStyle name="20% - Accent5 6 3 5" xfId="2175" xr:uid="{00000000-0005-0000-0000-00007B080000}"/>
    <cellStyle name="20% - Accent5 6 3 6" xfId="2176" xr:uid="{00000000-0005-0000-0000-00007C080000}"/>
    <cellStyle name="20% - Accent5 6 4" xfId="2177" xr:uid="{00000000-0005-0000-0000-00007D080000}"/>
    <cellStyle name="20% - Accent5 6 4 2" xfId="2178" xr:uid="{00000000-0005-0000-0000-00007E080000}"/>
    <cellStyle name="20% - Accent5 6 4 2 2" xfId="2179" xr:uid="{00000000-0005-0000-0000-00007F080000}"/>
    <cellStyle name="20% - Accent5 6 4 3" xfId="2180" xr:uid="{00000000-0005-0000-0000-000080080000}"/>
    <cellStyle name="20% - Accent5 6 4 4" xfId="2181" xr:uid="{00000000-0005-0000-0000-000081080000}"/>
    <cellStyle name="20% - Accent5 6 4 5" xfId="2182" xr:uid="{00000000-0005-0000-0000-000082080000}"/>
    <cellStyle name="20% - Accent5 6 5" xfId="2183" xr:uid="{00000000-0005-0000-0000-000083080000}"/>
    <cellStyle name="20% - Accent5 6 5 2" xfId="2184" xr:uid="{00000000-0005-0000-0000-000084080000}"/>
    <cellStyle name="20% - Accent5 6 5 3" xfId="2185" xr:uid="{00000000-0005-0000-0000-000085080000}"/>
    <cellStyle name="20% - Accent5 6 5 4" xfId="2186" xr:uid="{00000000-0005-0000-0000-000086080000}"/>
    <cellStyle name="20% - Accent5 6 6" xfId="2187" xr:uid="{00000000-0005-0000-0000-000087080000}"/>
    <cellStyle name="20% - Accent5 6 6 2" xfId="2188" xr:uid="{00000000-0005-0000-0000-000088080000}"/>
    <cellStyle name="20% - Accent5 6 7" xfId="2189" xr:uid="{00000000-0005-0000-0000-000089080000}"/>
    <cellStyle name="20% - Accent5 6 8" xfId="2190" xr:uid="{00000000-0005-0000-0000-00008A080000}"/>
    <cellStyle name="20% - Accent5 6 9" xfId="2191" xr:uid="{00000000-0005-0000-0000-00008B080000}"/>
    <cellStyle name="20% - Accent5 7" xfId="2192" xr:uid="{00000000-0005-0000-0000-00008C080000}"/>
    <cellStyle name="20% - Accent5 7 2" xfId="2193" xr:uid="{00000000-0005-0000-0000-00008D080000}"/>
    <cellStyle name="20% - Accent5 7 2 2" xfId="2194" xr:uid="{00000000-0005-0000-0000-00008E080000}"/>
    <cellStyle name="20% - Accent5 7 2 2 2" xfId="2195" xr:uid="{00000000-0005-0000-0000-00008F080000}"/>
    <cellStyle name="20% - Accent5 7 2 2 3" xfId="2196" xr:uid="{00000000-0005-0000-0000-000090080000}"/>
    <cellStyle name="20% - Accent5 7 2 3" xfId="2197" xr:uid="{00000000-0005-0000-0000-000091080000}"/>
    <cellStyle name="20% - Accent5 7 2 4" xfId="2198" xr:uid="{00000000-0005-0000-0000-000092080000}"/>
    <cellStyle name="20% - Accent5 7 2 5" xfId="2199" xr:uid="{00000000-0005-0000-0000-000093080000}"/>
    <cellStyle name="20% - Accent5 7 2 6" xfId="2200" xr:uid="{00000000-0005-0000-0000-000094080000}"/>
    <cellStyle name="20% - Accent5 7 3" xfId="2201" xr:uid="{00000000-0005-0000-0000-000095080000}"/>
    <cellStyle name="20% - Accent5 7 3 2" xfId="2202" xr:uid="{00000000-0005-0000-0000-000096080000}"/>
    <cellStyle name="20% - Accent5 7 3 2 2" xfId="2203" xr:uid="{00000000-0005-0000-0000-000097080000}"/>
    <cellStyle name="20% - Accent5 7 3 3" xfId="2204" xr:uid="{00000000-0005-0000-0000-000098080000}"/>
    <cellStyle name="20% - Accent5 7 3 4" xfId="2205" xr:uid="{00000000-0005-0000-0000-000099080000}"/>
    <cellStyle name="20% - Accent5 7 3 5" xfId="2206" xr:uid="{00000000-0005-0000-0000-00009A080000}"/>
    <cellStyle name="20% - Accent5 7 4" xfId="2207" xr:uid="{00000000-0005-0000-0000-00009B080000}"/>
    <cellStyle name="20% - Accent5 7 4 2" xfId="2208" xr:uid="{00000000-0005-0000-0000-00009C080000}"/>
    <cellStyle name="20% - Accent5 7 4 3" xfId="2209" xr:uid="{00000000-0005-0000-0000-00009D080000}"/>
    <cellStyle name="20% - Accent5 7 4 4" xfId="2210" xr:uid="{00000000-0005-0000-0000-00009E080000}"/>
    <cellStyle name="20% - Accent5 7 5" xfId="2211" xr:uid="{00000000-0005-0000-0000-00009F080000}"/>
    <cellStyle name="20% - Accent5 7 5 2" xfId="2212" xr:uid="{00000000-0005-0000-0000-0000A0080000}"/>
    <cellStyle name="20% - Accent5 7 6" xfId="2213" xr:uid="{00000000-0005-0000-0000-0000A1080000}"/>
    <cellStyle name="20% - Accent5 7 7" xfId="2214" xr:uid="{00000000-0005-0000-0000-0000A2080000}"/>
    <cellStyle name="20% - Accent5 7 8" xfId="2215" xr:uid="{00000000-0005-0000-0000-0000A3080000}"/>
    <cellStyle name="20% - Accent5 7 9" xfId="2216" xr:uid="{00000000-0005-0000-0000-0000A4080000}"/>
    <cellStyle name="20% - Accent5 8" xfId="2217" xr:uid="{00000000-0005-0000-0000-0000A5080000}"/>
    <cellStyle name="20% - Accent5 8 2" xfId="2218" xr:uid="{00000000-0005-0000-0000-0000A6080000}"/>
    <cellStyle name="20% - Accent5 8 2 2" xfId="2219" xr:uid="{00000000-0005-0000-0000-0000A7080000}"/>
    <cellStyle name="20% - Accent5 8 2 2 2" xfId="2220" xr:uid="{00000000-0005-0000-0000-0000A8080000}"/>
    <cellStyle name="20% - Accent5 8 2 2 3" xfId="2221" xr:uid="{00000000-0005-0000-0000-0000A9080000}"/>
    <cellStyle name="20% - Accent5 8 2 3" xfId="2222" xr:uid="{00000000-0005-0000-0000-0000AA080000}"/>
    <cellStyle name="20% - Accent5 8 2 4" xfId="2223" xr:uid="{00000000-0005-0000-0000-0000AB080000}"/>
    <cellStyle name="20% - Accent5 8 2 5" xfId="2224" xr:uid="{00000000-0005-0000-0000-0000AC080000}"/>
    <cellStyle name="20% - Accent5 8 2 6" xfId="2225" xr:uid="{00000000-0005-0000-0000-0000AD080000}"/>
    <cellStyle name="20% - Accent5 8 3" xfId="2226" xr:uid="{00000000-0005-0000-0000-0000AE080000}"/>
    <cellStyle name="20% - Accent5 8 3 2" xfId="2227" xr:uid="{00000000-0005-0000-0000-0000AF080000}"/>
    <cellStyle name="20% - Accent5 8 3 2 2" xfId="2228" xr:uid="{00000000-0005-0000-0000-0000B0080000}"/>
    <cellStyle name="20% - Accent5 8 3 3" xfId="2229" xr:uid="{00000000-0005-0000-0000-0000B1080000}"/>
    <cellStyle name="20% - Accent5 8 3 4" xfId="2230" xr:uid="{00000000-0005-0000-0000-0000B2080000}"/>
    <cellStyle name="20% - Accent5 8 3 5" xfId="2231" xr:uid="{00000000-0005-0000-0000-0000B3080000}"/>
    <cellStyle name="20% - Accent5 8 4" xfId="2232" xr:uid="{00000000-0005-0000-0000-0000B4080000}"/>
    <cellStyle name="20% - Accent5 8 4 2" xfId="2233" xr:uid="{00000000-0005-0000-0000-0000B5080000}"/>
    <cellStyle name="20% - Accent5 8 4 3" xfId="2234" xr:uid="{00000000-0005-0000-0000-0000B6080000}"/>
    <cellStyle name="20% - Accent5 8 4 4" xfId="2235" xr:uid="{00000000-0005-0000-0000-0000B7080000}"/>
    <cellStyle name="20% - Accent5 8 5" xfId="2236" xr:uid="{00000000-0005-0000-0000-0000B8080000}"/>
    <cellStyle name="20% - Accent5 8 5 2" xfId="2237" xr:uid="{00000000-0005-0000-0000-0000B9080000}"/>
    <cellStyle name="20% - Accent5 8 6" xfId="2238" xr:uid="{00000000-0005-0000-0000-0000BA080000}"/>
    <cellStyle name="20% - Accent5 8 7" xfId="2239" xr:uid="{00000000-0005-0000-0000-0000BB080000}"/>
    <cellStyle name="20% - Accent5 8 8" xfId="2240" xr:uid="{00000000-0005-0000-0000-0000BC080000}"/>
    <cellStyle name="20% - Accent5 8 9" xfId="2241" xr:uid="{00000000-0005-0000-0000-0000BD080000}"/>
    <cellStyle name="20% - Accent5 9" xfId="2242" xr:uid="{00000000-0005-0000-0000-0000BE080000}"/>
    <cellStyle name="20% - Accent5 9 2" xfId="2243" xr:uid="{00000000-0005-0000-0000-0000BF080000}"/>
    <cellStyle name="20% - Accent5 9 2 2" xfId="2244" xr:uid="{00000000-0005-0000-0000-0000C0080000}"/>
    <cellStyle name="20% - Accent5 9 2 2 2" xfId="2245" xr:uid="{00000000-0005-0000-0000-0000C1080000}"/>
    <cellStyle name="20% - Accent5 9 2 3" xfId="2246" xr:uid="{00000000-0005-0000-0000-0000C2080000}"/>
    <cellStyle name="20% - Accent5 9 2 4" xfId="2247" xr:uid="{00000000-0005-0000-0000-0000C3080000}"/>
    <cellStyle name="20% - Accent5 9 2 5" xfId="2248" xr:uid="{00000000-0005-0000-0000-0000C4080000}"/>
    <cellStyle name="20% - Accent5 9 3" xfId="2249" xr:uid="{00000000-0005-0000-0000-0000C5080000}"/>
    <cellStyle name="20% - Accent5 9 3 2" xfId="2250" xr:uid="{00000000-0005-0000-0000-0000C6080000}"/>
    <cellStyle name="20% - Accent5 9 3 3" xfId="2251" xr:uid="{00000000-0005-0000-0000-0000C7080000}"/>
    <cellStyle name="20% - Accent5 9 3 4" xfId="2252" xr:uid="{00000000-0005-0000-0000-0000C8080000}"/>
    <cellStyle name="20% - Accent5 9 4" xfId="2253" xr:uid="{00000000-0005-0000-0000-0000C9080000}"/>
    <cellStyle name="20% - Accent5 9 4 2" xfId="2254" xr:uid="{00000000-0005-0000-0000-0000CA080000}"/>
    <cellStyle name="20% - Accent5 9 5" xfId="2255" xr:uid="{00000000-0005-0000-0000-0000CB080000}"/>
    <cellStyle name="20% - Accent5 9 6" xfId="2256" xr:uid="{00000000-0005-0000-0000-0000CC080000}"/>
    <cellStyle name="20% - Accent5 9 7" xfId="2257" xr:uid="{00000000-0005-0000-0000-0000CD080000}"/>
    <cellStyle name="20% - Accent5 9 8" xfId="2258" xr:uid="{00000000-0005-0000-0000-0000CE080000}"/>
    <cellStyle name="20% - Accent6 10" xfId="2259" xr:uid="{00000000-0005-0000-0000-0000CF080000}"/>
    <cellStyle name="20% - Accent6 10 2" xfId="2260" xr:uid="{00000000-0005-0000-0000-0000D0080000}"/>
    <cellStyle name="20% - Accent6 10 2 2" xfId="2261" xr:uid="{00000000-0005-0000-0000-0000D1080000}"/>
    <cellStyle name="20% - Accent6 10 2 2 2" xfId="2262" xr:uid="{00000000-0005-0000-0000-0000D2080000}"/>
    <cellStyle name="20% - Accent6 10 2 3" xfId="2263" xr:uid="{00000000-0005-0000-0000-0000D3080000}"/>
    <cellStyle name="20% - Accent6 10 2 4" xfId="2264" xr:uid="{00000000-0005-0000-0000-0000D4080000}"/>
    <cellStyle name="20% - Accent6 10 2 5" xfId="2265" xr:uid="{00000000-0005-0000-0000-0000D5080000}"/>
    <cellStyle name="20% - Accent6 10 3" xfId="2266" xr:uid="{00000000-0005-0000-0000-0000D6080000}"/>
    <cellStyle name="20% - Accent6 10 3 2" xfId="2267" xr:uid="{00000000-0005-0000-0000-0000D7080000}"/>
    <cellStyle name="20% - Accent6 10 3 3" xfId="2268" xr:uid="{00000000-0005-0000-0000-0000D8080000}"/>
    <cellStyle name="20% - Accent6 10 3 4" xfId="2269" xr:uid="{00000000-0005-0000-0000-0000D9080000}"/>
    <cellStyle name="20% - Accent6 10 4" xfId="2270" xr:uid="{00000000-0005-0000-0000-0000DA080000}"/>
    <cellStyle name="20% - Accent6 10 4 2" xfId="2271" xr:uid="{00000000-0005-0000-0000-0000DB080000}"/>
    <cellStyle name="20% - Accent6 10 5" xfId="2272" xr:uid="{00000000-0005-0000-0000-0000DC080000}"/>
    <cellStyle name="20% - Accent6 10 6" xfId="2273" xr:uid="{00000000-0005-0000-0000-0000DD080000}"/>
    <cellStyle name="20% - Accent6 10 7" xfId="2274" xr:uid="{00000000-0005-0000-0000-0000DE080000}"/>
    <cellStyle name="20% - Accent6 10 8" xfId="2275" xr:uid="{00000000-0005-0000-0000-0000DF080000}"/>
    <cellStyle name="20% - Accent6 11" xfId="2276" xr:uid="{00000000-0005-0000-0000-0000E0080000}"/>
    <cellStyle name="20% - Accent6 11 2" xfId="2277" xr:uid="{00000000-0005-0000-0000-0000E1080000}"/>
    <cellStyle name="20% - Accent6 11 2 2" xfId="2278" xr:uid="{00000000-0005-0000-0000-0000E2080000}"/>
    <cellStyle name="20% - Accent6 11 2 2 2" xfId="2279" xr:uid="{00000000-0005-0000-0000-0000E3080000}"/>
    <cellStyle name="20% - Accent6 11 2 3" xfId="2280" xr:uid="{00000000-0005-0000-0000-0000E4080000}"/>
    <cellStyle name="20% - Accent6 11 2 4" xfId="2281" xr:uid="{00000000-0005-0000-0000-0000E5080000}"/>
    <cellStyle name="20% - Accent6 11 2 5" xfId="2282" xr:uid="{00000000-0005-0000-0000-0000E6080000}"/>
    <cellStyle name="20% - Accent6 11 3" xfId="2283" xr:uid="{00000000-0005-0000-0000-0000E7080000}"/>
    <cellStyle name="20% - Accent6 11 3 2" xfId="2284" xr:uid="{00000000-0005-0000-0000-0000E8080000}"/>
    <cellStyle name="20% - Accent6 11 3 3" xfId="2285" xr:uid="{00000000-0005-0000-0000-0000E9080000}"/>
    <cellStyle name="20% - Accent6 11 3 4" xfId="2286" xr:uid="{00000000-0005-0000-0000-0000EA080000}"/>
    <cellStyle name="20% - Accent6 11 4" xfId="2287" xr:uid="{00000000-0005-0000-0000-0000EB080000}"/>
    <cellStyle name="20% - Accent6 11 4 2" xfId="2288" xr:uid="{00000000-0005-0000-0000-0000EC080000}"/>
    <cellStyle name="20% - Accent6 11 5" xfId="2289" xr:uid="{00000000-0005-0000-0000-0000ED080000}"/>
    <cellStyle name="20% - Accent6 11 6" xfId="2290" xr:uid="{00000000-0005-0000-0000-0000EE080000}"/>
    <cellStyle name="20% - Accent6 11 7" xfId="2291" xr:uid="{00000000-0005-0000-0000-0000EF080000}"/>
    <cellStyle name="20% - Accent6 11 8" xfId="2292" xr:uid="{00000000-0005-0000-0000-0000F0080000}"/>
    <cellStyle name="20% - Accent6 12" xfId="2293" xr:uid="{00000000-0005-0000-0000-0000F1080000}"/>
    <cellStyle name="20% - Accent6 12 2" xfId="2294" xr:uid="{00000000-0005-0000-0000-0000F2080000}"/>
    <cellStyle name="20% - Accent6 12 2 2" xfId="2295" xr:uid="{00000000-0005-0000-0000-0000F3080000}"/>
    <cellStyle name="20% - Accent6 12 2 2 2" xfId="2296" xr:uid="{00000000-0005-0000-0000-0000F4080000}"/>
    <cellStyle name="20% - Accent6 12 2 3" xfId="2297" xr:uid="{00000000-0005-0000-0000-0000F5080000}"/>
    <cellStyle name="20% - Accent6 12 2 4" xfId="2298" xr:uid="{00000000-0005-0000-0000-0000F6080000}"/>
    <cellStyle name="20% - Accent6 12 2 5" xfId="2299" xr:uid="{00000000-0005-0000-0000-0000F7080000}"/>
    <cellStyle name="20% - Accent6 12 3" xfId="2300" xr:uid="{00000000-0005-0000-0000-0000F8080000}"/>
    <cellStyle name="20% - Accent6 12 3 2" xfId="2301" xr:uid="{00000000-0005-0000-0000-0000F9080000}"/>
    <cellStyle name="20% - Accent6 12 3 3" xfId="2302" xr:uid="{00000000-0005-0000-0000-0000FA080000}"/>
    <cellStyle name="20% - Accent6 12 3 4" xfId="2303" xr:uid="{00000000-0005-0000-0000-0000FB080000}"/>
    <cellStyle name="20% - Accent6 12 4" xfId="2304" xr:uid="{00000000-0005-0000-0000-0000FC080000}"/>
    <cellStyle name="20% - Accent6 12 4 2" xfId="2305" xr:uid="{00000000-0005-0000-0000-0000FD080000}"/>
    <cellStyle name="20% - Accent6 12 5" xfId="2306" xr:uid="{00000000-0005-0000-0000-0000FE080000}"/>
    <cellStyle name="20% - Accent6 12 6" xfId="2307" xr:uid="{00000000-0005-0000-0000-0000FF080000}"/>
    <cellStyle name="20% - Accent6 12 7" xfId="2308" xr:uid="{00000000-0005-0000-0000-000000090000}"/>
    <cellStyle name="20% - Accent6 12 8" xfId="2309" xr:uid="{00000000-0005-0000-0000-000001090000}"/>
    <cellStyle name="20% - Accent6 13" xfId="2310" xr:uid="{00000000-0005-0000-0000-000002090000}"/>
    <cellStyle name="20% - Accent6 13 2" xfId="2311" xr:uid="{00000000-0005-0000-0000-000003090000}"/>
    <cellStyle name="20% - Accent6 13 2 2" xfId="2312" xr:uid="{00000000-0005-0000-0000-000004090000}"/>
    <cellStyle name="20% - Accent6 13 2 3" xfId="2313" xr:uid="{00000000-0005-0000-0000-000005090000}"/>
    <cellStyle name="20% - Accent6 13 2 4" xfId="2314" xr:uid="{00000000-0005-0000-0000-000006090000}"/>
    <cellStyle name="20% - Accent6 13 3" xfId="2315" xr:uid="{00000000-0005-0000-0000-000007090000}"/>
    <cellStyle name="20% - Accent6 13 3 2" xfId="2316" xr:uid="{00000000-0005-0000-0000-000008090000}"/>
    <cellStyle name="20% - Accent6 13 4" xfId="2317" xr:uid="{00000000-0005-0000-0000-000009090000}"/>
    <cellStyle name="20% - Accent6 13 5" xfId="2318" xr:uid="{00000000-0005-0000-0000-00000A090000}"/>
    <cellStyle name="20% - Accent6 13 6" xfId="2319" xr:uid="{00000000-0005-0000-0000-00000B090000}"/>
    <cellStyle name="20% - Accent6 14" xfId="2320" xr:uid="{00000000-0005-0000-0000-00000C090000}"/>
    <cellStyle name="20% - Accent6 14 2" xfId="2321" xr:uid="{00000000-0005-0000-0000-00000D090000}"/>
    <cellStyle name="20% - Accent6 14 2 2" xfId="2322" xr:uid="{00000000-0005-0000-0000-00000E090000}"/>
    <cellStyle name="20% - Accent6 14 3" xfId="2323" xr:uid="{00000000-0005-0000-0000-00000F090000}"/>
    <cellStyle name="20% - Accent6 14 4" xfId="2324" xr:uid="{00000000-0005-0000-0000-000010090000}"/>
    <cellStyle name="20% - Accent6 14 5" xfId="2325" xr:uid="{00000000-0005-0000-0000-000011090000}"/>
    <cellStyle name="20% - Accent6 15" xfId="2326" xr:uid="{00000000-0005-0000-0000-000012090000}"/>
    <cellStyle name="20% - Accent6 15 2" xfId="2327" xr:uid="{00000000-0005-0000-0000-000013090000}"/>
    <cellStyle name="20% - Accent6 15 2 2" xfId="2328" xr:uid="{00000000-0005-0000-0000-000014090000}"/>
    <cellStyle name="20% - Accent6 15 3" xfId="2329" xr:uid="{00000000-0005-0000-0000-000015090000}"/>
    <cellStyle name="20% - Accent6 15 4" xfId="2330" xr:uid="{00000000-0005-0000-0000-000016090000}"/>
    <cellStyle name="20% - Accent6 15 5" xfId="2331" xr:uid="{00000000-0005-0000-0000-000017090000}"/>
    <cellStyle name="20% - Accent6 16" xfId="2332" xr:uid="{00000000-0005-0000-0000-000018090000}"/>
    <cellStyle name="20% - Accent6 16 2" xfId="2333" xr:uid="{00000000-0005-0000-0000-000019090000}"/>
    <cellStyle name="20% - Accent6 17" xfId="2334" xr:uid="{00000000-0005-0000-0000-00001A090000}"/>
    <cellStyle name="20% - Accent6 18" xfId="2335" xr:uid="{00000000-0005-0000-0000-00001B090000}"/>
    <cellStyle name="20% - Accent6 19" xfId="2336" xr:uid="{00000000-0005-0000-0000-00001C090000}"/>
    <cellStyle name="20% - Accent6 2" xfId="2337" xr:uid="{00000000-0005-0000-0000-00001D090000}"/>
    <cellStyle name="20% - Accent6 2 10" xfId="2338" xr:uid="{00000000-0005-0000-0000-00001E090000}"/>
    <cellStyle name="20% - Accent6 2 11" xfId="2339" xr:uid="{00000000-0005-0000-0000-00001F090000}"/>
    <cellStyle name="20% - Accent6 2 2" xfId="2340" xr:uid="{00000000-0005-0000-0000-000020090000}"/>
    <cellStyle name="20% - Accent6 2 2 10" xfId="2341" xr:uid="{00000000-0005-0000-0000-000021090000}"/>
    <cellStyle name="20% - Accent6 2 2 2" xfId="2342" xr:uid="{00000000-0005-0000-0000-000022090000}"/>
    <cellStyle name="20% - Accent6 2 2 2 2" xfId="2343" xr:uid="{00000000-0005-0000-0000-000023090000}"/>
    <cellStyle name="20% - Accent6 2 2 2 2 2" xfId="2344" xr:uid="{00000000-0005-0000-0000-000024090000}"/>
    <cellStyle name="20% - Accent6 2 2 2 2 2 2" xfId="2345" xr:uid="{00000000-0005-0000-0000-000025090000}"/>
    <cellStyle name="20% - Accent6 2 2 2 2 2 3" xfId="2346" xr:uid="{00000000-0005-0000-0000-000026090000}"/>
    <cellStyle name="20% - Accent6 2 2 2 2 3" xfId="2347" xr:uid="{00000000-0005-0000-0000-000027090000}"/>
    <cellStyle name="20% - Accent6 2 2 2 2 4" xfId="2348" xr:uid="{00000000-0005-0000-0000-000028090000}"/>
    <cellStyle name="20% - Accent6 2 2 2 2 5" xfId="2349" xr:uid="{00000000-0005-0000-0000-000029090000}"/>
    <cellStyle name="20% - Accent6 2 2 2 2 6" xfId="2350" xr:uid="{00000000-0005-0000-0000-00002A090000}"/>
    <cellStyle name="20% - Accent6 2 2 2 3" xfId="2351" xr:uid="{00000000-0005-0000-0000-00002B090000}"/>
    <cellStyle name="20% - Accent6 2 2 2 3 2" xfId="2352" xr:uid="{00000000-0005-0000-0000-00002C090000}"/>
    <cellStyle name="20% - Accent6 2 2 2 3 2 2" xfId="2353" xr:uid="{00000000-0005-0000-0000-00002D090000}"/>
    <cellStyle name="20% - Accent6 2 2 2 3 3" xfId="2354" xr:uid="{00000000-0005-0000-0000-00002E090000}"/>
    <cellStyle name="20% - Accent6 2 2 2 3 4" xfId="2355" xr:uid="{00000000-0005-0000-0000-00002F090000}"/>
    <cellStyle name="20% - Accent6 2 2 2 3 5" xfId="2356" xr:uid="{00000000-0005-0000-0000-000030090000}"/>
    <cellStyle name="20% - Accent6 2 2 2 4" xfId="2357" xr:uid="{00000000-0005-0000-0000-000031090000}"/>
    <cellStyle name="20% - Accent6 2 2 2 4 2" xfId="2358" xr:uid="{00000000-0005-0000-0000-000032090000}"/>
    <cellStyle name="20% - Accent6 2 2 2 4 3" xfId="2359" xr:uid="{00000000-0005-0000-0000-000033090000}"/>
    <cellStyle name="20% - Accent6 2 2 2 4 4" xfId="2360" xr:uid="{00000000-0005-0000-0000-000034090000}"/>
    <cellStyle name="20% - Accent6 2 2 2 5" xfId="2361" xr:uid="{00000000-0005-0000-0000-000035090000}"/>
    <cellStyle name="20% - Accent6 2 2 2 5 2" xfId="2362" xr:uid="{00000000-0005-0000-0000-000036090000}"/>
    <cellStyle name="20% - Accent6 2 2 2 6" xfId="2363" xr:uid="{00000000-0005-0000-0000-000037090000}"/>
    <cellStyle name="20% - Accent6 2 2 2 7" xfId="2364" xr:uid="{00000000-0005-0000-0000-000038090000}"/>
    <cellStyle name="20% - Accent6 2 2 2 8" xfId="2365" xr:uid="{00000000-0005-0000-0000-000039090000}"/>
    <cellStyle name="20% - Accent6 2 2 2 9" xfId="2366" xr:uid="{00000000-0005-0000-0000-00003A090000}"/>
    <cellStyle name="20% - Accent6 2 2 3" xfId="2367" xr:uid="{00000000-0005-0000-0000-00003B090000}"/>
    <cellStyle name="20% - Accent6 2 2 3 2" xfId="2368" xr:uid="{00000000-0005-0000-0000-00003C090000}"/>
    <cellStyle name="20% - Accent6 2 2 3 2 2" xfId="2369" xr:uid="{00000000-0005-0000-0000-00003D090000}"/>
    <cellStyle name="20% - Accent6 2 2 3 2 3" xfId="2370" xr:uid="{00000000-0005-0000-0000-00003E090000}"/>
    <cellStyle name="20% - Accent6 2 2 3 3" xfId="2371" xr:uid="{00000000-0005-0000-0000-00003F090000}"/>
    <cellStyle name="20% - Accent6 2 2 3 4" xfId="2372" xr:uid="{00000000-0005-0000-0000-000040090000}"/>
    <cellStyle name="20% - Accent6 2 2 3 5" xfId="2373" xr:uid="{00000000-0005-0000-0000-000041090000}"/>
    <cellStyle name="20% - Accent6 2 2 3 6" xfId="2374" xr:uid="{00000000-0005-0000-0000-000042090000}"/>
    <cellStyle name="20% - Accent6 2 2 4" xfId="2375" xr:uid="{00000000-0005-0000-0000-000043090000}"/>
    <cellStyle name="20% - Accent6 2 2 4 2" xfId="2376" xr:uid="{00000000-0005-0000-0000-000044090000}"/>
    <cellStyle name="20% - Accent6 2 2 4 2 2" xfId="2377" xr:uid="{00000000-0005-0000-0000-000045090000}"/>
    <cellStyle name="20% - Accent6 2 2 4 3" xfId="2378" xr:uid="{00000000-0005-0000-0000-000046090000}"/>
    <cellStyle name="20% - Accent6 2 2 4 4" xfId="2379" xr:uid="{00000000-0005-0000-0000-000047090000}"/>
    <cellStyle name="20% - Accent6 2 2 4 5" xfId="2380" xr:uid="{00000000-0005-0000-0000-000048090000}"/>
    <cellStyle name="20% - Accent6 2 2 5" xfId="2381" xr:uid="{00000000-0005-0000-0000-000049090000}"/>
    <cellStyle name="20% - Accent6 2 2 5 2" xfId="2382" xr:uid="{00000000-0005-0000-0000-00004A090000}"/>
    <cellStyle name="20% - Accent6 2 2 5 3" xfId="2383" xr:uid="{00000000-0005-0000-0000-00004B090000}"/>
    <cellStyle name="20% - Accent6 2 2 5 4" xfId="2384" xr:uid="{00000000-0005-0000-0000-00004C090000}"/>
    <cellStyle name="20% - Accent6 2 2 6" xfId="2385" xr:uid="{00000000-0005-0000-0000-00004D090000}"/>
    <cellStyle name="20% - Accent6 2 2 6 2" xfId="2386" xr:uid="{00000000-0005-0000-0000-00004E090000}"/>
    <cellStyle name="20% - Accent6 2 2 7" xfId="2387" xr:uid="{00000000-0005-0000-0000-00004F090000}"/>
    <cellStyle name="20% - Accent6 2 2 8" xfId="2388" xr:uid="{00000000-0005-0000-0000-000050090000}"/>
    <cellStyle name="20% - Accent6 2 2 9" xfId="2389" xr:uid="{00000000-0005-0000-0000-000051090000}"/>
    <cellStyle name="20% - Accent6 2 3" xfId="2390" xr:uid="{00000000-0005-0000-0000-000052090000}"/>
    <cellStyle name="20% - Accent6 2 3 2" xfId="2391" xr:uid="{00000000-0005-0000-0000-000053090000}"/>
    <cellStyle name="20% - Accent6 2 3 2 2" xfId="2392" xr:uid="{00000000-0005-0000-0000-000054090000}"/>
    <cellStyle name="20% - Accent6 2 3 2 2 2" xfId="2393" xr:uid="{00000000-0005-0000-0000-000055090000}"/>
    <cellStyle name="20% - Accent6 2 3 2 2 3" xfId="2394" xr:uid="{00000000-0005-0000-0000-000056090000}"/>
    <cellStyle name="20% - Accent6 2 3 2 3" xfId="2395" xr:uid="{00000000-0005-0000-0000-000057090000}"/>
    <cellStyle name="20% - Accent6 2 3 2 4" xfId="2396" xr:uid="{00000000-0005-0000-0000-000058090000}"/>
    <cellStyle name="20% - Accent6 2 3 2 5" xfId="2397" xr:uid="{00000000-0005-0000-0000-000059090000}"/>
    <cellStyle name="20% - Accent6 2 3 2 6" xfId="2398" xr:uid="{00000000-0005-0000-0000-00005A090000}"/>
    <cellStyle name="20% - Accent6 2 3 3" xfId="2399" xr:uid="{00000000-0005-0000-0000-00005B090000}"/>
    <cellStyle name="20% - Accent6 2 3 3 2" xfId="2400" xr:uid="{00000000-0005-0000-0000-00005C090000}"/>
    <cellStyle name="20% - Accent6 2 3 3 2 2" xfId="2401" xr:uid="{00000000-0005-0000-0000-00005D090000}"/>
    <cellStyle name="20% - Accent6 2 3 3 3" xfId="2402" xr:uid="{00000000-0005-0000-0000-00005E090000}"/>
    <cellStyle name="20% - Accent6 2 3 3 4" xfId="2403" xr:uid="{00000000-0005-0000-0000-00005F090000}"/>
    <cellStyle name="20% - Accent6 2 3 3 5" xfId="2404" xr:uid="{00000000-0005-0000-0000-000060090000}"/>
    <cellStyle name="20% - Accent6 2 3 4" xfId="2405" xr:uid="{00000000-0005-0000-0000-000061090000}"/>
    <cellStyle name="20% - Accent6 2 3 4 2" xfId="2406" xr:uid="{00000000-0005-0000-0000-000062090000}"/>
    <cellStyle name="20% - Accent6 2 3 4 3" xfId="2407" xr:uid="{00000000-0005-0000-0000-000063090000}"/>
    <cellStyle name="20% - Accent6 2 3 4 4" xfId="2408" xr:uid="{00000000-0005-0000-0000-000064090000}"/>
    <cellStyle name="20% - Accent6 2 3 5" xfId="2409" xr:uid="{00000000-0005-0000-0000-000065090000}"/>
    <cellStyle name="20% - Accent6 2 3 5 2" xfId="2410" xr:uid="{00000000-0005-0000-0000-000066090000}"/>
    <cellStyle name="20% - Accent6 2 3 6" xfId="2411" xr:uid="{00000000-0005-0000-0000-000067090000}"/>
    <cellStyle name="20% - Accent6 2 3 7" xfId="2412" xr:uid="{00000000-0005-0000-0000-000068090000}"/>
    <cellStyle name="20% - Accent6 2 3 8" xfId="2413" xr:uid="{00000000-0005-0000-0000-000069090000}"/>
    <cellStyle name="20% - Accent6 2 3 9" xfId="2414" xr:uid="{00000000-0005-0000-0000-00006A090000}"/>
    <cellStyle name="20% - Accent6 2 4" xfId="2415" xr:uid="{00000000-0005-0000-0000-00006B090000}"/>
    <cellStyle name="20% - Accent6 2 4 2" xfId="2416" xr:uid="{00000000-0005-0000-0000-00006C090000}"/>
    <cellStyle name="20% - Accent6 2 4 2 2" xfId="2417" xr:uid="{00000000-0005-0000-0000-00006D090000}"/>
    <cellStyle name="20% - Accent6 2 4 2 3" xfId="2418" xr:uid="{00000000-0005-0000-0000-00006E090000}"/>
    <cellStyle name="20% - Accent6 2 4 3" xfId="2419" xr:uid="{00000000-0005-0000-0000-00006F090000}"/>
    <cellStyle name="20% - Accent6 2 4 4" xfId="2420" xr:uid="{00000000-0005-0000-0000-000070090000}"/>
    <cellStyle name="20% - Accent6 2 4 5" xfId="2421" xr:uid="{00000000-0005-0000-0000-000071090000}"/>
    <cellStyle name="20% - Accent6 2 4 6" xfId="2422" xr:uid="{00000000-0005-0000-0000-000072090000}"/>
    <cellStyle name="20% - Accent6 2 5" xfId="2423" xr:uid="{00000000-0005-0000-0000-000073090000}"/>
    <cellStyle name="20% - Accent6 2 5 2" xfId="2424" xr:uid="{00000000-0005-0000-0000-000074090000}"/>
    <cellStyle name="20% - Accent6 2 5 2 2" xfId="2425" xr:uid="{00000000-0005-0000-0000-000075090000}"/>
    <cellStyle name="20% - Accent6 2 5 3" xfId="2426" xr:uid="{00000000-0005-0000-0000-000076090000}"/>
    <cellStyle name="20% - Accent6 2 5 4" xfId="2427" xr:uid="{00000000-0005-0000-0000-000077090000}"/>
    <cellStyle name="20% - Accent6 2 5 5" xfId="2428" xr:uid="{00000000-0005-0000-0000-000078090000}"/>
    <cellStyle name="20% - Accent6 2 6" xfId="2429" xr:uid="{00000000-0005-0000-0000-000079090000}"/>
    <cellStyle name="20% - Accent6 2 6 2" xfId="2430" xr:uid="{00000000-0005-0000-0000-00007A090000}"/>
    <cellStyle name="20% - Accent6 2 6 2 2" xfId="2431" xr:uid="{00000000-0005-0000-0000-00007B090000}"/>
    <cellStyle name="20% - Accent6 2 6 3" xfId="2432" xr:uid="{00000000-0005-0000-0000-00007C090000}"/>
    <cellStyle name="20% - Accent6 2 6 4" xfId="2433" xr:uid="{00000000-0005-0000-0000-00007D090000}"/>
    <cellStyle name="20% - Accent6 2 6 5" xfId="2434" xr:uid="{00000000-0005-0000-0000-00007E090000}"/>
    <cellStyle name="20% - Accent6 2 7" xfId="2435" xr:uid="{00000000-0005-0000-0000-00007F090000}"/>
    <cellStyle name="20% - Accent6 2 7 2" xfId="2436" xr:uid="{00000000-0005-0000-0000-000080090000}"/>
    <cellStyle name="20% - Accent6 2 8" xfId="2437" xr:uid="{00000000-0005-0000-0000-000081090000}"/>
    <cellStyle name="20% - Accent6 2 9" xfId="2438" xr:uid="{00000000-0005-0000-0000-000082090000}"/>
    <cellStyle name="20% - Accent6 3" xfId="2439" xr:uid="{00000000-0005-0000-0000-000083090000}"/>
    <cellStyle name="20% - Accent6 3 10" xfId="2440" xr:uid="{00000000-0005-0000-0000-000084090000}"/>
    <cellStyle name="20% - Accent6 3 2" xfId="2441" xr:uid="{00000000-0005-0000-0000-000085090000}"/>
    <cellStyle name="20% - Accent6 3 2 2" xfId="2442" xr:uid="{00000000-0005-0000-0000-000086090000}"/>
    <cellStyle name="20% - Accent6 3 2 2 2" xfId="2443" xr:uid="{00000000-0005-0000-0000-000087090000}"/>
    <cellStyle name="20% - Accent6 3 2 2 2 2" xfId="2444" xr:uid="{00000000-0005-0000-0000-000088090000}"/>
    <cellStyle name="20% - Accent6 3 2 2 2 3" xfId="2445" xr:uid="{00000000-0005-0000-0000-000089090000}"/>
    <cellStyle name="20% - Accent6 3 2 2 3" xfId="2446" xr:uid="{00000000-0005-0000-0000-00008A090000}"/>
    <cellStyle name="20% - Accent6 3 2 2 4" xfId="2447" xr:uid="{00000000-0005-0000-0000-00008B090000}"/>
    <cellStyle name="20% - Accent6 3 2 2 5" xfId="2448" xr:uid="{00000000-0005-0000-0000-00008C090000}"/>
    <cellStyle name="20% - Accent6 3 2 2 6" xfId="2449" xr:uid="{00000000-0005-0000-0000-00008D090000}"/>
    <cellStyle name="20% - Accent6 3 2 3" xfId="2450" xr:uid="{00000000-0005-0000-0000-00008E090000}"/>
    <cellStyle name="20% - Accent6 3 2 3 2" xfId="2451" xr:uid="{00000000-0005-0000-0000-00008F090000}"/>
    <cellStyle name="20% - Accent6 3 2 3 2 2" xfId="2452" xr:uid="{00000000-0005-0000-0000-000090090000}"/>
    <cellStyle name="20% - Accent6 3 2 3 3" xfId="2453" xr:uid="{00000000-0005-0000-0000-000091090000}"/>
    <cellStyle name="20% - Accent6 3 2 3 4" xfId="2454" xr:uid="{00000000-0005-0000-0000-000092090000}"/>
    <cellStyle name="20% - Accent6 3 2 3 5" xfId="2455" xr:uid="{00000000-0005-0000-0000-000093090000}"/>
    <cellStyle name="20% - Accent6 3 2 4" xfId="2456" xr:uid="{00000000-0005-0000-0000-000094090000}"/>
    <cellStyle name="20% - Accent6 3 2 4 2" xfId="2457" xr:uid="{00000000-0005-0000-0000-000095090000}"/>
    <cellStyle name="20% - Accent6 3 2 4 3" xfId="2458" xr:uid="{00000000-0005-0000-0000-000096090000}"/>
    <cellStyle name="20% - Accent6 3 2 4 4" xfId="2459" xr:uid="{00000000-0005-0000-0000-000097090000}"/>
    <cellStyle name="20% - Accent6 3 2 5" xfId="2460" xr:uid="{00000000-0005-0000-0000-000098090000}"/>
    <cellStyle name="20% - Accent6 3 2 5 2" xfId="2461" xr:uid="{00000000-0005-0000-0000-000099090000}"/>
    <cellStyle name="20% - Accent6 3 2 6" xfId="2462" xr:uid="{00000000-0005-0000-0000-00009A090000}"/>
    <cellStyle name="20% - Accent6 3 2 7" xfId="2463" xr:uid="{00000000-0005-0000-0000-00009B090000}"/>
    <cellStyle name="20% - Accent6 3 2 8" xfId="2464" xr:uid="{00000000-0005-0000-0000-00009C090000}"/>
    <cellStyle name="20% - Accent6 3 2 9" xfId="2465" xr:uid="{00000000-0005-0000-0000-00009D090000}"/>
    <cellStyle name="20% - Accent6 3 3" xfId="2466" xr:uid="{00000000-0005-0000-0000-00009E090000}"/>
    <cellStyle name="20% - Accent6 3 3 2" xfId="2467" xr:uid="{00000000-0005-0000-0000-00009F090000}"/>
    <cellStyle name="20% - Accent6 3 3 2 2" xfId="2468" xr:uid="{00000000-0005-0000-0000-0000A0090000}"/>
    <cellStyle name="20% - Accent6 3 3 2 3" xfId="2469" xr:uid="{00000000-0005-0000-0000-0000A1090000}"/>
    <cellStyle name="20% - Accent6 3 3 3" xfId="2470" xr:uid="{00000000-0005-0000-0000-0000A2090000}"/>
    <cellStyle name="20% - Accent6 3 3 4" xfId="2471" xr:uid="{00000000-0005-0000-0000-0000A3090000}"/>
    <cellStyle name="20% - Accent6 3 3 5" xfId="2472" xr:uid="{00000000-0005-0000-0000-0000A4090000}"/>
    <cellStyle name="20% - Accent6 3 3 6" xfId="2473" xr:uid="{00000000-0005-0000-0000-0000A5090000}"/>
    <cellStyle name="20% - Accent6 3 4" xfId="2474" xr:uid="{00000000-0005-0000-0000-0000A6090000}"/>
    <cellStyle name="20% - Accent6 3 4 2" xfId="2475" xr:uid="{00000000-0005-0000-0000-0000A7090000}"/>
    <cellStyle name="20% - Accent6 3 4 2 2" xfId="2476" xr:uid="{00000000-0005-0000-0000-0000A8090000}"/>
    <cellStyle name="20% - Accent6 3 4 3" xfId="2477" xr:uid="{00000000-0005-0000-0000-0000A9090000}"/>
    <cellStyle name="20% - Accent6 3 4 4" xfId="2478" xr:uid="{00000000-0005-0000-0000-0000AA090000}"/>
    <cellStyle name="20% - Accent6 3 4 5" xfId="2479" xr:uid="{00000000-0005-0000-0000-0000AB090000}"/>
    <cellStyle name="20% - Accent6 3 5" xfId="2480" xr:uid="{00000000-0005-0000-0000-0000AC090000}"/>
    <cellStyle name="20% - Accent6 3 5 2" xfId="2481" xr:uid="{00000000-0005-0000-0000-0000AD090000}"/>
    <cellStyle name="20% - Accent6 3 5 2 2" xfId="2482" xr:uid="{00000000-0005-0000-0000-0000AE090000}"/>
    <cellStyle name="20% - Accent6 3 5 3" xfId="2483" xr:uid="{00000000-0005-0000-0000-0000AF090000}"/>
    <cellStyle name="20% - Accent6 3 5 4" xfId="2484" xr:uid="{00000000-0005-0000-0000-0000B0090000}"/>
    <cellStyle name="20% - Accent6 3 5 5" xfId="2485" xr:uid="{00000000-0005-0000-0000-0000B1090000}"/>
    <cellStyle name="20% - Accent6 3 6" xfId="2486" xr:uid="{00000000-0005-0000-0000-0000B2090000}"/>
    <cellStyle name="20% - Accent6 3 6 2" xfId="2487" xr:uid="{00000000-0005-0000-0000-0000B3090000}"/>
    <cellStyle name="20% - Accent6 3 7" xfId="2488" xr:uid="{00000000-0005-0000-0000-0000B4090000}"/>
    <cellStyle name="20% - Accent6 3 8" xfId="2489" xr:uid="{00000000-0005-0000-0000-0000B5090000}"/>
    <cellStyle name="20% - Accent6 3 9" xfId="2490" xr:uid="{00000000-0005-0000-0000-0000B6090000}"/>
    <cellStyle name="20% - Accent6 4" xfId="2491" xr:uid="{00000000-0005-0000-0000-0000B7090000}"/>
    <cellStyle name="20% - Accent6 4 10" xfId="2492" xr:uid="{00000000-0005-0000-0000-0000B8090000}"/>
    <cellStyle name="20% - Accent6 4 2" xfId="2493" xr:uid="{00000000-0005-0000-0000-0000B9090000}"/>
    <cellStyle name="20% - Accent6 4 2 2" xfId="2494" xr:uid="{00000000-0005-0000-0000-0000BA090000}"/>
    <cellStyle name="20% - Accent6 4 2 2 2" xfId="2495" xr:uid="{00000000-0005-0000-0000-0000BB090000}"/>
    <cellStyle name="20% - Accent6 4 2 2 2 2" xfId="2496" xr:uid="{00000000-0005-0000-0000-0000BC090000}"/>
    <cellStyle name="20% - Accent6 4 2 2 2 3" xfId="2497" xr:uid="{00000000-0005-0000-0000-0000BD090000}"/>
    <cellStyle name="20% - Accent6 4 2 2 3" xfId="2498" xr:uid="{00000000-0005-0000-0000-0000BE090000}"/>
    <cellStyle name="20% - Accent6 4 2 2 4" xfId="2499" xr:uid="{00000000-0005-0000-0000-0000BF090000}"/>
    <cellStyle name="20% - Accent6 4 2 2 5" xfId="2500" xr:uid="{00000000-0005-0000-0000-0000C0090000}"/>
    <cellStyle name="20% - Accent6 4 2 2 6" xfId="2501" xr:uid="{00000000-0005-0000-0000-0000C1090000}"/>
    <cellStyle name="20% - Accent6 4 2 3" xfId="2502" xr:uid="{00000000-0005-0000-0000-0000C2090000}"/>
    <cellStyle name="20% - Accent6 4 2 3 2" xfId="2503" xr:uid="{00000000-0005-0000-0000-0000C3090000}"/>
    <cellStyle name="20% - Accent6 4 2 3 2 2" xfId="2504" xr:uid="{00000000-0005-0000-0000-0000C4090000}"/>
    <cellStyle name="20% - Accent6 4 2 3 3" xfId="2505" xr:uid="{00000000-0005-0000-0000-0000C5090000}"/>
    <cellStyle name="20% - Accent6 4 2 3 4" xfId="2506" xr:uid="{00000000-0005-0000-0000-0000C6090000}"/>
    <cellStyle name="20% - Accent6 4 2 3 5" xfId="2507" xr:uid="{00000000-0005-0000-0000-0000C7090000}"/>
    <cellStyle name="20% - Accent6 4 2 4" xfId="2508" xr:uid="{00000000-0005-0000-0000-0000C8090000}"/>
    <cellStyle name="20% - Accent6 4 2 4 2" xfId="2509" xr:uid="{00000000-0005-0000-0000-0000C9090000}"/>
    <cellStyle name="20% - Accent6 4 2 4 3" xfId="2510" xr:uid="{00000000-0005-0000-0000-0000CA090000}"/>
    <cellStyle name="20% - Accent6 4 2 4 4" xfId="2511" xr:uid="{00000000-0005-0000-0000-0000CB090000}"/>
    <cellStyle name="20% - Accent6 4 2 5" xfId="2512" xr:uid="{00000000-0005-0000-0000-0000CC090000}"/>
    <cellStyle name="20% - Accent6 4 2 5 2" xfId="2513" xr:uid="{00000000-0005-0000-0000-0000CD090000}"/>
    <cellStyle name="20% - Accent6 4 2 6" xfId="2514" xr:uid="{00000000-0005-0000-0000-0000CE090000}"/>
    <cellStyle name="20% - Accent6 4 2 7" xfId="2515" xr:uid="{00000000-0005-0000-0000-0000CF090000}"/>
    <cellStyle name="20% - Accent6 4 2 8" xfId="2516" xr:uid="{00000000-0005-0000-0000-0000D0090000}"/>
    <cellStyle name="20% - Accent6 4 2 9" xfId="2517" xr:uid="{00000000-0005-0000-0000-0000D1090000}"/>
    <cellStyle name="20% - Accent6 4 3" xfId="2518" xr:uid="{00000000-0005-0000-0000-0000D2090000}"/>
    <cellStyle name="20% - Accent6 4 3 2" xfId="2519" xr:uid="{00000000-0005-0000-0000-0000D3090000}"/>
    <cellStyle name="20% - Accent6 4 3 2 2" xfId="2520" xr:uid="{00000000-0005-0000-0000-0000D4090000}"/>
    <cellStyle name="20% - Accent6 4 3 2 3" xfId="2521" xr:uid="{00000000-0005-0000-0000-0000D5090000}"/>
    <cellStyle name="20% - Accent6 4 3 3" xfId="2522" xr:uid="{00000000-0005-0000-0000-0000D6090000}"/>
    <cellStyle name="20% - Accent6 4 3 4" xfId="2523" xr:uid="{00000000-0005-0000-0000-0000D7090000}"/>
    <cellStyle name="20% - Accent6 4 3 5" xfId="2524" xr:uid="{00000000-0005-0000-0000-0000D8090000}"/>
    <cellStyle name="20% - Accent6 4 3 6" xfId="2525" xr:uid="{00000000-0005-0000-0000-0000D9090000}"/>
    <cellStyle name="20% - Accent6 4 4" xfId="2526" xr:uid="{00000000-0005-0000-0000-0000DA090000}"/>
    <cellStyle name="20% - Accent6 4 4 2" xfId="2527" xr:uid="{00000000-0005-0000-0000-0000DB090000}"/>
    <cellStyle name="20% - Accent6 4 4 2 2" xfId="2528" xr:uid="{00000000-0005-0000-0000-0000DC090000}"/>
    <cellStyle name="20% - Accent6 4 4 3" xfId="2529" xr:uid="{00000000-0005-0000-0000-0000DD090000}"/>
    <cellStyle name="20% - Accent6 4 4 4" xfId="2530" xr:uid="{00000000-0005-0000-0000-0000DE090000}"/>
    <cellStyle name="20% - Accent6 4 4 5" xfId="2531" xr:uid="{00000000-0005-0000-0000-0000DF090000}"/>
    <cellStyle name="20% - Accent6 4 5" xfId="2532" xr:uid="{00000000-0005-0000-0000-0000E0090000}"/>
    <cellStyle name="20% - Accent6 4 5 2" xfId="2533" xr:uid="{00000000-0005-0000-0000-0000E1090000}"/>
    <cellStyle name="20% - Accent6 4 5 2 2" xfId="2534" xr:uid="{00000000-0005-0000-0000-0000E2090000}"/>
    <cellStyle name="20% - Accent6 4 5 3" xfId="2535" xr:uid="{00000000-0005-0000-0000-0000E3090000}"/>
    <cellStyle name="20% - Accent6 4 5 4" xfId="2536" xr:uid="{00000000-0005-0000-0000-0000E4090000}"/>
    <cellStyle name="20% - Accent6 4 5 5" xfId="2537" xr:uid="{00000000-0005-0000-0000-0000E5090000}"/>
    <cellStyle name="20% - Accent6 4 6" xfId="2538" xr:uid="{00000000-0005-0000-0000-0000E6090000}"/>
    <cellStyle name="20% - Accent6 4 6 2" xfId="2539" xr:uid="{00000000-0005-0000-0000-0000E7090000}"/>
    <cellStyle name="20% - Accent6 4 7" xfId="2540" xr:uid="{00000000-0005-0000-0000-0000E8090000}"/>
    <cellStyle name="20% - Accent6 4 8" xfId="2541" xr:uid="{00000000-0005-0000-0000-0000E9090000}"/>
    <cellStyle name="20% - Accent6 4 9" xfId="2542" xr:uid="{00000000-0005-0000-0000-0000EA090000}"/>
    <cellStyle name="20% - Accent6 5" xfId="2543" xr:uid="{00000000-0005-0000-0000-0000EB090000}"/>
    <cellStyle name="20% - Accent6 5 10" xfId="2544" xr:uid="{00000000-0005-0000-0000-0000EC090000}"/>
    <cellStyle name="20% - Accent6 5 2" xfId="2545" xr:uid="{00000000-0005-0000-0000-0000ED090000}"/>
    <cellStyle name="20% - Accent6 5 2 2" xfId="2546" xr:uid="{00000000-0005-0000-0000-0000EE090000}"/>
    <cellStyle name="20% - Accent6 5 2 2 2" xfId="2547" xr:uid="{00000000-0005-0000-0000-0000EF090000}"/>
    <cellStyle name="20% - Accent6 5 2 2 2 2" xfId="2548" xr:uid="{00000000-0005-0000-0000-0000F0090000}"/>
    <cellStyle name="20% - Accent6 5 2 2 2 3" xfId="2549" xr:uid="{00000000-0005-0000-0000-0000F1090000}"/>
    <cellStyle name="20% - Accent6 5 2 2 3" xfId="2550" xr:uid="{00000000-0005-0000-0000-0000F2090000}"/>
    <cellStyle name="20% - Accent6 5 2 2 4" xfId="2551" xr:uid="{00000000-0005-0000-0000-0000F3090000}"/>
    <cellStyle name="20% - Accent6 5 2 2 5" xfId="2552" xr:uid="{00000000-0005-0000-0000-0000F4090000}"/>
    <cellStyle name="20% - Accent6 5 2 2 6" xfId="2553" xr:uid="{00000000-0005-0000-0000-0000F5090000}"/>
    <cellStyle name="20% - Accent6 5 2 3" xfId="2554" xr:uid="{00000000-0005-0000-0000-0000F6090000}"/>
    <cellStyle name="20% - Accent6 5 2 3 2" xfId="2555" xr:uid="{00000000-0005-0000-0000-0000F7090000}"/>
    <cellStyle name="20% - Accent6 5 2 3 2 2" xfId="2556" xr:uid="{00000000-0005-0000-0000-0000F8090000}"/>
    <cellStyle name="20% - Accent6 5 2 3 3" xfId="2557" xr:uid="{00000000-0005-0000-0000-0000F9090000}"/>
    <cellStyle name="20% - Accent6 5 2 3 4" xfId="2558" xr:uid="{00000000-0005-0000-0000-0000FA090000}"/>
    <cellStyle name="20% - Accent6 5 2 3 5" xfId="2559" xr:uid="{00000000-0005-0000-0000-0000FB090000}"/>
    <cellStyle name="20% - Accent6 5 2 4" xfId="2560" xr:uid="{00000000-0005-0000-0000-0000FC090000}"/>
    <cellStyle name="20% - Accent6 5 2 4 2" xfId="2561" xr:uid="{00000000-0005-0000-0000-0000FD090000}"/>
    <cellStyle name="20% - Accent6 5 2 4 3" xfId="2562" xr:uid="{00000000-0005-0000-0000-0000FE090000}"/>
    <cellStyle name="20% - Accent6 5 2 4 4" xfId="2563" xr:uid="{00000000-0005-0000-0000-0000FF090000}"/>
    <cellStyle name="20% - Accent6 5 2 5" xfId="2564" xr:uid="{00000000-0005-0000-0000-0000000A0000}"/>
    <cellStyle name="20% - Accent6 5 2 5 2" xfId="2565" xr:uid="{00000000-0005-0000-0000-0000010A0000}"/>
    <cellStyle name="20% - Accent6 5 2 6" xfId="2566" xr:uid="{00000000-0005-0000-0000-0000020A0000}"/>
    <cellStyle name="20% - Accent6 5 2 7" xfId="2567" xr:uid="{00000000-0005-0000-0000-0000030A0000}"/>
    <cellStyle name="20% - Accent6 5 2 8" xfId="2568" xr:uid="{00000000-0005-0000-0000-0000040A0000}"/>
    <cellStyle name="20% - Accent6 5 2 9" xfId="2569" xr:uid="{00000000-0005-0000-0000-0000050A0000}"/>
    <cellStyle name="20% - Accent6 5 3" xfId="2570" xr:uid="{00000000-0005-0000-0000-0000060A0000}"/>
    <cellStyle name="20% - Accent6 5 3 2" xfId="2571" xr:uid="{00000000-0005-0000-0000-0000070A0000}"/>
    <cellStyle name="20% - Accent6 5 3 2 2" xfId="2572" xr:uid="{00000000-0005-0000-0000-0000080A0000}"/>
    <cellStyle name="20% - Accent6 5 3 2 3" xfId="2573" xr:uid="{00000000-0005-0000-0000-0000090A0000}"/>
    <cellStyle name="20% - Accent6 5 3 3" xfId="2574" xr:uid="{00000000-0005-0000-0000-00000A0A0000}"/>
    <cellStyle name="20% - Accent6 5 3 4" xfId="2575" xr:uid="{00000000-0005-0000-0000-00000B0A0000}"/>
    <cellStyle name="20% - Accent6 5 3 5" xfId="2576" xr:uid="{00000000-0005-0000-0000-00000C0A0000}"/>
    <cellStyle name="20% - Accent6 5 3 6" xfId="2577" xr:uid="{00000000-0005-0000-0000-00000D0A0000}"/>
    <cellStyle name="20% - Accent6 5 4" xfId="2578" xr:uid="{00000000-0005-0000-0000-00000E0A0000}"/>
    <cellStyle name="20% - Accent6 5 4 2" xfId="2579" xr:uid="{00000000-0005-0000-0000-00000F0A0000}"/>
    <cellStyle name="20% - Accent6 5 4 2 2" xfId="2580" xr:uid="{00000000-0005-0000-0000-0000100A0000}"/>
    <cellStyle name="20% - Accent6 5 4 3" xfId="2581" xr:uid="{00000000-0005-0000-0000-0000110A0000}"/>
    <cellStyle name="20% - Accent6 5 4 4" xfId="2582" xr:uid="{00000000-0005-0000-0000-0000120A0000}"/>
    <cellStyle name="20% - Accent6 5 4 5" xfId="2583" xr:uid="{00000000-0005-0000-0000-0000130A0000}"/>
    <cellStyle name="20% - Accent6 5 5" xfId="2584" xr:uid="{00000000-0005-0000-0000-0000140A0000}"/>
    <cellStyle name="20% - Accent6 5 5 2" xfId="2585" xr:uid="{00000000-0005-0000-0000-0000150A0000}"/>
    <cellStyle name="20% - Accent6 5 5 3" xfId="2586" xr:uid="{00000000-0005-0000-0000-0000160A0000}"/>
    <cellStyle name="20% - Accent6 5 5 4" xfId="2587" xr:uid="{00000000-0005-0000-0000-0000170A0000}"/>
    <cellStyle name="20% - Accent6 5 6" xfId="2588" xr:uid="{00000000-0005-0000-0000-0000180A0000}"/>
    <cellStyle name="20% - Accent6 5 6 2" xfId="2589" xr:uid="{00000000-0005-0000-0000-0000190A0000}"/>
    <cellStyle name="20% - Accent6 5 7" xfId="2590" xr:uid="{00000000-0005-0000-0000-00001A0A0000}"/>
    <cellStyle name="20% - Accent6 5 8" xfId="2591" xr:uid="{00000000-0005-0000-0000-00001B0A0000}"/>
    <cellStyle name="20% - Accent6 5 9" xfId="2592" xr:uid="{00000000-0005-0000-0000-00001C0A0000}"/>
    <cellStyle name="20% - Accent6 6" xfId="2593" xr:uid="{00000000-0005-0000-0000-00001D0A0000}"/>
    <cellStyle name="20% - Accent6 6 10" xfId="2594" xr:uid="{00000000-0005-0000-0000-00001E0A0000}"/>
    <cellStyle name="20% - Accent6 6 2" xfId="2595" xr:uid="{00000000-0005-0000-0000-00001F0A0000}"/>
    <cellStyle name="20% - Accent6 6 2 2" xfId="2596" xr:uid="{00000000-0005-0000-0000-0000200A0000}"/>
    <cellStyle name="20% - Accent6 6 2 2 2" xfId="2597" xr:uid="{00000000-0005-0000-0000-0000210A0000}"/>
    <cellStyle name="20% - Accent6 6 2 2 2 2" xfId="2598" xr:uid="{00000000-0005-0000-0000-0000220A0000}"/>
    <cellStyle name="20% - Accent6 6 2 2 2 3" xfId="2599" xr:uid="{00000000-0005-0000-0000-0000230A0000}"/>
    <cellStyle name="20% - Accent6 6 2 2 3" xfId="2600" xr:uid="{00000000-0005-0000-0000-0000240A0000}"/>
    <cellStyle name="20% - Accent6 6 2 2 4" xfId="2601" xr:uid="{00000000-0005-0000-0000-0000250A0000}"/>
    <cellStyle name="20% - Accent6 6 2 2 5" xfId="2602" xr:uid="{00000000-0005-0000-0000-0000260A0000}"/>
    <cellStyle name="20% - Accent6 6 2 2 6" xfId="2603" xr:uid="{00000000-0005-0000-0000-0000270A0000}"/>
    <cellStyle name="20% - Accent6 6 2 3" xfId="2604" xr:uid="{00000000-0005-0000-0000-0000280A0000}"/>
    <cellStyle name="20% - Accent6 6 2 3 2" xfId="2605" xr:uid="{00000000-0005-0000-0000-0000290A0000}"/>
    <cellStyle name="20% - Accent6 6 2 3 2 2" xfId="2606" xr:uid="{00000000-0005-0000-0000-00002A0A0000}"/>
    <cellStyle name="20% - Accent6 6 2 3 3" xfId="2607" xr:uid="{00000000-0005-0000-0000-00002B0A0000}"/>
    <cellStyle name="20% - Accent6 6 2 3 4" xfId="2608" xr:uid="{00000000-0005-0000-0000-00002C0A0000}"/>
    <cellStyle name="20% - Accent6 6 2 3 5" xfId="2609" xr:uid="{00000000-0005-0000-0000-00002D0A0000}"/>
    <cellStyle name="20% - Accent6 6 2 4" xfId="2610" xr:uid="{00000000-0005-0000-0000-00002E0A0000}"/>
    <cellStyle name="20% - Accent6 6 2 4 2" xfId="2611" xr:uid="{00000000-0005-0000-0000-00002F0A0000}"/>
    <cellStyle name="20% - Accent6 6 2 4 3" xfId="2612" xr:uid="{00000000-0005-0000-0000-0000300A0000}"/>
    <cellStyle name="20% - Accent6 6 2 4 4" xfId="2613" xr:uid="{00000000-0005-0000-0000-0000310A0000}"/>
    <cellStyle name="20% - Accent6 6 2 5" xfId="2614" xr:uid="{00000000-0005-0000-0000-0000320A0000}"/>
    <cellStyle name="20% - Accent6 6 2 5 2" xfId="2615" xr:uid="{00000000-0005-0000-0000-0000330A0000}"/>
    <cellStyle name="20% - Accent6 6 2 6" xfId="2616" xr:uid="{00000000-0005-0000-0000-0000340A0000}"/>
    <cellStyle name="20% - Accent6 6 2 7" xfId="2617" xr:uid="{00000000-0005-0000-0000-0000350A0000}"/>
    <cellStyle name="20% - Accent6 6 2 8" xfId="2618" xr:uid="{00000000-0005-0000-0000-0000360A0000}"/>
    <cellStyle name="20% - Accent6 6 2 9" xfId="2619" xr:uid="{00000000-0005-0000-0000-0000370A0000}"/>
    <cellStyle name="20% - Accent6 6 3" xfId="2620" xr:uid="{00000000-0005-0000-0000-0000380A0000}"/>
    <cellStyle name="20% - Accent6 6 3 2" xfId="2621" xr:uid="{00000000-0005-0000-0000-0000390A0000}"/>
    <cellStyle name="20% - Accent6 6 3 2 2" xfId="2622" xr:uid="{00000000-0005-0000-0000-00003A0A0000}"/>
    <cellStyle name="20% - Accent6 6 3 2 3" xfId="2623" xr:uid="{00000000-0005-0000-0000-00003B0A0000}"/>
    <cellStyle name="20% - Accent6 6 3 3" xfId="2624" xr:uid="{00000000-0005-0000-0000-00003C0A0000}"/>
    <cellStyle name="20% - Accent6 6 3 4" xfId="2625" xr:uid="{00000000-0005-0000-0000-00003D0A0000}"/>
    <cellStyle name="20% - Accent6 6 3 5" xfId="2626" xr:uid="{00000000-0005-0000-0000-00003E0A0000}"/>
    <cellStyle name="20% - Accent6 6 3 6" xfId="2627" xr:uid="{00000000-0005-0000-0000-00003F0A0000}"/>
    <cellStyle name="20% - Accent6 6 4" xfId="2628" xr:uid="{00000000-0005-0000-0000-0000400A0000}"/>
    <cellStyle name="20% - Accent6 6 4 2" xfId="2629" xr:uid="{00000000-0005-0000-0000-0000410A0000}"/>
    <cellStyle name="20% - Accent6 6 4 2 2" xfId="2630" xr:uid="{00000000-0005-0000-0000-0000420A0000}"/>
    <cellStyle name="20% - Accent6 6 4 3" xfId="2631" xr:uid="{00000000-0005-0000-0000-0000430A0000}"/>
    <cellStyle name="20% - Accent6 6 4 4" xfId="2632" xr:uid="{00000000-0005-0000-0000-0000440A0000}"/>
    <cellStyle name="20% - Accent6 6 4 5" xfId="2633" xr:uid="{00000000-0005-0000-0000-0000450A0000}"/>
    <cellStyle name="20% - Accent6 6 5" xfId="2634" xr:uid="{00000000-0005-0000-0000-0000460A0000}"/>
    <cellStyle name="20% - Accent6 6 5 2" xfId="2635" xr:uid="{00000000-0005-0000-0000-0000470A0000}"/>
    <cellStyle name="20% - Accent6 6 5 3" xfId="2636" xr:uid="{00000000-0005-0000-0000-0000480A0000}"/>
    <cellStyle name="20% - Accent6 6 5 4" xfId="2637" xr:uid="{00000000-0005-0000-0000-0000490A0000}"/>
    <cellStyle name="20% - Accent6 6 6" xfId="2638" xr:uid="{00000000-0005-0000-0000-00004A0A0000}"/>
    <cellStyle name="20% - Accent6 6 6 2" xfId="2639" xr:uid="{00000000-0005-0000-0000-00004B0A0000}"/>
    <cellStyle name="20% - Accent6 6 7" xfId="2640" xr:uid="{00000000-0005-0000-0000-00004C0A0000}"/>
    <cellStyle name="20% - Accent6 6 8" xfId="2641" xr:uid="{00000000-0005-0000-0000-00004D0A0000}"/>
    <cellStyle name="20% - Accent6 6 9" xfId="2642" xr:uid="{00000000-0005-0000-0000-00004E0A0000}"/>
    <cellStyle name="20% - Accent6 7" xfId="2643" xr:uid="{00000000-0005-0000-0000-00004F0A0000}"/>
    <cellStyle name="20% - Accent6 7 2" xfId="2644" xr:uid="{00000000-0005-0000-0000-0000500A0000}"/>
    <cellStyle name="20% - Accent6 7 2 2" xfId="2645" xr:uid="{00000000-0005-0000-0000-0000510A0000}"/>
    <cellStyle name="20% - Accent6 7 2 2 2" xfId="2646" xr:uid="{00000000-0005-0000-0000-0000520A0000}"/>
    <cellStyle name="20% - Accent6 7 2 2 3" xfId="2647" xr:uid="{00000000-0005-0000-0000-0000530A0000}"/>
    <cellStyle name="20% - Accent6 7 2 3" xfId="2648" xr:uid="{00000000-0005-0000-0000-0000540A0000}"/>
    <cellStyle name="20% - Accent6 7 2 4" xfId="2649" xr:uid="{00000000-0005-0000-0000-0000550A0000}"/>
    <cellStyle name="20% - Accent6 7 2 5" xfId="2650" xr:uid="{00000000-0005-0000-0000-0000560A0000}"/>
    <cellStyle name="20% - Accent6 7 2 6" xfId="2651" xr:uid="{00000000-0005-0000-0000-0000570A0000}"/>
    <cellStyle name="20% - Accent6 7 3" xfId="2652" xr:uid="{00000000-0005-0000-0000-0000580A0000}"/>
    <cellStyle name="20% - Accent6 7 3 2" xfId="2653" xr:uid="{00000000-0005-0000-0000-0000590A0000}"/>
    <cellStyle name="20% - Accent6 7 3 2 2" xfId="2654" xr:uid="{00000000-0005-0000-0000-00005A0A0000}"/>
    <cellStyle name="20% - Accent6 7 3 3" xfId="2655" xr:uid="{00000000-0005-0000-0000-00005B0A0000}"/>
    <cellStyle name="20% - Accent6 7 3 4" xfId="2656" xr:uid="{00000000-0005-0000-0000-00005C0A0000}"/>
    <cellStyle name="20% - Accent6 7 3 5" xfId="2657" xr:uid="{00000000-0005-0000-0000-00005D0A0000}"/>
    <cellStyle name="20% - Accent6 7 4" xfId="2658" xr:uid="{00000000-0005-0000-0000-00005E0A0000}"/>
    <cellStyle name="20% - Accent6 7 4 2" xfId="2659" xr:uid="{00000000-0005-0000-0000-00005F0A0000}"/>
    <cellStyle name="20% - Accent6 7 4 3" xfId="2660" xr:uid="{00000000-0005-0000-0000-0000600A0000}"/>
    <cellStyle name="20% - Accent6 7 4 4" xfId="2661" xr:uid="{00000000-0005-0000-0000-0000610A0000}"/>
    <cellStyle name="20% - Accent6 7 5" xfId="2662" xr:uid="{00000000-0005-0000-0000-0000620A0000}"/>
    <cellStyle name="20% - Accent6 7 5 2" xfId="2663" xr:uid="{00000000-0005-0000-0000-0000630A0000}"/>
    <cellStyle name="20% - Accent6 7 6" xfId="2664" xr:uid="{00000000-0005-0000-0000-0000640A0000}"/>
    <cellStyle name="20% - Accent6 7 7" xfId="2665" xr:uid="{00000000-0005-0000-0000-0000650A0000}"/>
    <cellStyle name="20% - Accent6 7 8" xfId="2666" xr:uid="{00000000-0005-0000-0000-0000660A0000}"/>
    <cellStyle name="20% - Accent6 7 9" xfId="2667" xr:uid="{00000000-0005-0000-0000-0000670A0000}"/>
    <cellStyle name="20% - Accent6 8" xfId="2668" xr:uid="{00000000-0005-0000-0000-0000680A0000}"/>
    <cellStyle name="20% - Accent6 8 2" xfId="2669" xr:uid="{00000000-0005-0000-0000-0000690A0000}"/>
    <cellStyle name="20% - Accent6 8 2 2" xfId="2670" xr:uid="{00000000-0005-0000-0000-00006A0A0000}"/>
    <cellStyle name="20% - Accent6 8 2 2 2" xfId="2671" xr:uid="{00000000-0005-0000-0000-00006B0A0000}"/>
    <cellStyle name="20% - Accent6 8 2 2 3" xfId="2672" xr:uid="{00000000-0005-0000-0000-00006C0A0000}"/>
    <cellStyle name="20% - Accent6 8 2 3" xfId="2673" xr:uid="{00000000-0005-0000-0000-00006D0A0000}"/>
    <cellStyle name="20% - Accent6 8 2 4" xfId="2674" xr:uid="{00000000-0005-0000-0000-00006E0A0000}"/>
    <cellStyle name="20% - Accent6 8 2 5" xfId="2675" xr:uid="{00000000-0005-0000-0000-00006F0A0000}"/>
    <cellStyle name="20% - Accent6 8 2 6" xfId="2676" xr:uid="{00000000-0005-0000-0000-0000700A0000}"/>
    <cellStyle name="20% - Accent6 8 3" xfId="2677" xr:uid="{00000000-0005-0000-0000-0000710A0000}"/>
    <cellStyle name="20% - Accent6 8 3 2" xfId="2678" xr:uid="{00000000-0005-0000-0000-0000720A0000}"/>
    <cellStyle name="20% - Accent6 8 3 2 2" xfId="2679" xr:uid="{00000000-0005-0000-0000-0000730A0000}"/>
    <cellStyle name="20% - Accent6 8 3 3" xfId="2680" xr:uid="{00000000-0005-0000-0000-0000740A0000}"/>
    <cellStyle name="20% - Accent6 8 3 4" xfId="2681" xr:uid="{00000000-0005-0000-0000-0000750A0000}"/>
    <cellStyle name="20% - Accent6 8 3 5" xfId="2682" xr:uid="{00000000-0005-0000-0000-0000760A0000}"/>
    <cellStyle name="20% - Accent6 8 4" xfId="2683" xr:uid="{00000000-0005-0000-0000-0000770A0000}"/>
    <cellStyle name="20% - Accent6 8 4 2" xfId="2684" xr:uid="{00000000-0005-0000-0000-0000780A0000}"/>
    <cellStyle name="20% - Accent6 8 4 3" xfId="2685" xr:uid="{00000000-0005-0000-0000-0000790A0000}"/>
    <cellStyle name="20% - Accent6 8 4 4" xfId="2686" xr:uid="{00000000-0005-0000-0000-00007A0A0000}"/>
    <cellStyle name="20% - Accent6 8 5" xfId="2687" xr:uid="{00000000-0005-0000-0000-00007B0A0000}"/>
    <cellStyle name="20% - Accent6 8 5 2" xfId="2688" xr:uid="{00000000-0005-0000-0000-00007C0A0000}"/>
    <cellStyle name="20% - Accent6 8 6" xfId="2689" xr:uid="{00000000-0005-0000-0000-00007D0A0000}"/>
    <cellStyle name="20% - Accent6 8 7" xfId="2690" xr:uid="{00000000-0005-0000-0000-00007E0A0000}"/>
    <cellStyle name="20% - Accent6 8 8" xfId="2691" xr:uid="{00000000-0005-0000-0000-00007F0A0000}"/>
    <cellStyle name="20% - Accent6 8 9" xfId="2692" xr:uid="{00000000-0005-0000-0000-0000800A0000}"/>
    <cellStyle name="20% - Accent6 9" xfId="2693" xr:uid="{00000000-0005-0000-0000-0000810A0000}"/>
    <cellStyle name="20% - Accent6 9 2" xfId="2694" xr:uid="{00000000-0005-0000-0000-0000820A0000}"/>
    <cellStyle name="20% - Accent6 9 2 2" xfId="2695" xr:uid="{00000000-0005-0000-0000-0000830A0000}"/>
    <cellStyle name="20% - Accent6 9 2 2 2" xfId="2696" xr:uid="{00000000-0005-0000-0000-0000840A0000}"/>
    <cellStyle name="20% - Accent6 9 2 3" xfId="2697" xr:uid="{00000000-0005-0000-0000-0000850A0000}"/>
    <cellStyle name="20% - Accent6 9 2 4" xfId="2698" xr:uid="{00000000-0005-0000-0000-0000860A0000}"/>
    <cellStyle name="20% - Accent6 9 2 5" xfId="2699" xr:uid="{00000000-0005-0000-0000-0000870A0000}"/>
    <cellStyle name="20% - Accent6 9 3" xfId="2700" xr:uid="{00000000-0005-0000-0000-0000880A0000}"/>
    <cellStyle name="20% - Accent6 9 3 2" xfId="2701" xr:uid="{00000000-0005-0000-0000-0000890A0000}"/>
    <cellStyle name="20% - Accent6 9 3 3" xfId="2702" xr:uid="{00000000-0005-0000-0000-00008A0A0000}"/>
    <cellStyle name="20% - Accent6 9 3 4" xfId="2703" xr:uid="{00000000-0005-0000-0000-00008B0A0000}"/>
    <cellStyle name="20% - Accent6 9 4" xfId="2704" xr:uid="{00000000-0005-0000-0000-00008C0A0000}"/>
    <cellStyle name="20% - Accent6 9 4 2" xfId="2705" xr:uid="{00000000-0005-0000-0000-00008D0A0000}"/>
    <cellStyle name="20% - Accent6 9 5" xfId="2706" xr:uid="{00000000-0005-0000-0000-00008E0A0000}"/>
    <cellStyle name="20% - Accent6 9 6" xfId="2707" xr:uid="{00000000-0005-0000-0000-00008F0A0000}"/>
    <cellStyle name="20% - Accent6 9 7" xfId="2708" xr:uid="{00000000-0005-0000-0000-0000900A0000}"/>
    <cellStyle name="20% - Accent6 9 8" xfId="2709" xr:uid="{00000000-0005-0000-0000-0000910A0000}"/>
    <cellStyle name="40% - Accent1 10" xfId="2710" xr:uid="{00000000-0005-0000-0000-0000920A0000}"/>
    <cellStyle name="40% - Accent1 10 2" xfId="2711" xr:uid="{00000000-0005-0000-0000-0000930A0000}"/>
    <cellStyle name="40% - Accent1 10 2 2" xfId="2712" xr:uid="{00000000-0005-0000-0000-0000940A0000}"/>
    <cellStyle name="40% - Accent1 10 2 2 2" xfId="2713" xr:uid="{00000000-0005-0000-0000-0000950A0000}"/>
    <cellStyle name="40% - Accent1 10 2 3" xfId="2714" xr:uid="{00000000-0005-0000-0000-0000960A0000}"/>
    <cellStyle name="40% - Accent1 10 2 4" xfId="2715" xr:uid="{00000000-0005-0000-0000-0000970A0000}"/>
    <cellStyle name="40% - Accent1 10 2 5" xfId="2716" xr:uid="{00000000-0005-0000-0000-0000980A0000}"/>
    <cellStyle name="40% - Accent1 10 3" xfId="2717" xr:uid="{00000000-0005-0000-0000-0000990A0000}"/>
    <cellStyle name="40% - Accent1 10 3 2" xfId="2718" xr:uid="{00000000-0005-0000-0000-00009A0A0000}"/>
    <cellStyle name="40% - Accent1 10 3 3" xfId="2719" xr:uid="{00000000-0005-0000-0000-00009B0A0000}"/>
    <cellStyle name="40% - Accent1 10 3 4" xfId="2720" xr:uid="{00000000-0005-0000-0000-00009C0A0000}"/>
    <cellStyle name="40% - Accent1 10 4" xfId="2721" xr:uid="{00000000-0005-0000-0000-00009D0A0000}"/>
    <cellStyle name="40% - Accent1 10 4 2" xfId="2722" xr:uid="{00000000-0005-0000-0000-00009E0A0000}"/>
    <cellStyle name="40% - Accent1 10 5" xfId="2723" xr:uid="{00000000-0005-0000-0000-00009F0A0000}"/>
    <cellStyle name="40% - Accent1 10 6" xfId="2724" xr:uid="{00000000-0005-0000-0000-0000A00A0000}"/>
    <cellStyle name="40% - Accent1 10 7" xfId="2725" xr:uid="{00000000-0005-0000-0000-0000A10A0000}"/>
    <cellStyle name="40% - Accent1 10 8" xfId="2726" xr:uid="{00000000-0005-0000-0000-0000A20A0000}"/>
    <cellStyle name="40% - Accent1 11" xfId="2727" xr:uid="{00000000-0005-0000-0000-0000A30A0000}"/>
    <cellStyle name="40% - Accent1 11 2" xfId="2728" xr:uid="{00000000-0005-0000-0000-0000A40A0000}"/>
    <cellStyle name="40% - Accent1 11 2 2" xfId="2729" xr:uid="{00000000-0005-0000-0000-0000A50A0000}"/>
    <cellStyle name="40% - Accent1 11 2 2 2" xfId="2730" xr:uid="{00000000-0005-0000-0000-0000A60A0000}"/>
    <cellStyle name="40% - Accent1 11 2 3" xfId="2731" xr:uid="{00000000-0005-0000-0000-0000A70A0000}"/>
    <cellStyle name="40% - Accent1 11 2 4" xfId="2732" xr:uid="{00000000-0005-0000-0000-0000A80A0000}"/>
    <cellStyle name="40% - Accent1 11 2 5" xfId="2733" xr:uid="{00000000-0005-0000-0000-0000A90A0000}"/>
    <cellStyle name="40% - Accent1 11 3" xfId="2734" xr:uid="{00000000-0005-0000-0000-0000AA0A0000}"/>
    <cellStyle name="40% - Accent1 11 3 2" xfId="2735" xr:uid="{00000000-0005-0000-0000-0000AB0A0000}"/>
    <cellStyle name="40% - Accent1 11 3 3" xfId="2736" xr:uid="{00000000-0005-0000-0000-0000AC0A0000}"/>
    <cellStyle name="40% - Accent1 11 3 4" xfId="2737" xr:uid="{00000000-0005-0000-0000-0000AD0A0000}"/>
    <cellStyle name="40% - Accent1 11 4" xfId="2738" xr:uid="{00000000-0005-0000-0000-0000AE0A0000}"/>
    <cellStyle name="40% - Accent1 11 4 2" xfId="2739" xr:uid="{00000000-0005-0000-0000-0000AF0A0000}"/>
    <cellStyle name="40% - Accent1 11 5" xfId="2740" xr:uid="{00000000-0005-0000-0000-0000B00A0000}"/>
    <cellStyle name="40% - Accent1 11 6" xfId="2741" xr:uid="{00000000-0005-0000-0000-0000B10A0000}"/>
    <cellStyle name="40% - Accent1 11 7" xfId="2742" xr:uid="{00000000-0005-0000-0000-0000B20A0000}"/>
    <cellStyle name="40% - Accent1 11 8" xfId="2743" xr:uid="{00000000-0005-0000-0000-0000B30A0000}"/>
    <cellStyle name="40% - Accent1 12" xfId="2744" xr:uid="{00000000-0005-0000-0000-0000B40A0000}"/>
    <cellStyle name="40% - Accent1 12 2" xfId="2745" xr:uid="{00000000-0005-0000-0000-0000B50A0000}"/>
    <cellStyle name="40% - Accent1 12 2 2" xfId="2746" xr:uid="{00000000-0005-0000-0000-0000B60A0000}"/>
    <cellStyle name="40% - Accent1 12 2 2 2" xfId="2747" xr:uid="{00000000-0005-0000-0000-0000B70A0000}"/>
    <cellStyle name="40% - Accent1 12 2 3" xfId="2748" xr:uid="{00000000-0005-0000-0000-0000B80A0000}"/>
    <cellStyle name="40% - Accent1 12 2 4" xfId="2749" xr:uid="{00000000-0005-0000-0000-0000B90A0000}"/>
    <cellStyle name="40% - Accent1 12 2 5" xfId="2750" xr:uid="{00000000-0005-0000-0000-0000BA0A0000}"/>
    <cellStyle name="40% - Accent1 12 3" xfId="2751" xr:uid="{00000000-0005-0000-0000-0000BB0A0000}"/>
    <cellStyle name="40% - Accent1 12 3 2" xfId="2752" xr:uid="{00000000-0005-0000-0000-0000BC0A0000}"/>
    <cellStyle name="40% - Accent1 12 3 3" xfId="2753" xr:uid="{00000000-0005-0000-0000-0000BD0A0000}"/>
    <cellStyle name="40% - Accent1 12 3 4" xfId="2754" xr:uid="{00000000-0005-0000-0000-0000BE0A0000}"/>
    <cellStyle name="40% - Accent1 12 4" xfId="2755" xr:uid="{00000000-0005-0000-0000-0000BF0A0000}"/>
    <cellStyle name="40% - Accent1 12 4 2" xfId="2756" xr:uid="{00000000-0005-0000-0000-0000C00A0000}"/>
    <cellStyle name="40% - Accent1 12 5" xfId="2757" xr:uid="{00000000-0005-0000-0000-0000C10A0000}"/>
    <cellStyle name="40% - Accent1 12 6" xfId="2758" xr:uid="{00000000-0005-0000-0000-0000C20A0000}"/>
    <cellStyle name="40% - Accent1 12 7" xfId="2759" xr:uid="{00000000-0005-0000-0000-0000C30A0000}"/>
    <cellStyle name="40% - Accent1 12 8" xfId="2760" xr:uid="{00000000-0005-0000-0000-0000C40A0000}"/>
    <cellStyle name="40% - Accent1 13" xfId="2761" xr:uid="{00000000-0005-0000-0000-0000C50A0000}"/>
    <cellStyle name="40% - Accent1 13 2" xfId="2762" xr:uid="{00000000-0005-0000-0000-0000C60A0000}"/>
    <cellStyle name="40% - Accent1 13 2 2" xfId="2763" xr:uid="{00000000-0005-0000-0000-0000C70A0000}"/>
    <cellStyle name="40% - Accent1 13 2 3" xfId="2764" xr:uid="{00000000-0005-0000-0000-0000C80A0000}"/>
    <cellStyle name="40% - Accent1 13 2 4" xfId="2765" xr:uid="{00000000-0005-0000-0000-0000C90A0000}"/>
    <cellStyle name="40% - Accent1 13 3" xfId="2766" xr:uid="{00000000-0005-0000-0000-0000CA0A0000}"/>
    <cellStyle name="40% - Accent1 13 3 2" xfId="2767" xr:uid="{00000000-0005-0000-0000-0000CB0A0000}"/>
    <cellStyle name="40% - Accent1 13 4" xfId="2768" xr:uid="{00000000-0005-0000-0000-0000CC0A0000}"/>
    <cellStyle name="40% - Accent1 13 5" xfId="2769" xr:uid="{00000000-0005-0000-0000-0000CD0A0000}"/>
    <cellStyle name="40% - Accent1 13 6" xfId="2770" xr:uid="{00000000-0005-0000-0000-0000CE0A0000}"/>
    <cellStyle name="40% - Accent1 14" xfId="2771" xr:uid="{00000000-0005-0000-0000-0000CF0A0000}"/>
    <cellStyle name="40% - Accent1 14 2" xfId="2772" xr:uid="{00000000-0005-0000-0000-0000D00A0000}"/>
    <cellStyle name="40% - Accent1 14 2 2" xfId="2773" xr:uid="{00000000-0005-0000-0000-0000D10A0000}"/>
    <cellStyle name="40% - Accent1 14 3" xfId="2774" xr:uid="{00000000-0005-0000-0000-0000D20A0000}"/>
    <cellStyle name="40% - Accent1 14 4" xfId="2775" xr:uid="{00000000-0005-0000-0000-0000D30A0000}"/>
    <cellStyle name="40% - Accent1 14 5" xfId="2776" xr:uid="{00000000-0005-0000-0000-0000D40A0000}"/>
    <cellStyle name="40% - Accent1 15" xfId="2777" xr:uid="{00000000-0005-0000-0000-0000D50A0000}"/>
    <cellStyle name="40% - Accent1 15 2" xfId="2778" xr:uid="{00000000-0005-0000-0000-0000D60A0000}"/>
    <cellStyle name="40% - Accent1 15 2 2" xfId="2779" xr:uid="{00000000-0005-0000-0000-0000D70A0000}"/>
    <cellStyle name="40% - Accent1 15 3" xfId="2780" xr:uid="{00000000-0005-0000-0000-0000D80A0000}"/>
    <cellStyle name="40% - Accent1 15 4" xfId="2781" xr:uid="{00000000-0005-0000-0000-0000D90A0000}"/>
    <cellStyle name="40% - Accent1 15 5" xfId="2782" xr:uid="{00000000-0005-0000-0000-0000DA0A0000}"/>
    <cellStyle name="40% - Accent1 16" xfId="2783" xr:uid="{00000000-0005-0000-0000-0000DB0A0000}"/>
    <cellStyle name="40% - Accent1 16 2" xfId="2784" xr:uid="{00000000-0005-0000-0000-0000DC0A0000}"/>
    <cellStyle name="40% - Accent1 17" xfId="2785" xr:uid="{00000000-0005-0000-0000-0000DD0A0000}"/>
    <cellStyle name="40% - Accent1 18" xfId="2786" xr:uid="{00000000-0005-0000-0000-0000DE0A0000}"/>
    <cellStyle name="40% - Accent1 19" xfId="2787" xr:uid="{00000000-0005-0000-0000-0000DF0A0000}"/>
    <cellStyle name="40% - Accent1 2" xfId="2788" xr:uid="{00000000-0005-0000-0000-0000E00A0000}"/>
    <cellStyle name="40% - Accent1 2 10" xfId="2789" xr:uid="{00000000-0005-0000-0000-0000E10A0000}"/>
    <cellStyle name="40% - Accent1 2 11" xfId="2790" xr:uid="{00000000-0005-0000-0000-0000E20A0000}"/>
    <cellStyle name="40% - Accent1 2 2" xfId="2791" xr:uid="{00000000-0005-0000-0000-0000E30A0000}"/>
    <cellStyle name="40% - Accent1 2 2 10" xfId="2792" xr:uid="{00000000-0005-0000-0000-0000E40A0000}"/>
    <cellStyle name="40% - Accent1 2 2 2" xfId="2793" xr:uid="{00000000-0005-0000-0000-0000E50A0000}"/>
    <cellStyle name="40% - Accent1 2 2 2 2" xfId="2794" xr:uid="{00000000-0005-0000-0000-0000E60A0000}"/>
    <cellStyle name="40% - Accent1 2 2 2 2 2" xfId="2795" xr:uid="{00000000-0005-0000-0000-0000E70A0000}"/>
    <cellStyle name="40% - Accent1 2 2 2 2 2 2" xfId="2796" xr:uid="{00000000-0005-0000-0000-0000E80A0000}"/>
    <cellStyle name="40% - Accent1 2 2 2 2 2 3" xfId="2797" xr:uid="{00000000-0005-0000-0000-0000E90A0000}"/>
    <cellStyle name="40% - Accent1 2 2 2 2 3" xfId="2798" xr:uid="{00000000-0005-0000-0000-0000EA0A0000}"/>
    <cellStyle name="40% - Accent1 2 2 2 2 4" xfId="2799" xr:uid="{00000000-0005-0000-0000-0000EB0A0000}"/>
    <cellStyle name="40% - Accent1 2 2 2 2 5" xfId="2800" xr:uid="{00000000-0005-0000-0000-0000EC0A0000}"/>
    <cellStyle name="40% - Accent1 2 2 2 2 6" xfId="2801" xr:uid="{00000000-0005-0000-0000-0000ED0A0000}"/>
    <cellStyle name="40% - Accent1 2 2 2 3" xfId="2802" xr:uid="{00000000-0005-0000-0000-0000EE0A0000}"/>
    <cellStyle name="40% - Accent1 2 2 2 3 2" xfId="2803" xr:uid="{00000000-0005-0000-0000-0000EF0A0000}"/>
    <cellStyle name="40% - Accent1 2 2 2 3 2 2" xfId="2804" xr:uid="{00000000-0005-0000-0000-0000F00A0000}"/>
    <cellStyle name="40% - Accent1 2 2 2 3 3" xfId="2805" xr:uid="{00000000-0005-0000-0000-0000F10A0000}"/>
    <cellStyle name="40% - Accent1 2 2 2 3 4" xfId="2806" xr:uid="{00000000-0005-0000-0000-0000F20A0000}"/>
    <cellStyle name="40% - Accent1 2 2 2 3 5" xfId="2807" xr:uid="{00000000-0005-0000-0000-0000F30A0000}"/>
    <cellStyle name="40% - Accent1 2 2 2 4" xfId="2808" xr:uid="{00000000-0005-0000-0000-0000F40A0000}"/>
    <cellStyle name="40% - Accent1 2 2 2 4 2" xfId="2809" xr:uid="{00000000-0005-0000-0000-0000F50A0000}"/>
    <cellStyle name="40% - Accent1 2 2 2 4 3" xfId="2810" xr:uid="{00000000-0005-0000-0000-0000F60A0000}"/>
    <cellStyle name="40% - Accent1 2 2 2 4 4" xfId="2811" xr:uid="{00000000-0005-0000-0000-0000F70A0000}"/>
    <cellStyle name="40% - Accent1 2 2 2 5" xfId="2812" xr:uid="{00000000-0005-0000-0000-0000F80A0000}"/>
    <cellStyle name="40% - Accent1 2 2 2 5 2" xfId="2813" xr:uid="{00000000-0005-0000-0000-0000F90A0000}"/>
    <cellStyle name="40% - Accent1 2 2 2 6" xfId="2814" xr:uid="{00000000-0005-0000-0000-0000FA0A0000}"/>
    <cellStyle name="40% - Accent1 2 2 2 7" xfId="2815" xr:uid="{00000000-0005-0000-0000-0000FB0A0000}"/>
    <cellStyle name="40% - Accent1 2 2 2 8" xfId="2816" xr:uid="{00000000-0005-0000-0000-0000FC0A0000}"/>
    <cellStyle name="40% - Accent1 2 2 2 9" xfId="2817" xr:uid="{00000000-0005-0000-0000-0000FD0A0000}"/>
    <cellStyle name="40% - Accent1 2 2 3" xfId="2818" xr:uid="{00000000-0005-0000-0000-0000FE0A0000}"/>
    <cellStyle name="40% - Accent1 2 2 3 2" xfId="2819" xr:uid="{00000000-0005-0000-0000-0000FF0A0000}"/>
    <cellStyle name="40% - Accent1 2 2 3 2 2" xfId="2820" xr:uid="{00000000-0005-0000-0000-0000000B0000}"/>
    <cellStyle name="40% - Accent1 2 2 3 2 3" xfId="2821" xr:uid="{00000000-0005-0000-0000-0000010B0000}"/>
    <cellStyle name="40% - Accent1 2 2 3 3" xfId="2822" xr:uid="{00000000-0005-0000-0000-0000020B0000}"/>
    <cellStyle name="40% - Accent1 2 2 3 4" xfId="2823" xr:uid="{00000000-0005-0000-0000-0000030B0000}"/>
    <cellStyle name="40% - Accent1 2 2 3 5" xfId="2824" xr:uid="{00000000-0005-0000-0000-0000040B0000}"/>
    <cellStyle name="40% - Accent1 2 2 3 6" xfId="2825" xr:uid="{00000000-0005-0000-0000-0000050B0000}"/>
    <cellStyle name="40% - Accent1 2 2 4" xfId="2826" xr:uid="{00000000-0005-0000-0000-0000060B0000}"/>
    <cellStyle name="40% - Accent1 2 2 4 2" xfId="2827" xr:uid="{00000000-0005-0000-0000-0000070B0000}"/>
    <cellStyle name="40% - Accent1 2 2 4 2 2" xfId="2828" xr:uid="{00000000-0005-0000-0000-0000080B0000}"/>
    <cellStyle name="40% - Accent1 2 2 4 3" xfId="2829" xr:uid="{00000000-0005-0000-0000-0000090B0000}"/>
    <cellStyle name="40% - Accent1 2 2 4 4" xfId="2830" xr:uid="{00000000-0005-0000-0000-00000A0B0000}"/>
    <cellStyle name="40% - Accent1 2 2 4 5" xfId="2831" xr:uid="{00000000-0005-0000-0000-00000B0B0000}"/>
    <cellStyle name="40% - Accent1 2 2 5" xfId="2832" xr:uid="{00000000-0005-0000-0000-00000C0B0000}"/>
    <cellStyle name="40% - Accent1 2 2 5 2" xfId="2833" xr:uid="{00000000-0005-0000-0000-00000D0B0000}"/>
    <cellStyle name="40% - Accent1 2 2 5 3" xfId="2834" xr:uid="{00000000-0005-0000-0000-00000E0B0000}"/>
    <cellStyle name="40% - Accent1 2 2 5 4" xfId="2835" xr:uid="{00000000-0005-0000-0000-00000F0B0000}"/>
    <cellStyle name="40% - Accent1 2 2 6" xfId="2836" xr:uid="{00000000-0005-0000-0000-0000100B0000}"/>
    <cellStyle name="40% - Accent1 2 2 6 2" xfId="2837" xr:uid="{00000000-0005-0000-0000-0000110B0000}"/>
    <cellStyle name="40% - Accent1 2 2 7" xfId="2838" xr:uid="{00000000-0005-0000-0000-0000120B0000}"/>
    <cellStyle name="40% - Accent1 2 2 8" xfId="2839" xr:uid="{00000000-0005-0000-0000-0000130B0000}"/>
    <cellStyle name="40% - Accent1 2 2 9" xfId="2840" xr:uid="{00000000-0005-0000-0000-0000140B0000}"/>
    <cellStyle name="40% - Accent1 2 3" xfId="2841" xr:uid="{00000000-0005-0000-0000-0000150B0000}"/>
    <cellStyle name="40% - Accent1 2 3 2" xfId="2842" xr:uid="{00000000-0005-0000-0000-0000160B0000}"/>
    <cellStyle name="40% - Accent1 2 3 2 2" xfId="2843" xr:uid="{00000000-0005-0000-0000-0000170B0000}"/>
    <cellStyle name="40% - Accent1 2 3 2 2 2" xfId="2844" xr:uid="{00000000-0005-0000-0000-0000180B0000}"/>
    <cellStyle name="40% - Accent1 2 3 2 2 3" xfId="2845" xr:uid="{00000000-0005-0000-0000-0000190B0000}"/>
    <cellStyle name="40% - Accent1 2 3 2 3" xfId="2846" xr:uid="{00000000-0005-0000-0000-00001A0B0000}"/>
    <cellStyle name="40% - Accent1 2 3 2 4" xfId="2847" xr:uid="{00000000-0005-0000-0000-00001B0B0000}"/>
    <cellStyle name="40% - Accent1 2 3 2 5" xfId="2848" xr:uid="{00000000-0005-0000-0000-00001C0B0000}"/>
    <cellStyle name="40% - Accent1 2 3 2 6" xfId="2849" xr:uid="{00000000-0005-0000-0000-00001D0B0000}"/>
    <cellStyle name="40% - Accent1 2 3 3" xfId="2850" xr:uid="{00000000-0005-0000-0000-00001E0B0000}"/>
    <cellStyle name="40% - Accent1 2 3 3 2" xfId="2851" xr:uid="{00000000-0005-0000-0000-00001F0B0000}"/>
    <cellStyle name="40% - Accent1 2 3 3 2 2" xfId="2852" xr:uid="{00000000-0005-0000-0000-0000200B0000}"/>
    <cellStyle name="40% - Accent1 2 3 3 3" xfId="2853" xr:uid="{00000000-0005-0000-0000-0000210B0000}"/>
    <cellStyle name="40% - Accent1 2 3 3 4" xfId="2854" xr:uid="{00000000-0005-0000-0000-0000220B0000}"/>
    <cellStyle name="40% - Accent1 2 3 3 5" xfId="2855" xr:uid="{00000000-0005-0000-0000-0000230B0000}"/>
    <cellStyle name="40% - Accent1 2 3 4" xfId="2856" xr:uid="{00000000-0005-0000-0000-0000240B0000}"/>
    <cellStyle name="40% - Accent1 2 3 4 2" xfId="2857" xr:uid="{00000000-0005-0000-0000-0000250B0000}"/>
    <cellStyle name="40% - Accent1 2 3 4 3" xfId="2858" xr:uid="{00000000-0005-0000-0000-0000260B0000}"/>
    <cellStyle name="40% - Accent1 2 3 4 4" xfId="2859" xr:uid="{00000000-0005-0000-0000-0000270B0000}"/>
    <cellStyle name="40% - Accent1 2 3 5" xfId="2860" xr:uid="{00000000-0005-0000-0000-0000280B0000}"/>
    <cellStyle name="40% - Accent1 2 3 5 2" xfId="2861" xr:uid="{00000000-0005-0000-0000-0000290B0000}"/>
    <cellStyle name="40% - Accent1 2 3 6" xfId="2862" xr:uid="{00000000-0005-0000-0000-00002A0B0000}"/>
    <cellStyle name="40% - Accent1 2 3 7" xfId="2863" xr:uid="{00000000-0005-0000-0000-00002B0B0000}"/>
    <cellStyle name="40% - Accent1 2 3 8" xfId="2864" xr:uid="{00000000-0005-0000-0000-00002C0B0000}"/>
    <cellStyle name="40% - Accent1 2 3 9" xfId="2865" xr:uid="{00000000-0005-0000-0000-00002D0B0000}"/>
    <cellStyle name="40% - Accent1 2 4" xfId="2866" xr:uid="{00000000-0005-0000-0000-00002E0B0000}"/>
    <cellStyle name="40% - Accent1 2 4 2" xfId="2867" xr:uid="{00000000-0005-0000-0000-00002F0B0000}"/>
    <cellStyle name="40% - Accent1 2 4 2 2" xfId="2868" xr:uid="{00000000-0005-0000-0000-0000300B0000}"/>
    <cellStyle name="40% - Accent1 2 4 2 3" xfId="2869" xr:uid="{00000000-0005-0000-0000-0000310B0000}"/>
    <cellStyle name="40% - Accent1 2 4 3" xfId="2870" xr:uid="{00000000-0005-0000-0000-0000320B0000}"/>
    <cellStyle name="40% - Accent1 2 4 4" xfId="2871" xr:uid="{00000000-0005-0000-0000-0000330B0000}"/>
    <cellStyle name="40% - Accent1 2 4 5" xfId="2872" xr:uid="{00000000-0005-0000-0000-0000340B0000}"/>
    <cellStyle name="40% - Accent1 2 4 6" xfId="2873" xr:uid="{00000000-0005-0000-0000-0000350B0000}"/>
    <cellStyle name="40% - Accent1 2 5" xfId="2874" xr:uid="{00000000-0005-0000-0000-0000360B0000}"/>
    <cellStyle name="40% - Accent1 2 5 2" xfId="2875" xr:uid="{00000000-0005-0000-0000-0000370B0000}"/>
    <cellStyle name="40% - Accent1 2 5 2 2" xfId="2876" xr:uid="{00000000-0005-0000-0000-0000380B0000}"/>
    <cellStyle name="40% - Accent1 2 5 3" xfId="2877" xr:uid="{00000000-0005-0000-0000-0000390B0000}"/>
    <cellStyle name="40% - Accent1 2 5 4" xfId="2878" xr:uid="{00000000-0005-0000-0000-00003A0B0000}"/>
    <cellStyle name="40% - Accent1 2 5 5" xfId="2879" xr:uid="{00000000-0005-0000-0000-00003B0B0000}"/>
    <cellStyle name="40% - Accent1 2 6" xfId="2880" xr:uid="{00000000-0005-0000-0000-00003C0B0000}"/>
    <cellStyle name="40% - Accent1 2 6 2" xfId="2881" xr:uid="{00000000-0005-0000-0000-00003D0B0000}"/>
    <cellStyle name="40% - Accent1 2 6 2 2" xfId="2882" xr:uid="{00000000-0005-0000-0000-00003E0B0000}"/>
    <cellStyle name="40% - Accent1 2 6 3" xfId="2883" xr:uid="{00000000-0005-0000-0000-00003F0B0000}"/>
    <cellStyle name="40% - Accent1 2 6 4" xfId="2884" xr:uid="{00000000-0005-0000-0000-0000400B0000}"/>
    <cellStyle name="40% - Accent1 2 6 5" xfId="2885" xr:uid="{00000000-0005-0000-0000-0000410B0000}"/>
    <cellStyle name="40% - Accent1 2 7" xfId="2886" xr:uid="{00000000-0005-0000-0000-0000420B0000}"/>
    <cellStyle name="40% - Accent1 2 7 2" xfId="2887" xr:uid="{00000000-0005-0000-0000-0000430B0000}"/>
    <cellStyle name="40% - Accent1 2 8" xfId="2888" xr:uid="{00000000-0005-0000-0000-0000440B0000}"/>
    <cellStyle name="40% - Accent1 2 9" xfId="2889" xr:uid="{00000000-0005-0000-0000-0000450B0000}"/>
    <cellStyle name="40% - Accent1 3" xfId="2890" xr:uid="{00000000-0005-0000-0000-0000460B0000}"/>
    <cellStyle name="40% - Accent1 3 10" xfId="2891" xr:uid="{00000000-0005-0000-0000-0000470B0000}"/>
    <cellStyle name="40% - Accent1 3 2" xfId="2892" xr:uid="{00000000-0005-0000-0000-0000480B0000}"/>
    <cellStyle name="40% - Accent1 3 2 2" xfId="2893" xr:uid="{00000000-0005-0000-0000-0000490B0000}"/>
    <cellStyle name="40% - Accent1 3 2 2 2" xfId="2894" xr:uid="{00000000-0005-0000-0000-00004A0B0000}"/>
    <cellStyle name="40% - Accent1 3 2 2 2 2" xfId="2895" xr:uid="{00000000-0005-0000-0000-00004B0B0000}"/>
    <cellStyle name="40% - Accent1 3 2 2 2 3" xfId="2896" xr:uid="{00000000-0005-0000-0000-00004C0B0000}"/>
    <cellStyle name="40% - Accent1 3 2 2 3" xfId="2897" xr:uid="{00000000-0005-0000-0000-00004D0B0000}"/>
    <cellStyle name="40% - Accent1 3 2 2 4" xfId="2898" xr:uid="{00000000-0005-0000-0000-00004E0B0000}"/>
    <cellStyle name="40% - Accent1 3 2 2 5" xfId="2899" xr:uid="{00000000-0005-0000-0000-00004F0B0000}"/>
    <cellStyle name="40% - Accent1 3 2 2 6" xfId="2900" xr:uid="{00000000-0005-0000-0000-0000500B0000}"/>
    <cellStyle name="40% - Accent1 3 2 3" xfId="2901" xr:uid="{00000000-0005-0000-0000-0000510B0000}"/>
    <cellStyle name="40% - Accent1 3 2 3 2" xfId="2902" xr:uid="{00000000-0005-0000-0000-0000520B0000}"/>
    <cellStyle name="40% - Accent1 3 2 3 2 2" xfId="2903" xr:uid="{00000000-0005-0000-0000-0000530B0000}"/>
    <cellStyle name="40% - Accent1 3 2 3 3" xfId="2904" xr:uid="{00000000-0005-0000-0000-0000540B0000}"/>
    <cellStyle name="40% - Accent1 3 2 3 4" xfId="2905" xr:uid="{00000000-0005-0000-0000-0000550B0000}"/>
    <cellStyle name="40% - Accent1 3 2 3 5" xfId="2906" xr:uid="{00000000-0005-0000-0000-0000560B0000}"/>
    <cellStyle name="40% - Accent1 3 2 4" xfId="2907" xr:uid="{00000000-0005-0000-0000-0000570B0000}"/>
    <cellStyle name="40% - Accent1 3 2 4 2" xfId="2908" xr:uid="{00000000-0005-0000-0000-0000580B0000}"/>
    <cellStyle name="40% - Accent1 3 2 4 3" xfId="2909" xr:uid="{00000000-0005-0000-0000-0000590B0000}"/>
    <cellStyle name="40% - Accent1 3 2 4 4" xfId="2910" xr:uid="{00000000-0005-0000-0000-00005A0B0000}"/>
    <cellStyle name="40% - Accent1 3 2 5" xfId="2911" xr:uid="{00000000-0005-0000-0000-00005B0B0000}"/>
    <cellStyle name="40% - Accent1 3 2 5 2" xfId="2912" xr:uid="{00000000-0005-0000-0000-00005C0B0000}"/>
    <cellStyle name="40% - Accent1 3 2 6" xfId="2913" xr:uid="{00000000-0005-0000-0000-00005D0B0000}"/>
    <cellStyle name="40% - Accent1 3 2 7" xfId="2914" xr:uid="{00000000-0005-0000-0000-00005E0B0000}"/>
    <cellStyle name="40% - Accent1 3 2 8" xfId="2915" xr:uid="{00000000-0005-0000-0000-00005F0B0000}"/>
    <cellStyle name="40% - Accent1 3 2 9" xfId="2916" xr:uid="{00000000-0005-0000-0000-0000600B0000}"/>
    <cellStyle name="40% - Accent1 3 3" xfId="2917" xr:uid="{00000000-0005-0000-0000-0000610B0000}"/>
    <cellStyle name="40% - Accent1 3 3 2" xfId="2918" xr:uid="{00000000-0005-0000-0000-0000620B0000}"/>
    <cellStyle name="40% - Accent1 3 3 2 2" xfId="2919" xr:uid="{00000000-0005-0000-0000-0000630B0000}"/>
    <cellStyle name="40% - Accent1 3 3 2 3" xfId="2920" xr:uid="{00000000-0005-0000-0000-0000640B0000}"/>
    <cellStyle name="40% - Accent1 3 3 3" xfId="2921" xr:uid="{00000000-0005-0000-0000-0000650B0000}"/>
    <cellStyle name="40% - Accent1 3 3 4" xfId="2922" xr:uid="{00000000-0005-0000-0000-0000660B0000}"/>
    <cellStyle name="40% - Accent1 3 3 5" xfId="2923" xr:uid="{00000000-0005-0000-0000-0000670B0000}"/>
    <cellStyle name="40% - Accent1 3 3 6" xfId="2924" xr:uid="{00000000-0005-0000-0000-0000680B0000}"/>
    <cellStyle name="40% - Accent1 3 4" xfId="2925" xr:uid="{00000000-0005-0000-0000-0000690B0000}"/>
    <cellStyle name="40% - Accent1 3 4 2" xfId="2926" xr:uid="{00000000-0005-0000-0000-00006A0B0000}"/>
    <cellStyle name="40% - Accent1 3 4 2 2" xfId="2927" xr:uid="{00000000-0005-0000-0000-00006B0B0000}"/>
    <cellStyle name="40% - Accent1 3 4 3" xfId="2928" xr:uid="{00000000-0005-0000-0000-00006C0B0000}"/>
    <cellStyle name="40% - Accent1 3 4 4" xfId="2929" xr:uid="{00000000-0005-0000-0000-00006D0B0000}"/>
    <cellStyle name="40% - Accent1 3 4 5" xfId="2930" xr:uid="{00000000-0005-0000-0000-00006E0B0000}"/>
    <cellStyle name="40% - Accent1 3 5" xfId="2931" xr:uid="{00000000-0005-0000-0000-00006F0B0000}"/>
    <cellStyle name="40% - Accent1 3 5 2" xfId="2932" xr:uid="{00000000-0005-0000-0000-0000700B0000}"/>
    <cellStyle name="40% - Accent1 3 5 2 2" xfId="2933" xr:uid="{00000000-0005-0000-0000-0000710B0000}"/>
    <cellStyle name="40% - Accent1 3 5 3" xfId="2934" xr:uid="{00000000-0005-0000-0000-0000720B0000}"/>
    <cellStyle name="40% - Accent1 3 5 4" xfId="2935" xr:uid="{00000000-0005-0000-0000-0000730B0000}"/>
    <cellStyle name="40% - Accent1 3 5 5" xfId="2936" xr:uid="{00000000-0005-0000-0000-0000740B0000}"/>
    <cellStyle name="40% - Accent1 3 6" xfId="2937" xr:uid="{00000000-0005-0000-0000-0000750B0000}"/>
    <cellStyle name="40% - Accent1 3 6 2" xfId="2938" xr:uid="{00000000-0005-0000-0000-0000760B0000}"/>
    <cellStyle name="40% - Accent1 3 7" xfId="2939" xr:uid="{00000000-0005-0000-0000-0000770B0000}"/>
    <cellStyle name="40% - Accent1 3 8" xfId="2940" xr:uid="{00000000-0005-0000-0000-0000780B0000}"/>
    <cellStyle name="40% - Accent1 3 9" xfId="2941" xr:uid="{00000000-0005-0000-0000-0000790B0000}"/>
    <cellStyle name="40% - Accent1 4" xfId="2942" xr:uid="{00000000-0005-0000-0000-00007A0B0000}"/>
    <cellStyle name="40% - Accent1 4 10" xfId="2943" xr:uid="{00000000-0005-0000-0000-00007B0B0000}"/>
    <cellStyle name="40% - Accent1 4 2" xfId="2944" xr:uid="{00000000-0005-0000-0000-00007C0B0000}"/>
    <cellStyle name="40% - Accent1 4 2 2" xfId="2945" xr:uid="{00000000-0005-0000-0000-00007D0B0000}"/>
    <cellStyle name="40% - Accent1 4 2 2 2" xfId="2946" xr:uid="{00000000-0005-0000-0000-00007E0B0000}"/>
    <cellStyle name="40% - Accent1 4 2 2 2 2" xfId="2947" xr:uid="{00000000-0005-0000-0000-00007F0B0000}"/>
    <cellStyle name="40% - Accent1 4 2 2 2 3" xfId="2948" xr:uid="{00000000-0005-0000-0000-0000800B0000}"/>
    <cellStyle name="40% - Accent1 4 2 2 3" xfId="2949" xr:uid="{00000000-0005-0000-0000-0000810B0000}"/>
    <cellStyle name="40% - Accent1 4 2 2 4" xfId="2950" xr:uid="{00000000-0005-0000-0000-0000820B0000}"/>
    <cellStyle name="40% - Accent1 4 2 2 5" xfId="2951" xr:uid="{00000000-0005-0000-0000-0000830B0000}"/>
    <cellStyle name="40% - Accent1 4 2 2 6" xfId="2952" xr:uid="{00000000-0005-0000-0000-0000840B0000}"/>
    <cellStyle name="40% - Accent1 4 2 3" xfId="2953" xr:uid="{00000000-0005-0000-0000-0000850B0000}"/>
    <cellStyle name="40% - Accent1 4 2 3 2" xfId="2954" xr:uid="{00000000-0005-0000-0000-0000860B0000}"/>
    <cellStyle name="40% - Accent1 4 2 3 2 2" xfId="2955" xr:uid="{00000000-0005-0000-0000-0000870B0000}"/>
    <cellStyle name="40% - Accent1 4 2 3 3" xfId="2956" xr:uid="{00000000-0005-0000-0000-0000880B0000}"/>
    <cellStyle name="40% - Accent1 4 2 3 4" xfId="2957" xr:uid="{00000000-0005-0000-0000-0000890B0000}"/>
    <cellStyle name="40% - Accent1 4 2 3 5" xfId="2958" xr:uid="{00000000-0005-0000-0000-00008A0B0000}"/>
    <cellStyle name="40% - Accent1 4 2 4" xfId="2959" xr:uid="{00000000-0005-0000-0000-00008B0B0000}"/>
    <cellStyle name="40% - Accent1 4 2 4 2" xfId="2960" xr:uid="{00000000-0005-0000-0000-00008C0B0000}"/>
    <cellStyle name="40% - Accent1 4 2 4 3" xfId="2961" xr:uid="{00000000-0005-0000-0000-00008D0B0000}"/>
    <cellStyle name="40% - Accent1 4 2 4 4" xfId="2962" xr:uid="{00000000-0005-0000-0000-00008E0B0000}"/>
    <cellStyle name="40% - Accent1 4 2 5" xfId="2963" xr:uid="{00000000-0005-0000-0000-00008F0B0000}"/>
    <cellStyle name="40% - Accent1 4 2 5 2" xfId="2964" xr:uid="{00000000-0005-0000-0000-0000900B0000}"/>
    <cellStyle name="40% - Accent1 4 2 6" xfId="2965" xr:uid="{00000000-0005-0000-0000-0000910B0000}"/>
    <cellStyle name="40% - Accent1 4 2 7" xfId="2966" xr:uid="{00000000-0005-0000-0000-0000920B0000}"/>
    <cellStyle name="40% - Accent1 4 2 8" xfId="2967" xr:uid="{00000000-0005-0000-0000-0000930B0000}"/>
    <cellStyle name="40% - Accent1 4 2 9" xfId="2968" xr:uid="{00000000-0005-0000-0000-0000940B0000}"/>
    <cellStyle name="40% - Accent1 4 3" xfId="2969" xr:uid="{00000000-0005-0000-0000-0000950B0000}"/>
    <cellStyle name="40% - Accent1 4 3 2" xfId="2970" xr:uid="{00000000-0005-0000-0000-0000960B0000}"/>
    <cellStyle name="40% - Accent1 4 3 2 2" xfId="2971" xr:uid="{00000000-0005-0000-0000-0000970B0000}"/>
    <cellStyle name="40% - Accent1 4 3 2 3" xfId="2972" xr:uid="{00000000-0005-0000-0000-0000980B0000}"/>
    <cellStyle name="40% - Accent1 4 3 3" xfId="2973" xr:uid="{00000000-0005-0000-0000-0000990B0000}"/>
    <cellStyle name="40% - Accent1 4 3 4" xfId="2974" xr:uid="{00000000-0005-0000-0000-00009A0B0000}"/>
    <cellStyle name="40% - Accent1 4 3 5" xfId="2975" xr:uid="{00000000-0005-0000-0000-00009B0B0000}"/>
    <cellStyle name="40% - Accent1 4 3 6" xfId="2976" xr:uid="{00000000-0005-0000-0000-00009C0B0000}"/>
    <cellStyle name="40% - Accent1 4 4" xfId="2977" xr:uid="{00000000-0005-0000-0000-00009D0B0000}"/>
    <cellStyle name="40% - Accent1 4 4 2" xfId="2978" xr:uid="{00000000-0005-0000-0000-00009E0B0000}"/>
    <cellStyle name="40% - Accent1 4 4 2 2" xfId="2979" xr:uid="{00000000-0005-0000-0000-00009F0B0000}"/>
    <cellStyle name="40% - Accent1 4 4 3" xfId="2980" xr:uid="{00000000-0005-0000-0000-0000A00B0000}"/>
    <cellStyle name="40% - Accent1 4 4 4" xfId="2981" xr:uid="{00000000-0005-0000-0000-0000A10B0000}"/>
    <cellStyle name="40% - Accent1 4 4 5" xfId="2982" xr:uid="{00000000-0005-0000-0000-0000A20B0000}"/>
    <cellStyle name="40% - Accent1 4 5" xfId="2983" xr:uid="{00000000-0005-0000-0000-0000A30B0000}"/>
    <cellStyle name="40% - Accent1 4 5 2" xfId="2984" xr:uid="{00000000-0005-0000-0000-0000A40B0000}"/>
    <cellStyle name="40% - Accent1 4 5 2 2" xfId="2985" xr:uid="{00000000-0005-0000-0000-0000A50B0000}"/>
    <cellStyle name="40% - Accent1 4 5 3" xfId="2986" xr:uid="{00000000-0005-0000-0000-0000A60B0000}"/>
    <cellStyle name="40% - Accent1 4 5 4" xfId="2987" xr:uid="{00000000-0005-0000-0000-0000A70B0000}"/>
    <cellStyle name="40% - Accent1 4 5 5" xfId="2988" xr:uid="{00000000-0005-0000-0000-0000A80B0000}"/>
    <cellStyle name="40% - Accent1 4 6" xfId="2989" xr:uid="{00000000-0005-0000-0000-0000A90B0000}"/>
    <cellStyle name="40% - Accent1 4 6 2" xfId="2990" xr:uid="{00000000-0005-0000-0000-0000AA0B0000}"/>
    <cellStyle name="40% - Accent1 4 7" xfId="2991" xr:uid="{00000000-0005-0000-0000-0000AB0B0000}"/>
    <cellStyle name="40% - Accent1 4 8" xfId="2992" xr:uid="{00000000-0005-0000-0000-0000AC0B0000}"/>
    <cellStyle name="40% - Accent1 4 9" xfId="2993" xr:uid="{00000000-0005-0000-0000-0000AD0B0000}"/>
    <cellStyle name="40% - Accent1 5" xfId="2994" xr:uid="{00000000-0005-0000-0000-0000AE0B0000}"/>
    <cellStyle name="40% - Accent1 5 10" xfId="2995" xr:uid="{00000000-0005-0000-0000-0000AF0B0000}"/>
    <cellStyle name="40% - Accent1 5 2" xfId="2996" xr:uid="{00000000-0005-0000-0000-0000B00B0000}"/>
    <cellStyle name="40% - Accent1 5 2 2" xfId="2997" xr:uid="{00000000-0005-0000-0000-0000B10B0000}"/>
    <cellStyle name="40% - Accent1 5 2 2 2" xfId="2998" xr:uid="{00000000-0005-0000-0000-0000B20B0000}"/>
    <cellStyle name="40% - Accent1 5 2 2 2 2" xfId="2999" xr:uid="{00000000-0005-0000-0000-0000B30B0000}"/>
    <cellStyle name="40% - Accent1 5 2 2 2 3" xfId="3000" xr:uid="{00000000-0005-0000-0000-0000B40B0000}"/>
    <cellStyle name="40% - Accent1 5 2 2 3" xfId="3001" xr:uid="{00000000-0005-0000-0000-0000B50B0000}"/>
    <cellStyle name="40% - Accent1 5 2 2 4" xfId="3002" xr:uid="{00000000-0005-0000-0000-0000B60B0000}"/>
    <cellStyle name="40% - Accent1 5 2 2 5" xfId="3003" xr:uid="{00000000-0005-0000-0000-0000B70B0000}"/>
    <cellStyle name="40% - Accent1 5 2 2 6" xfId="3004" xr:uid="{00000000-0005-0000-0000-0000B80B0000}"/>
    <cellStyle name="40% - Accent1 5 2 3" xfId="3005" xr:uid="{00000000-0005-0000-0000-0000B90B0000}"/>
    <cellStyle name="40% - Accent1 5 2 3 2" xfId="3006" xr:uid="{00000000-0005-0000-0000-0000BA0B0000}"/>
    <cellStyle name="40% - Accent1 5 2 3 2 2" xfId="3007" xr:uid="{00000000-0005-0000-0000-0000BB0B0000}"/>
    <cellStyle name="40% - Accent1 5 2 3 3" xfId="3008" xr:uid="{00000000-0005-0000-0000-0000BC0B0000}"/>
    <cellStyle name="40% - Accent1 5 2 3 4" xfId="3009" xr:uid="{00000000-0005-0000-0000-0000BD0B0000}"/>
    <cellStyle name="40% - Accent1 5 2 3 5" xfId="3010" xr:uid="{00000000-0005-0000-0000-0000BE0B0000}"/>
    <cellStyle name="40% - Accent1 5 2 4" xfId="3011" xr:uid="{00000000-0005-0000-0000-0000BF0B0000}"/>
    <cellStyle name="40% - Accent1 5 2 4 2" xfId="3012" xr:uid="{00000000-0005-0000-0000-0000C00B0000}"/>
    <cellStyle name="40% - Accent1 5 2 4 3" xfId="3013" xr:uid="{00000000-0005-0000-0000-0000C10B0000}"/>
    <cellStyle name="40% - Accent1 5 2 4 4" xfId="3014" xr:uid="{00000000-0005-0000-0000-0000C20B0000}"/>
    <cellStyle name="40% - Accent1 5 2 5" xfId="3015" xr:uid="{00000000-0005-0000-0000-0000C30B0000}"/>
    <cellStyle name="40% - Accent1 5 2 5 2" xfId="3016" xr:uid="{00000000-0005-0000-0000-0000C40B0000}"/>
    <cellStyle name="40% - Accent1 5 2 6" xfId="3017" xr:uid="{00000000-0005-0000-0000-0000C50B0000}"/>
    <cellStyle name="40% - Accent1 5 2 7" xfId="3018" xr:uid="{00000000-0005-0000-0000-0000C60B0000}"/>
    <cellStyle name="40% - Accent1 5 2 8" xfId="3019" xr:uid="{00000000-0005-0000-0000-0000C70B0000}"/>
    <cellStyle name="40% - Accent1 5 2 9" xfId="3020" xr:uid="{00000000-0005-0000-0000-0000C80B0000}"/>
    <cellStyle name="40% - Accent1 5 3" xfId="3021" xr:uid="{00000000-0005-0000-0000-0000C90B0000}"/>
    <cellStyle name="40% - Accent1 5 3 2" xfId="3022" xr:uid="{00000000-0005-0000-0000-0000CA0B0000}"/>
    <cellStyle name="40% - Accent1 5 3 2 2" xfId="3023" xr:uid="{00000000-0005-0000-0000-0000CB0B0000}"/>
    <cellStyle name="40% - Accent1 5 3 2 3" xfId="3024" xr:uid="{00000000-0005-0000-0000-0000CC0B0000}"/>
    <cellStyle name="40% - Accent1 5 3 3" xfId="3025" xr:uid="{00000000-0005-0000-0000-0000CD0B0000}"/>
    <cellStyle name="40% - Accent1 5 3 4" xfId="3026" xr:uid="{00000000-0005-0000-0000-0000CE0B0000}"/>
    <cellStyle name="40% - Accent1 5 3 5" xfId="3027" xr:uid="{00000000-0005-0000-0000-0000CF0B0000}"/>
    <cellStyle name="40% - Accent1 5 3 6" xfId="3028" xr:uid="{00000000-0005-0000-0000-0000D00B0000}"/>
    <cellStyle name="40% - Accent1 5 4" xfId="3029" xr:uid="{00000000-0005-0000-0000-0000D10B0000}"/>
    <cellStyle name="40% - Accent1 5 4 2" xfId="3030" xr:uid="{00000000-0005-0000-0000-0000D20B0000}"/>
    <cellStyle name="40% - Accent1 5 4 2 2" xfId="3031" xr:uid="{00000000-0005-0000-0000-0000D30B0000}"/>
    <cellStyle name="40% - Accent1 5 4 3" xfId="3032" xr:uid="{00000000-0005-0000-0000-0000D40B0000}"/>
    <cellStyle name="40% - Accent1 5 4 4" xfId="3033" xr:uid="{00000000-0005-0000-0000-0000D50B0000}"/>
    <cellStyle name="40% - Accent1 5 4 5" xfId="3034" xr:uid="{00000000-0005-0000-0000-0000D60B0000}"/>
    <cellStyle name="40% - Accent1 5 5" xfId="3035" xr:uid="{00000000-0005-0000-0000-0000D70B0000}"/>
    <cellStyle name="40% - Accent1 5 5 2" xfId="3036" xr:uid="{00000000-0005-0000-0000-0000D80B0000}"/>
    <cellStyle name="40% - Accent1 5 5 3" xfId="3037" xr:uid="{00000000-0005-0000-0000-0000D90B0000}"/>
    <cellStyle name="40% - Accent1 5 5 4" xfId="3038" xr:uid="{00000000-0005-0000-0000-0000DA0B0000}"/>
    <cellStyle name="40% - Accent1 5 6" xfId="3039" xr:uid="{00000000-0005-0000-0000-0000DB0B0000}"/>
    <cellStyle name="40% - Accent1 5 6 2" xfId="3040" xr:uid="{00000000-0005-0000-0000-0000DC0B0000}"/>
    <cellStyle name="40% - Accent1 5 7" xfId="3041" xr:uid="{00000000-0005-0000-0000-0000DD0B0000}"/>
    <cellStyle name="40% - Accent1 5 8" xfId="3042" xr:uid="{00000000-0005-0000-0000-0000DE0B0000}"/>
    <cellStyle name="40% - Accent1 5 9" xfId="3043" xr:uid="{00000000-0005-0000-0000-0000DF0B0000}"/>
    <cellStyle name="40% - Accent1 6" xfId="3044" xr:uid="{00000000-0005-0000-0000-0000E00B0000}"/>
    <cellStyle name="40% - Accent1 6 10" xfId="3045" xr:uid="{00000000-0005-0000-0000-0000E10B0000}"/>
    <cellStyle name="40% - Accent1 6 2" xfId="3046" xr:uid="{00000000-0005-0000-0000-0000E20B0000}"/>
    <cellStyle name="40% - Accent1 6 2 2" xfId="3047" xr:uid="{00000000-0005-0000-0000-0000E30B0000}"/>
    <cellStyle name="40% - Accent1 6 2 2 2" xfId="3048" xr:uid="{00000000-0005-0000-0000-0000E40B0000}"/>
    <cellStyle name="40% - Accent1 6 2 2 2 2" xfId="3049" xr:uid="{00000000-0005-0000-0000-0000E50B0000}"/>
    <cellStyle name="40% - Accent1 6 2 2 2 3" xfId="3050" xr:uid="{00000000-0005-0000-0000-0000E60B0000}"/>
    <cellStyle name="40% - Accent1 6 2 2 3" xfId="3051" xr:uid="{00000000-0005-0000-0000-0000E70B0000}"/>
    <cellStyle name="40% - Accent1 6 2 2 4" xfId="3052" xr:uid="{00000000-0005-0000-0000-0000E80B0000}"/>
    <cellStyle name="40% - Accent1 6 2 2 5" xfId="3053" xr:uid="{00000000-0005-0000-0000-0000E90B0000}"/>
    <cellStyle name="40% - Accent1 6 2 2 6" xfId="3054" xr:uid="{00000000-0005-0000-0000-0000EA0B0000}"/>
    <cellStyle name="40% - Accent1 6 2 3" xfId="3055" xr:uid="{00000000-0005-0000-0000-0000EB0B0000}"/>
    <cellStyle name="40% - Accent1 6 2 3 2" xfId="3056" xr:uid="{00000000-0005-0000-0000-0000EC0B0000}"/>
    <cellStyle name="40% - Accent1 6 2 3 2 2" xfId="3057" xr:uid="{00000000-0005-0000-0000-0000ED0B0000}"/>
    <cellStyle name="40% - Accent1 6 2 3 3" xfId="3058" xr:uid="{00000000-0005-0000-0000-0000EE0B0000}"/>
    <cellStyle name="40% - Accent1 6 2 3 4" xfId="3059" xr:uid="{00000000-0005-0000-0000-0000EF0B0000}"/>
    <cellStyle name="40% - Accent1 6 2 3 5" xfId="3060" xr:uid="{00000000-0005-0000-0000-0000F00B0000}"/>
    <cellStyle name="40% - Accent1 6 2 4" xfId="3061" xr:uid="{00000000-0005-0000-0000-0000F10B0000}"/>
    <cellStyle name="40% - Accent1 6 2 4 2" xfId="3062" xr:uid="{00000000-0005-0000-0000-0000F20B0000}"/>
    <cellStyle name="40% - Accent1 6 2 4 3" xfId="3063" xr:uid="{00000000-0005-0000-0000-0000F30B0000}"/>
    <cellStyle name="40% - Accent1 6 2 4 4" xfId="3064" xr:uid="{00000000-0005-0000-0000-0000F40B0000}"/>
    <cellStyle name="40% - Accent1 6 2 5" xfId="3065" xr:uid="{00000000-0005-0000-0000-0000F50B0000}"/>
    <cellStyle name="40% - Accent1 6 2 5 2" xfId="3066" xr:uid="{00000000-0005-0000-0000-0000F60B0000}"/>
    <cellStyle name="40% - Accent1 6 2 6" xfId="3067" xr:uid="{00000000-0005-0000-0000-0000F70B0000}"/>
    <cellStyle name="40% - Accent1 6 2 7" xfId="3068" xr:uid="{00000000-0005-0000-0000-0000F80B0000}"/>
    <cellStyle name="40% - Accent1 6 2 8" xfId="3069" xr:uid="{00000000-0005-0000-0000-0000F90B0000}"/>
    <cellStyle name="40% - Accent1 6 2 9" xfId="3070" xr:uid="{00000000-0005-0000-0000-0000FA0B0000}"/>
    <cellStyle name="40% - Accent1 6 3" xfId="3071" xr:uid="{00000000-0005-0000-0000-0000FB0B0000}"/>
    <cellStyle name="40% - Accent1 6 3 2" xfId="3072" xr:uid="{00000000-0005-0000-0000-0000FC0B0000}"/>
    <cellStyle name="40% - Accent1 6 3 2 2" xfId="3073" xr:uid="{00000000-0005-0000-0000-0000FD0B0000}"/>
    <cellStyle name="40% - Accent1 6 3 2 3" xfId="3074" xr:uid="{00000000-0005-0000-0000-0000FE0B0000}"/>
    <cellStyle name="40% - Accent1 6 3 3" xfId="3075" xr:uid="{00000000-0005-0000-0000-0000FF0B0000}"/>
    <cellStyle name="40% - Accent1 6 3 4" xfId="3076" xr:uid="{00000000-0005-0000-0000-0000000C0000}"/>
    <cellStyle name="40% - Accent1 6 3 5" xfId="3077" xr:uid="{00000000-0005-0000-0000-0000010C0000}"/>
    <cellStyle name="40% - Accent1 6 3 6" xfId="3078" xr:uid="{00000000-0005-0000-0000-0000020C0000}"/>
    <cellStyle name="40% - Accent1 6 4" xfId="3079" xr:uid="{00000000-0005-0000-0000-0000030C0000}"/>
    <cellStyle name="40% - Accent1 6 4 2" xfId="3080" xr:uid="{00000000-0005-0000-0000-0000040C0000}"/>
    <cellStyle name="40% - Accent1 6 4 2 2" xfId="3081" xr:uid="{00000000-0005-0000-0000-0000050C0000}"/>
    <cellStyle name="40% - Accent1 6 4 3" xfId="3082" xr:uid="{00000000-0005-0000-0000-0000060C0000}"/>
    <cellStyle name="40% - Accent1 6 4 4" xfId="3083" xr:uid="{00000000-0005-0000-0000-0000070C0000}"/>
    <cellStyle name="40% - Accent1 6 4 5" xfId="3084" xr:uid="{00000000-0005-0000-0000-0000080C0000}"/>
    <cellStyle name="40% - Accent1 6 5" xfId="3085" xr:uid="{00000000-0005-0000-0000-0000090C0000}"/>
    <cellStyle name="40% - Accent1 6 5 2" xfId="3086" xr:uid="{00000000-0005-0000-0000-00000A0C0000}"/>
    <cellStyle name="40% - Accent1 6 5 3" xfId="3087" xr:uid="{00000000-0005-0000-0000-00000B0C0000}"/>
    <cellStyle name="40% - Accent1 6 5 4" xfId="3088" xr:uid="{00000000-0005-0000-0000-00000C0C0000}"/>
    <cellStyle name="40% - Accent1 6 6" xfId="3089" xr:uid="{00000000-0005-0000-0000-00000D0C0000}"/>
    <cellStyle name="40% - Accent1 6 6 2" xfId="3090" xr:uid="{00000000-0005-0000-0000-00000E0C0000}"/>
    <cellStyle name="40% - Accent1 6 7" xfId="3091" xr:uid="{00000000-0005-0000-0000-00000F0C0000}"/>
    <cellStyle name="40% - Accent1 6 8" xfId="3092" xr:uid="{00000000-0005-0000-0000-0000100C0000}"/>
    <cellStyle name="40% - Accent1 6 9" xfId="3093" xr:uid="{00000000-0005-0000-0000-0000110C0000}"/>
    <cellStyle name="40% - Accent1 7" xfId="3094" xr:uid="{00000000-0005-0000-0000-0000120C0000}"/>
    <cellStyle name="40% - Accent1 7 2" xfId="3095" xr:uid="{00000000-0005-0000-0000-0000130C0000}"/>
    <cellStyle name="40% - Accent1 7 2 2" xfId="3096" xr:uid="{00000000-0005-0000-0000-0000140C0000}"/>
    <cellStyle name="40% - Accent1 7 2 2 2" xfId="3097" xr:uid="{00000000-0005-0000-0000-0000150C0000}"/>
    <cellStyle name="40% - Accent1 7 2 2 3" xfId="3098" xr:uid="{00000000-0005-0000-0000-0000160C0000}"/>
    <cellStyle name="40% - Accent1 7 2 3" xfId="3099" xr:uid="{00000000-0005-0000-0000-0000170C0000}"/>
    <cellStyle name="40% - Accent1 7 2 4" xfId="3100" xr:uid="{00000000-0005-0000-0000-0000180C0000}"/>
    <cellStyle name="40% - Accent1 7 2 5" xfId="3101" xr:uid="{00000000-0005-0000-0000-0000190C0000}"/>
    <cellStyle name="40% - Accent1 7 2 6" xfId="3102" xr:uid="{00000000-0005-0000-0000-00001A0C0000}"/>
    <cellStyle name="40% - Accent1 7 3" xfId="3103" xr:uid="{00000000-0005-0000-0000-00001B0C0000}"/>
    <cellStyle name="40% - Accent1 7 3 2" xfId="3104" xr:uid="{00000000-0005-0000-0000-00001C0C0000}"/>
    <cellStyle name="40% - Accent1 7 3 2 2" xfId="3105" xr:uid="{00000000-0005-0000-0000-00001D0C0000}"/>
    <cellStyle name="40% - Accent1 7 3 3" xfId="3106" xr:uid="{00000000-0005-0000-0000-00001E0C0000}"/>
    <cellStyle name="40% - Accent1 7 3 4" xfId="3107" xr:uid="{00000000-0005-0000-0000-00001F0C0000}"/>
    <cellStyle name="40% - Accent1 7 3 5" xfId="3108" xr:uid="{00000000-0005-0000-0000-0000200C0000}"/>
    <cellStyle name="40% - Accent1 7 4" xfId="3109" xr:uid="{00000000-0005-0000-0000-0000210C0000}"/>
    <cellStyle name="40% - Accent1 7 4 2" xfId="3110" xr:uid="{00000000-0005-0000-0000-0000220C0000}"/>
    <cellStyle name="40% - Accent1 7 4 3" xfId="3111" xr:uid="{00000000-0005-0000-0000-0000230C0000}"/>
    <cellStyle name="40% - Accent1 7 4 4" xfId="3112" xr:uid="{00000000-0005-0000-0000-0000240C0000}"/>
    <cellStyle name="40% - Accent1 7 5" xfId="3113" xr:uid="{00000000-0005-0000-0000-0000250C0000}"/>
    <cellStyle name="40% - Accent1 7 5 2" xfId="3114" xr:uid="{00000000-0005-0000-0000-0000260C0000}"/>
    <cellStyle name="40% - Accent1 7 6" xfId="3115" xr:uid="{00000000-0005-0000-0000-0000270C0000}"/>
    <cellStyle name="40% - Accent1 7 7" xfId="3116" xr:uid="{00000000-0005-0000-0000-0000280C0000}"/>
    <cellStyle name="40% - Accent1 7 8" xfId="3117" xr:uid="{00000000-0005-0000-0000-0000290C0000}"/>
    <cellStyle name="40% - Accent1 7 9" xfId="3118" xr:uid="{00000000-0005-0000-0000-00002A0C0000}"/>
    <cellStyle name="40% - Accent1 8" xfId="3119" xr:uid="{00000000-0005-0000-0000-00002B0C0000}"/>
    <cellStyle name="40% - Accent1 8 2" xfId="3120" xr:uid="{00000000-0005-0000-0000-00002C0C0000}"/>
    <cellStyle name="40% - Accent1 8 2 2" xfId="3121" xr:uid="{00000000-0005-0000-0000-00002D0C0000}"/>
    <cellStyle name="40% - Accent1 8 2 2 2" xfId="3122" xr:uid="{00000000-0005-0000-0000-00002E0C0000}"/>
    <cellStyle name="40% - Accent1 8 2 2 3" xfId="3123" xr:uid="{00000000-0005-0000-0000-00002F0C0000}"/>
    <cellStyle name="40% - Accent1 8 2 3" xfId="3124" xr:uid="{00000000-0005-0000-0000-0000300C0000}"/>
    <cellStyle name="40% - Accent1 8 2 4" xfId="3125" xr:uid="{00000000-0005-0000-0000-0000310C0000}"/>
    <cellStyle name="40% - Accent1 8 2 5" xfId="3126" xr:uid="{00000000-0005-0000-0000-0000320C0000}"/>
    <cellStyle name="40% - Accent1 8 2 6" xfId="3127" xr:uid="{00000000-0005-0000-0000-0000330C0000}"/>
    <cellStyle name="40% - Accent1 8 3" xfId="3128" xr:uid="{00000000-0005-0000-0000-0000340C0000}"/>
    <cellStyle name="40% - Accent1 8 3 2" xfId="3129" xr:uid="{00000000-0005-0000-0000-0000350C0000}"/>
    <cellStyle name="40% - Accent1 8 3 2 2" xfId="3130" xr:uid="{00000000-0005-0000-0000-0000360C0000}"/>
    <cellStyle name="40% - Accent1 8 3 3" xfId="3131" xr:uid="{00000000-0005-0000-0000-0000370C0000}"/>
    <cellStyle name="40% - Accent1 8 3 4" xfId="3132" xr:uid="{00000000-0005-0000-0000-0000380C0000}"/>
    <cellStyle name="40% - Accent1 8 3 5" xfId="3133" xr:uid="{00000000-0005-0000-0000-0000390C0000}"/>
    <cellStyle name="40% - Accent1 8 4" xfId="3134" xr:uid="{00000000-0005-0000-0000-00003A0C0000}"/>
    <cellStyle name="40% - Accent1 8 4 2" xfId="3135" xr:uid="{00000000-0005-0000-0000-00003B0C0000}"/>
    <cellStyle name="40% - Accent1 8 4 3" xfId="3136" xr:uid="{00000000-0005-0000-0000-00003C0C0000}"/>
    <cellStyle name="40% - Accent1 8 4 4" xfId="3137" xr:uid="{00000000-0005-0000-0000-00003D0C0000}"/>
    <cellStyle name="40% - Accent1 8 5" xfId="3138" xr:uid="{00000000-0005-0000-0000-00003E0C0000}"/>
    <cellStyle name="40% - Accent1 8 5 2" xfId="3139" xr:uid="{00000000-0005-0000-0000-00003F0C0000}"/>
    <cellStyle name="40% - Accent1 8 6" xfId="3140" xr:uid="{00000000-0005-0000-0000-0000400C0000}"/>
    <cellStyle name="40% - Accent1 8 7" xfId="3141" xr:uid="{00000000-0005-0000-0000-0000410C0000}"/>
    <cellStyle name="40% - Accent1 8 8" xfId="3142" xr:uid="{00000000-0005-0000-0000-0000420C0000}"/>
    <cellStyle name="40% - Accent1 8 9" xfId="3143" xr:uid="{00000000-0005-0000-0000-0000430C0000}"/>
    <cellStyle name="40% - Accent1 9" xfId="3144" xr:uid="{00000000-0005-0000-0000-0000440C0000}"/>
    <cellStyle name="40% - Accent1 9 2" xfId="3145" xr:uid="{00000000-0005-0000-0000-0000450C0000}"/>
    <cellStyle name="40% - Accent1 9 2 2" xfId="3146" xr:uid="{00000000-0005-0000-0000-0000460C0000}"/>
    <cellStyle name="40% - Accent1 9 2 2 2" xfId="3147" xr:uid="{00000000-0005-0000-0000-0000470C0000}"/>
    <cellStyle name="40% - Accent1 9 2 3" xfId="3148" xr:uid="{00000000-0005-0000-0000-0000480C0000}"/>
    <cellStyle name="40% - Accent1 9 2 4" xfId="3149" xr:uid="{00000000-0005-0000-0000-0000490C0000}"/>
    <cellStyle name="40% - Accent1 9 2 5" xfId="3150" xr:uid="{00000000-0005-0000-0000-00004A0C0000}"/>
    <cellStyle name="40% - Accent1 9 3" xfId="3151" xr:uid="{00000000-0005-0000-0000-00004B0C0000}"/>
    <cellStyle name="40% - Accent1 9 3 2" xfId="3152" xr:uid="{00000000-0005-0000-0000-00004C0C0000}"/>
    <cellStyle name="40% - Accent1 9 3 3" xfId="3153" xr:uid="{00000000-0005-0000-0000-00004D0C0000}"/>
    <cellStyle name="40% - Accent1 9 3 4" xfId="3154" xr:uid="{00000000-0005-0000-0000-00004E0C0000}"/>
    <cellStyle name="40% - Accent1 9 4" xfId="3155" xr:uid="{00000000-0005-0000-0000-00004F0C0000}"/>
    <cellStyle name="40% - Accent1 9 4 2" xfId="3156" xr:uid="{00000000-0005-0000-0000-0000500C0000}"/>
    <cellStyle name="40% - Accent1 9 5" xfId="3157" xr:uid="{00000000-0005-0000-0000-0000510C0000}"/>
    <cellStyle name="40% - Accent1 9 6" xfId="3158" xr:uid="{00000000-0005-0000-0000-0000520C0000}"/>
    <cellStyle name="40% - Accent1 9 7" xfId="3159" xr:uid="{00000000-0005-0000-0000-0000530C0000}"/>
    <cellStyle name="40% - Accent1 9 8" xfId="3160" xr:uid="{00000000-0005-0000-0000-0000540C0000}"/>
    <cellStyle name="40% - Accent2 10" xfId="3161" xr:uid="{00000000-0005-0000-0000-0000550C0000}"/>
    <cellStyle name="40% - Accent2 10 2" xfId="3162" xr:uid="{00000000-0005-0000-0000-0000560C0000}"/>
    <cellStyle name="40% - Accent2 10 2 2" xfId="3163" xr:uid="{00000000-0005-0000-0000-0000570C0000}"/>
    <cellStyle name="40% - Accent2 10 2 2 2" xfId="3164" xr:uid="{00000000-0005-0000-0000-0000580C0000}"/>
    <cellStyle name="40% - Accent2 10 2 3" xfId="3165" xr:uid="{00000000-0005-0000-0000-0000590C0000}"/>
    <cellStyle name="40% - Accent2 10 2 4" xfId="3166" xr:uid="{00000000-0005-0000-0000-00005A0C0000}"/>
    <cellStyle name="40% - Accent2 10 2 5" xfId="3167" xr:uid="{00000000-0005-0000-0000-00005B0C0000}"/>
    <cellStyle name="40% - Accent2 10 3" xfId="3168" xr:uid="{00000000-0005-0000-0000-00005C0C0000}"/>
    <cellStyle name="40% - Accent2 10 3 2" xfId="3169" xr:uid="{00000000-0005-0000-0000-00005D0C0000}"/>
    <cellStyle name="40% - Accent2 10 3 3" xfId="3170" xr:uid="{00000000-0005-0000-0000-00005E0C0000}"/>
    <cellStyle name="40% - Accent2 10 3 4" xfId="3171" xr:uid="{00000000-0005-0000-0000-00005F0C0000}"/>
    <cellStyle name="40% - Accent2 10 4" xfId="3172" xr:uid="{00000000-0005-0000-0000-0000600C0000}"/>
    <cellStyle name="40% - Accent2 10 4 2" xfId="3173" xr:uid="{00000000-0005-0000-0000-0000610C0000}"/>
    <cellStyle name="40% - Accent2 10 5" xfId="3174" xr:uid="{00000000-0005-0000-0000-0000620C0000}"/>
    <cellStyle name="40% - Accent2 10 6" xfId="3175" xr:uid="{00000000-0005-0000-0000-0000630C0000}"/>
    <cellStyle name="40% - Accent2 10 7" xfId="3176" xr:uid="{00000000-0005-0000-0000-0000640C0000}"/>
    <cellStyle name="40% - Accent2 10 8" xfId="3177" xr:uid="{00000000-0005-0000-0000-0000650C0000}"/>
    <cellStyle name="40% - Accent2 11" xfId="3178" xr:uid="{00000000-0005-0000-0000-0000660C0000}"/>
    <cellStyle name="40% - Accent2 11 2" xfId="3179" xr:uid="{00000000-0005-0000-0000-0000670C0000}"/>
    <cellStyle name="40% - Accent2 11 2 2" xfId="3180" xr:uid="{00000000-0005-0000-0000-0000680C0000}"/>
    <cellStyle name="40% - Accent2 11 2 2 2" xfId="3181" xr:uid="{00000000-0005-0000-0000-0000690C0000}"/>
    <cellStyle name="40% - Accent2 11 2 3" xfId="3182" xr:uid="{00000000-0005-0000-0000-00006A0C0000}"/>
    <cellStyle name="40% - Accent2 11 2 4" xfId="3183" xr:uid="{00000000-0005-0000-0000-00006B0C0000}"/>
    <cellStyle name="40% - Accent2 11 2 5" xfId="3184" xr:uid="{00000000-0005-0000-0000-00006C0C0000}"/>
    <cellStyle name="40% - Accent2 11 3" xfId="3185" xr:uid="{00000000-0005-0000-0000-00006D0C0000}"/>
    <cellStyle name="40% - Accent2 11 3 2" xfId="3186" xr:uid="{00000000-0005-0000-0000-00006E0C0000}"/>
    <cellStyle name="40% - Accent2 11 3 3" xfId="3187" xr:uid="{00000000-0005-0000-0000-00006F0C0000}"/>
    <cellStyle name="40% - Accent2 11 3 4" xfId="3188" xr:uid="{00000000-0005-0000-0000-0000700C0000}"/>
    <cellStyle name="40% - Accent2 11 4" xfId="3189" xr:uid="{00000000-0005-0000-0000-0000710C0000}"/>
    <cellStyle name="40% - Accent2 11 4 2" xfId="3190" xr:uid="{00000000-0005-0000-0000-0000720C0000}"/>
    <cellStyle name="40% - Accent2 11 5" xfId="3191" xr:uid="{00000000-0005-0000-0000-0000730C0000}"/>
    <cellStyle name="40% - Accent2 11 6" xfId="3192" xr:uid="{00000000-0005-0000-0000-0000740C0000}"/>
    <cellStyle name="40% - Accent2 11 7" xfId="3193" xr:uid="{00000000-0005-0000-0000-0000750C0000}"/>
    <cellStyle name="40% - Accent2 11 8" xfId="3194" xr:uid="{00000000-0005-0000-0000-0000760C0000}"/>
    <cellStyle name="40% - Accent2 12" xfId="3195" xr:uid="{00000000-0005-0000-0000-0000770C0000}"/>
    <cellStyle name="40% - Accent2 12 2" xfId="3196" xr:uid="{00000000-0005-0000-0000-0000780C0000}"/>
    <cellStyle name="40% - Accent2 12 2 2" xfId="3197" xr:uid="{00000000-0005-0000-0000-0000790C0000}"/>
    <cellStyle name="40% - Accent2 12 2 2 2" xfId="3198" xr:uid="{00000000-0005-0000-0000-00007A0C0000}"/>
    <cellStyle name="40% - Accent2 12 2 3" xfId="3199" xr:uid="{00000000-0005-0000-0000-00007B0C0000}"/>
    <cellStyle name="40% - Accent2 12 2 4" xfId="3200" xr:uid="{00000000-0005-0000-0000-00007C0C0000}"/>
    <cellStyle name="40% - Accent2 12 2 5" xfId="3201" xr:uid="{00000000-0005-0000-0000-00007D0C0000}"/>
    <cellStyle name="40% - Accent2 12 3" xfId="3202" xr:uid="{00000000-0005-0000-0000-00007E0C0000}"/>
    <cellStyle name="40% - Accent2 12 3 2" xfId="3203" xr:uid="{00000000-0005-0000-0000-00007F0C0000}"/>
    <cellStyle name="40% - Accent2 12 3 3" xfId="3204" xr:uid="{00000000-0005-0000-0000-0000800C0000}"/>
    <cellStyle name="40% - Accent2 12 3 4" xfId="3205" xr:uid="{00000000-0005-0000-0000-0000810C0000}"/>
    <cellStyle name="40% - Accent2 12 4" xfId="3206" xr:uid="{00000000-0005-0000-0000-0000820C0000}"/>
    <cellStyle name="40% - Accent2 12 4 2" xfId="3207" xr:uid="{00000000-0005-0000-0000-0000830C0000}"/>
    <cellStyle name="40% - Accent2 12 5" xfId="3208" xr:uid="{00000000-0005-0000-0000-0000840C0000}"/>
    <cellStyle name="40% - Accent2 12 6" xfId="3209" xr:uid="{00000000-0005-0000-0000-0000850C0000}"/>
    <cellStyle name="40% - Accent2 12 7" xfId="3210" xr:uid="{00000000-0005-0000-0000-0000860C0000}"/>
    <cellStyle name="40% - Accent2 12 8" xfId="3211" xr:uid="{00000000-0005-0000-0000-0000870C0000}"/>
    <cellStyle name="40% - Accent2 13" xfId="3212" xr:uid="{00000000-0005-0000-0000-0000880C0000}"/>
    <cellStyle name="40% - Accent2 13 2" xfId="3213" xr:uid="{00000000-0005-0000-0000-0000890C0000}"/>
    <cellStyle name="40% - Accent2 13 2 2" xfId="3214" xr:uid="{00000000-0005-0000-0000-00008A0C0000}"/>
    <cellStyle name="40% - Accent2 13 2 3" xfId="3215" xr:uid="{00000000-0005-0000-0000-00008B0C0000}"/>
    <cellStyle name="40% - Accent2 13 2 4" xfId="3216" xr:uid="{00000000-0005-0000-0000-00008C0C0000}"/>
    <cellStyle name="40% - Accent2 13 3" xfId="3217" xr:uid="{00000000-0005-0000-0000-00008D0C0000}"/>
    <cellStyle name="40% - Accent2 13 3 2" xfId="3218" xr:uid="{00000000-0005-0000-0000-00008E0C0000}"/>
    <cellStyle name="40% - Accent2 13 4" xfId="3219" xr:uid="{00000000-0005-0000-0000-00008F0C0000}"/>
    <cellStyle name="40% - Accent2 13 5" xfId="3220" xr:uid="{00000000-0005-0000-0000-0000900C0000}"/>
    <cellStyle name="40% - Accent2 13 6" xfId="3221" xr:uid="{00000000-0005-0000-0000-0000910C0000}"/>
    <cellStyle name="40% - Accent2 14" xfId="3222" xr:uid="{00000000-0005-0000-0000-0000920C0000}"/>
    <cellStyle name="40% - Accent2 14 2" xfId="3223" xr:uid="{00000000-0005-0000-0000-0000930C0000}"/>
    <cellStyle name="40% - Accent2 14 2 2" xfId="3224" xr:uid="{00000000-0005-0000-0000-0000940C0000}"/>
    <cellStyle name="40% - Accent2 14 3" xfId="3225" xr:uid="{00000000-0005-0000-0000-0000950C0000}"/>
    <cellStyle name="40% - Accent2 14 4" xfId="3226" xr:uid="{00000000-0005-0000-0000-0000960C0000}"/>
    <cellStyle name="40% - Accent2 14 5" xfId="3227" xr:uid="{00000000-0005-0000-0000-0000970C0000}"/>
    <cellStyle name="40% - Accent2 15" xfId="3228" xr:uid="{00000000-0005-0000-0000-0000980C0000}"/>
    <cellStyle name="40% - Accent2 15 2" xfId="3229" xr:uid="{00000000-0005-0000-0000-0000990C0000}"/>
    <cellStyle name="40% - Accent2 15 2 2" xfId="3230" xr:uid="{00000000-0005-0000-0000-00009A0C0000}"/>
    <cellStyle name="40% - Accent2 15 3" xfId="3231" xr:uid="{00000000-0005-0000-0000-00009B0C0000}"/>
    <cellStyle name="40% - Accent2 15 4" xfId="3232" xr:uid="{00000000-0005-0000-0000-00009C0C0000}"/>
    <cellStyle name="40% - Accent2 15 5" xfId="3233" xr:uid="{00000000-0005-0000-0000-00009D0C0000}"/>
    <cellStyle name="40% - Accent2 16" xfId="3234" xr:uid="{00000000-0005-0000-0000-00009E0C0000}"/>
    <cellStyle name="40% - Accent2 16 2" xfId="3235" xr:uid="{00000000-0005-0000-0000-00009F0C0000}"/>
    <cellStyle name="40% - Accent2 17" xfId="3236" xr:uid="{00000000-0005-0000-0000-0000A00C0000}"/>
    <cellStyle name="40% - Accent2 18" xfId="3237" xr:uid="{00000000-0005-0000-0000-0000A10C0000}"/>
    <cellStyle name="40% - Accent2 19" xfId="3238" xr:uid="{00000000-0005-0000-0000-0000A20C0000}"/>
    <cellStyle name="40% - Accent2 2" xfId="3239" xr:uid="{00000000-0005-0000-0000-0000A30C0000}"/>
    <cellStyle name="40% - Accent2 2 10" xfId="3240" xr:uid="{00000000-0005-0000-0000-0000A40C0000}"/>
    <cellStyle name="40% - Accent2 2 11" xfId="3241" xr:uid="{00000000-0005-0000-0000-0000A50C0000}"/>
    <cellStyle name="40% - Accent2 2 2" xfId="3242" xr:uid="{00000000-0005-0000-0000-0000A60C0000}"/>
    <cellStyle name="40% - Accent2 2 2 10" xfId="3243" xr:uid="{00000000-0005-0000-0000-0000A70C0000}"/>
    <cellStyle name="40% - Accent2 2 2 2" xfId="3244" xr:uid="{00000000-0005-0000-0000-0000A80C0000}"/>
    <cellStyle name="40% - Accent2 2 2 2 2" xfId="3245" xr:uid="{00000000-0005-0000-0000-0000A90C0000}"/>
    <cellStyle name="40% - Accent2 2 2 2 2 2" xfId="3246" xr:uid="{00000000-0005-0000-0000-0000AA0C0000}"/>
    <cellStyle name="40% - Accent2 2 2 2 2 2 2" xfId="3247" xr:uid="{00000000-0005-0000-0000-0000AB0C0000}"/>
    <cellStyle name="40% - Accent2 2 2 2 2 2 3" xfId="3248" xr:uid="{00000000-0005-0000-0000-0000AC0C0000}"/>
    <cellStyle name="40% - Accent2 2 2 2 2 3" xfId="3249" xr:uid="{00000000-0005-0000-0000-0000AD0C0000}"/>
    <cellStyle name="40% - Accent2 2 2 2 2 4" xfId="3250" xr:uid="{00000000-0005-0000-0000-0000AE0C0000}"/>
    <cellStyle name="40% - Accent2 2 2 2 2 5" xfId="3251" xr:uid="{00000000-0005-0000-0000-0000AF0C0000}"/>
    <cellStyle name="40% - Accent2 2 2 2 2 6" xfId="3252" xr:uid="{00000000-0005-0000-0000-0000B00C0000}"/>
    <cellStyle name="40% - Accent2 2 2 2 3" xfId="3253" xr:uid="{00000000-0005-0000-0000-0000B10C0000}"/>
    <cellStyle name="40% - Accent2 2 2 2 3 2" xfId="3254" xr:uid="{00000000-0005-0000-0000-0000B20C0000}"/>
    <cellStyle name="40% - Accent2 2 2 2 3 2 2" xfId="3255" xr:uid="{00000000-0005-0000-0000-0000B30C0000}"/>
    <cellStyle name="40% - Accent2 2 2 2 3 3" xfId="3256" xr:uid="{00000000-0005-0000-0000-0000B40C0000}"/>
    <cellStyle name="40% - Accent2 2 2 2 3 4" xfId="3257" xr:uid="{00000000-0005-0000-0000-0000B50C0000}"/>
    <cellStyle name="40% - Accent2 2 2 2 3 5" xfId="3258" xr:uid="{00000000-0005-0000-0000-0000B60C0000}"/>
    <cellStyle name="40% - Accent2 2 2 2 4" xfId="3259" xr:uid="{00000000-0005-0000-0000-0000B70C0000}"/>
    <cellStyle name="40% - Accent2 2 2 2 4 2" xfId="3260" xr:uid="{00000000-0005-0000-0000-0000B80C0000}"/>
    <cellStyle name="40% - Accent2 2 2 2 4 3" xfId="3261" xr:uid="{00000000-0005-0000-0000-0000B90C0000}"/>
    <cellStyle name="40% - Accent2 2 2 2 4 4" xfId="3262" xr:uid="{00000000-0005-0000-0000-0000BA0C0000}"/>
    <cellStyle name="40% - Accent2 2 2 2 5" xfId="3263" xr:uid="{00000000-0005-0000-0000-0000BB0C0000}"/>
    <cellStyle name="40% - Accent2 2 2 2 5 2" xfId="3264" xr:uid="{00000000-0005-0000-0000-0000BC0C0000}"/>
    <cellStyle name="40% - Accent2 2 2 2 6" xfId="3265" xr:uid="{00000000-0005-0000-0000-0000BD0C0000}"/>
    <cellStyle name="40% - Accent2 2 2 2 7" xfId="3266" xr:uid="{00000000-0005-0000-0000-0000BE0C0000}"/>
    <cellStyle name="40% - Accent2 2 2 2 8" xfId="3267" xr:uid="{00000000-0005-0000-0000-0000BF0C0000}"/>
    <cellStyle name="40% - Accent2 2 2 2 9" xfId="3268" xr:uid="{00000000-0005-0000-0000-0000C00C0000}"/>
    <cellStyle name="40% - Accent2 2 2 3" xfId="3269" xr:uid="{00000000-0005-0000-0000-0000C10C0000}"/>
    <cellStyle name="40% - Accent2 2 2 3 2" xfId="3270" xr:uid="{00000000-0005-0000-0000-0000C20C0000}"/>
    <cellStyle name="40% - Accent2 2 2 3 2 2" xfId="3271" xr:uid="{00000000-0005-0000-0000-0000C30C0000}"/>
    <cellStyle name="40% - Accent2 2 2 3 2 3" xfId="3272" xr:uid="{00000000-0005-0000-0000-0000C40C0000}"/>
    <cellStyle name="40% - Accent2 2 2 3 3" xfId="3273" xr:uid="{00000000-0005-0000-0000-0000C50C0000}"/>
    <cellStyle name="40% - Accent2 2 2 3 4" xfId="3274" xr:uid="{00000000-0005-0000-0000-0000C60C0000}"/>
    <cellStyle name="40% - Accent2 2 2 3 5" xfId="3275" xr:uid="{00000000-0005-0000-0000-0000C70C0000}"/>
    <cellStyle name="40% - Accent2 2 2 3 6" xfId="3276" xr:uid="{00000000-0005-0000-0000-0000C80C0000}"/>
    <cellStyle name="40% - Accent2 2 2 4" xfId="3277" xr:uid="{00000000-0005-0000-0000-0000C90C0000}"/>
    <cellStyle name="40% - Accent2 2 2 4 2" xfId="3278" xr:uid="{00000000-0005-0000-0000-0000CA0C0000}"/>
    <cellStyle name="40% - Accent2 2 2 4 2 2" xfId="3279" xr:uid="{00000000-0005-0000-0000-0000CB0C0000}"/>
    <cellStyle name="40% - Accent2 2 2 4 3" xfId="3280" xr:uid="{00000000-0005-0000-0000-0000CC0C0000}"/>
    <cellStyle name="40% - Accent2 2 2 4 4" xfId="3281" xr:uid="{00000000-0005-0000-0000-0000CD0C0000}"/>
    <cellStyle name="40% - Accent2 2 2 4 5" xfId="3282" xr:uid="{00000000-0005-0000-0000-0000CE0C0000}"/>
    <cellStyle name="40% - Accent2 2 2 5" xfId="3283" xr:uid="{00000000-0005-0000-0000-0000CF0C0000}"/>
    <cellStyle name="40% - Accent2 2 2 5 2" xfId="3284" xr:uid="{00000000-0005-0000-0000-0000D00C0000}"/>
    <cellStyle name="40% - Accent2 2 2 5 3" xfId="3285" xr:uid="{00000000-0005-0000-0000-0000D10C0000}"/>
    <cellStyle name="40% - Accent2 2 2 5 4" xfId="3286" xr:uid="{00000000-0005-0000-0000-0000D20C0000}"/>
    <cellStyle name="40% - Accent2 2 2 6" xfId="3287" xr:uid="{00000000-0005-0000-0000-0000D30C0000}"/>
    <cellStyle name="40% - Accent2 2 2 6 2" xfId="3288" xr:uid="{00000000-0005-0000-0000-0000D40C0000}"/>
    <cellStyle name="40% - Accent2 2 2 7" xfId="3289" xr:uid="{00000000-0005-0000-0000-0000D50C0000}"/>
    <cellStyle name="40% - Accent2 2 2 8" xfId="3290" xr:uid="{00000000-0005-0000-0000-0000D60C0000}"/>
    <cellStyle name="40% - Accent2 2 2 9" xfId="3291" xr:uid="{00000000-0005-0000-0000-0000D70C0000}"/>
    <cellStyle name="40% - Accent2 2 3" xfId="3292" xr:uid="{00000000-0005-0000-0000-0000D80C0000}"/>
    <cellStyle name="40% - Accent2 2 3 2" xfId="3293" xr:uid="{00000000-0005-0000-0000-0000D90C0000}"/>
    <cellStyle name="40% - Accent2 2 3 2 2" xfId="3294" xr:uid="{00000000-0005-0000-0000-0000DA0C0000}"/>
    <cellStyle name="40% - Accent2 2 3 2 2 2" xfId="3295" xr:uid="{00000000-0005-0000-0000-0000DB0C0000}"/>
    <cellStyle name="40% - Accent2 2 3 2 2 3" xfId="3296" xr:uid="{00000000-0005-0000-0000-0000DC0C0000}"/>
    <cellStyle name="40% - Accent2 2 3 2 3" xfId="3297" xr:uid="{00000000-0005-0000-0000-0000DD0C0000}"/>
    <cellStyle name="40% - Accent2 2 3 2 4" xfId="3298" xr:uid="{00000000-0005-0000-0000-0000DE0C0000}"/>
    <cellStyle name="40% - Accent2 2 3 2 5" xfId="3299" xr:uid="{00000000-0005-0000-0000-0000DF0C0000}"/>
    <cellStyle name="40% - Accent2 2 3 2 6" xfId="3300" xr:uid="{00000000-0005-0000-0000-0000E00C0000}"/>
    <cellStyle name="40% - Accent2 2 3 3" xfId="3301" xr:uid="{00000000-0005-0000-0000-0000E10C0000}"/>
    <cellStyle name="40% - Accent2 2 3 3 2" xfId="3302" xr:uid="{00000000-0005-0000-0000-0000E20C0000}"/>
    <cellStyle name="40% - Accent2 2 3 3 2 2" xfId="3303" xr:uid="{00000000-0005-0000-0000-0000E30C0000}"/>
    <cellStyle name="40% - Accent2 2 3 3 3" xfId="3304" xr:uid="{00000000-0005-0000-0000-0000E40C0000}"/>
    <cellStyle name="40% - Accent2 2 3 3 4" xfId="3305" xr:uid="{00000000-0005-0000-0000-0000E50C0000}"/>
    <cellStyle name="40% - Accent2 2 3 3 5" xfId="3306" xr:uid="{00000000-0005-0000-0000-0000E60C0000}"/>
    <cellStyle name="40% - Accent2 2 3 4" xfId="3307" xr:uid="{00000000-0005-0000-0000-0000E70C0000}"/>
    <cellStyle name="40% - Accent2 2 3 4 2" xfId="3308" xr:uid="{00000000-0005-0000-0000-0000E80C0000}"/>
    <cellStyle name="40% - Accent2 2 3 4 3" xfId="3309" xr:uid="{00000000-0005-0000-0000-0000E90C0000}"/>
    <cellStyle name="40% - Accent2 2 3 4 4" xfId="3310" xr:uid="{00000000-0005-0000-0000-0000EA0C0000}"/>
    <cellStyle name="40% - Accent2 2 3 5" xfId="3311" xr:uid="{00000000-0005-0000-0000-0000EB0C0000}"/>
    <cellStyle name="40% - Accent2 2 3 5 2" xfId="3312" xr:uid="{00000000-0005-0000-0000-0000EC0C0000}"/>
    <cellStyle name="40% - Accent2 2 3 6" xfId="3313" xr:uid="{00000000-0005-0000-0000-0000ED0C0000}"/>
    <cellStyle name="40% - Accent2 2 3 7" xfId="3314" xr:uid="{00000000-0005-0000-0000-0000EE0C0000}"/>
    <cellStyle name="40% - Accent2 2 3 8" xfId="3315" xr:uid="{00000000-0005-0000-0000-0000EF0C0000}"/>
    <cellStyle name="40% - Accent2 2 3 9" xfId="3316" xr:uid="{00000000-0005-0000-0000-0000F00C0000}"/>
    <cellStyle name="40% - Accent2 2 4" xfId="3317" xr:uid="{00000000-0005-0000-0000-0000F10C0000}"/>
    <cellStyle name="40% - Accent2 2 4 2" xfId="3318" xr:uid="{00000000-0005-0000-0000-0000F20C0000}"/>
    <cellStyle name="40% - Accent2 2 4 2 2" xfId="3319" xr:uid="{00000000-0005-0000-0000-0000F30C0000}"/>
    <cellStyle name="40% - Accent2 2 4 2 3" xfId="3320" xr:uid="{00000000-0005-0000-0000-0000F40C0000}"/>
    <cellStyle name="40% - Accent2 2 4 3" xfId="3321" xr:uid="{00000000-0005-0000-0000-0000F50C0000}"/>
    <cellStyle name="40% - Accent2 2 4 4" xfId="3322" xr:uid="{00000000-0005-0000-0000-0000F60C0000}"/>
    <cellStyle name="40% - Accent2 2 4 5" xfId="3323" xr:uid="{00000000-0005-0000-0000-0000F70C0000}"/>
    <cellStyle name="40% - Accent2 2 4 6" xfId="3324" xr:uid="{00000000-0005-0000-0000-0000F80C0000}"/>
    <cellStyle name="40% - Accent2 2 5" xfId="3325" xr:uid="{00000000-0005-0000-0000-0000F90C0000}"/>
    <cellStyle name="40% - Accent2 2 5 2" xfId="3326" xr:uid="{00000000-0005-0000-0000-0000FA0C0000}"/>
    <cellStyle name="40% - Accent2 2 5 2 2" xfId="3327" xr:uid="{00000000-0005-0000-0000-0000FB0C0000}"/>
    <cellStyle name="40% - Accent2 2 5 3" xfId="3328" xr:uid="{00000000-0005-0000-0000-0000FC0C0000}"/>
    <cellStyle name="40% - Accent2 2 5 4" xfId="3329" xr:uid="{00000000-0005-0000-0000-0000FD0C0000}"/>
    <cellStyle name="40% - Accent2 2 5 5" xfId="3330" xr:uid="{00000000-0005-0000-0000-0000FE0C0000}"/>
    <cellStyle name="40% - Accent2 2 6" xfId="3331" xr:uid="{00000000-0005-0000-0000-0000FF0C0000}"/>
    <cellStyle name="40% - Accent2 2 6 2" xfId="3332" xr:uid="{00000000-0005-0000-0000-0000000D0000}"/>
    <cellStyle name="40% - Accent2 2 6 2 2" xfId="3333" xr:uid="{00000000-0005-0000-0000-0000010D0000}"/>
    <cellStyle name="40% - Accent2 2 6 3" xfId="3334" xr:uid="{00000000-0005-0000-0000-0000020D0000}"/>
    <cellStyle name="40% - Accent2 2 6 4" xfId="3335" xr:uid="{00000000-0005-0000-0000-0000030D0000}"/>
    <cellStyle name="40% - Accent2 2 6 5" xfId="3336" xr:uid="{00000000-0005-0000-0000-0000040D0000}"/>
    <cellStyle name="40% - Accent2 2 7" xfId="3337" xr:uid="{00000000-0005-0000-0000-0000050D0000}"/>
    <cellStyle name="40% - Accent2 2 7 2" xfId="3338" xr:uid="{00000000-0005-0000-0000-0000060D0000}"/>
    <cellStyle name="40% - Accent2 2 8" xfId="3339" xr:uid="{00000000-0005-0000-0000-0000070D0000}"/>
    <cellStyle name="40% - Accent2 2 9" xfId="3340" xr:uid="{00000000-0005-0000-0000-0000080D0000}"/>
    <cellStyle name="40% - Accent2 3" xfId="3341" xr:uid="{00000000-0005-0000-0000-0000090D0000}"/>
    <cellStyle name="40% - Accent2 3 10" xfId="3342" xr:uid="{00000000-0005-0000-0000-00000A0D0000}"/>
    <cellStyle name="40% - Accent2 3 2" xfId="3343" xr:uid="{00000000-0005-0000-0000-00000B0D0000}"/>
    <cellStyle name="40% - Accent2 3 2 2" xfId="3344" xr:uid="{00000000-0005-0000-0000-00000C0D0000}"/>
    <cellStyle name="40% - Accent2 3 2 2 2" xfId="3345" xr:uid="{00000000-0005-0000-0000-00000D0D0000}"/>
    <cellStyle name="40% - Accent2 3 2 2 2 2" xfId="3346" xr:uid="{00000000-0005-0000-0000-00000E0D0000}"/>
    <cellStyle name="40% - Accent2 3 2 2 2 3" xfId="3347" xr:uid="{00000000-0005-0000-0000-00000F0D0000}"/>
    <cellStyle name="40% - Accent2 3 2 2 3" xfId="3348" xr:uid="{00000000-0005-0000-0000-0000100D0000}"/>
    <cellStyle name="40% - Accent2 3 2 2 4" xfId="3349" xr:uid="{00000000-0005-0000-0000-0000110D0000}"/>
    <cellStyle name="40% - Accent2 3 2 2 5" xfId="3350" xr:uid="{00000000-0005-0000-0000-0000120D0000}"/>
    <cellStyle name="40% - Accent2 3 2 2 6" xfId="3351" xr:uid="{00000000-0005-0000-0000-0000130D0000}"/>
    <cellStyle name="40% - Accent2 3 2 3" xfId="3352" xr:uid="{00000000-0005-0000-0000-0000140D0000}"/>
    <cellStyle name="40% - Accent2 3 2 3 2" xfId="3353" xr:uid="{00000000-0005-0000-0000-0000150D0000}"/>
    <cellStyle name="40% - Accent2 3 2 3 2 2" xfId="3354" xr:uid="{00000000-0005-0000-0000-0000160D0000}"/>
    <cellStyle name="40% - Accent2 3 2 3 3" xfId="3355" xr:uid="{00000000-0005-0000-0000-0000170D0000}"/>
    <cellStyle name="40% - Accent2 3 2 3 4" xfId="3356" xr:uid="{00000000-0005-0000-0000-0000180D0000}"/>
    <cellStyle name="40% - Accent2 3 2 3 5" xfId="3357" xr:uid="{00000000-0005-0000-0000-0000190D0000}"/>
    <cellStyle name="40% - Accent2 3 2 4" xfId="3358" xr:uid="{00000000-0005-0000-0000-00001A0D0000}"/>
    <cellStyle name="40% - Accent2 3 2 4 2" xfId="3359" xr:uid="{00000000-0005-0000-0000-00001B0D0000}"/>
    <cellStyle name="40% - Accent2 3 2 4 3" xfId="3360" xr:uid="{00000000-0005-0000-0000-00001C0D0000}"/>
    <cellStyle name="40% - Accent2 3 2 4 4" xfId="3361" xr:uid="{00000000-0005-0000-0000-00001D0D0000}"/>
    <cellStyle name="40% - Accent2 3 2 5" xfId="3362" xr:uid="{00000000-0005-0000-0000-00001E0D0000}"/>
    <cellStyle name="40% - Accent2 3 2 5 2" xfId="3363" xr:uid="{00000000-0005-0000-0000-00001F0D0000}"/>
    <cellStyle name="40% - Accent2 3 2 6" xfId="3364" xr:uid="{00000000-0005-0000-0000-0000200D0000}"/>
    <cellStyle name="40% - Accent2 3 2 7" xfId="3365" xr:uid="{00000000-0005-0000-0000-0000210D0000}"/>
    <cellStyle name="40% - Accent2 3 2 8" xfId="3366" xr:uid="{00000000-0005-0000-0000-0000220D0000}"/>
    <cellStyle name="40% - Accent2 3 2 9" xfId="3367" xr:uid="{00000000-0005-0000-0000-0000230D0000}"/>
    <cellStyle name="40% - Accent2 3 3" xfId="3368" xr:uid="{00000000-0005-0000-0000-0000240D0000}"/>
    <cellStyle name="40% - Accent2 3 3 2" xfId="3369" xr:uid="{00000000-0005-0000-0000-0000250D0000}"/>
    <cellStyle name="40% - Accent2 3 3 2 2" xfId="3370" xr:uid="{00000000-0005-0000-0000-0000260D0000}"/>
    <cellStyle name="40% - Accent2 3 3 2 3" xfId="3371" xr:uid="{00000000-0005-0000-0000-0000270D0000}"/>
    <cellStyle name="40% - Accent2 3 3 3" xfId="3372" xr:uid="{00000000-0005-0000-0000-0000280D0000}"/>
    <cellStyle name="40% - Accent2 3 3 4" xfId="3373" xr:uid="{00000000-0005-0000-0000-0000290D0000}"/>
    <cellStyle name="40% - Accent2 3 3 5" xfId="3374" xr:uid="{00000000-0005-0000-0000-00002A0D0000}"/>
    <cellStyle name="40% - Accent2 3 3 6" xfId="3375" xr:uid="{00000000-0005-0000-0000-00002B0D0000}"/>
    <cellStyle name="40% - Accent2 3 4" xfId="3376" xr:uid="{00000000-0005-0000-0000-00002C0D0000}"/>
    <cellStyle name="40% - Accent2 3 4 2" xfId="3377" xr:uid="{00000000-0005-0000-0000-00002D0D0000}"/>
    <cellStyle name="40% - Accent2 3 4 2 2" xfId="3378" xr:uid="{00000000-0005-0000-0000-00002E0D0000}"/>
    <cellStyle name="40% - Accent2 3 4 3" xfId="3379" xr:uid="{00000000-0005-0000-0000-00002F0D0000}"/>
    <cellStyle name="40% - Accent2 3 4 4" xfId="3380" xr:uid="{00000000-0005-0000-0000-0000300D0000}"/>
    <cellStyle name="40% - Accent2 3 4 5" xfId="3381" xr:uid="{00000000-0005-0000-0000-0000310D0000}"/>
    <cellStyle name="40% - Accent2 3 5" xfId="3382" xr:uid="{00000000-0005-0000-0000-0000320D0000}"/>
    <cellStyle name="40% - Accent2 3 5 2" xfId="3383" xr:uid="{00000000-0005-0000-0000-0000330D0000}"/>
    <cellStyle name="40% - Accent2 3 5 2 2" xfId="3384" xr:uid="{00000000-0005-0000-0000-0000340D0000}"/>
    <cellStyle name="40% - Accent2 3 5 3" xfId="3385" xr:uid="{00000000-0005-0000-0000-0000350D0000}"/>
    <cellStyle name="40% - Accent2 3 5 4" xfId="3386" xr:uid="{00000000-0005-0000-0000-0000360D0000}"/>
    <cellStyle name="40% - Accent2 3 5 5" xfId="3387" xr:uid="{00000000-0005-0000-0000-0000370D0000}"/>
    <cellStyle name="40% - Accent2 3 6" xfId="3388" xr:uid="{00000000-0005-0000-0000-0000380D0000}"/>
    <cellStyle name="40% - Accent2 3 6 2" xfId="3389" xr:uid="{00000000-0005-0000-0000-0000390D0000}"/>
    <cellStyle name="40% - Accent2 3 7" xfId="3390" xr:uid="{00000000-0005-0000-0000-00003A0D0000}"/>
    <cellStyle name="40% - Accent2 3 8" xfId="3391" xr:uid="{00000000-0005-0000-0000-00003B0D0000}"/>
    <cellStyle name="40% - Accent2 3 9" xfId="3392" xr:uid="{00000000-0005-0000-0000-00003C0D0000}"/>
    <cellStyle name="40% - Accent2 4" xfId="3393" xr:uid="{00000000-0005-0000-0000-00003D0D0000}"/>
    <cellStyle name="40% - Accent2 4 10" xfId="3394" xr:uid="{00000000-0005-0000-0000-00003E0D0000}"/>
    <cellStyle name="40% - Accent2 4 2" xfId="3395" xr:uid="{00000000-0005-0000-0000-00003F0D0000}"/>
    <cellStyle name="40% - Accent2 4 2 2" xfId="3396" xr:uid="{00000000-0005-0000-0000-0000400D0000}"/>
    <cellStyle name="40% - Accent2 4 2 2 2" xfId="3397" xr:uid="{00000000-0005-0000-0000-0000410D0000}"/>
    <cellStyle name="40% - Accent2 4 2 2 2 2" xfId="3398" xr:uid="{00000000-0005-0000-0000-0000420D0000}"/>
    <cellStyle name="40% - Accent2 4 2 2 2 3" xfId="3399" xr:uid="{00000000-0005-0000-0000-0000430D0000}"/>
    <cellStyle name="40% - Accent2 4 2 2 3" xfId="3400" xr:uid="{00000000-0005-0000-0000-0000440D0000}"/>
    <cellStyle name="40% - Accent2 4 2 2 4" xfId="3401" xr:uid="{00000000-0005-0000-0000-0000450D0000}"/>
    <cellStyle name="40% - Accent2 4 2 2 5" xfId="3402" xr:uid="{00000000-0005-0000-0000-0000460D0000}"/>
    <cellStyle name="40% - Accent2 4 2 2 6" xfId="3403" xr:uid="{00000000-0005-0000-0000-0000470D0000}"/>
    <cellStyle name="40% - Accent2 4 2 3" xfId="3404" xr:uid="{00000000-0005-0000-0000-0000480D0000}"/>
    <cellStyle name="40% - Accent2 4 2 3 2" xfId="3405" xr:uid="{00000000-0005-0000-0000-0000490D0000}"/>
    <cellStyle name="40% - Accent2 4 2 3 2 2" xfId="3406" xr:uid="{00000000-0005-0000-0000-00004A0D0000}"/>
    <cellStyle name="40% - Accent2 4 2 3 3" xfId="3407" xr:uid="{00000000-0005-0000-0000-00004B0D0000}"/>
    <cellStyle name="40% - Accent2 4 2 3 4" xfId="3408" xr:uid="{00000000-0005-0000-0000-00004C0D0000}"/>
    <cellStyle name="40% - Accent2 4 2 3 5" xfId="3409" xr:uid="{00000000-0005-0000-0000-00004D0D0000}"/>
    <cellStyle name="40% - Accent2 4 2 4" xfId="3410" xr:uid="{00000000-0005-0000-0000-00004E0D0000}"/>
    <cellStyle name="40% - Accent2 4 2 4 2" xfId="3411" xr:uid="{00000000-0005-0000-0000-00004F0D0000}"/>
    <cellStyle name="40% - Accent2 4 2 4 3" xfId="3412" xr:uid="{00000000-0005-0000-0000-0000500D0000}"/>
    <cellStyle name="40% - Accent2 4 2 4 4" xfId="3413" xr:uid="{00000000-0005-0000-0000-0000510D0000}"/>
    <cellStyle name="40% - Accent2 4 2 5" xfId="3414" xr:uid="{00000000-0005-0000-0000-0000520D0000}"/>
    <cellStyle name="40% - Accent2 4 2 5 2" xfId="3415" xr:uid="{00000000-0005-0000-0000-0000530D0000}"/>
    <cellStyle name="40% - Accent2 4 2 6" xfId="3416" xr:uid="{00000000-0005-0000-0000-0000540D0000}"/>
    <cellStyle name="40% - Accent2 4 2 7" xfId="3417" xr:uid="{00000000-0005-0000-0000-0000550D0000}"/>
    <cellStyle name="40% - Accent2 4 2 8" xfId="3418" xr:uid="{00000000-0005-0000-0000-0000560D0000}"/>
    <cellStyle name="40% - Accent2 4 2 9" xfId="3419" xr:uid="{00000000-0005-0000-0000-0000570D0000}"/>
    <cellStyle name="40% - Accent2 4 3" xfId="3420" xr:uid="{00000000-0005-0000-0000-0000580D0000}"/>
    <cellStyle name="40% - Accent2 4 3 2" xfId="3421" xr:uid="{00000000-0005-0000-0000-0000590D0000}"/>
    <cellStyle name="40% - Accent2 4 3 2 2" xfId="3422" xr:uid="{00000000-0005-0000-0000-00005A0D0000}"/>
    <cellStyle name="40% - Accent2 4 3 2 3" xfId="3423" xr:uid="{00000000-0005-0000-0000-00005B0D0000}"/>
    <cellStyle name="40% - Accent2 4 3 3" xfId="3424" xr:uid="{00000000-0005-0000-0000-00005C0D0000}"/>
    <cellStyle name="40% - Accent2 4 3 4" xfId="3425" xr:uid="{00000000-0005-0000-0000-00005D0D0000}"/>
    <cellStyle name="40% - Accent2 4 3 5" xfId="3426" xr:uid="{00000000-0005-0000-0000-00005E0D0000}"/>
    <cellStyle name="40% - Accent2 4 3 6" xfId="3427" xr:uid="{00000000-0005-0000-0000-00005F0D0000}"/>
    <cellStyle name="40% - Accent2 4 4" xfId="3428" xr:uid="{00000000-0005-0000-0000-0000600D0000}"/>
    <cellStyle name="40% - Accent2 4 4 2" xfId="3429" xr:uid="{00000000-0005-0000-0000-0000610D0000}"/>
    <cellStyle name="40% - Accent2 4 4 2 2" xfId="3430" xr:uid="{00000000-0005-0000-0000-0000620D0000}"/>
    <cellStyle name="40% - Accent2 4 4 3" xfId="3431" xr:uid="{00000000-0005-0000-0000-0000630D0000}"/>
    <cellStyle name="40% - Accent2 4 4 4" xfId="3432" xr:uid="{00000000-0005-0000-0000-0000640D0000}"/>
    <cellStyle name="40% - Accent2 4 4 5" xfId="3433" xr:uid="{00000000-0005-0000-0000-0000650D0000}"/>
    <cellStyle name="40% - Accent2 4 5" xfId="3434" xr:uid="{00000000-0005-0000-0000-0000660D0000}"/>
    <cellStyle name="40% - Accent2 4 5 2" xfId="3435" xr:uid="{00000000-0005-0000-0000-0000670D0000}"/>
    <cellStyle name="40% - Accent2 4 5 2 2" xfId="3436" xr:uid="{00000000-0005-0000-0000-0000680D0000}"/>
    <cellStyle name="40% - Accent2 4 5 3" xfId="3437" xr:uid="{00000000-0005-0000-0000-0000690D0000}"/>
    <cellStyle name="40% - Accent2 4 5 4" xfId="3438" xr:uid="{00000000-0005-0000-0000-00006A0D0000}"/>
    <cellStyle name="40% - Accent2 4 5 5" xfId="3439" xr:uid="{00000000-0005-0000-0000-00006B0D0000}"/>
    <cellStyle name="40% - Accent2 4 6" xfId="3440" xr:uid="{00000000-0005-0000-0000-00006C0D0000}"/>
    <cellStyle name="40% - Accent2 4 6 2" xfId="3441" xr:uid="{00000000-0005-0000-0000-00006D0D0000}"/>
    <cellStyle name="40% - Accent2 4 7" xfId="3442" xr:uid="{00000000-0005-0000-0000-00006E0D0000}"/>
    <cellStyle name="40% - Accent2 4 8" xfId="3443" xr:uid="{00000000-0005-0000-0000-00006F0D0000}"/>
    <cellStyle name="40% - Accent2 4 9" xfId="3444" xr:uid="{00000000-0005-0000-0000-0000700D0000}"/>
    <cellStyle name="40% - Accent2 5" xfId="3445" xr:uid="{00000000-0005-0000-0000-0000710D0000}"/>
    <cellStyle name="40% - Accent2 5 10" xfId="3446" xr:uid="{00000000-0005-0000-0000-0000720D0000}"/>
    <cellStyle name="40% - Accent2 5 2" xfId="3447" xr:uid="{00000000-0005-0000-0000-0000730D0000}"/>
    <cellStyle name="40% - Accent2 5 2 2" xfId="3448" xr:uid="{00000000-0005-0000-0000-0000740D0000}"/>
    <cellStyle name="40% - Accent2 5 2 2 2" xfId="3449" xr:uid="{00000000-0005-0000-0000-0000750D0000}"/>
    <cellStyle name="40% - Accent2 5 2 2 2 2" xfId="3450" xr:uid="{00000000-0005-0000-0000-0000760D0000}"/>
    <cellStyle name="40% - Accent2 5 2 2 2 3" xfId="3451" xr:uid="{00000000-0005-0000-0000-0000770D0000}"/>
    <cellStyle name="40% - Accent2 5 2 2 3" xfId="3452" xr:uid="{00000000-0005-0000-0000-0000780D0000}"/>
    <cellStyle name="40% - Accent2 5 2 2 4" xfId="3453" xr:uid="{00000000-0005-0000-0000-0000790D0000}"/>
    <cellStyle name="40% - Accent2 5 2 2 5" xfId="3454" xr:uid="{00000000-0005-0000-0000-00007A0D0000}"/>
    <cellStyle name="40% - Accent2 5 2 2 6" xfId="3455" xr:uid="{00000000-0005-0000-0000-00007B0D0000}"/>
    <cellStyle name="40% - Accent2 5 2 3" xfId="3456" xr:uid="{00000000-0005-0000-0000-00007C0D0000}"/>
    <cellStyle name="40% - Accent2 5 2 3 2" xfId="3457" xr:uid="{00000000-0005-0000-0000-00007D0D0000}"/>
    <cellStyle name="40% - Accent2 5 2 3 2 2" xfId="3458" xr:uid="{00000000-0005-0000-0000-00007E0D0000}"/>
    <cellStyle name="40% - Accent2 5 2 3 3" xfId="3459" xr:uid="{00000000-0005-0000-0000-00007F0D0000}"/>
    <cellStyle name="40% - Accent2 5 2 3 4" xfId="3460" xr:uid="{00000000-0005-0000-0000-0000800D0000}"/>
    <cellStyle name="40% - Accent2 5 2 3 5" xfId="3461" xr:uid="{00000000-0005-0000-0000-0000810D0000}"/>
    <cellStyle name="40% - Accent2 5 2 4" xfId="3462" xr:uid="{00000000-0005-0000-0000-0000820D0000}"/>
    <cellStyle name="40% - Accent2 5 2 4 2" xfId="3463" xr:uid="{00000000-0005-0000-0000-0000830D0000}"/>
    <cellStyle name="40% - Accent2 5 2 4 3" xfId="3464" xr:uid="{00000000-0005-0000-0000-0000840D0000}"/>
    <cellStyle name="40% - Accent2 5 2 4 4" xfId="3465" xr:uid="{00000000-0005-0000-0000-0000850D0000}"/>
    <cellStyle name="40% - Accent2 5 2 5" xfId="3466" xr:uid="{00000000-0005-0000-0000-0000860D0000}"/>
    <cellStyle name="40% - Accent2 5 2 5 2" xfId="3467" xr:uid="{00000000-0005-0000-0000-0000870D0000}"/>
    <cellStyle name="40% - Accent2 5 2 6" xfId="3468" xr:uid="{00000000-0005-0000-0000-0000880D0000}"/>
    <cellStyle name="40% - Accent2 5 2 7" xfId="3469" xr:uid="{00000000-0005-0000-0000-0000890D0000}"/>
    <cellStyle name="40% - Accent2 5 2 8" xfId="3470" xr:uid="{00000000-0005-0000-0000-00008A0D0000}"/>
    <cellStyle name="40% - Accent2 5 2 9" xfId="3471" xr:uid="{00000000-0005-0000-0000-00008B0D0000}"/>
    <cellStyle name="40% - Accent2 5 3" xfId="3472" xr:uid="{00000000-0005-0000-0000-00008C0D0000}"/>
    <cellStyle name="40% - Accent2 5 3 2" xfId="3473" xr:uid="{00000000-0005-0000-0000-00008D0D0000}"/>
    <cellStyle name="40% - Accent2 5 3 2 2" xfId="3474" xr:uid="{00000000-0005-0000-0000-00008E0D0000}"/>
    <cellStyle name="40% - Accent2 5 3 2 3" xfId="3475" xr:uid="{00000000-0005-0000-0000-00008F0D0000}"/>
    <cellStyle name="40% - Accent2 5 3 3" xfId="3476" xr:uid="{00000000-0005-0000-0000-0000900D0000}"/>
    <cellStyle name="40% - Accent2 5 3 4" xfId="3477" xr:uid="{00000000-0005-0000-0000-0000910D0000}"/>
    <cellStyle name="40% - Accent2 5 3 5" xfId="3478" xr:uid="{00000000-0005-0000-0000-0000920D0000}"/>
    <cellStyle name="40% - Accent2 5 3 6" xfId="3479" xr:uid="{00000000-0005-0000-0000-0000930D0000}"/>
    <cellStyle name="40% - Accent2 5 4" xfId="3480" xr:uid="{00000000-0005-0000-0000-0000940D0000}"/>
    <cellStyle name="40% - Accent2 5 4 2" xfId="3481" xr:uid="{00000000-0005-0000-0000-0000950D0000}"/>
    <cellStyle name="40% - Accent2 5 4 2 2" xfId="3482" xr:uid="{00000000-0005-0000-0000-0000960D0000}"/>
    <cellStyle name="40% - Accent2 5 4 3" xfId="3483" xr:uid="{00000000-0005-0000-0000-0000970D0000}"/>
    <cellStyle name="40% - Accent2 5 4 4" xfId="3484" xr:uid="{00000000-0005-0000-0000-0000980D0000}"/>
    <cellStyle name="40% - Accent2 5 4 5" xfId="3485" xr:uid="{00000000-0005-0000-0000-0000990D0000}"/>
    <cellStyle name="40% - Accent2 5 5" xfId="3486" xr:uid="{00000000-0005-0000-0000-00009A0D0000}"/>
    <cellStyle name="40% - Accent2 5 5 2" xfId="3487" xr:uid="{00000000-0005-0000-0000-00009B0D0000}"/>
    <cellStyle name="40% - Accent2 5 5 3" xfId="3488" xr:uid="{00000000-0005-0000-0000-00009C0D0000}"/>
    <cellStyle name="40% - Accent2 5 5 4" xfId="3489" xr:uid="{00000000-0005-0000-0000-00009D0D0000}"/>
    <cellStyle name="40% - Accent2 5 6" xfId="3490" xr:uid="{00000000-0005-0000-0000-00009E0D0000}"/>
    <cellStyle name="40% - Accent2 5 6 2" xfId="3491" xr:uid="{00000000-0005-0000-0000-00009F0D0000}"/>
    <cellStyle name="40% - Accent2 5 7" xfId="3492" xr:uid="{00000000-0005-0000-0000-0000A00D0000}"/>
    <cellStyle name="40% - Accent2 5 8" xfId="3493" xr:uid="{00000000-0005-0000-0000-0000A10D0000}"/>
    <cellStyle name="40% - Accent2 5 9" xfId="3494" xr:uid="{00000000-0005-0000-0000-0000A20D0000}"/>
    <cellStyle name="40% - Accent2 6" xfId="3495" xr:uid="{00000000-0005-0000-0000-0000A30D0000}"/>
    <cellStyle name="40% - Accent2 6 10" xfId="3496" xr:uid="{00000000-0005-0000-0000-0000A40D0000}"/>
    <cellStyle name="40% - Accent2 6 2" xfId="3497" xr:uid="{00000000-0005-0000-0000-0000A50D0000}"/>
    <cellStyle name="40% - Accent2 6 2 2" xfId="3498" xr:uid="{00000000-0005-0000-0000-0000A60D0000}"/>
    <cellStyle name="40% - Accent2 6 2 2 2" xfId="3499" xr:uid="{00000000-0005-0000-0000-0000A70D0000}"/>
    <cellStyle name="40% - Accent2 6 2 2 2 2" xfId="3500" xr:uid="{00000000-0005-0000-0000-0000A80D0000}"/>
    <cellStyle name="40% - Accent2 6 2 2 2 3" xfId="3501" xr:uid="{00000000-0005-0000-0000-0000A90D0000}"/>
    <cellStyle name="40% - Accent2 6 2 2 3" xfId="3502" xr:uid="{00000000-0005-0000-0000-0000AA0D0000}"/>
    <cellStyle name="40% - Accent2 6 2 2 4" xfId="3503" xr:uid="{00000000-0005-0000-0000-0000AB0D0000}"/>
    <cellStyle name="40% - Accent2 6 2 2 5" xfId="3504" xr:uid="{00000000-0005-0000-0000-0000AC0D0000}"/>
    <cellStyle name="40% - Accent2 6 2 2 6" xfId="3505" xr:uid="{00000000-0005-0000-0000-0000AD0D0000}"/>
    <cellStyle name="40% - Accent2 6 2 3" xfId="3506" xr:uid="{00000000-0005-0000-0000-0000AE0D0000}"/>
    <cellStyle name="40% - Accent2 6 2 3 2" xfId="3507" xr:uid="{00000000-0005-0000-0000-0000AF0D0000}"/>
    <cellStyle name="40% - Accent2 6 2 3 2 2" xfId="3508" xr:uid="{00000000-0005-0000-0000-0000B00D0000}"/>
    <cellStyle name="40% - Accent2 6 2 3 3" xfId="3509" xr:uid="{00000000-0005-0000-0000-0000B10D0000}"/>
    <cellStyle name="40% - Accent2 6 2 3 4" xfId="3510" xr:uid="{00000000-0005-0000-0000-0000B20D0000}"/>
    <cellStyle name="40% - Accent2 6 2 3 5" xfId="3511" xr:uid="{00000000-0005-0000-0000-0000B30D0000}"/>
    <cellStyle name="40% - Accent2 6 2 4" xfId="3512" xr:uid="{00000000-0005-0000-0000-0000B40D0000}"/>
    <cellStyle name="40% - Accent2 6 2 4 2" xfId="3513" xr:uid="{00000000-0005-0000-0000-0000B50D0000}"/>
    <cellStyle name="40% - Accent2 6 2 4 3" xfId="3514" xr:uid="{00000000-0005-0000-0000-0000B60D0000}"/>
    <cellStyle name="40% - Accent2 6 2 4 4" xfId="3515" xr:uid="{00000000-0005-0000-0000-0000B70D0000}"/>
    <cellStyle name="40% - Accent2 6 2 5" xfId="3516" xr:uid="{00000000-0005-0000-0000-0000B80D0000}"/>
    <cellStyle name="40% - Accent2 6 2 5 2" xfId="3517" xr:uid="{00000000-0005-0000-0000-0000B90D0000}"/>
    <cellStyle name="40% - Accent2 6 2 6" xfId="3518" xr:uid="{00000000-0005-0000-0000-0000BA0D0000}"/>
    <cellStyle name="40% - Accent2 6 2 7" xfId="3519" xr:uid="{00000000-0005-0000-0000-0000BB0D0000}"/>
    <cellStyle name="40% - Accent2 6 2 8" xfId="3520" xr:uid="{00000000-0005-0000-0000-0000BC0D0000}"/>
    <cellStyle name="40% - Accent2 6 2 9" xfId="3521" xr:uid="{00000000-0005-0000-0000-0000BD0D0000}"/>
    <cellStyle name="40% - Accent2 6 3" xfId="3522" xr:uid="{00000000-0005-0000-0000-0000BE0D0000}"/>
    <cellStyle name="40% - Accent2 6 3 2" xfId="3523" xr:uid="{00000000-0005-0000-0000-0000BF0D0000}"/>
    <cellStyle name="40% - Accent2 6 3 2 2" xfId="3524" xr:uid="{00000000-0005-0000-0000-0000C00D0000}"/>
    <cellStyle name="40% - Accent2 6 3 2 3" xfId="3525" xr:uid="{00000000-0005-0000-0000-0000C10D0000}"/>
    <cellStyle name="40% - Accent2 6 3 3" xfId="3526" xr:uid="{00000000-0005-0000-0000-0000C20D0000}"/>
    <cellStyle name="40% - Accent2 6 3 4" xfId="3527" xr:uid="{00000000-0005-0000-0000-0000C30D0000}"/>
    <cellStyle name="40% - Accent2 6 3 5" xfId="3528" xr:uid="{00000000-0005-0000-0000-0000C40D0000}"/>
    <cellStyle name="40% - Accent2 6 3 6" xfId="3529" xr:uid="{00000000-0005-0000-0000-0000C50D0000}"/>
    <cellStyle name="40% - Accent2 6 4" xfId="3530" xr:uid="{00000000-0005-0000-0000-0000C60D0000}"/>
    <cellStyle name="40% - Accent2 6 4 2" xfId="3531" xr:uid="{00000000-0005-0000-0000-0000C70D0000}"/>
    <cellStyle name="40% - Accent2 6 4 2 2" xfId="3532" xr:uid="{00000000-0005-0000-0000-0000C80D0000}"/>
    <cellStyle name="40% - Accent2 6 4 3" xfId="3533" xr:uid="{00000000-0005-0000-0000-0000C90D0000}"/>
    <cellStyle name="40% - Accent2 6 4 4" xfId="3534" xr:uid="{00000000-0005-0000-0000-0000CA0D0000}"/>
    <cellStyle name="40% - Accent2 6 4 5" xfId="3535" xr:uid="{00000000-0005-0000-0000-0000CB0D0000}"/>
    <cellStyle name="40% - Accent2 6 5" xfId="3536" xr:uid="{00000000-0005-0000-0000-0000CC0D0000}"/>
    <cellStyle name="40% - Accent2 6 5 2" xfId="3537" xr:uid="{00000000-0005-0000-0000-0000CD0D0000}"/>
    <cellStyle name="40% - Accent2 6 5 3" xfId="3538" xr:uid="{00000000-0005-0000-0000-0000CE0D0000}"/>
    <cellStyle name="40% - Accent2 6 5 4" xfId="3539" xr:uid="{00000000-0005-0000-0000-0000CF0D0000}"/>
    <cellStyle name="40% - Accent2 6 6" xfId="3540" xr:uid="{00000000-0005-0000-0000-0000D00D0000}"/>
    <cellStyle name="40% - Accent2 6 6 2" xfId="3541" xr:uid="{00000000-0005-0000-0000-0000D10D0000}"/>
    <cellStyle name="40% - Accent2 6 7" xfId="3542" xr:uid="{00000000-0005-0000-0000-0000D20D0000}"/>
    <cellStyle name="40% - Accent2 6 8" xfId="3543" xr:uid="{00000000-0005-0000-0000-0000D30D0000}"/>
    <cellStyle name="40% - Accent2 6 9" xfId="3544" xr:uid="{00000000-0005-0000-0000-0000D40D0000}"/>
    <cellStyle name="40% - Accent2 7" xfId="3545" xr:uid="{00000000-0005-0000-0000-0000D50D0000}"/>
    <cellStyle name="40% - Accent2 7 2" xfId="3546" xr:uid="{00000000-0005-0000-0000-0000D60D0000}"/>
    <cellStyle name="40% - Accent2 7 2 2" xfId="3547" xr:uid="{00000000-0005-0000-0000-0000D70D0000}"/>
    <cellStyle name="40% - Accent2 7 2 2 2" xfId="3548" xr:uid="{00000000-0005-0000-0000-0000D80D0000}"/>
    <cellStyle name="40% - Accent2 7 2 2 3" xfId="3549" xr:uid="{00000000-0005-0000-0000-0000D90D0000}"/>
    <cellStyle name="40% - Accent2 7 2 3" xfId="3550" xr:uid="{00000000-0005-0000-0000-0000DA0D0000}"/>
    <cellStyle name="40% - Accent2 7 2 4" xfId="3551" xr:uid="{00000000-0005-0000-0000-0000DB0D0000}"/>
    <cellStyle name="40% - Accent2 7 2 5" xfId="3552" xr:uid="{00000000-0005-0000-0000-0000DC0D0000}"/>
    <cellStyle name="40% - Accent2 7 2 6" xfId="3553" xr:uid="{00000000-0005-0000-0000-0000DD0D0000}"/>
    <cellStyle name="40% - Accent2 7 3" xfId="3554" xr:uid="{00000000-0005-0000-0000-0000DE0D0000}"/>
    <cellStyle name="40% - Accent2 7 3 2" xfId="3555" xr:uid="{00000000-0005-0000-0000-0000DF0D0000}"/>
    <cellStyle name="40% - Accent2 7 3 2 2" xfId="3556" xr:uid="{00000000-0005-0000-0000-0000E00D0000}"/>
    <cellStyle name="40% - Accent2 7 3 3" xfId="3557" xr:uid="{00000000-0005-0000-0000-0000E10D0000}"/>
    <cellStyle name="40% - Accent2 7 3 4" xfId="3558" xr:uid="{00000000-0005-0000-0000-0000E20D0000}"/>
    <cellStyle name="40% - Accent2 7 3 5" xfId="3559" xr:uid="{00000000-0005-0000-0000-0000E30D0000}"/>
    <cellStyle name="40% - Accent2 7 4" xfId="3560" xr:uid="{00000000-0005-0000-0000-0000E40D0000}"/>
    <cellStyle name="40% - Accent2 7 4 2" xfId="3561" xr:uid="{00000000-0005-0000-0000-0000E50D0000}"/>
    <cellStyle name="40% - Accent2 7 4 3" xfId="3562" xr:uid="{00000000-0005-0000-0000-0000E60D0000}"/>
    <cellStyle name="40% - Accent2 7 4 4" xfId="3563" xr:uid="{00000000-0005-0000-0000-0000E70D0000}"/>
    <cellStyle name="40% - Accent2 7 5" xfId="3564" xr:uid="{00000000-0005-0000-0000-0000E80D0000}"/>
    <cellStyle name="40% - Accent2 7 5 2" xfId="3565" xr:uid="{00000000-0005-0000-0000-0000E90D0000}"/>
    <cellStyle name="40% - Accent2 7 6" xfId="3566" xr:uid="{00000000-0005-0000-0000-0000EA0D0000}"/>
    <cellStyle name="40% - Accent2 7 7" xfId="3567" xr:uid="{00000000-0005-0000-0000-0000EB0D0000}"/>
    <cellStyle name="40% - Accent2 7 8" xfId="3568" xr:uid="{00000000-0005-0000-0000-0000EC0D0000}"/>
    <cellStyle name="40% - Accent2 7 9" xfId="3569" xr:uid="{00000000-0005-0000-0000-0000ED0D0000}"/>
    <cellStyle name="40% - Accent2 8" xfId="3570" xr:uid="{00000000-0005-0000-0000-0000EE0D0000}"/>
    <cellStyle name="40% - Accent2 8 2" xfId="3571" xr:uid="{00000000-0005-0000-0000-0000EF0D0000}"/>
    <cellStyle name="40% - Accent2 8 2 2" xfId="3572" xr:uid="{00000000-0005-0000-0000-0000F00D0000}"/>
    <cellStyle name="40% - Accent2 8 2 2 2" xfId="3573" xr:uid="{00000000-0005-0000-0000-0000F10D0000}"/>
    <cellStyle name="40% - Accent2 8 2 2 3" xfId="3574" xr:uid="{00000000-0005-0000-0000-0000F20D0000}"/>
    <cellStyle name="40% - Accent2 8 2 3" xfId="3575" xr:uid="{00000000-0005-0000-0000-0000F30D0000}"/>
    <cellStyle name="40% - Accent2 8 2 4" xfId="3576" xr:uid="{00000000-0005-0000-0000-0000F40D0000}"/>
    <cellStyle name="40% - Accent2 8 2 5" xfId="3577" xr:uid="{00000000-0005-0000-0000-0000F50D0000}"/>
    <cellStyle name="40% - Accent2 8 2 6" xfId="3578" xr:uid="{00000000-0005-0000-0000-0000F60D0000}"/>
    <cellStyle name="40% - Accent2 8 3" xfId="3579" xr:uid="{00000000-0005-0000-0000-0000F70D0000}"/>
    <cellStyle name="40% - Accent2 8 3 2" xfId="3580" xr:uid="{00000000-0005-0000-0000-0000F80D0000}"/>
    <cellStyle name="40% - Accent2 8 3 2 2" xfId="3581" xr:uid="{00000000-0005-0000-0000-0000F90D0000}"/>
    <cellStyle name="40% - Accent2 8 3 3" xfId="3582" xr:uid="{00000000-0005-0000-0000-0000FA0D0000}"/>
    <cellStyle name="40% - Accent2 8 3 4" xfId="3583" xr:uid="{00000000-0005-0000-0000-0000FB0D0000}"/>
    <cellStyle name="40% - Accent2 8 3 5" xfId="3584" xr:uid="{00000000-0005-0000-0000-0000FC0D0000}"/>
    <cellStyle name="40% - Accent2 8 4" xfId="3585" xr:uid="{00000000-0005-0000-0000-0000FD0D0000}"/>
    <cellStyle name="40% - Accent2 8 4 2" xfId="3586" xr:uid="{00000000-0005-0000-0000-0000FE0D0000}"/>
    <cellStyle name="40% - Accent2 8 4 3" xfId="3587" xr:uid="{00000000-0005-0000-0000-0000FF0D0000}"/>
    <cellStyle name="40% - Accent2 8 4 4" xfId="3588" xr:uid="{00000000-0005-0000-0000-0000000E0000}"/>
    <cellStyle name="40% - Accent2 8 5" xfId="3589" xr:uid="{00000000-0005-0000-0000-0000010E0000}"/>
    <cellStyle name="40% - Accent2 8 5 2" xfId="3590" xr:uid="{00000000-0005-0000-0000-0000020E0000}"/>
    <cellStyle name="40% - Accent2 8 6" xfId="3591" xr:uid="{00000000-0005-0000-0000-0000030E0000}"/>
    <cellStyle name="40% - Accent2 8 7" xfId="3592" xr:uid="{00000000-0005-0000-0000-0000040E0000}"/>
    <cellStyle name="40% - Accent2 8 8" xfId="3593" xr:uid="{00000000-0005-0000-0000-0000050E0000}"/>
    <cellStyle name="40% - Accent2 8 9" xfId="3594" xr:uid="{00000000-0005-0000-0000-0000060E0000}"/>
    <cellStyle name="40% - Accent2 9" xfId="3595" xr:uid="{00000000-0005-0000-0000-0000070E0000}"/>
    <cellStyle name="40% - Accent2 9 2" xfId="3596" xr:uid="{00000000-0005-0000-0000-0000080E0000}"/>
    <cellStyle name="40% - Accent2 9 2 2" xfId="3597" xr:uid="{00000000-0005-0000-0000-0000090E0000}"/>
    <cellStyle name="40% - Accent2 9 2 2 2" xfId="3598" xr:uid="{00000000-0005-0000-0000-00000A0E0000}"/>
    <cellStyle name="40% - Accent2 9 2 3" xfId="3599" xr:uid="{00000000-0005-0000-0000-00000B0E0000}"/>
    <cellStyle name="40% - Accent2 9 2 4" xfId="3600" xr:uid="{00000000-0005-0000-0000-00000C0E0000}"/>
    <cellStyle name="40% - Accent2 9 2 5" xfId="3601" xr:uid="{00000000-0005-0000-0000-00000D0E0000}"/>
    <cellStyle name="40% - Accent2 9 3" xfId="3602" xr:uid="{00000000-0005-0000-0000-00000E0E0000}"/>
    <cellStyle name="40% - Accent2 9 3 2" xfId="3603" xr:uid="{00000000-0005-0000-0000-00000F0E0000}"/>
    <cellStyle name="40% - Accent2 9 3 3" xfId="3604" xr:uid="{00000000-0005-0000-0000-0000100E0000}"/>
    <cellStyle name="40% - Accent2 9 3 4" xfId="3605" xr:uid="{00000000-0005-0000-0000-0000110E0000}"/>
    <cellStyle name="40% - Accent2 9 4" xfId="3606" xr:uid="{00000000-0005-0000-0000-0000120E0000}"/>
    <cellStyle name="40% - Accent2 9 4 2" xfId="3607" xr:uid="{00000000-0005-0000-0000-0000130E0000}"/>
    <cellStyle name="40% - Accent2 9 5" xfId="3608" xr:uid="{00000000-0005-0000-0000-0000140E0000}"/>
    <cellStyle name="40% - Accent2 9 6" xfId="3609" xr:uid="{00000000-0005-0000-0000-0000150E0000}"/>
    <cellStyle name="40% - Accent2 9 7" xfId="3610" xr:uid="{00000000-0005-0000-0000-0000160E0000}"/>
    <cellStyle name="40% - Accent2 9 8" xfId="3611" xr:uid="{00000000-0005-0000-0000-0000170E0000}"/>
    <cellStyle name="40% - Accent3 10" xfId="3612" xr:uid="{00000000-0005-0000-0000-0000180E0000}"/>
    <cellStyle name="40% - Accent3 10 2" xfId="3613" xr:uid="{00000000-0005-0000-0000-0000190E0000}"/>
    <cellStyle name="40% - Accent3 10 2 2" xfId="3614" xr:uid="{00000000-0005-0000-0000-00001A0E0000}"/>
    <cellStyle name="40% - Accent3 10 2 2 2" xfId="3615" xr:uid="{00000000-0005-0000-0000-00001B0E0000}"/>
    <cellStyle name="40% - Accent3 10 2 3" xfId="3616" xr:uid="{00000000-0005-0000-0000-00001C0E0000}"/>
    <cellStyle name="40% - Accent3 10 2 4" xfId="3617" xr:uid="{00000000-0005-0000-0000-00001D0E0000}"/>
    <cellStyle name="40% - Accent3 10 2 5" xfId="3618" xr:uid="{00000000-0005-0000-0000-00001E0E0000}"/>
    <cellStyle name="40% - Accent3 10 3" xfId="3619" xr:uid="{00000000-0005-0000-0000-00001F0E0000}"/>
    <cellStyle name="40% - Accent3 10 3 2" xfId="3620" xr:uid="{00000000-0005-0000-0000-0000200E0000}"/>
    <cellStyle name="40% - Accent3 10 3 3" xfId="3621" xr:uid="{00000000-0005-0000-0000-0000210E0000}"/>
    <cellStyle name="40% - Accent3 10 3 4" xfId="3622" xr:uid="{00000000-0005-0000-0000-0000220E0000}"/>
    <cellStyle name="40% - Accent3 10 4" xfId="3623" xr:uid="{00000000-0005-0000-0000-0000230E0000}"/>
    <cellStyle name="40% - Accent3 10 4 2" xfId="3624" xr:uid="{00000000-0005-0000-0000-0000240E0000}"/>
    <cellStyle name="40% - Accent3 10 5" xfId="3625" xr:uid="{00000000-0005-0000-0000-0000250E0000}"/>
    <cellStyle name="40% - Accent3 10 6" xfId="3626" xr:uid="{00000000-0005-0000-0000-0000260E0000}"/>
    <cellStyle name="40% - Accent3 10 7" xfId="3627" xr:uid="{00000000-0005-0000-0000-0000270E0000}"/>
    <cellStyle name="40% - Accent3 10 8" xfId="3628" xr:uid="{00000000-0005-0000-0000-0000280E0000}"/>
    <cellStyle name="40% - Accent3 11" xfId="3629" xr:uid="{00000000-0005-0000-0000-0000290E0000}"/>
    <cellStyle name="40% - Accent3 11 2" xfId="3630" xr:uid="{00000000-0005-0000-0000-00002A0E0000}"/>
    <cellStyle name="40% - Accent3 11 2 2" xfId="3631" xr:uid="{00000000-0005-0000-0000-00002B0E0000}"/>
    <cellStyle name="40% - Accent3 11 2 2 2" xfId="3632" xr:uid="{00000000-0005-0000-0000-00002C0E0000}"/>
    <cellStyle name="40% - Accent3 11 2 3" xfId="3633" xr:uid="{00000000-0005-0000-0000-00002D0E0000}"/>
    <cellStyle name="40% - Accent3 11 2 4" xfId="3634" xr:uid="{00000000-0005-0000-0000-00002E0E0000}"/>
    <cellStyle name="40% - Accent3 11 2 5" xfId="3635" xr:uid="{00000000-0005-0000-0000-00002F0E0000}"/>
    <cellStyle name="40% - Accent3 11 3" xfId="3636" xr:uid="{00000000-0005-0000-0000-0000300E0000}"/>
    <cellStyle name="40% - Accent3 11 3 2" xfId="3637" xr:uid="{00000000-0005-0000-0000-0000310E0000}"/>
    <cellStyle name="40% - Accent3 11 3 3" xfId="3638" xr:uid="{00000000-0005-0000-0000-0000320E0000}"/>
    <cellStyle name="40% - Accent3 11 3 4" xfId="3639" xr:uid="{00000000-0005-0000-0000-0000330E0000}"/>
    <cellStyle name="40% - Accent3 11 4" xfId="3640" xr:uid="{00000000-0005-0000-0000-0000340E0000}"/>
    <cellStyle name="40% - Accent3 11 4 2" xfId="3641" xr:uid="{00000000-0005-0000-0000-0000350E0000}"/>
    <cellStyle name="40% - Accent3 11 5" xfId="3642" xr:uid="{00000000-0005-0000-0000-0000360E0000}"/>
    <cellStyle name="40% - Accent3 11 6" xfId="3643" xr:uid="{00000000-0005-0000-0000-0000370E0000}"/>
    <cellStyle name="40% - Accent3 11 7" xfId="3644" xr:uid="{00000000-0005-0000-0000-0000380E0000}"/>
    <cellStyle name="40% - Accent3 11 8" xfId="3645" xr:uid="{00000000-0005-0000-0000-0000390E0000}"/>
    <cellStyle name="40% - Accent3 12" xfId="3646" xr:uid="{00000000-0005-0000-0000-00003A0E0000}"/>
    <cellStyle name="40% - Accent3 12 2" xfId="3647" xr:uid="{00000000-0005-0000-0000-00003B0E0000}"/>
    <cellStyle name="40% - Accent3 12 2 2" xfId="3648" xr:uid="{00000000-0005-0000-0000-00003C0E0000}"/>
    <cellStyle name="40% - Accent3 12 2 2 2" xfId="3649" xr:uid="{00000000-0005-0000-0000-00003D0E0000}"/>
    <cellStyle name="40% - Accent3 12 2 3" xfId="3650" xr:uid="{00000000-0005-0000-0000-00003E0E0000}"/>
    <cellStyle name="40% - Accent3 12 2 4" xfId="3651" xr:uid="{00000000-0005-0000-0000-00003F0E0000}"/>
    <cellStyle name="40% - Accent3 12 2 5" xfId="3652" xr:uid="{00000000-0005-0000-0000-0000400E0000}"/>
    <cellStyle name="40% - Accent3 12 3" xfId="3653" xr:uid="{00000000-0005-0000-0000-0000410E0000}"/>
    <cellStyle name="40% - Accent3 12 3 2" xfId="3654" xr:uid="{00000000-0005-0000-0000-0000420E0000}"/>
    <cellStyle name="40% - Accent3 12 3 3" xfId="3655" xr:uid="{00000000-0005-0000-0000-0000430E0000}"/>
    <cellStyle name="40% - Accent3 12 3 4" xfId="3656" xr:uid="{00000000-0005-0000-0000-0000440E0000}"/>
    <cellStyle name="40% - Accent3 12 4" xfId="3657" xr:uid="{00000000-0005-0000-0000-0000450E0000}"/>
    <cellStyle name="40% - Accent3 12 4 2" xfId="3658" xr:uid="{00000000-0005-0000-0000-0000460E0000}"/>
    <cellStyle name="40% - Accent3 12 5" xfId="3659" xr:uid="{00000000-0005-0000-0000-0000470E0000}"/>
    <cellStyle name="40% - Accent3 12 6" xfId="3660" xr:uid="{00000000-0005-0000-0000-0000480E0000}"/>
    <cellStyle name="40% - Accent3 12 7" xfId="3661" xr:uid="{00000000-0005-0000-0000-0000490E0000}"/>
    <cellStyle name="40% - Accent3 12 8" xfId="3662" xr:uid="{00000000-0005-0000-0000-00004A0E0000}"/>
    <cellStyle name="40% - Accent3 13" xfId="3663" xr:uid="{00000000-0005-0000-0000-00004B0E0000}"/>
    <cellStyle name="40% - Accent3 13 2" xfId="3664" xr:uid="{00000000-0005-0000-0000-00004C0E0000}"/>
    <cellStyle name="40% - Accent3 13 2 2" xfId="3665" xr:uid="{00000000-0005-0000-0000-00004D0E0000}"/>
    <cellStyle name="40% - Accent3 13 2 3" xfId="3666" xr:uid="{00000000-0005-0000-0000-00004E0E0000}"/>
    <cellStyle name="40% - Accent3 13 2 4" xfId="3667" xr:uid="{00000000-0005-0000-0000-00004F0E0000}"/>
    <cellStyle name="40% - Accent3 13 3" xfId="3668" xr:uid="{00000000-0005-0000-0000-0000500E0000}"/>
    <cellStyle name="40% - Accent3 13 3 2" xfId="3669" xr:uid="{00000000-0005-0000-0000-0000510E0000}"/>
    <cellStyle name="40% - Accent3 13 4" xfId="3670" xr:uid="{00000000-0005-0000-0000-0000520E0000}"/>
    <cellStyle name="40% - Accent3 13 5" xfId="3671" xr:uid="{00000000-0005-0000-0000-0000530E0000}"/>
    <cellStyle name="40% - Accent3 13 6" xfId="3672" xr:uid="{00000000-0005-0000-0000-0000540E0000}"/>
    <cellStyle name="40% - Accent3 14" xfId="3673" xr:uid="{00000000-0005-0000-0000-0000550E0000}"/>
    <cellStyle name="40% - Accent3 14 2" xfId="3674" xr:uid="{00000000-0005-0000-0000-0000560E0000}"/>
    <cellStyle name="40% - Accent3 14 2 2" xfId="3675" xr:uid="{00000000-0005-0000-0000-0000570E0000}"/>
    <cellStyle name="40% - Accent3 14 3" xfId="3676" xr:uid="{00000000-0005-0000-0000-0000580E0000}"/>
    <cellStyle name="40% - Accent3 14 4" xfId="3677" xr:uid="{00000000-0005-0000-0000-0000590E0000}"/>
    <cellStyle name="40% - Accent3 14 5" xfId="3678" xr:uid="{00000000-0005-0000-0000-00005A0E0000}"/>
    <cellStyle name="40% - Accent3 15" xfId="3679" xr:uid="{00000000-0005-0000-0000-00005B0E0000}"/>
    <cellStyle name="40% - Accent3 15 2" xfId="3680" xr:uid="{00000000-0005-0000-0000-00005C0E0000}"/>
    <cellStyle name="40% - Accent3 15 2 2" xfId="3681" xr:uid="{00000000-0005-0000-0000-00005D0E0000}"/>
    <cellStyle name="40% - Accent3 15 3" xfId="3682" xr:uid="{00000000-0005-0000-0000-00005E0E0000}"/>
    <cellStyle name="40% - Accent3 15 4" xfId="3683" xr:uid="{00000000-0005-0000-0000-00005F0E0000}"/>
    <cellStyle name="40% - Accent3 15 5" xfId="3684" xr:uid="{00000000-0005-0000-0000-0000600E0000}"/>
    <cellStyle name="40% - Accent3 16" xfId="3685" xr:uid="{00000000-0005-0000-0000-0000610E0000}"/>
    <cellStyle name="40% - Accent3 16 2" xfId="3686" xr:uid="{00000000-0005-0000-0000-0000620E0000}"/>
    <cellStyle name="40% - Accent3 17" xfId="3687" xr:uid="{00000000-0005-0000-0000-0000630E0000}"/>
    <cellStyle name="40% - Accent3 18" xfId="3688" xr:uid="{00000000-0005-0000-0000-0000640E0000}"/>
    <cellStyle name="40% - Accent3 19" xfId="3689" xr:uid="{00000000-0005-0000-0000-0000650E0000}"/>
    <cellStyle name="40% - Accent3 2" xfId="3690" xr:uid="{00000000-0005-0000-0000-0000660E0000}"/>
    <cellStyle name="40% - Accent3 2 10" xfId="3691" xr:uid="{00000000-0005-0000-0000-0000670E0000}"/>
    <cellStyle name="40% - Accent3 2 11" xfId="3692" xr:uid="{00000000-0005-0000-0000-0000680E0000}"/>
    <cellStyle name="40% - Accent3 2 2" xfId="3693" xr:uid="{00000000-0005-0000-0000-0000690E0000}"/>
    <cellStyle name="40% - Accent3 2 2 10" xfId="3694" xr:uid="{00000000-0005-0000-0000-00006A0E0000}"/>
    <cellStyle name="40% - Accent3 2 2 2" xfId="3695" xr:uid="{00000000-0005-0000-0000-00006B0E0000}"/>
    <cellStyle name="40% - Accent3 2 2 2 2" xfId="3696" xr:uid="{00000000-0005-0000-0000-00006C0E0000}"/>
    <cellStyle name="40% - Accent3 2 2 2 2 2" xfId="3697" xr:uid="{00000000-0005-0000-0000-00006D0E0000}"/>
    <cellStyle name="40% - Accent3 2 2 2 2 2 2" xfId="3698" xr:uid="{00000000-0005-0000-0000-00006E0E0000}"/>
    <cellStyle name="40% - Accent3 2 2 2 2 2 3" xfId="3699" xr:uid="{00000000-0005-0000-0000-00006F0E0000}"/>
    <cellStyle name="40% - Accent3 2 2 2 2 3" xfId="3700" xr:uid="{00000000-0005-0000-0000-0000700E0000}"/>
    <cellStyle name="40% - Accent3 2 2 2 2 4" xfId="3701" xr:uid="{00000000-0005-0000-0000-0000710E0000}"/>
    <cellStyle name="40% - Accent3 2 2 2 2 5" xfId="3702" xr:uid="{00000000-0005-0000-0000-0000720E0000}"/>
    <cellStyle name="40% - Accent3 2 2 2 2 6" xfId="3703" xr:uid="{00000000-0005-0000-0000-0000730E0000}"/>
    <cellStyle name="40% - Accent3 2 2 2 3" xfId="3704" xr:uid="{00000000-0005-0000-0000-0000740E0000}"/>
    <cellStyle name="40% - Accent3 2 2 2 3 2" xfId="3705" xr:uid="{00000000-0005-0000-0000-0000750E0000}"/>
    <cellStyle name="40% - Accent3 2 2 2 3 2 2" xfId="3706" xr:uid="{00000000-0005-0000-0000-0000760E0000}"/>
    <cellStyle name="40% - Accent3 2 2 2 3 3" xfId="3707" xr:uid="{00000000-0005-0000-0000-0000770E0000}"/>
    <cellStyle name="40% - Accent3 2 2 2 3 4" xfId="3708" xr:uid="{00000000-0005-0000-0000-0000780E0000}"/>
    <cellStyle name="40% - Accent3 2 2 2 3 5" xfId="3709" xr:uid="{00000000-0005-0000-0000-0000790E0000}"/>
    <cellStyle name="40% - Accent3 2 2 2 4" xfId="3710" xr:uid="{00000000-0005-0000-0000-00007A0E0000}"/>
    <cellStyle name="40% - Accent3 2 2 2 4 2" xfId="3711" xr:uid="{00000000-0005-0000-0000-00007B0E0000}"/>
    <cellStyle name="40% - Accent3 2 2 2 4 3" xfId="3712" xr:uid="{00000000-0005-0000-0000-00007C0E0000}"/>
    <cellStyle name="40% - Accent3 2 2 2 4 4" xfId="3713" xr:uid="{00000000-0005-0000-0000-00007D0E0000}"/>
    <cellStyle name="40% - Accent3 2 2 2 5" xfId="3714" xr:uid="{00000000-0005-0000-0000-00007E0E0000}"/>
    <cellStyle name="40% - Accent3 2 2 2 5 2" xfId="3715" xr:uid="{00000000-0005-0000-0000-00007F0E0000}"/>
    <cellStyle name="40% - Accent3 2 2 2 6" xfId="3716" xr:uid="{00000000-0005-0000-0000-0000800E0000}"/>
    <cellStyle name="40% - Accent3 2 2 2 7" xfId="3717" xr:uid="{00000000-0005-0000-0000-0000810E0000}"/>
    <cellStyle name="40% - Accent3 2 2 2 8" xfId="3718" xr:uid="{00000000-0005-0000-0000-0000820E0000}"/>
    <cellStyle name="40% - Accent3 2 2 2 9" xfId="3719" xr:uid="{00000000-0005-0000-0000-0000830E0000}"/>
    <cellStyle name="40% - Accent3 2 2 3" xfId="3720" xr:uid="{00000000-0005-0000-0000-0000840E0000}"/>
    <cellStyle name="40% - Accent3 2 2 3 2" xfId="3721" xr:uid="{00000000-0005-0000-0000-0000850E0000}"/>
    <cellStyle name="40% - Accent3 2 2 3 2 2" xfId="3722" xr:uid="{00000000-0005-0000-0000-0000860E0000}"/>
    <cellStyle name="40% - Accent3 2 2 3 2 3" xfId="3723" xr:uid="{00000000-0005-0000-0000-0000870E0000}"/>
    <cellStyle name="40% - Accent3 2 2 3 3" xfId="3724" xr:uid="{00000000-0005-0000-0000-0000880E0000}"/>
    <cellStyle name="40% - Accent3 2 2 3 4" xfId="3725" xr:uid="{00000000-0005-0000-0000-0000890E0000}"/>
    <cellStyle name="40% - Accent3 2 2 3 5" xfId="3726" xr:uid="{00000000-0005-0000-0000-00008A0E0000}"/>
    <cellStyle name="40% - Accent3 2 2 3 6" xfId="3727" xr:uid="{00000000-0005-0000-0000-00008B0E0000}"/>
    <cellStyle name="40% - Accent3 2 2 4" xfId="3728" xr:uid="{00000000-0005-0000-0000-00008C0E0000}"/>
    <cellStyle name="40% - Accent3 2 2 4 2" xfId="3729" xr:uid="{00000000-0005-0000-0000-00008D0E0000}"/>
    <cellStyle name="40% - Accent3 2 2 4 2 2" xfId="3730" xr:uid="{00000000-0005-0000-0000-00008E0E0000}"/>
    <cellStyle name="40% - Accent3 2 2 4 3" xfId="3731" xr:uid="{00000000-0005-0000-0000-00008F0E0000}"/>
    <cellStyle name="40% - Accent3 2 2 4 4" xfId="3732" xr:uid="{00000000-0005-0000-0000-0000900E0000}"/>
    <cellStyle name="40% - Accent3 2 2 4 5" xfId="3733" xr:uid="{00000000-0005-0000-0000-0000910E0000}"/>
    <cellStyle name="40% - Accent3 2 2 5" xfId="3734" xr:uid="{00000000-0005-0000-0000-0000920E0000}"/>
    <cellStyle name="40% - Accent3 2 2 5 2" xfId="3735" xr:uid="{00000000-0005-0000-0000-0000930E0000}"/>
    <cellStyle name="40% - Accent3 2 2 5 3" xfId="3736" xr:uid="{00000000-0005-0000-0000-0000940E0000}"/>
    <cellStyle name="40% - Accent3 2 2 5 4" xfId="3737" xr:uid="{00000000-0005-0000-0000-0000950E0000}"/>
    <cellStyle name="40% - Accent3 2 2 6" xfId="3738" xr:uid="{00000000-0005-0000-0000-0000960E0000}"/>
    <cellStyle name="40% - Accent3 2 2 6 2" xfId="3739" xr:uid="{00000000-0005-0000-0000-0000970E0000}"/>
    <cellStyle name="40% - Accent3 2 2 7" xfId="3740" xr:uid="{00000000-0005-0000-0000-0000980E0000}"/>
    <cellStyle name="40% - Accent3 2 2 8" xfId="3741" xr:uid="{00000000-0005-0000-0000-0000990E0000}"/>
    <cellStyle name="40% - Accent3 2 2 9" xfId="3742" xr:uid="{00000000-0005-0000-0000-00009A0E0000}"/>
    <cellStyle name="40% - Accent3 2 3" xfId="3743" xr:uid="{00000000-0005-0000-0000-00009B0E0000}"/>
    <cellStyle name="40% - Accent3 2 3 2" xfId="3744" xr:uid="{00000000-0005-0000-0000-00009C0E0000}"/>
    <cellStyle name="40% - Accent3 2 3 2 2" xfId="3745" xr:uid="{00000000-0005-0000-0000-00009D0E0000}"/>
    <cellStyle name="40% - Accent3 2 3 2 2 2" xfId="3746" xr:uid="{00000000-0005-0000-0000-00009E0E0000}"/>
    <cellStyle name="40% - Accent3 2 3 2 2 3" xfId="3747" xr:uid="{00000000-0005-0000-0000-00009F0E0000}"/>
    <cellStyle name="40% - Accent3 2 3 2 3" xfId="3748" xr:uid="{00000000-0005-0000-0000-0000A00E0000}"/>
    <cellStyle name="40% - Accent3 2 3 2 4" xfId="3749" xr:uid="{00000000-0005-0000-0000-0000A10E0000}"/>
    <cellStyle name="40% - Accent3 2 3 2 5" xfId="3750" xr:uid="{00000000-0005-0000-0000-0000A20E0000}"/>
    <cellStyle name="40% - Accent3 2 3 2 6" xfId="3751" xr:uid="{00000000-0005-0000-0000-0000A30E0000}"/>
    <cellStyle name="40% - Accent3 2 3 3" xfId="3752" xr:uid="{00000000-0005-0000-0000-0000A40E0000}"/>
    <cellStyle name="40% - Accent3 2 3 3 2" xfId="3753" xr:uid="{00000000-0005-0000-0000-0000A50E0000}"/>
    <cellStyle name="40% - Accent3 2 3 3 2 2" xfId="3754" xr:uid="{00000000-0005-0000-0000-0000A60E0000}"/>
    <cellStyle name="40% - Accent3 2 3 3 3" xfId="3755" xr:uid="{00000000-0005-0000-0000-0000A70E0000}"/>
    <cellStyle name="40% - Accent3 2 3 3 4" xfId="3756" xr:uid="{00000000-0005-0000-0000-0000A80E0000}"/>
    <cellStyle name="40% - Accent3 2 3 3 5" xfId="3757" xr:uid="{00000000-0005-0000-0000-0000A90E0000}"/>
    <cellStyle name="40% - Accent3 2 3 4" xfId="3758" xr:uid="{00000000-0005-0000-0000-0000AA0E0000}"/>
    <cellStyle name="40% - Accent3 2 3 4 2" xfId="3759" xr:uid="{00000000-0005-0000-0000-0000AB0E0000}"/>
    <cellStyle name="40% - Accent3 2 3 4 3" xfId="3760" xr:uid="{00000000-0005-0000-0000-0000AC0E0000}"/>
    <cellStyle name="40% - Accent3 2 3 4 4" xfId="3761" xr:uid="{00000000-0005-0000-0000-0000AD0E0000}"/>
    <cellStyle name="40% - Accent3 2 3 5" xfId="3762" xr:uid="{00000000-0005-0000-0000-0000AE0E0000}"/>
    <cellStyle name="40% - Accent3 2 3 5 2" xfId="3763" xr:uid="{00000000-0005-0000-0000-0000AF0E0000}"/>
    <cellStyle name="40% - Accent3 2 3 6" xfId="3764" xr:uid="{00000000-0005-0000-0000-0000B00E0000}"/>
    <cellStyle name="40% - Accent3 2 3 7" xfId="3765" xr:uid="{00000000-0005-0000-0000-0000B10E0000}"/>
    <cellStyle name="40% - Accent3 2 3 8" xfId="3766" xr:uid="{00000000-0005-0000-0000-0000B20E0000}"/>
    <cellStyle name="40% - Accent3 2 3 9" xfId="3767" xr:uid="{00000000-0005-0000-0000-0000B30E0000}"/>
    <cellStyle name="40% - Accent3 2 4" xfId="3768" xr:uid="{00000000-0005-0000-0000-0000B40E0000}"/>
    <cellStyle name="40% - Accent3 2 4 2" xfId="3769" xr:uid="{00000000-0005-0000-0000-0000B50E0000}"/>
    <cellStyle name="40% - Accent3 2 4 2 2" xfId="3770" xr:uid="{00000000-0005-0000-0000-0000B60E0000}"/>
    <cellStyle name="40% - Accent3 2 4 2 3" xfId="3771" xr:uid="{00000000-0005-0000-0000-0000B70E0000}"/>
    <cellStyle name="40% - Accent3 2 4 3" xfId="3772" xr:uid="{00000000-0005-0000-0000-0000B80E0000}"/>
    <cellStyle name="40% - Accent3 2 4 4" xfId="3773" xr:uid="{00000000-0005-0000-0000-0000B90E0000}"/>
    <cellStyle name="40% - Accent3 2 4 5" xfId="3774" xr:uid="{00000000-0005-0000-0000-0000BA0E0000}"/>
    <cellStyle name="40% - Accent3 2 4 6" xfId="3775" xr:uid="{00000000-0005-0000-0000-0000BB0E0000}"/>
    <cellStyle name="40% - Accent3 2 5" xfId="3776" xr:uid="{00000000-0005-0000-0000-0000BC0E0000}"/>
    <cellStyle name="40% - Accent3 2 5 2" xfId="3777" xr:uid="{00000000-0005-0000-0000-0000BD0E0000}"/>
    <cellStyle name="40% - Accent3 2 5 2 2" xfId="3778" xr:uid="{00000000-0005-0000-0000-0000BE0E0000}"/>
    <cellStyle name="40% - Accent3 2 5 3" xfId="3779" xr:uid="{00000000-0005-0000-0000-0000BF0E0000}"/>
    <cellStyle name="40% - Accent3 2 5 4" xfId="3780" xr:uid="{00000000-0005-0000-0000-0000C00E0000}"/>
    <cellStyle name="40% - Accent3 2 5 5" xfId="3781" xr:uid="{00000000-0005-0000-0000-0000C10E0000}"/>
    <cellStyle name="40% - Accent3 2 6" xfId="3782" xr:uid="{00000000-0005-0000-0000-0000C20E0000}"/>
    <cellStyle name="40% - Accent3 2 6 2" xfId="3783" xr:uid="{00000000-0005-0000-0000-0000C30E0000}"/>
    <cellStyle name="40% - Accent3 2 6 2 2" xfId="3784" xr:uid="{00000000-0005-0000-0000-0000C40E0000}"/>
    <cellStyle name="40% - Accent3 2 6 3" xfId="3785" xr:uid="{00000000-0005-0000-0000-0000C50E0000}"/>
    <cellStyle name="40% - Accent3 2 6 4" xfId="3786" xr:uid="{00000000-0005-0000-0000-0000C60E0000}"/>
    <cellStyle name="40% - Accent3 2 6 5" xfId="3787" xr:uid="{00000000-0005-0000-0000-0000C70E0000}"/>
    <cellStyle name="40% - Accent3 2 7" xfId="3788" xr:uid="{00000000-0005-0000-0000-0000C80E0000}"/>
    <cellStyle name="40% - Accent3 2 7 2" xfId="3789" xr:uid="{00000000-0005-0000-0000-0000C90E0000}"/>
    <cellStyle name="40% - Accent3 2 8" xfId="3790" xr:uid="{00000000-0005-0000-0000-0000CA0E0000}"/>
    <cellStyle name="40% - Accent3 2 9" xfId="3791" xr:uid="{00000000-0005-0000-0000-0000CB0E0000}"/>
    <cellStyle name="40% - Accent3 3" xfId="3792" xr:uid="{00000000-0005-0000-0000-0000CC0E0000}"/>
    <cellStyle name="40% - Accent3 3 10" xfId="3793" xr:uid="{00000000-0005-0000-0000-0000CD0E0000}"/>
    <cellStyle name="40% - Accent3 3 2" xfId="3794" xr:uid="{00000000-0005-0000-0000-0000CE0E0000}"/>
    <cellStyle name="40% - Accent3 3 2 2" xfId="3795" xr:uid="{00000000-0005-0000-0000-0000CF0E0000}"/>
    <cellStyle name="40% - Accent3 3 2 2 2" xfId="3796" xr:uid="{00000000-0005-0000-0000-0000D00E0000}"/>
    <cellStyle name="40% - Accent3 3 2 2 2 2" xfId="3797" xr:uid="{00000000-0005-0000-0000-0000D10E0000}"/>
    <cellStyle name="40% - Accent3 3 2 2 2 3" xfId="3798" xr:uid="{00000000-0005-0000-0000-0000D20E0000}"/>
    <cellStyle name="40% - Accent3 3 2 2 3" xfId="3799" xr:uid="{00000000-0005-0000-0000-0000D30E0000}"/>
    <cellStyle name="40% - Accent3 3 2 2 4" xfId="3800" xr:uid="{00000000-0005-0000-0000-0000D40E0000}"/>
    <cellStyle name="40% - Accent3 3 2 2 5" xfId="3801" xr:uid="{00000000-0005-0000-0000-0000D50E0000}"/>
    <cellStyle name="40% - Accent3 3 2 2 6" xfId="3802" xr:uid="{00000000-0005-0000-0000-0000D60E0000}"/>
    <cellStyle name="40% - Accent3 3 2 3" xfId="3803" xr:uid="{00000000-0005-0000-0000-0000D70E0000}"/>
    <cellStyle name="40% - Accent3 3 2 3 2" xfId="3804" xr:uid="{00000000-0005-0000-0000-0000D80E0000}"/>
    <cellStyle name="40% - Accent3 3 2 3 2 2" xfId="3805" xr:uid="{00000000-0005-0000-0000-0000D90E0000}"/>
    <cellStyle name="40% - Accent3 3 2 3 3" xfId="3806" xr:uid="{00000000-0005-0000-0000-0000DA0E0000}"/>
    <cellStyle name="40% - Accent3 3 2 3 4" xfId="3807" xr:uid="{00000000-0005-0000-0000-0000DB0E0000}"/>
    <cellStyle name="40% - Accent3 3 2 3 5" xfId="3808" xr:uid="{00000000-0005-0000-0000-0000DC0E0000}"/>
    <cellStyle name="40% - Accent3 3 2 4" xfId="3809" xr:uid="{00000000-0005-0000-0000-0000DD0E0000}"/>
    <cellStyle name="40% - Accent3 3 2 4 2" xfId="3810" xr:uid="{00000000-0005-0000-0000-0000DE0E0000}"/>
    <cellStyle name="40% - Accent3 3 2 4 3" xfId="3811" xr:uid="{00000000-0005-0000-0000-0000DF0E0000}"/>
    <cellStyle name="40% - Accent3 3 2 4 4" xfId="3812" xr:uid="{00000000-0005-0000-0000-0000E00E0000}"/>
    <cellStyle name="40% - Accent3 3 2 5" xfId="3813" xr:uid="{00000000-0005-0000-0000-0000E10E0000}"/>
    <cellStyle name="40% - Accent3 3 2 5 2" xfId="3814" xr:uid="{00000000-0005-0000-0000-0000E20E0000}"/>
    <cellStyle name="40% - Accent3 3 2 6" xfId="3815" xr:uid="{00000000-0005-0000-0000-0000E30E0000}"/>
    <cellStyle name="40% - Accent3 3 2 7" xfId="3816" xr:uid="{00000000-0005-0000-0000-0000E40E0000}"/>
    <cellStyle name="40% - Accent3 3 2 8" xfId="3817" xr:uid="{00000000-0005-0000-0000-0000E50E0000}"/>
    <cellStyle name="40% - Accent3 3 2 9" xfId="3818" xr:uid="{00000000-0005-0000-0000-0000E60E0000}"/>
    <cellStyle name="40% - Accent3 3 3" xfId="3819" xr:uid="{00000000-0005-0000-0000-0000E70E0000}"/>
    <cellStyle name="40% - Accent3 3 3 2" xfId="3820" xr:uid="{00000000-0005-0000-0000-0000E80E0000}"/>
    <cellStyle name="40% - Accent3 3 3 2 2" xfId="3821" xr:uid="{00000000-0005-0000-0000-0000E90E0000}"/>
    <cellStyle name="40% - Accent3 3 3 2 3" xfId="3822" xr:uid="{00000000-0005-0000-0000-0000EA0E0000}"/>
    <cellStyle name="40% - Accent3 3 3 3" xfId="3823" xr:uid="{00000000-0005-0000-0000-0000EB0E0000}"/>
    <cellStyle name="40% - Accent3 3 3 4" xfId="3824" xr:uid="{00000000-0005-0000-0000-0000EC0E0000}"/>
    <cellStyle name="40% - Accent3 3 3 5" xfId="3825" xr:uid="{00000000-0005-0000-0000-0000ED0E0000}"/>
    <cellStyle name="40% - Accent3 3 3 6" xfId="3826" xr:uid="{00000000-0005-0000-0000-0000EE0E0000}"/>
    <cellStyle name="40% - Accent3 3 4" xfId="3827" xr:uid="{00000000-0005-0000-0000-0000EF0E0000}"/>
    <cellStyle name="40% - Accent3 3 4 2" xfId="3828" xr:uid="{00000000-0005-0000-0000-0000F00E0000}"/>
    <cellStyle name="40% - Accent3 3 4 2 2" xfId="3829" xr:uid="{00000000-0005-0000-0000-0000F10E0000}"/>
    <cellStyle name="40% - Accent3 3 4 3" xfId="3830" xr:uid="{00000000-0005-0000-0000-0000F20E0000}"/>
    <cellStyle name="40% - Accent3 3 4 4" xfId="3831" xr:uid="{00000000-0005-0000-0000-0000F30E0000}"/>
    <cellStyle name="40% - Accent3 3 4 5" xfId="3832" xr:uid="{00000000-0005-0000-0000-0000F40E0000}"/>
    <cellStyle name="40% - Accent3 3 5" xfId="3833" xr:uid="{00000000-0005-0000-0000-0000F50E0000}"/>
    <cellStyle name="40% - Accent3 3 5 2" xfId="3834" xr:uid="{00000000-0005-0000-0000-0000F60E0000}"/>
    <cellStyle name="40% - Accent3 3 5 2 2" xfId="3835" xr:uid="{00000000-0005-0000-0000-0000F70E0000}"/>
    <cellStyle name="40% - Accent3 3 5 3" xfId="3836" xr:uid="{00000000-0005-0000-0000-0000F80E0000}"/>
    <cellStyle name="40% - Accent3 3 5 4" xfId="3837" xr:uid="{00000000-0005-0000-0000-0000F90E0000}"/>
    <cellStyle name="40% - Accent3 3 5 5" xfId="3838" xr:uid="{00000000-0005-0000-0000-0000FA0E0000}"/>
    <cellStyle name="40% - Accent3 3 6" xfId="3839" xr:uid="{00000000-0005-0000-0000-0000FB0E0000}"/>
    <cellStyle name="40% - Accent3 3 6 2" xfId="3840" xr:uid="{00000000-0005-0000-0000-0000FC0E0000}"/>
    <cellStyle name="40% - Accent3 3 7" xfId="3841" xr:uid="{00000000-0005-0000-0000-0000FD0E0000}"/>
    <cellStyle name="40% - Accent3 3 8" xfId="3842" xr:uid="{00000000-0005-0000-0000-0000FE0E0000}"/>
    <cellStyle name="40% - Accent3 3 9" xfId="3843" xr:uid="{00000000-0005-0000-0000-0000FF0E0000}"/>
    <cellStyle name="40% - Accent3 4" xfId="3844" xr:uid="{00000000-0005-0000-0000-0000000F0000}"/>
    <cellStyle name="40% - Accent3 4 10" xfId="3845" xr:uid="{00000000-0005-0000-0000-0000010F0000}"/>
    <cellStyle name="40% - Accent3 4 2" xfId="3846" xr:uid="{00000000-0005-0000-0000-0000020F0000}"/>
    <cellStyle name="40% - Accent3 4 2 2" xfId="3847" xr:uid="{00000000-0005-0000-0000-0000030F0000}"/>
    <cellStyle name="40% - Accent3 4 2 2 2" xfId="3848" xr:uid="{00000000-0005-0000-0000-0000040F0000}"/>
    <cellStyle name="40% - Accent3 4 2 2 2 2" xfId="3849" xr:uid="{00000000-0005-0000-0000-0000050F0000}"/>
    <cellStyle name="40% - Accent3 4 2 2 2 3" xfId="3850" xr:uid="{00000000-0005-0000-0000-0000060F0000}"/>
    <cellStyle name="40% - Accent3 4 2 2 3" xfId="3851" xr:uid="{00000000-0005-0000-0000-0000070F0000}"/>
    <cellStyle name="40% - Accent3 4 2 2 4" xfId="3852" xr:uid="{00000000-0005-0000-0000-0000080F0000}"/>
    <cellStyle name="40% - Accent3 4 2 2 5" xfId="3853" xr:uid="{00000000-0005-0000-0000-0000090F0000}"/>
    <cellStyle name="40% - Accent3 4 2 2 6" xfId="3854" xr:uid="{00000000-0005-0000-0000-00000A0F0000}"/>
    <cellStyle name="40% - Accent3 4 2 3" xfId="3855" xr:uid="{00000000-0005-0000-0000-00000B0F0000}"/>
    <cellStyle name="40% - Accent3 4 2 3 2" xfId="3856" xr:uid="{00000000-0005-0000-0000-00000C0F0000}"/>
    <cellStyle name="40% - Accent3 4 2 3 2 2" xfId="3857" xr:uid="{00000000-0005-0000-0000-00000D0F0000}"/>
    <cellStyle name="40% - Accent3 4 2 3 3" xfId="3858" xr:uid="{00000000-0005-0000-0000-00000E0F0000}"/>
    <cellStyle name="40% - Accent3 4 2 3 4" xfId="3859" xr:uid="{00000000-0005-0000-0000-00000F0F0000}"/>
    <cellStyle name="40% - Accent3 4 2 3 5" xfId="3860" xr:uid="{00000000-0005-0000-0000-0000100F0000}"/>
    <cellStyle name="40% - Accent3 4 2 4" xfId="3861" xr:uid="{00000000-0005-0000-0000-0000110F0000}"/>
    <cellStyle name="40% - Accent3 4 2 4 2" xfId="3862" xr:uid="{00000000-0005-0000-0000-0000120F0000}"/>
    <cellStyle name="40% - Accent3 4 2 4 3" xfId="3863" xr:uid="{00000000-0005-0000-0000-0000130F0000}"/>
    <cellStyle name="40% - Accent3 4 2 4 4" xfId="3864" xr:uid="{00000000-0005-0000-0000-0000140F0000}"/>
    <cellStyle name="40% - Accent3 4 2 5" xfId="3865" xr:uid="{00000000-0005-0000-0000-0000150F0000}"/>
    <cellStyle name="40% - Accent3 4 2 5 2" xfId="3866" xr:uid="{00000000-0005-0000-0000-0000160F0000}"/>
    <cellStyle name="40% - Accent3 4 2 6" xfId="3867" xr:uid="{00000000-0005-0000-0000-0000170F0000}"/>
    <cellStyle name="40% - Accent3 4 2 7" xfId="3868" xr:uid="{00000000-0005-0000-0000-0000180F0000}"/>
    <cellStyle name="40% - Accent3 4 2 8" xfId="3869" xr:uid="{00000000-0005-0000-0000-0000190F0000}"/>
    <cellStyle name="40% - Accent3 4 2 9" xfId="3870" xr:uid="{00000000-0005-0000-0000-00001A0F0000}"/>
    <cellStyle name="40% - Accent3 4 3" xfId="3871" xr:uid="{00000000-0005-0000-0000-00001B0F0000}"/>
    <cellStyle name="40% - Accent3 4 3 2" xfId="3872" xr:uid="{00000000-0005-0000-0000-00001C0F0000}"/>
    <cellStyle name="40% - Accent3 4 3 2 2" xfId="3873" xr:uid="{00000000-0005-0000-0000-00001D0F0000}"/>
    <cellStyle name="40% - Accent3 4 3 2 3" xfId="3874" xr:uid="{00000000-0005-0000-0000-00001E0F0000}"/>
    <cellStyle name="40% - Accent3 4 3 3" xfId="3875" xr:uid="{00000000-0005-0000-0000-00001F0F0000}"/>
    <cellStyle name="40% - Accent3 4 3 4" xfId="3876" xr:uid="{00000000-0005-0000-0000-0000200F0000}"/>
    <cellStyle name="40% - Accent3 4 3 5" xfId="3877" xr:uid="{00000000-0005-0000-0000-0000210F0000}"/>
    <cellStyle name="40% - Accent3 4 3 6" xfId="3878" xr:uid="{00000000-0005-0000-0000-0000220F0000}"/>
    <cellStyle name="40% - Accent3 4 4" xfId="3879" xr:uid="{00000000-0005-0000-0000-0000230F0000}"/>
    <cellStyle name="40% - Accent3 4 4 2" xfId="3880" xr:uid="{00000000-0005-0000-0000-0000240F0000}"/>
    <cellStyle name="40% - Accent3 4 4 2 2" xfId="3881" xr:uid="{00000000-0005-0000-0000-0000250F0000}"/>
    <cellStyle name="40% - Accent3 4 4 3" xfId="3882" xr:uid="{00000000-0005-0000-0000-0000260F0000}"/>
    <cellStyle name="40% - Accent3 4 4 4" xfId="3883" xr:uid="{00000000-0005-0000-0000-0000270F0000}"/>
    <cellStyle name="40% - Accent3 4 4 5" xfId="3884" xr:uid="{00000000-0005-0000-0000-0000280F0000}"/>
    <cellStyle name="40% - Accent3 4 5" xfId="3885" xr:uid="{00000000-0005-0000-0000-0000290F0000}"/>
    <cellStyle name="40% - Accent3 4 5 2" xfId="3886" xr:uid="{00000000-0005-0000-0000-00002A0F0000}"/>
    <cellStyle name="40% - Accent3 4 5 2 2" xfId="3887" xr:uid="{00000000-0005-0000-0000-00002B0F0000}"/>
    <cellStyle name="40% - Accent3 4 5 3" xfId="3888" xr:uid="{00000000-0005-0000-0000-00002C0F0000}"/>
    <cellStyle name="40% - Accent3 4 5 4" xfId="3889" xr:uid="{00000000-0005-0000-0000-00002D0F0000}"/>
    <cellStyle name="40% - Accent3 4 5 5" xfId="3890" xr:uid="{00000000-0005-0000-0000-00002E0F0000}"/>
    <cellStyle name="40% - Accent3 4 6" xfId="3891" xr:uid="{00000000-0005-0000-0000-00002F0F0000}"/>
    <cellStyle name="40% - Accent3 4 6 2" xfId="3892" xr:uid="{00000000-0005-0000-0000-0000300F0000}"/>
    <cellStyle name="40% - Accent3 4 7" xfId="3893" xr:uid="{00000000-0005-0000-0000-0000310F0000}"/>
    <cellStyle name="40% - Accent3 4 8" xfId="3894" xr:uid="{00000000-0005-0000-0000-0000320F0000}"/>
    <cellStyle name="40% - Accent3 4 9" xfId="3895" xr:uid="{00000000-0005-0000-0000-0000330F0000}"/>
    <cellStyle name="40% - Accent3 5" xfId="3896" xr:uid="{00000000-0005-0000-0000-0000340F0000}"/>
    <cellStyle name="40% - Accent3 5 10" xfId="3897" xr:uid="{00000000-0005-0000-0000-0000350F0000}"/>
    <cellStyle name="40% - Accent3 5 2" xfId="3898" xr:uid="{00000000-0005-0000-0000-0000360F0000}"/>
    <cellStyle name="40% - Accent3 5 2 2" xfId="3899" xr:uid="{00000000-0005-0000-0000-0000370F0000}"/>
    <cellStyle name="40% - Accent3 5 2 2 2" xfId="3900" xr:uid="{00000000-0005-0000-0000-0000380F0000}"/>
    <cellStyle name="40% - Accent3 5 2 2 2 2" xfId="3901" xr:uid="{00000000-0005-0000-0000-0000390F0000}"/>
    <cellStyle name="40% - Accent3 5 2 2 2 3" xfId="3902" xr:uid="{00000000-0005-0000-0000-00003A0F0000}"/>
    <cellStyle name="40% - Accent3 5 2 2 3" xfId="3903" xr:uid="{00000000-0005-0000-0000-00003B0F0000}"/>
    <cellStyle name="40% - Accent3 5 2 2 4" xfId="3904" xr:uid="{00000000-0005-0000-0000-00003C0F0000}"/>
    <cellStyle name="40% - Accent3 5 2 2 5" xfId="3905" xr:uid="{00000000-0005-0000-0000-00003D0F0000}"/>
    <cellStyle name="40% - Accent3 5 2 2 6" xfId="3906" xr:uid="{00000000-0005-0000-0000-00003E0F0000}"/>
    <cellStyle name="40% - Accent3 5 2 3" xfId="3907" xr:uid="{00000000-0005-0000-0000-00003F0F0000}"/>
    <cellStyle name="40% - Accent3 5 2 3 2" xfId="3908" xr:uid="{00000000-0005-0000-0000-0000400F0000}"/>
    <cellStyle name="40% - Accent3 5 2 3 2 2" xfId="3909" xr:uid="{00000000-0005-0000-0000-0000410F0000}"/>
    <cellStyle name="40% - Accent3 5 2 3 3" xfId="3910" xr:uid="{00000000-0005-0000-0000-0000420F0000}"/>
    <cellStyle name="40% - Accent3 5 2 3 4" xfId="3911" xr:uid="{00000000-0005-0000-0000-0000430F0000}"/>
    <cellStyle name="40% - Accent3 5 2 3 5" xfId="3912" xr:uid="{00000000-0005-0000-0000-0000440F0000}"/>
    <cellStyle name="40% - Accent3 5 2 4" xfId="3913" xr:uid="{00000000-0005-0000-0000-0000450F0000}"/>
    <cellStyle name="40% - Accent3 5 2 4 2" xfId="3914" xr:uid="{00000000-0005-0000-0000-0000460F0000}"/>
    <cellStyle name="40% - Accent3 5 2 4 3" xfId="3915" xr:uid="{00000000-0005-0000-0000-0000470F0000}"/>
    <cellStyle name="40% - Accent3 5 2 4 4" xfId="3916" xr:uid="{00000000-0005-0000-0000-0000480F0000}"/>
    <cellStyle name="40% - Accent3 5 2 5" xfId="3917" xr:uid="{00000000-0005-0000-0000-0000490F0000}"/>
    <cellStyle name="40% - Accent3 5 2 5 2" xfId="3918" xr:uid="{00000000-0005-0000-0000-00004A0F0000}"/>
    <cellStyle name="40% - Accent3 5 2 6" xfId="3919" xr:uid="{00000000-0005-0000-0000-00004B0F0000}"/>
    <cellStyle name="40% - Accent3 5 2 7" xfId="3920" xr:uid="{00000000-0005-0000-0000-00004C0F0000}"/>
    <cellStyle name="40% - Accent3 5 2 8" xfId="3921" xr:uid="{00000000-0005-0000-0000-00004D0F0000}"/>
    <cellStyle name="40% - Accent3 5 2 9" xfId="3922" xr:uid="{00000000-0005-0000-0000-00004E0F0000}"/>
    <cellStyle name="40% - Accent3 5 3" xfId="3923" xr:uid="{00000000-0005-0000-0000-00004F0F0000}"/>
    <cellStyle name="40% - Accent3 5 3 2" xfId="3924" xr:uid="{00000000-0005-0000-0000-0000500F0000}"/>
    <cellStyle name="40% - Accent3 5 3 2 2" xfId="3925" xr:uid="{00000000-0005-0000-0000-0000510F0000}"/>
    <cellStyle name="40% - Accent3 5 3 2 3" xfId="3926" xr:uid="{00000000-0005-0000-0000-0000520F0000}"/>
    <cellStyle name="40% - Accent3 5 3 3" xfId="3927" xr:uid="{00000000-0005-0000-0000-0000530F0000}"/>
    <cellStyle name="40% - Accent3 5 3 4" xfId="3928" xr:uid="{00000000-0005-0000-0000-0000540F0000}"/>
    <cellStyle name="40% - Accent3 5 3 5" xfId="3929" xr:uid="{00000000-0005-0000-0000-0000550F0000}"/>
    <cellStyle name="40% - Accent3 5 3 6" xfId="3930" xr:uid="{00000000-0005-0000-0000-0000560F0000}"/>
    <cellStyle name="40% - Accent3 5 4" xfId="3931" xr:uid="{00000000-0005-0000-0000-0000570F0000}"/>
    <cellStyle name="40% - Accent3 5 4 2" xfId="3932" xr:uid="{00000000-0005-0000-0000-0000580F0000}"/>
    <cellStyle name="40% - Accent3 5 4 2 2" xfId="3933" xr:uid="{00000000-0005-0000-0000-0000590F0000}"/>
    <cellStyle name="40% - Accent3 5 4 3" xfId="3934" xr:uid="{00000000-0005-0000-0000-00005A0F0000}"/>
    <cellStyle name="40% - Accent3 5 4 4" xfId="3935" xr:uid="{00000000-0005-0000-0000-00005B0F0000}"/>
    <cellStyle name="40% - Accent3 5 4 5" xfId="3936" xr:uid="{00000000-0005-0000-0000-00005C0F0000}"/>
    <cellStyle name="40% - Accent3 5 5" xfId="3937" xr:uid="{00000000-0005-0000-0000-00005D0F0000}"/>
    <cellStyle name="40% - Accent3 5 5 2" xfId="3938" xr:uid="{00000000-0005-0000-0000-00005E0F0000}"/>
    <cellStyle name="40% - Accent3 5 5 3" xfId="3939" xr:uid="{00000000-0005-0000-0000-00005F0F0000}"/>
    <cellStyle name="40% - Accent3 5 5 4" xfId="3940" xr:uid="{00000000-0005-0000-0000-0000600F0000}"/>
    <cellStyle name="40% - Accent3 5 6" xfId="3941" xr:uid="{00000000-0005-0000-0000-0000610F0000}"/>
    <cellStyle name="40% - Accent3 5 6 2" xfId="3942" xr:uid="{00000000-0005-0000-0000-0000620F0000}"/>
    <cellStyle name="40% - Accent3 5 7" xfId="3943" xr:uid="{00000000-0005-0000-0000-0000630F0000}"/>
    <cellStyle name="40% - Accent3 5 8" xfId="3944" xr:uid="{00000000-0005-0000-0000-0000640F0000}"/>
    <cellStyle name="40% - Accent3 5 9" xfId="3945" xr:uid="{00000000-0005-0000-0000-0000650F0000}"/>
    <cellStyle name="40% - Accent3 6" xfId="3946" xr:uid="{00000000-0005-0000-0000-0000660F0000}"/>
    <cellStyle name="40% - Accent3 6 10" xfId="3947" xr:uid="{00000000-0005-0000-0000-0000670F0000}"/>
    <cellStyle name="40% - Accent3 6 2" xfId="3948" xr:uid="{00000000-0005-0000-0000-0000680F0000}"/>
    <cellStyle name="40% - Accent3 6 2 2" xfId="3949" xr:uid="{00000000-0005-0000-0000-0000690F0000}"/>
    <cellStyle name="40% - Accent3 6 2 2 2" xfId="3950" xr:uid="{00000000-0005-0000-0000-00006A0F0000}"/>
    <cellStyle name="40% - Accent3 6 2 2 2 2" xfId="3951" xr:uid="{00000000-0005-0000-0000-00006B0F0000}"/>
    <cellStyle name="40% - Accent3 6 2 2 2 3" xfId="3952" xr:uid="{00000000-0005-0000-0000-00006C0F0000}"/>
    <cellStyle name="40% - Accent3 6 2 2 3" xfId="3953" xr:uid="{00000000-0005-0000-0000-00006D0F0000}"/>
    <cellStyle name="40% - Accent3 6 2 2 4" xfId="3954" xr:uid="{00000000-0005-0000-0000-00006E0F0000}"/>
    <cellStyle name="40% - Accent3 6 2 2 5" xfId="3955" xr:uid="{00000000-0005-0000-0000-00006F0F0000}"/>
    <cellStyle name="40% - Accent3 6 2 2 6" xfId="3956" xr:uid="{00000000-0005-0000-0000-0000700F0000}"/>
    <cellStyle name="40% - Accent3 6 2 3" xfId="3957" xr:uid="{00000000-0005-0000-0000-0000710F0000}"/>
    <cellStyle name="40% - Accent3 6 2 3 2" xfId="3958" xr:uid="{00000000-0005-0000-0000-0000720F0000}"/>
    <cellStyle name="40% - Accent3 6 2 3 2 2" xfId="3959" xr:uid="{00000000-0005-0000-0000-0000730F0000}"/>
    <cellStyle name="40% - Accent3 6 2 3 3" xfId="3960" xr:uid="{00000000-0005-0000-0000-0000740F0000}"/>
    <cellStyle name="40% - Accent3 6 2 3 4" xfId="3961" xr:uid="{00000000-0005-0000-0000-0000750F0000}"/>
    <cellStyle name="40% - Accent3 6 2 3 5" xfId="3962" xr:uid="{00000000-0005-0000-0000-0000760F0000}"/>
    <cellStyle name="40% - Accent3 6 2 4" xfId="3963" xr:uid="{00000000-0005-0000-0000-0000770F0000}"/>
    <cellStyle name="40% - Accent3 6 2 4 2" xfId="3964" xr:uid="{00000000-0005-0000-0000-0000780F0000}"/>
    <cellStyle name="40% - Accent3 6 2 4 3" xfId="3965" xr:uid="{00000000-0005-0000-0000-0000790F0000}"/>
    <cellStyle name="40% - Accent3 6 2 4 4" xfId="3966" xr:uid="{00000000-0005-0000-0000-00007A0F0000}"/>
    <cellStyle name="40% - Accent3 6 2 5" xfId="3967" xr:uid="{00000000-0005-0000-0000-00007B0F0000}"/>
    <cellStyle name="40% - Accent3 6 2 5 2" xfId="3968" xr:uid="{00000000-0005-0000-0000-00007C0F0000}"/>
    <cellStyle name="40% - Accent3 6 2 6" xfId="3969" xr:uid="{00000000-0005-0000-0000-00007D0F0000}"/>
    <cellStyle name="40% - Accent3 6 2 7" xfId="3970" xr:uid="{00000000-0005-0000-0000-00007E0F0000}"/>
    <cellStyle name="40% - Accent3 6 2 8" xfId="3971" xr:uid="{00000000-0005-0000-0000-00007F0F0000}"/>
    <cellStyle name="40% - Accent3 6 2 9" xfId="3972" xr:uid="{00000000-0005-0000-0000-0000800F0000}"/>
    <cellStyle name="40% - Accent3 6 3" xfId="3973" xr:uid="{00000000-0005-0000-0000-0000810F0000}"/>
    <cellStyle name="40% - Accent3 6 3 2" xfId="3974" xr:uid="{00000000-0005-0000-0000-0000820F0000}"/>
    <cellStyle name="40% - Accent3 6 3 2 2" xfId="3975" xr:uid="{00000000-0005-0000-0000-0000830F0000}"/>
    <cellStyle name="40% - Accent3 6 3 2 3" xfId="3976" xr:uid="{00000000-0005-0000-0000-0000840F0000}"/>
    <cellStyle name="40% - Accent3 6 3 3" xfId="3977" xr:uid="{00000000-0005-0000-0000-0000850F0000}"/>
    <cellStyle name="40% - Accent3 6 3 4" xfId="3978" xr:uid="{00000000-0005-0000-0000-0000860F0000}"/>
    <cellStyle name="40% - Accent3 6 3 5" xfId="3979" xr:uid="{00000000-0005-0000-0000-0000870F0000}"/>
    <cellStyle name="40% - Accent3 6 3 6" xfId="3980" xr:uid="{00000000-0005-0000-0000-0000880F0000}"/>
    <cellStyle name="40% - Accent3 6 4" xfId="3981" xr:uid="{00000000-0005-0000-0000-0000890F0000}"/>
    <cellStyle name="40% - Accent3 6 4 2" xfId="3982" xr:uid="{00000000-0005-0000-0000-00008A0F0000}"/>
    <cellStyle name="40% - Accent3 6 4 2 2" xfId="3983" xr:uid="{00000000-0005-0000-0000-00008B0F0000}"/>
    <cellStyle name="40% - Accent3 6 4 3" xfId="3984" xr:uid="{00000000-0005-0000-0000-00008C0F0000}"/>
    <cellStyle name="40% - Accent3 6 4 4" xfId="3985" xr:uid="{00000000-0005-0000-0000-00008D0F0000}"/>
    <cellStyle name="40% - Accent3 6 4 5" xfId="3986" xr:uid="{00000000-0005-0000-0000-00008E0F0000}"/>
    <cellStyle name="40% - Accent3 6 5" xfId="3987" xr:uid="{00000000-0005-0000-0000-00008F0F0000}"/>
    <cellStyle name="40% - Accent3 6 5 2" xfId="3988" xr:uid="{00000000-0005-0000-0000-0000900F0000}"/>
    <cellStyle name="40% - Accent3 6 5 3" xfId="3989" xr:uid="{00000000-0005-0000-0000-0000910F0000}"/>
    <cellStyle name="40% - Accent3 6 5 4" xfId="3990" xr:uid="{00000000-0005-0000-0000-0000920F0000}"/>
    <cellStyle name="40% - Accent3 6 6" xfId="3991" xr:uid="{00000000-0005-0000-0000-0000930F0000}"/>
    <cellStyle name="40% - Accent3 6 6 2" xfId="3992" xr:uid="{00000000-0005-0000-0000-0000940F0000}"/>
    <cellStyle name="40% - Accent3 6 7" xfId="3993" xr:uid="{00000000-0005-0000-0000-0000950F0000}"/>
    <cellStyle name="40% - Accent3 6 8" xfId="3994" xr:uid="{00000000-0005-0000-0000-0000960F0000}"/>
    <cellStyle name="40% - Accent3 6 9" xfId="3995" xr:uid="{00000000-0005-0000-0000-0000970F0000}"/>
    <cellStyle name="40% - Accent3 7" xfId="3996" xr:uid="{00000000-0005-0000-0000-0000980F0000}"/>
    <cellStyle name="40% - Accent3 7 2" xfId="3997" xr:uid="{00000000-0005-0000-0000-0000990F0000}"/>
    <cellStyle name="40% - Accent3 7 2 2" xfId="3998" xr:uid="{00000000-0005-0000-0000-00009A0F0000}"/>
    <cellStyle name="40% - Accent3 7 2 2 2" xfId="3999" xr:uid="{00000000-0005-0000-0000-00009B0F0000}"/>
    <cellStyle name="40% - Accent3 7 2 2 3" xfId="4000" xr:uid="{00000000-0005-0000-0000-00009C0F0000}"/>
    <cellStyle name="40% - Accent3 7 2 3" xfId="4001" xr:uid="{00000000-0005-0000-0000-00009D0F0000}"/>
    <cellStyle name="40% - Accent3 7 2 4" xfId="4002" xr:uid="{00000000-0005-0000-0000-00009E0F0000}"/>
    <cellStyle name="40% - Accent3 7 2 5" xfId="4003" xr:uid="{00000000-0005-0000-0000-00009F0F0000}"/>
    <cellStyle name="40% - Accent3 7 2 6" xfId="4004" xr:uid="{00000000-0005-0000-0000-0000A00F0000}"/>
    <cellStyle name="40% - Accent3 7 3" xfId="4005" xr:uid="{00000000-0005-0000-0000-0000A10F0000}"/>
    <cellStyle name="40% - Accent3 7 3 2" xfId="4006" xr:uid="{00000000-0005-0000-0000-0000A20F0000}"/>
    <cellStyle name="40% - Accent3 7 3 2 2" xfId="4007" xr:uid="{00000000-0005-0000-0000-0000A30F0000}"/>
    <cellStyle name="40% - Accent3 7 3 3" xfId="4008" xr:uid="{00000000-0005-0000-0000-0000A40F0000}"/>
    <cellStyle name="40% - Accent3 7 3 4" xfId="4009" xr:uid="{00000000-0005-0000-0000-0000A50F0000}"/>
    <cellStyle name="40% - Accent3 7 3 5" xfId="4010" xr:uid="{00000000-0005-0000-0000-0000A60F0000}"/>
    <cellStyle name="40% - Accent3 7 4" xfId="4011" xr:uid="{00000000-0005-0000-0000-0000A70F0000}"/>
    <cellStyle name="40% - Accent3 7 4 2" xfId="4012" xr:uid="{00000000-0005-0000-0000-0000A80F0000}"/>
    <cellStyle name="40% - Accent3 7 4 3" xfId="4013" xr:uid="{00000000-0005-0000-0000-0000A90F0000}"/>
    <cellStyle name="40% - Accent3 7 4 4" xfId="4014" xr:uid="{00000000-0005-0000-0000-0000AA0F0000}"/>
    <cellStyle name="40% - Accent3 7 5" xfId="4015" xr:uid="{00000000-0005-0000-0000-0000AB0F0000}"/>
    <cellStyle name="40% - Accent3 7 5 2" xfId="4016" xr:uid="{00000000-0005-0000-0000-0000AC0F0000}"/>
    <cellStyle name="40% - Accent3 7 6" xfId="4017" xr:uid="{00000000-0005-0000-0000-0000AD0F0000}"/>
    <cellStyle name="40% - Accent3 7 7" xfId="4018" xr:uid="{00000000-0005-0000-0000-0000AE0F0000}"/>
    <cellStyle name="40% - Accent3 7 8" xfId="4019" xr:uid="{00000000-0005-0000-0000-0000AF0F0000}"/>
    <cellStyle name="40% - Accent3 7 9" xfId="4020" xr:uid="{00000000-0005-0000-0000-0000B00F0000}"/>
    <cellStyle name="40% - Accent3 8" xfId="4021" xr:uid="{00000000-0005-0000-0000-0000B10F0000}"/>
    <cellStyle name="40% - Accent3 8 2" xfId="4022" xr:uid="{00000000-0005-0000-0000-0000B20F0000}"/>
    <cellStyle name="40% - Accent3 8 2 2" xfId="4023" xr:uid="{00000000-0005-0000-0000-0000B30F0000}"/>
    <cellStyle name="40% - Accent3 8 2 2 2" xfId="4024" xr:uid="{00000000-0005-0000-0000-0000B40F0000}"/>
    <cellStyle name="40% - Accent3 8 2 2 3" xfId="4025" xr:uid="{00000000-0005-0000-0000-0000B50F0000}"/>
    <cellStyle name="40% - Accent3 8 2 3" xfId="4026" xr:uid="{00000000-0005-0000-0000-0000B60F0000}"/>
    <cellStyle name="40% - Accent3 8 2 4" xfId="4027" xr:uid="{00000000-0005-0000-0000-0000B70F0000}"/>
    <cellStyle name="40% - Accent3 8 2 5" xfId="4028" xr:uid="{00000000-0005-0000-0000-0000B80F0000}"/>
    <cellStyle name="40% - Accent3 8 2 6" xfId="4029" xr:uid="{00000000-0005-0000-0000-0000B90F0000}"/>
    <cellStyle name="40% - Accent3 8 3" xfId="4030" xr:uid="{00000000-0005-0000-0000-0000BA0F0000}"/>
    <cellStyle name="40% - Accent3 8 3 2" xfId="4031" xr:uid="{00000000-0005-0000-0000-0000BB0F0000}"/>
    <cellStyle name="40% - Accent3 8 3 2 2" xfId="4032" xr:uid="{00000000-0005-0000-0000-0000BC0F0000}"/>
    <cellStyle name="40% - Accent3 8 3 3" xfId="4033" xr:uid="{00000000-0005-0000-0000-0000BD0F0000}"/>
    <cellStyle name="40% - Accent3 8 3 4" xfId="4034" xr:uid="{00000000-0005-0000-0000-0000BE0F0000}"/>
    <cellStyle name="40% - Accent3 8 3 5" xfId="4035" xr:uid="{00000000-0005-0000-0000-0000BF0F0000}"/>
    <cellStyle name="40% - Accent3 8 4" xfId="4036" xr:uid="{00000000-0005-0000-0000-0000C00F0000}"/>
    <cellStyle name="40% - Accent3 8 4 2" xfId="4037" xr:uid="{00000000-0005-0000-0000-0000C10F0000}"/>
    <cellStyle name="40% - Accent3 8 4 3" xfId="4038" xr:uid="{00000000-0005-0000-0000-0000C20F0000}"/>
    <cellStyle name="40% - Accent3 8 4 4" xfId="4039" xr:uid="{00000000-0005-0000-0000-0000C30F0000}"/>
    <cellStyle name="40% - Accent3 8 5" xfId="4040" xr:uid="{00000000-0005-0000-0000-0000C40F0000}"/>
    <cellStyle name="40% - Accent3 8 5 2" xfId="4041" xr:uid="{00000000-0005-0000-0000-0000C50F0000}"/>
    <cellStyle name="40% - Accent3 8 6" xfId="4042" xr:uid="{00000000-0005-0000-0000-0000C60F0000}"/>
    <cellStyle name="40% - Accent3 8 7" xfId="4043" xr:uid="{00000000-0005-0000-0000-0000C70F0000}"/>
    <cellStyle name="40% - Accent3 8 8" xfId="4044" xr:uid="{00000000-0005-0000-0000-0000C80F0000}"/>
    <cellStyle name="40% - Accent3 8 9" xfId="4045" xr:uid="{00000000-0005-0000-0000-0000C90F0000}"/>
    <cellStyle name="40% - Accent3 9" xfId="4046" xr:uid="{00000000-0005-0000-0000-0000CA0F0000}"/>
    <cellStyle name="40% - Accent3 9 2" xfId="4047" xr:uid="{00000000-0005-0000-0000-0000CB0F0000}"/>
    <cellStyle name="40% - Accent3 9 2 2" xfId="4048" xr:uid="{00000000-0005-0000-0000-0000CC0F0000}"/>
    <cellStyle name="40% - Accent3 9 2 2 2" xfId="4049" xr:uid="{00000000-0005-0000-0000-0000CD0F0000}"/>
    <cellStyle name="40% - Accent3 9 2 3" xfId="4050" xr:uid="{00000000-0005-0000-0000-0000CE0F0000}"/>
    <cellStyle name="40% - Accent3 9 2 4" xfId="4051" xr:uid="{00000000-0005-0000-0000-0000CF0F0000}"/>
    <cellStyle name="40% - Accent3 9 2 5" xfId="4052" xr:uid="{00000000-0005-0000-0000-0000D00F0000}"/>
    <cellStyle name="40% - Accent3 9 3" xfId="4053" xr:uid="{00000000-0005-0000-0000-0000D10F0000}"/>
    <cellStyle name="40% - Accent3 9 3 2" xfId="4054" xr:uid="{00000000-0005-0000-0000-0000D20F0000}"/>
    <cellStyle name="40% - Accent3 9 3 3" xfId="4055" xr:uid="{00000000-0005-0000-0000-0000D30F0000}"/>
    <cellStyle name="40% - Accent3 9 3 4" xfId="4056" xr:uid="{00000000-0005-0000-0000-0000D40F0000}"/>
    <cellStyle name="40% - Accent3 9 4" xfId="4057" xr:uid="{00000000-0005-0000-0000-0000D50F0000}"/>
    <cellStyle name="40% - Accent3 9 4 2" xfId="4058" xr:uid="{00000000-0005-0000-0000-0000D60F0000}"/>
    <cellStyle name="40% - Accent3 9 5" xfId="4059" xr:uid="{00000000-0005-0000-0000-0000D70F0000}"/>
    <cellStyle name="40% - Accent3 9 6" xfId="4060" xr:uid="{00000000-0005-0000-0000-0000D80F0000}"/>
    <cellStyle name="40% - Accent3 9 7" xfId="4061" xr:uid="{00000000-0005-0000-0000-0000D90F0000}"/>
    <cellStyle name="40% - Accent3 9 8" xfId="4062" xr:uid="{00000000-0005-0000-0000-0000DA0F0000}"/>
    <cellStyle name="40% - Accent4 10" xfId="4063" xr:uid="{00000000-0005-0000-0000-0000DB0F0000}"/>
    <cellStyle name="40% - Accent4 10 2" xfId="4064" xr:uid="{00000000-0005-0000-0000-0000DC0F0000}"/>
    <cellStyle name="40% - Accent4 10 2 2" xfId="4065" xr:uid="{00000000-0005-0000-0000-0000DD0F0000}"/>
    <cellStyle name="40% - Accent4 10 2 2 2" xfId="4066" xr:uid="{00000000-0005-0000-0000-0000DE0F0000}"/>
    <cellStyle name="40% - Accent4 10 2 3" xfId="4067" xr:uid="{00000000-0005-0000-0000-0000DF0F0000}"/>
    <cellStyle name="40% - Accent4 10 2 4" xfId="4068" xr:uid="{00000000-0005-0000-0000-0000E00F0000}"/>
    <cellStyle name="40% - Accent4 10 2 5" xfId="4069" xr:uid="{00000000-0005-0000-0000-0000E10F0000}"/>
    <cellStyle name="40% - Accent4 10 3" xfId="4070" xr:uid="{00000000-0005-0000-0000-0000E20F0000}"/>
    <cellStyle name="40% - Accent4 10 3 2" xfId="4071" xr:uid="{00000000-0005-0000-0000-0000E30F0000}"/>
    <cellStyle name="40% - Accent4 10 3 3" xfId="4072" xr:uid="{00000000-0005-0000-0000-0000E40F0000}"/>
    <cellStyle name="40% - Accent4 10 3 4" xfId="4073" xr:uid="{00000000-0005-0000-0000-0000E50F0000}"/>
    <cellStyle name="40% - Accent4 10 4" xfId="4074" xr:uid="{00000000-0005-0000-0000-0000E60F0000}"/>
    <cellStyle name="40% - Accent4 10 4 2" xfId="4075" xr:uid="{00000000-0005-0000-0000-0000E70F0000}"/>
    <cellStyle name="40% - Accent4 10 5" xfId="4076" xr:uid="{00000000-0005-0000-0000-0000E80F0000}"/>
    <cellStyle name="40% - Accent4 10 6" xfId="4077" xr:uid="{00000000-0005-0000-0000-0000E90F0000}"/>
    <cellStyle name="40% - Accent4 10 7" xfId="4078" xr:uid="{00000000-0005-0000-0000-0000EA0F0000}"/>
    <cellStyle name="40% - Accent4 10 8" xfId="4079" xr:uid="{00000000-0005-0000-0000-0000EB0F0000}"/>
    <cellStyle name="40% - Accent4 11" xfId="4080" xr:uid="{00000000-0005-0000-0000-0000EC0F0000}"/>
    <cellStyle name="40% - Accent4 11 2" xfId="4081" xr:uid="{00000000-0005-0000-0000-0000ED0F0000}"/>
    <cellStyle name="40% - Accent4 11 2 2" xfId="4082" xr:uid="{00000000-0005-0000-0000-0000EE0F0000}"/>
    <cellStyle name="40% - Accent4 11 2 2 2" xfId="4083" xr:uid="{00000000-0005-0000-0000-0000EF0F0000}"/>
    <cellStyle name="40% - Accent4 11 2 3" xfId="4084" xr:uid="{00000000-0005-0000-0000-0000F00F0000}"/>
    <cellStyle name="40% - Accent4 11 2 4" xfId="4085" xr:uid="{00000000-0005-0000-0000-0000F10F0000}"/>
    <cellStyle name="40% - Accent4 11 2 5" xfId="4086" xr:uid="{00000000-0005-0000-0000-0000F20F0000}"/>
    <cellStyle name="40% - Accent4 11 3" xfId="4087" xr:uid="{00000000-0005-0000-0000-0000F30F0000}"/>
    <cellStyle name="40% - Accent4 11 3 2" xfId="4088" xr:uid="{00000000-0005-0000-0000-0000F40F0000}"/>
    <cellStyle name="40% - Accent4 11 3 3" xfId="4089" xr:uid="{00000000-0005-0000-0000-0000F50F0000}"/>
    <cellStyle name="40% - Accent4 11 3 4" xfId="4090" xr:uid="{00000000-0005-0000-0000-0000F60F0000}"/>
    <cellStyle name="40% - Accent4 11 4" xfId="4091" xr:uid="{00000000-0005-0000-0000-0000F70F0000}"/>
    <cellStyle name="40% - Accent4 11 4 2" xfId="4092" xr:uid="{00000000-0005-0000-0000-0000F80F0000}"/>
    <cellStyle name="40% - Accent4 11 5" xfId="4093" xr:uid="{00000000-0005-0000-0000-0000F90F0000}"/>
    <cellStyle name="40% - Accent4 11 6" xfId="4094" xr:uid="{00000000-0005-0000-0000-0000FA0F0000}"/>
    <cellStyle name="40% - Accent4 11 7" xfId="4095" xr:uid="{00000000-0005-0000-0000-0000FB0F0000}"/>
    <cellStyle name="40% - Accent4 11 8" xfId="4096" xr:uid="{00000000-0005-0000-0000-0000FC0F0000}"/>
    <cellStyle name="40% - Accent4 12" xfId="4097" xr:uid="{00000000-0005-0000-0000-0000FD0F0000}"/>
    <cellStyle name="40% - Accent4 12 2" xfId="4098" xr:uid="{00000000-0005-0000-0000-0000FE0F0000}"/>
    <cellStyle name="40% - Accent4 12 2 2" xfId="4099" xr:uid="{00000000-0005-0000-0000-0000FF0F0000}"/>
    <cellStyle name="40% - Accent4 12 2 2 2" xfId="4100" xr:uid="{00000000-0005-0000-0000-000000100000}"/>
    <cellStyle name="40% - Accent4 12 2 3" xfId="4101" xr:uid="{00000000-0005-0000-0000-000001100000}"/>
    <cellStyle name="40% - Accent4 12 2 4" xfId="4102" xr:uid="{00000000-0005-0000-0000-000002100000}"/>
    <cellStyle name="40% - Accent4 12 2 5" xfId="4103" xr:uid="{00000000-0005-0000-0000-000003100000}"/>
    <cellStyle name="40% - Accent4 12 3" xfId="4104" xr:uid="{00000000-0005-0000-0000-000004100000}"/>
    <cellStyle name="40% - Accent4 12 3 2" xfId="4105" xr:uid="{00000000-0005-0000-0000-000005100000}"/>
    <cellStyle name="40% - Accent4 12 3 3" xfId="4106" xr:uid="{00000000-0005-0000-0000-000006100000}"/>
    <cellStyle name="40% - Accent4 12 3 4" xfId="4107" xr:uid="{00000000-0005-0000-0000-000007100000}"/>
    <cellStyle name="40% - Accent4 12 4" xfId="4108" xr:uid="{00000000-0005-0000-0000-000008100000}"/>
    <cellStyle name="40% - Accent4 12 4 2" xfId="4109" xr:uid="{00000000-0005-0000-0000-000009100000}"/>
    <cellStyle name="40% - Accent4 12 5" xfId="4110" xr:uid="{00000000-0005-0000-0000-00000A100000}"/>
    <cellStyle name="40% - Accent4 12 6" xfId="4111" xr:uid="{00000000-0005-0000-0000-00000B100000}"/>
    <cellStyle name="40% - Accent4 12 7" xfId="4112" xr:uid="{00000000-0005-0000-0000-00000C100000}"/>
    <cellStyle name="40% - Accent4 12 8" xfId="4113" xr:uid="{00000000-0005-0000-0000-00000D100000}"/>
    <cellStyle name="40% - Accent4 13" xfId="4114" xr:uid="{00000000-0005-0000-0000-00000E100000}"/>
    <cellStyle name="40% - Accent4 13 2" xfId="4115" xr:uid="{00000000-0005-0000-0000-00000F100000}"/>
    <cellStyle name="40% - Accent4 13 2 2" xfId="4116" xr:uid="{00000000-0005-0000-0000-000010100000}"/>
    <cellStyle name="40% - Accent4 13 2 3" xfId="4117" xr:uid="{00000000-0005-0000-0000-000011100000}"/>
    <cellStyle name="40% - Accent4 13 2 4" xfId="4118" xr:uid="{00000000-0005-0000-0000-000012100000}"/>
    <cellStyle name="40% - Accent4 13 3" xfId="4119" xr:uid="{00000000-0005-0000-0000-000013100000}"/>
    <cellStyle name="40% - Accent4 13 3 2" xfId="4120" xr:uid="{00000000-0005-0000-0000-000014100000}"/>
    <cellStyle name="40% - Accent4 13 4" xfId="4121" xr:uid="{00000000-0005-0000-0000-000015100000}"/>
    <cellStyle name="40% - Accent4 13 5" xfId="4122" xr:uid="{00000000-0005-0000-0000-000016100000}"/>
    <cellStyle name="40% - Accent4 13 6" xfId="4123" xr:uid="{00000000-0005-0000-0000-000017100000}"/>
    <cellStyle name="40% - Accent4 14" xfId="4124" xr:uid="{00000000-0005-0000-0000-000018100000}"/>
    <cellStyle name="40% - Accent4 14 2" xfId="4125" xr:uid="{00000000-0005-0000-0000-000019100000}"/>
    <cellStyle name="40% - Accent4 14 2 2" xfId="4126" xr:uid="{00000000-0005-0000-0000-00001A100000}"/>
    <cellStyle name="40% - Accent4 14 3" xfId="4127" xr:uid="{00000000-0005-0000-0000-00001B100000}"/>
    <cellStyle name="40% - Accent4 14 4" xfId="4128" xr:uid="{00000000-0005-0000-0000-00001C100000}"/>
    <cellStyle name="40% - Accent4 14 5" xfId="4129" xr:uid="{00000000-0005-0000-0000-00001D100000}"/>
    <cellStyle name="40% - Accent4 15" xfId="4130" xr:uid="{00000000-0005-0000-0000-00001E100000}"/>
    <cellStyle name="40% - Accent4 15 2" xfId="4131" xr:uid="{00000000-0005-0000-0000-00001F100000}"/>
    <cellStyle name="40% - Accent4 15 2 2" xfId="4132" xr:uid="{00000000-0005-0000-0000-000020100000}"/>
    <cellStyle name="40% - Accent4 15 3" xfId="4133" xr:uid="{00000000-0005-0000-0000-000021100000}"/>
    <cellStyle name="40% - Accent4 15 4" xfId="4134" xr:uid="{00000000-0005-0000-0000-000022100000}"/>
    <cellStyle name="40% - Accent4 15 5" xfId="4135" xr:uid="{00000000-0005-0000-0000-000023100000}"/>
    <cellStyle name="40% - Accent4 16" xfId="4136" xr:uid="{00000000-0005-0000-0000-000024100000}"/>
    <cellStyle name="40% - Accent4 16 2" xfId="4137" xr:uid="{00000000-0005-0000-0000-000025100000}"/>
    <cellStyle name="40% - Accent4 17" xfId="4138" xr:uid="{00000000-0005-0000-0000-000026100000}"/>
    <cellStyle name="40% - Accent4 18" xfId="4139" xr:uid="{00000000-0005-0000-0000-000027100000}"/>
    <cellStyle name="40% - Accent4 19" xfId="4140" xr:uid="{00000000-0005-0000-0000-000028100000}"/>
    <cellStyle name="40% - Accent4 2" xfId="4141" xr:uid="{00000000-0005-0000-0000-000029100000}"/>
    <cellStyle name="40% - Accent4 2 10" xfId="4142" xr:uid="{00000000-0005-0000-0000-00002A100000}"/>
    <cellStyle name="40% - Accent4 2 11" xfId="4143" xr:uid="{00000000-0005-0000-0000-00002B100000}"/>
    <cellStyle name="40% - Accent4 2 2" xfId="4144" xr:uid="{00000000-0005-0000-0000-00002C100000}"/>
    <cellStyle name="40% - Accent4 2 2 10" xfId="4145" xr:uid="{00000000-0005-0000-0000-00002D100000}"/>
    <cellStyle name="40% - Accent4 2 2 2" xfId="4146" xr:uid="{00000000-0005-0000-0000-00002E100000}"/>
    <cellStyle name="40% - Accent4 2 2 2 2" xfId="4147" xr:uid="{00000000-0005-0000-0000-00002F100000}"/>
    <cellStyle name="40% - Accent4 2 2 2 2 2" xfId="4148" xr:uid="{00000000-0005-0000-0000-000030100000}"/>
    <cellStyle name="40% - Accent4 2 2 2 2 2 2" xfId="4149" xr:uid="{00000000-0005-0000-0000-000031100000}"/>
    <cellStyle name="40% - Accent4 2 2 2 2 2 3" xfId="4150" xr:uid="{00000000-0005-0000-0000-000032100000}"/>
    <cellStyle name="40% - Accent4 2 2 2 2 3" xfId="4151" xr:uid="{00000000-0005-0000-0000-000033100000}"/>
    <cellStyle name="40% - Accent4 2 2 2 2 4" xfId="4152" xr:uid="{00000000-0005-0000-0000-000034100000}"/>
    <cellStyle name="40% - Accent4 2 2 2 2 5" xfId="4153" xr:uid="{00000000-0005-0000-0000-000035100000}"/>
    <cellStyle name="40% - Accent4 2 2 2 2 6" xfId="4154" xr:uid="{00000000-0005-0000-0000-000036100000}"/>
    <cellStyle name="40% - Accent4 2 2 2 3" xfId="4155" xr:uid="{00000000-0005-0000-0000-000037100000}"/>
    <cellStyle name="40% - Accent4 2 2 2 3 2" xfId="4156" xr:uid="{00000000-0005-0000-0000-000038100000}"/>
    <cellStyle name="40% - Accent4 2 2 2 3 2 2" xfId="4157" xr:uid="{00000000-0005-0000-0000-000039100000}"/>
    <cellStyle name="40% - Accent4 2 2 2 3 3" xfId="4158" xr:uid="{00000000-0005-0000-0000-00003A100000}"/>
    <cellStyle name="40% - Accent4 2 2 2 3 4" xfId="4159" xr:uid="{00000000-0005-0000-0000-00003B100000}"/>
    <cellStyle name="40% - Accent4 2 2 2 3 5" xfId="4160" xr:uid="{00000000-0005-0000-0000-00003C100000}"/>
    <cellStyle name="40% - Accent4 2 2 2 4" xfId="4161" xr:uid="{00000000-0005-0000-0000-00003D100000}"/>
    <cellStyle name="40% - Accent4 2 2 2 4 2" xfId="4162" xr:uid="{00000000-0005-0000-0000-00003E100000}"/>
    <cellStyle name="40% - Accent4 2 2 2 4 3" xfId="4163" xr:uid="{00000000-0005-0000-0000-00003F100000}"/>
    <cellStyle name="40% - Accent4 2 2 2 4 4" xfId="4164" xr:uid="{00000000-0005-0000-0000-000040100000}"/>
    <cellStyle name="40% - Accent4 2 2 2 5" xfId="4165" xr:uid="{00000000-0005-0000-0000-000041100000}"/>
    <cellStyle name="40% - Accent4 2 2 2 5 2" xfId="4166" xr:uid="{00000000-0005-0000-0000-000042100000}"/>
    <cellStyle name="40% - Accent4 2 2 2 6" xfId="4167" xr:uid="{00000000-0005-0000-0000-000043100000}"/>
    <cellStyle name="40% - Accent4 2 2 2 7" xfId="4168" xr:uid="{00000000-0005-0000-0000-000044100000}"/>
    <cellStyle name="40% - Accent4 2 2 2 8" xfId="4169" xr:uid="{00000000-0005-0000-0000-000045100000}"/>
    <cellStyle name="40% - Accent4 2 2 2 9" xfId="4170" xr:uid="{00000000-0005-0000-0000-000046100000}"/>
    <cellStyle name="40% - Accent4 2 2 3" xfId="4171" xr:uid="{00000000-0005-0000-0000-000047100000}"/>
    <cellStyle name="40% - Accent4 2 2 3 2" xfId="4172" xr:uid="{00000000-0005-0000-0000-000048100000}"/>
    <cellStyle name="40% - Accent4 2 2 3 2 2" xfId="4173" xr:uid="{00000000-0005-0000-0000-000049100000}"/>
    <cellStyle name="40% - Accent4 2 2 3 2 3" xfId="4174" xr:uid="{00000000-0005-0000-0000-00004A100000}"/>
    <cellStyle name="40% - Accent4 2 2 3 3" xfId="4175" xr:uid="{00000000-0005-0000-0000-00004B100000}"/>
    <cellStyle name="40% - Accent4 2 2 3 4" xfId="4176" xr:uid="{00000000-0005-0000-0000-00004C100000}"/>
    <cellStyle name="40% - Accent4 2 2 3 5" xfId="4177" xr:uid="{00000000-0005-0000-0000-00004D100000}"/>
    <cellStyle name="40% - Accent4 2 2 3 6" xfId="4178" xr:uid="{00000000-0005-0000-0000-00004E100000}"/>
    <cellStyle name="40% - Accent4 2 2 4" xfId="4179" xr:uid="{00000000-0005-0000-0000-00004F100000}"/>
    <cellStyle name="40% - Accent4 2 2 4 2" xfId="4180" xr:uid="{00000000-0005-0000-0000-000050100000}"/>
    <cellStyle name="40% - Accent4 2 2 4 2 2" xfId="4181" xr:uid="{00000000-0005-0000-0000-000051100000}"/>
    <cellStyle name="40% - Accent4 2 2 4 3" xfId="4182" xr:uid="{00000000-0005-0000-0000-000052100000}"/>
    <cellStyle name="40% - Accent4 2 2 4 4" xfId="4183" xr:uid="{00000000-0005-0000-0000-000053100000}"/>
    <cellStyle name="40% - Accent4 2 2 4 5" xfId="4184" xr:uid="{00000000-0005-0000-0000-000054100000}"/>
    <cellStyle name="40% - Accent4 2 2 5" xfId="4185" xr:uid="{00000000-0005-0000-0000-000055100000}"/>
    <cellStyle name="40% - Accent4 2 2 5 2" xfId="4186" xr:uid="{00000000-0005-0000-0000-000056100000}"/>
    <cellStyle name="40% - Accent4 2 2 5 3" xfId="4187" xr:uid="{00000000-0005-0000-0000-000057100000}"/>
    <cellStyle name="40% - Accent4 2 2 5 4" xfId="4188" xr:uid="{00000000-0005-0000-0000-000058100000}"/>
    <cellStyle name="40% - Accent4 2 2 6" xfId="4189" xr:uid="{00000000-0005-0000-0000-000059100000}"/>
    <cellStyle name="40% - Accent4 2 2 6 2" xfId="4190" xr:uid="{00000000-0005-0000-0000-00005A100000}"/>
    <cellStyle name="40% - Accent4 2 2 7" xfId="4191" xr:uid="{00000000-0005-0000-0000-00005B100000}"/>
    <cellStyle name="40% - Accent4 2 2 8" xfId="4192" xr:uid="{00000000-0005-0000-0000-00005C100000}"/>
    <cellStyle name="40% - Accent4 2 2 9" xfId="4193" xr:uid="{00000000-0005-0000-0000-00005D100000}"/>
    <cellStyle name="40% - Accent4 2 3" xfId="4194" xr:uid="{00000000-0005-0000-0000-00005E100000}"/>
    <cellStyle name="40% - Accent4 2 3 2" xfId="4195" xr:uid="{00000000-0005-0000-0000-00005F100000}"/>
    <cellStyle name="40% - Accent4 2 3 2 2" xfId="4196" xr:uid="{00000000-0005-0000-0000-000060100000}"/>
    <cellStyle name="40% - Accent4 2 3 2 2 2" xfId="4197" xr:uid="{00000000-0005-0000-0000-000061100000}"/>
    <cellStyle name="40% - Accent4 2 3 2 2 3" xfId="4198" xr:uid="{00000000-0005-0000-0000-000062100000}"/>
    <cellStyle name="40% - Accent4 2 3 2 3" xfId="4199" xr:uid="{00000000-0005-0000-0000-000063100000}"/>
    <cellStyle name="40% - Accent4 2 3 2 4" xfId="4200" xr:uid="{00000000-0005-0000-0000-000064100000}"/>
    <cellStyle name="40% - Accent4 2 3 2 5" xfId="4201" xr:uid="{00000000-0005-0000-0000-000065100000}"/>
    <cellStyle name="40% - Accent4 2 3 2 6" xfId="4202" xr:uid="{00000000-0005-0000-0000-000066100000}"/>
    <cellStyle name="40% - Accent4 2 3 3" xfId="4203" xr:uid="{00000000-0005-0000-0000-000067100000}"/>
    <cellStyle name="40% - Accent4 2 3 3 2" xfId="4204" xr:uid="{00000000-0005-0000-0000-000068100000}"/>
    <cellStyle name="40% - Accent4 2 3 3 2 2" xfId="4205" xr:uid="{00000000-0005-0000-0000-000069100000}"/>
    <cellStyle name="40% - Accent4 2 3 3 3" xfId="4206" xr:uid="{00000000-0005-0000-0000-00006A100000}"/>
    <cellStyle name="40% - Accent4 2 3 3 4" xfId="4207" xr:uid="{00000000-0005-0000-0000-00006B100000}"/>
    <cellStyle name="40% - Accent4 2 3 3 5" xfId="4208" xr:uid="{00000000-0005-0000-0000-00006C100000}"/>
    <cellStyle name="40% - Accent4 2 3 4" xfId="4209" xr:uid="{00000000-0005-0000-0000-00006D100000}"/>
    <cellStyle name="40% - Accent4 2 3 4 2" xfId="4210" xr:uid="{00000000-0005-0000-0000-00006E100000}"/>
    <cellStyle name="40% - Accent4 2 3 4 3" xfId="4211" xr:uid="{00000000-0005-0000-0000-00006F100000}"/>
    <cellStyle name="40% - Accent4 2 3 4 4" xfId="4212" xr:uid="{00000000-0005-0000-0000-000070100000}"/>
    <cellStyle name="40% - Accent4 2 3 5" xfId="4213" xr:uid="{00000000-0005-0000-0000-000071100000}"/>
    <cellStyle name="40% - Accent4 2 3 5 2" xfId="4214" xr:uid="{00000000-0005-0000-0000-000072100000}"/>
    <cellStyle name="40% - Accent4 2 3 6" xfId="4215" xr:uid="{00000000-0005-0000-0000-000073100000}"/>
    <cellStyle name="40% - Accent4 2 3 7" xfId="4216" xr:uid="{00000000-0005-0000-0000-000074100000}"/>
    <cellStyle name="40% - Accent4 2 3 8" xfId="4217" xr:uid="{00000000-0005-0000-0000-000075100000}"/>
    <cellStyle name="40% - Accent4 2 3 9" xfId="4218" xr:uid="{00000000-0005-0000-0000-000076100000}"/>
    <cellStyle name="40% - Accent4 2 4" xfId="4219" xr:uid="{00000000-0005-0000-0000-000077100000}"/>
    <cellStyle name="40% - Accent4 2 4 2" xfId="4220" xr:uid="{00000000-0005-0000-0000-000078100000}"/>
    <cellStyle name="40% - Accent4 2 4 2 2" xfId="4221" xr:uid="{00000000-0005-0000-0000-000079100000}"/>
    <cellStyle name="40% - Accent4 2 4 2 3" xfId="4222" xr:uid="{00000000-0005-0000-0000-00007A100000}"/>
    <cellStyle name="40% - Accent4 2 4 3" xfId="4223" xr:uid="{00000000-0005-0000-0000-00007B100000}"/>
    <cellStyle name="40% - Accent4 2 4 4" xfId="4224" xr:uid="{00000000-0005-0000-0000-00007C100000}"/>
    <cellStyle name="40% - Accent4 2 4 5" xfId="4225" xr:uid="{00000000-0005-0000-0000-00007D100000}"/>
    <cellStyle name="40% - Accent4 2 4 6" xfId="4226" xr:uid="{00000000-0005-0000-0000-00007E100000}"/>
    <cellStyle name="40% - Accent4 2 5" xfId="4227" xr:uid="{00000000-0005-0000-0000-00007F100000}"/>
    <cellStyle name="40% - Accent4 2 5 2" xfId="4228" xr:uid="{00000000-0005-0000-0000-000080100000}"/>
    <cellStyle name="40% - Accent4 2 5 2 2" xfId="4229" xr:uid="{00000000-0005-0000-0000-000081100000}"/>
    <cellStyle name="40% - Accent4 2 5 3" xfId="4230" xr:uid="{00000000-0005-0000-0000-000082100000}"/>
    <cellStyle name="40% - Accent4 2 5 4" xfId="4231" xr:uid="{00000000-0005-0000-0000-000083100000}"/>
    <cellStyle name="40% - Accent4 2 5 5" xfId="4232" xr:uid="{00000000-0005-0000-0000-000084100000}"/>
    <cellStyle name="40% - Accent4 2 6" xfId="4233" xr:uid="{00000000-0005-0000-0000-000085100000}"/>
    <cellStyle name="40% - Accent4 2 6 2" xfId="4234" xr:uid="{00000000-0005-0000-0000-000086100000}"/>
    <cellStyle name="40% - Accent4 2 6 2 2" xfId="4235" xr:uid="{00000000-0005-0000-0000-000087100000}"/>
    <cellStyle name="40% - Accent4 2 6 3" xfId="4236" xr:uid="{00000000-0005-0000-0000-000088100000}"/>
    <cellStyle name="40% - Accent4 2 6 4" xfId="4237" xr:uid="{00000000-0005-0000-0000-000089100000}"/>
    <cellStyle name="40% - Accent4 2 6 5" xfId="4238" xr:uid="{00000000-0005-0000-0000-00008A100000}"/>
    <cellStyle name="40% - Accent4 2 7" xfId="4239" xr:uid="{00000000-0005-0000-0000-00008B100000}"/>
    <cellStyle name="40% - Accent4 2 7 2" xfId="4240" xr:uid="{00000000-0005-0000-0000-00008C100000}"/>
    <cellStyle name="40% - Accent4 2 8" xfId="4241" xr:uid="{00000000-0005-0000-0000-00008D100000}"/>
    <cellStyle name="40% - Accent4 2 9" xfId="4242" xr:uid="{00000000-0005-0000-0000-00008E100000}"/>
    <cellStyle name="40% - Accent4 3" xfId="4243" xr:uid="{00000000-0005-0000-0000-00008F100000}"/>
    <cellStyle name="40% - Accent4 3 10" xfId="4244" xr:uid="{00000000-0005-0000-0000-000090100000}"/>
    <cellStyle name="40% - Accent4 3 2" xfId="4245" xr:uid="{00000000-0005-0000-0000-000091100000}"/>
    <cellStyle name="40% - Accent4 3 2 2" xfId="4246" xr:uid="{00000000-0005-0000-0000-000092100000}"/>
    <cellStyle name="40% - Accent4 3 2 2 2" xfId="4247" xr:uid="{00000000-0005-0000-0000-000093100000}"/>
    <cellStyle name="40% - Accent4 3 2 2 2 2" xfId="4248" xr:uid="{00000000-0005-0000-0000-000094100000}"/>
    <cellStyle name="40% - Accent4 3 2 2 2 3" xfId="4249" xr:uid="{00000000-0005-0000-0000-000095100000}"/>
    <cellStyle name="40% - Accent4 3 2 2 3" xfId="4250" xr:uid="{00000000-0005-0000-0000-000096100000}"/>
    <cellStyle name="40% - Accent4 3 2 2 4" xfId="4251" xr:uid="{00000000-0005-0000-0000-000097100000}"/>
    <cellStyle name="40% - Accent4 3 2 2 5" xfId="4252" xr:uid="{00000000-0005-0000-0000-000098100000}"/>
    <cellStyle name="40% - Accent4 3 2 2 6" xfId="4253" xr:uid="{00000000-0005-0000-0000-000099100000}"/>
    <cellStyle name="40% - Accent4 3 2 3" xfId="4254" xr:uid="{00000000-0005-0000-0000-00009A100000}"/>
    <cellStyle name="40% - Accent4 3 2 3 2" xfId="4255" xr:uid="{00000000-0005-0000-0000-00009B100000}"/>
    <cellStyle name="40% - Accent4 3 2 3 2 2" xfId="4256" xr:uid="{00000000-0005-0000-0000-00009C100000}"/>
    <cellStyle name="40% - Accent4 3 2 3 3" xfId="4257" xr:uid="{00000000-0005-0000-0000-00009D100000}"/>
    <cellStyle name="40% - Accent4 3 2 3 4" xfId="4258" xr:uid="{00000000-0005-0000-0000-00009E100000}"/>
    <cellStyle name="40% - Accent4 3 2 3 5" xfId="4259" xr:uid="{00000000-0005-0000-0000-00009F100000}"/>
    <cellStyle name="40% - Accent4 3 2 4" xfId="4260" xr:uid="{00000000-0005-0000-0000-0000A0100000}"/>
    <cellStyle name="40% - Accent4 3 2 4 2" xfId="4261" xr:uid="{00000000-0005-0000-0000-0000A1100000}"/>
    <cellStyle name="40% - Accent4 3 2 4 3" xfId="4262" xr:uid="{00000000-0005-0000-0000-0000A2100000}"/>
    <cellStyle name="40% - Accent4 3 2 4 4" xfId="4263" xr:uid="{00000000-0005-0000-0000-0000A3100000}"/>
    <cellStyle name="40% - Accent4 3 2 5" xfId="4264" xr:uid="{00000000-0005-0000-0000-0000A4100000}"/>
    <cellStyle name="40% - Accent4 3 2 5 2" xfId="4265" xr:uid="{00000000-0005-0000-0000-0000A5100000}"/>
    <cellStyle name="40% - Accent4 3 2 6" xfId="4266" xr:uid="{00000000-0005-0000-0000-0000A6100000}"/>
    <cellStyle name="40% - Accent4 3 2 7" xfId="4267" xr:uid="{00000000-0005-0000-0000-0000A7100000}"/>
    <cellStyle name="40% - Accent4 3 2 8" xfId="4268" xr:uid="{00000000-0005-0000-0000-0000A8100000}"/>
    <cellStyle name="40% - Accent4 3 2 9" xfId="4269" xr:uid="{00000000-0005-0000-0000-0000A9100000}"/>
    <cellStyle name="40% - Accent4 3 3" xfId="4270" xr:uid="{00000000-0005-0000-0000-0000AA100000}"/>
    <cellStyle name="40% - Accent4 3 3 2" xfId="4271" xr:uid="{00000000-0005-0000-0000-0000AB100000}"/>
    <cellStyle name="40% - Accent4 3 3 2 2" xfId="4272" xr:uid="{00000000-0005-0000-0000-0000AC100000}"/>
    <cellStyle name="40% - Accent4 3 3 2 3" xfId="4273" xr:uid="{00000000-0005-0000-0000-0000AD100000}"/>
    <cellStyle name="40% - Accent4 3 3 3" xfId="4274" xr:uid="{00000000-0005-0000-0000-0000AE100000}"/>
    <cellStyle name="40% - Accent4 3 3 4" xfId="4275" xr:uid="{00000000-0005-0000-0000-0000AF100000}"/>
    <cellStyle name="40% - Accent4 3 3 5" xfId="4276" xr:uid="{00000000-0005-0000-0000-0000B0100000}"/>
    <cellStyle name="40% - Accent4 3 3 6" xfId="4277" xr:uid="{00000000-0005-0000-0000-0000B1100000}"/>
    <cellStyle name="40% - Accent4 3 4" xfId="4278" xr:uid="{00000000-0005-0000-0000-0000B2100000}"/>
    <cellStyle name="40% - Accent4 3 4 2" xfId="4279" xr:uid="{00000000-0005-0000-0000-0000B3100000}"/>
    <cellStyle name="40% - Accent4 3 4 2 2" xfId="4280" xr:uid="{00000000-0005-0000-0000-0000B4100000}"/>
    <cellStyle name="40% - Accent4 3 4 3" xfId="4281" xr:uid="{00000000-0005-0000-0000-0000B5100000}"/>
    <cellStyle name="40% - Accent4 3 4 4" xfId="4282" xr:uid="{00000000-0005-0000-0000-0000B6100000}"/>
    <cellStyle name="40% - Accent4 3 4 5" xfId="4283" xr:uid="{00000000-0005-0000-0000-0000B7100000}"/>
    <cellStyle name="40% - Accent4 3 5" xfId="4284" xr:uid="{00000000-0005-0000-0000-0000B8100000}"/>
    <cellStyle name="40% - Accent4 3 5 2" xfId="4285" xr:uid="{00000000-0005-0000-0000-0000B9100000}"/>
    <cellStyle name="40% - Accent4 3 5 2 2" xfId="4286" xr:uid="{00000000-0005-0000-0000-0000BA100000}"/>
    <cellStyle name="40% - Accent4 3 5 3" xfId="4287" xr:uid="{00000000-0005-0000-0000-0000BB100000}"/>
    <cellStyle name="40% - Accent4 3 5 4" xfId="4288" xr:uid="{00000000-0005-0000-0000-0000BC100000}"/>
    <cellStyle name="40% - Accent4 3 5 5" xfId="4289" xr:uid="{00000000-0005-0000-0000-0000BD100000}"/>
    <cellStyle name="40% - Accent4 3 6" xfId="4290" xr:uid="{00000000-0005-0000-0000-0000BE100000}"/>
    <cellStyle name="40% - Accent4 3 6 2" xfId="4291" xr:uid="{00000000-0005-0000-0000-0000BF100000}"/>
    <cellStyle name="40% - Accent4 3 7" xfId="4292" xr:uid="{00000000-0005-0000-0000-0000C0100000}"/>
    <cellStyle name="40% - Accent4 3 8" xfId="4293" xr:uid="{00000000-0005-0000-0000-0000C1100000}"/>
    <cellStyle name="40% - Accent4 3 9" xfId="4294" xr:uid="{00000000-0005-0000-0000-0000C2100000}"/>
    <cellStyle name="40% - Accent4 4" xfId="4295" xr:uid="{00000000-0005-0000-0000-0000C3100000}"/>
    <cellStyle name="40% - Accent4 4 10" xfId="4296" xr:uid="{00000000-0005-0000-0000-0000C4100000}"/>
    <cellStyle name="40% - Accent4 4 2" xfId="4297" xr:uid="{00000000-0005-0000-0000-0000C5100000}"/>
    <cellStyle name="40% - Accent4 4 2 2" xfId="4298" xr:uid="{00000000-0005-0000-0000-0000C6100000}"/>
    <cellStyle name="40% - Accent4 4 2 2 2" xfId="4299" xr:uid="{00000000-0005-0000-0000-0000C7100000}"/>
    <cellStyle name="40% - Accent4 4 2 2 2 2" xfId="4300" xr:uid="{00000000-0005-0000-0000-0000C8100000}"/>
    <cellStyle name="40% - Accent4 4 2 2 2 3" xfId="4301" xr:uid="{00000000-0005-0000-0000-0000C9100000}"/>
    <cellStyle name="40% - Accent4 4 2 2 3" xfId="4302" xr:uid="{00000000-0005-0000-0000-0000CA100000}"/>
    <cellStyle name="40% - Accent4 4 2 2 4" xfId="4303" xr:uid="{00000000-0005-0000-0000-0000CB100000}"/>
    <cellStyle name="40% - Accent4 4 2 2 5" xfId="4304" xr:uid="{00000000-0005-0000-0000-0000CC100000}"/>
    <cellStyle name="40% - Accent4 4 2 2 6" xfId="4305" xr:uid="{00000000-0005-0000-0000-0000CD100000}"/>
    <cellStyle name="40% - Accent4 4 2 3" xfId="4306" xr:uid="{00000000-0005-0000-0000-0000CE100000}"/>
    <cellStyle name="40% - Accent4 4 2 3 2" xfId="4307" xr:uid="{00000000-0005-0000-0000-0000CF100000}"/>
    <cellStyle name="40% - Accent4 4 2 3 2 2" xfId="4308" xr:uid="{00000000-0005-0000-0000-0000D0100000}"/>
    <cellStyle name="40% - Accent4 4 2 3 3" xfId="4309" xr:uid="{00000000-0005-0000-0000-0000D1100000}"/>
    <cellStyle name="40% - Accent4 4 2 3 4" xfId="4310" xr:uid="{00000000-0005-0000-0000-0000D2100000}"/>
    <cellStyle name="40% - Accent4 4 2 3 5" xfId="4311" xr:uid="{00000000-0005-0000-0000-0000D3100000}"/>
    <cellStyle name="40% - Accent4 4 2 4" xfId="4312" xr:uid="{00000000-0005-0000-0000-0000D4100000}"/>
    <cellStyle name="40% - Accent4 4 2 4 2" xfId="4313" xr:uid="{00000000-0005-0000-0000-0000D5100000}"/>
    <cellStyle name="40% - Accent4 4 2 4 3" xfId="4314" xr:uid="{00000000-0005-0000-0000-0000D6100000}"/>
    <cellStyle name="40% - Accent4 4 2 4 4" xfId="4315" xr:uid="{00000000-0005-0000-0000-0000D7100000}"/>
    <cellStyle name="40% - Accent4 4 2 5" xfId="4316" xr:uid="{00000000-0005-0000-0000-0000D8100000}"/>
    <cellStyle name="40% - Accent4 4 2 5 2" xfId="4317" xr:uid="{00000000-0005-0000-0000-0000D9100000}"/>
    <cellStyle name="40% - Accent4 4 2 6" xfId="4318" xr:uid="{00000000-0005-0000-0000-0000DA100000}"/>
    <cellStyle name="40% - Accent4 4 2 7" xfId="4319" xr:uid="{00000000-0005-0000-0000-0000DB100000}"/>
    <cellStyle name="40% - Accent4 4 2 8" xfId="4320" xr:uid="{00000000-0005-0000-0000-0000DC100000}"/>
    <cellStyle name="40% - Accent4 4 2 9" xfId="4321" xr:uid="{00000000-0005-0000-0000-0000DD100000}"/>
    <cellStyle name="40% - Accent4 4 3" xfId="4322" xr:uid="{00000000-0005-0000-0000-0000DE100000}"/>
    <cellStyle name="40% - Accent4 4 3 2" xfId="4323" xr:uid="{00000000-0005-0000-0000-0000DF100000}"/>
    <cellStyle name="40% - Accent4 4 3 2 2" xfId="4324" xr:uid="{00000000-0005-0000-0000-0000E0100000}"/>
    <cellStyle name="40% - Accent4 4 3 2 3" xfId="4325" xr:uid="{00000000-0005-0000-0000-0000E1100000}"/>
    <cellStyle name="40% - Accent4 4 3 3" xfId="4326" xr:uid="{00000000-0005-0000-0000-0000E2100000}"/>
    <cellStyle name="40% - Accent4 4 3 4" xfId="4327" xr:uid="{00000000-0005-0000-0000-0000E3100000}"/>
    <cellStyle name="40% - Accent4 4 3 5" xfId="4328" xr:uid="{00000000-0005-0000-0000-0000E4100000}"/>
    <cellStyle name="40% - Accent4 4 3 6" xfId="4329" xr:uid="{00000000-0005-0000-0000-0000E5100000}"/>
    <cellStyle name="40% - Accent4 4 4" xfId="4330" xr:uid="{00000000-0005-0000-0000-0000E6100000}"/>
    <cellStyle name="40% - Accent4 4 4 2" xfId="4331" xr:uid="{00000000-0005-0000-0000-0000E7100000}"/>
    <cellStyle name="40% - Accent4 4 4 2 2" xfId="4332" xr:uid="{00000000-0005-0000-0000-0000E8100000}"/>
    <cellStyle name="40% - Accent4 4 4 3" xfId="4333" xr:uid="{00000000-0005-0000-0000-0000E9100000}"/>
    <cellStyle name="40% - Accent4 4 4 4" xfId="4334" xr:uid="{00000000-0005-0000-0000-0000EA100000}"/>
    <cellStyle name="40% - Accent4 4 4 5" xfId="4335" xr:uid="{00000000-0005-0000-0000-0000EB100000}"/>
    <cellStyle name="40% - Accent4 4 5" xfId="4336" xr:uid="{00000000-0005-0000-0000-0000EC100000}"/>
    <cellStyle name="40% - Accent4 4 5 2" xfId="4337" xr:uid="{00000000-0005-0000-0000-0000ED100000}"/>
    <cellStyle name="40% - Accent4 4 5 2 2" xfId="4338" xr:uid="{00000000-0005-0000-0000-0000EE100000}"/>
    <cellStyle name="40% - Accent4 4 5 3" xfId="4339" xr:uid="{00000000-0005-0000-0000-0000EF100000}"/>
    <cellStyle name="40% - Accent4 4 5 4" xfId="4340" xr:uid="{00000000-0005-0000-0000-0000F0100000}"/>
    <cellStyle name="40% - Accent4 4 5 5" xfId="4341" xr:uid="{00000000-0005-0000-0000-0000F1100000}"/>
    <cellStyle name="40% - Accent4 4 6" xfId="4342" xr:uid="{00000000-0005-0000-0000-0000F2100000}"/>
    <cellStyle name="40% - Accent4 4 6 2" xfId="4343" xr:uid="{00000000-0005-0000-0000-0000F3100000}"/>
    <cellStyle name="40% - Accent4 4 7" xfId="4344" xr:uid="{00000000-0005-0000-0000-0000F4100000}"/>
    <cellStyle name="40% - Accent4 4 8" xfId="4345" xr:uid="{00000000-0005-0000-0000-0000F5100000}"/>
    <cellStyle name="40% - Accent4 4 9" xfId="4346" xr:uid="{00000000-0005-0000-0000-0000F6100000}"/>
    <cellStyle name="40% - Accent4 5" xfId="4347" xr:uid="{00000000-0005-0000-0000-0000F7100000}"/>
    <cellStyle name="40% - Accent4 5 10" xfId="4348" xr:uid="{00000000-0005-0000-0000-0000F8100000}"/>
    <cellStyle name="40% - Accent4 5 2" xfId="4349" xr:uid="{00000000-0005-0000-0000-0000F9100000}"/>
    <cellStyle name="40% - Accent4 5 2 2" xfId="4350" xr:uid="{00000000-0005-0000-0000-0000FA100000}"/>
    <cellStyle name="40% - Accent4 5 2 2 2" xfId="4351" xr:uid="{00000000-0005-0000-0000-0000FB100000}"/>
    <cellStyle name="40% - Accent4 5 2 2 2 2" xfId="4352" xr:uid="{00000000-0005-0000-0000-0000FC100000}"/>
    <cellStyle name="40% - Accent4 5 2 2 2 3" xfId="4353" xr:uid="{00000000-0005-0000-0000-0000FD100000}"/>
    <cellStyle name="40% - Accent4 5 2 2 3" xfId="4354" xr:uid="{00000000-0005-0000-0000-0000FE100000}"/>
    <cellStyle name="40% - Accent4 5 2 2 4" xfId="4355" xr:uid="{00000000-0005-0000-0000-0000FF100000}"/>
    <cellStyle name="40% - Accent4 5 2 2 5" xfId="4356" xr:uid="{00000000-0005-0000-0000-000000110000}"/>
    <cellStyle name="40% - Accent4 5 2 2 6" xfId="4357" xr:uid="{00000000-0005-0000-0000-000001110000}"/>
    <cellStyle name="40% - Accent4 5 2 3" xfId="4358" xr:uid="{00000000-0005-0000-0000-000002110000}"/>
    <cellStyle name="40% - Accent4 5 2 3 2" xfId="4359" xr:uid="{00000000-0005-0000-0000-000003110000}"/>
    <cellStyle name="40% - Accent4 5 2 3 2 2" xfId="4360" xr:uid="{00000000-0005-0000-0000-000004110000}"/>
    <cellStyle name="40% - Accent4 5 2 3 3" xfId="4361" xr:uid="{00000000-0005-0000-0000-000005110000}"/>
    <cellStyle name="40% - Accent4 5 2 3 4" xfId="4362" xr:uid="{00000000-0005-0000-0000-000006110000}"/>
    <cellStyle name="40% - Accent4 5 2 3 5" xfId="4363" xr:uid="{00000000-0005-0000-0000-000007110000}"/>
    <cellStyle name="40% - Accent4 5 2 4" xfId="4364" xr:uid="{00000000-0005-0000-0000-000008110000}"/>
    <cellStyle name="40% - Accent4 5 2 4 2" xfId="4365" xr:uid="{00000000-0005-0000-0000-000009110000}"/>
    <cellStyle name="40% - Accent4 5 2 4 3" xfId="4366" xr:uid="{00000000-0005-0000-0000-00000A110000}"/>
    <cellStyle name="40% - Accent4 5 2 4 4" xfId="4367" xr:uid="{00000000-0005-0000-0000-00000B110000}"/>
    <cellStyle name="40% - Accent4 5 2 5" xfId="4368" xr:uid="{00000000-0005-0000-0000-00000C110000}"/>
    <cellStyle name="40% - Accent4 5 2 5 2" xfId="4369" xr:uid="{00000000-0005-0000-0000-00000D110000}"/>
    <cellStyle name="40% - Accent4 5 2 6" xfId="4370" xr:uid="{00000000-0005-0000-0000-00000E110000}"/>
    <cellStyle name="40% - Accent4 5 2 7" xfId="4371" xr:uid="{00000000-0005-0000-0000-00000F110000}"/>
    <cellStyle name="40% - Accent4 5 2 8" xfId="4372" xr:uid="{00000000-0005-0000-0000-000010110000}"/>
    <cellStyle name="40% - Accent4 5 2 9" xfId="4373" xr:uid="{00000000-0005-0000-0000-000011110000}"/>
    <cellStyle name="40% - Accent4 5 3" xfId="4374" xr:uid="{00000000-0005-0000-0000-000012110000}"/>
    <cellStyle name="40% - Accent4 5 3 2" xfId="4375" xr:uid="{00000000-0005-0000-0000-000013110000}"/>
    <cellStyle name="40% - Accent4 5 3 2 2" xfId="4376" xr:uid="{00000000-0005-0000-0000-000014110000}"/>
    <cellStyle name="40% - Accent4 5 3 2 3" xfId="4377" xr:uid="{00000000-0005-0000-0000-000015110000}"/>
    <cellStyle name="40% - Accent4 5 3 3" xfId="4378" xr:uid="{00000000-0005-0000-0000-000016110000}"/>
    <cellStyle name="40% - Accent4 5 3 4" xfId="4379" xr:uid="{00000000-0005-0000-0000-000017110000}"/>
    <cellStyle name="40% - Accent4 5 3 5" xfId="4380" xr:uid="{00000000-0005-0000-0000-000018110000}"/>
    <cellStyle name="40% - Accent4 5 3 6" xfId="4381" xr:uid="{00000000-0005-0000-0000-000019110000}"/>
    <cellStyle name="40% - Accent4 5 4" xfId="4382" xr:uid="{00000000-0005-0000-0000-00001A110000}"/>
    <cellStyle name="40% - Accent4 5 4 2" xfId="4383" xr:uid="{00000000-0005-0000-0000-00001B110000}"/>
    <cellStyle name="40% - Accent4 5 4 2 2" xfId="4384" xr:uid="{00000000-0005-0000-0000-00001C110000}"/>
    <cellStyle name="40% - Accent4 5 4 3" xfId="4385" xr:uid="{00000000-0005-0000-0000-00001D110000}"/>
    <cellStyle name="40% - Accent4 5 4 4" xfId="4386" xr:uid="{00000000-0005-0000-0000-00001E110000}"/>
    <cellStyle name="40% - Accent4 5 4 5" xfId="4387" xr:uid="{00000000-0005-0000-0000-00001F110000}"/>
    <cellStyle name="40% - Accent4 5 5" xfId="4388" xr:uid="{00000000-0005-0000-0000-000020110000}"/>
    <cellStyle name="40% - Accent4 5 5 2" xfId="4389" xr:uid="{00000000-0005-0000-0000-000021110000}"/>
    <cellStyle name="40% - Accent4 5 5 3" xfId="4390" xr:uid="{00000000-0005-0000-0000-000022110000}"/>
    <cellStyle name="40% - Accent4 5 5 4" xfId="4391" xr:uid="{00000000-0005-0000-0000-000023110000}"/>
    <cellStyle name="40% - Accent4 5 6" xfId="4392" xr:uid="{00000000-0005-0000-0000-000024110000}"/>
    <cellStyle name="40% - Accent4 5 6 2" xfId="4393" xr:uid="{00000000-0005-0000-0000-000025110000}"/>
    <cellStyle name="40% - Accent4 5 7" xfId="4394" xr:uid="{00000000-0005-0000-0000-000026110000}"/>
    <cellStyle name="40% - Accent4 5 8" xfId="4395" xr:uid="{00000000-0005-0000-0000-000027110000}"/>
    <cellStyle name="40% - Accent4 5 9" xfId="4396" xr:uid="{00000000-0005-0000-0000-000028110000}"/>
    <cellStyle name="40% - Accent4 6" xfId="4397" xr:uid="{00000000-0005-0000-0000-000029110000}"/>
    <cellStyle name="40% - Accent4 6 10" xfId="4398" xr:uid="{00000000-0005-0000-0000-00002A110000}"/>
    <cellStyle name="40% - Accent4 6 2" xfId="4399" xr:uid="{00000000-0005-0000-0000-00002B110000}"/>
    <cellStyle name="40% - Accent4 6 2 2" xfId="4400" xr:uid="{00000000-0005-0000-0000-00002C110000}"/>
    <cellStyle name="40% - Accent4 6 2 2 2" xfId="4401" xr:uid="{00000000-0005-0000-0000-00002D110000}"/>
    <cellStyle name="40% - Accent4 6 2 2 2 2" xfId="4402" xr:uid="{00000000-0005-0000-0000-00002E110000}"/>
    <cellStyle name="40% - Accent4 6 2 2 2 3" xfId="4403" xr:uid="{00000000-0005-0000-0000-00002F110000}"/>
    <cellStyle name="40% - Accent4 6 2 2 3" xfId="4404" xr:uid="{00000000-0005-0000-0000-000030110000}"/>
    <cellStyle name="40% - Accent4 6 2 2 4" xfId="4405" xr:uid="{00000000-0005-0000-0000-000031110000}"/>
    <cellStyle name="40% - Accent4 6 2 2 5" xfId="4406" xr:uid="{00000000-0005-0000-0000-000032110000}"/>
    <cellStyle name="40% - Accent4 6 2 2 6" xfId="4407" xr:uid="{00000000-0005-0000-0000-000033110000}"/>
    <cellStyle name="40% - Accent4 6 2 3" xfId="4408" xr:uid="{00000000-0005-0000-0000-000034110000}"/>
    <cellStyle name="40% - Accent4 6 2 3 2" xfId="4409" xr:uid="{00000000-0005-0000-0000-000035110000}"/>
    <cellStyle name="40% - Accent4 6 2 3 2 2" xfId="4410" xr:uid="{00000000-0005-0000-0000-000036110000}"/>
    <cellStyle name="40% - Accent4 6 2 3 3" xfId="4411" xr:uid="{00000000-0005-0000-0000-000037110000}"/>
    <cellStyle name="40% - Accent4 6 2 3 4" xfId="4412" xr:uid="{00000000-0005-0000-0000-000038110000}"/>
    <cellStyle name="40% - Accent4 6 2 3 5" xfId="4413" xr:uid="{00000000-0005-0000-0000-000039110000}"/>
    <cellStyle name="40% - Accent4 6 2 4" xfId="4414" xr:uid="{00000000-0005-0000-0000-00003A110000}"/>
    <cellStyle name="40% - Accent4 6 2 4 2" xfId="4415" xr:uid="{00000000-0005-0000-0000-00003B110000}"/>
    <cellStyle name="40% - Accent4 6 2 4 3" xfId="4416" xr:uid="{00000000-0005-0000-0000-00003C110000}"/>
    <cellStyle name="40% - Accent4 6 2 4 4" xfId="4417" xr:uid="{00000000-0005-0000-0000-00003D110000}"/>
    <cellStyle name="40% - Accent4 6 2 5" xfId="4418" xr:uid="{00000000-0005-0000-0000-00003E110000}"/>
    <cellStyle name="40% - Accent4 6 2 5 2" xfId="4419" xr:uid="{00000000-0005-0000-0000-00003F110000}"/>
    <cellStyle name="40% - Accent4 6 2 6" xfId="4420" xr:uid="{00000000-0005-0000-0000-000040110000}"/>
    <cellStyle name="40% - Accent4 6 2 7" xfId="4421" xr:uid="{00000000-0005-0000-0000-000041110000}"/>
    <cellStyle name="40% - Accent4 6 2 8" xfId="4422" xr:uid="{00000000-0005-0000-0000-000042110000}"/>
    <cellStyle name="40% - Accent4 6 2 9" xfId="4423" xr:uid="{00000000-0005-0000-0000-000043110000}"/>
    <cellStyle name="40% - Accent4 6 3" xfId="4424" xr:uid="{00000000-0005-0000-0000-000044110000}"/>
    <cellStyle name="40% - Accent4 6 3 2" xfId="4425" xr:uid="{00000000-0005-0000-0000-000045110000}"/>
    <cellStyle name="40% - Accent4 6 3 2 2" xfId="4426" xr:uid="{00000000-0005-0000-0000-000046110000}"/>
    <cellStyle name="40% - Accent4 6 3 2 3" xfId="4427" xr:uid="{00000000-0005-0000-0000-000047110000}"/>
    <cellStyle name="40% - Accent4 6 3 3" xfId="4428" xr:uid="{00000000-0005-0000-0000-000048110000}"/>
    <cellStyle name="40% - Accent4 6 3 4" xfId="4429" xr:uid="{00000000-0005-0000-0000-000049110000}"/>
    <cellStyle name="40% - Accent4 6 3 5" xfId="4430" xr:uid="{00000000-0005-0000-0000-00004A110000}"/>
    <cellStyle name="40% - Accent4 6 3 6" xfId="4431" xr:uid="{00000000-0005-0000-0000-00004B110000}"/>
    <cellStyle name="40% - Accent4 6 4" xfId="4432" xr:uid="{00000000-0005-0000-0000-00004C110000}"/>
    <cellStyle name="40% - Accent4 6 4 2" xfId="4433" xr:uid="{00000000-0005-0000-0000-00004D110000}"/>
    <cellStyle name="40% - Accent4 6 4 2 2" xfId="4434" xr:uid="{00000000-0005-0000-0000-00004E110000}"/>
    <cellStyle name="40% - Accent4 6 4 3" xfId="4435" xr:uid="{00000000-0005-0000-0000-00004F110000}"/>
    <cellStyle name="40% - Accent4 6 4 4" xfId="4436" xr:uid="{00000000-0005-0000-0000-000050110000}"/>
    <cellStyle name="40% - Accent4 6 4 5" xfId="4437" xr:uid="{00000000-0005-0000-0000-000051110000}"/>
    <cellStyle name="40% - Accent4 6 5" xfId="4438" xr:uid="{00000000-0005-0000-0000-000052110000}"/>
    <cellStyle name="40% - Accent4 6 5 2" xfId="4439" xr:uid="{00000000-0005-0000-0000-000053110000}"/>
    <cellStyle name="40% - Accent4 6 5 3" xfId="4440" xr:uid="{00000000-0005-0000-0000-000054110000}"/>
    <cellStyle name="40% - Accent4 6 5 4" xfId="4441" xr:uid="{00000000-0005-0000-0000-000055110000}"/>
    <cellStyle name="40% - Accent4 6 6" xfId="4442" xr:uid="{00000000-0005-0000-0000-000056110000}"/>
    <cellStyle name="40% - Accent4 6 6 2" xfId="4443" xr:uid="{00000000-0005-0000-0000-000057110000}"/>
    <cellStyle name="40% - Accent4 6 7" xfId="4444" xr:uid="{00000000-0005-0000-0000-000058110000}"/>
    <cellStyle name="40% - Accent4 6 8" xfId="4445" xr:uid="{00000000-0005-0000-0000-000059110000}"/>
    <cellStyle name="40% - Accent4 6 9" xfId="4446" xr:uid="{00000000-0005-0000-0000-00005A110000}"/>
    <cellStyle name="40% - Accent4 7" xfId="4447" xr:uid="{00000000-0005-0000-0000-00005B110000}"/>
    <cellStyle name="40% - Accent4 7 2" xfId="4448" xr:uid="{00000000-0005-0000-0000-00005C110000}"/>
    <cellStyle name="40% - Accent4 7 2 2" xfId="4449" xr:uid="{00000000-0005-0000-0000-00005D110000}"/>
    <cellStyle name="40% - Accent4 7 2 2 2" xfId="4450" xr:uid="{00000000-0005-0000-0000-00005E110000}"/>
    <cellStyle name="40% - Accent4 7 2 2 3" xfId="4451" xr:uid="{00000000-0005-0000-0000-00005F110000}"/>
    <cellStyle name="40% - Accent4 7 2 3" xfId="4452" xr:uid="{00000000-0005-0000-0000-000060110000}"/>
    <cellStyle name="40% - Accent4 7 2 4" xfId="4453" xr:uid="{00000000-0005-0000-0000-000061110000}"/>
    <cellStyle name="40% - Accent4 7 2 5" xfId="4454" xr:uid="{00000000-0005-0000-0000-000062110000}"/>
    <cellStyle name="40% - Accent4 7 2 6" xfId="4455" xr:uid="{00000000-0005-0000-0000-000063110000}"/>
    <cellStyle name="40% - Accent4 7 3" xfId="4456" xr:uid="{00000000-0005-0000-0000-000064110000}"/>
    <cellStyle name="40% - Accent4 7 3 2" xfId="4457" xr:uid="{00000000-0005-0000-0000-000065110000}"/>
    <cellStyle name="40% - Accent4 7 3 2 2" xfId="4458" xr:uid="{00000000-0005-0000-0000-000066110000}"/>
    <cellStyle name="40% - Accent4 7 3 3" xfId="4459" xr:uid="{00000000-0005-0000-0000-000067110000}"/>
    <cellStyle name="40% - Accent4 7 3 4" xfId="4460" xr:uid="{00000000-0005-0000-0000-000068110000}"/>
    <cellStyle name="40% - Accent4 7 3 5" xfId="4461" xr:uid="{00000000-0005-0000-0000-000069110000}"/>
    <cellStyle name="40% - Accent4 7 4" xfId="4462" xr:uid="{00000000-0005-0000-0000-00006A110000}"/>
    <cellStyle name="40% - Accent4 7 4 2" xfId="4463" xr:uid="{00000000-0005-0000-0000-00006B110000}"/>
    <cellStyle name="40% - Accent4 7 4 3" xfId="4464" xr:uid="{00000000-0005-0000-0000-00006C110000}"/>
    <cellStyle name="40% - Accent4 7 4 4" xfId="4465" xr:uid="{00000000-0005-0000-0000-00006D110000}"/>
    <cellStyle name="40% - Accent4 7 5" xfId="4466" xr:uid="{00000000-0005-0000-0000-00006E110000}"/>
    <cellStyle name="40% - Accent4 7 5 2" xfId="4467" xr:uid="{00000000-0005-0000-0000-00006F110000}"/>
    <cellStyle name="40% - Accent4 7 6" xfId="4468" xr:uid="{00000000-0005-0000-0000-000070110000}"/>
    <cellStyle name="40% - Accent4 7 7" xfId="4469" xr:uid="{00000000-0005-0000-0000-000071110000}"/>
    <cellStyle name="40% - Accent4 7 8" xfId="4470" xr:uid="{00000000-0005-0000-0000-000072110000}"/>
    <cellStyle name="40% - Accent4 7 9" xfId="4471" xr:uid="{00000000-0005-0000-0000-000073110000}"/>
    <cellStyle name="40% - Accent4 8" xfId="4472" xr:uid="{00000000-0005-0000-0000-000074110000}"/>
    <cellStyle name="40% - Accent4 8 2" xfId="4473" xr:uid="{00000000-0005-0000-0000-000075110000}"/>
    <cellStyle name="40% - Accent4 8 2 2" xfId="4474" xr:uid="{00000000-0005-0000-0000-000076110000}"/>
    <cellStyle name="40% - Accent4 8 2 2 2" xfId="4475" xr:uid="{00000000-0005-0000-0000-000077110000}"/>
    <cellStyle name="40% - Accent4 8 2 2 3" xfId="4476" xr:uid="{00000000-0005-0000-0000-000078110000}"/>
    <cellStyle name="40% - Accent4 8 2 3" xfId="4477" xr:uid="{00000000-0005-0000-0000-000079110000}"/>
    <cellStyle name="40% - Accent4 8 2 4" xfId="4478" xr:uid="{00000000-0005-0000-0000-00007A110000}"/>
    <cellStyle name="40% - Accent4 8 2 5" xfId="4479" xr:uid="{00000000-0005-0000-0000-00007B110000}"/>
    <cellStyle name="40% - Accent4 8 2 6" xfId="4480" xr:uid="{00000000-0005-0000-0000-00007C110000}"/>
    <cellStyle name="40% - Accent4 8 3" xfId="4481" xr:uid="{00000000-0005-0000-0000-00007D110000}"/>
    <cellStyle name="40% - Accent4 8 3 2" xfId="4482" xr:uid="{00000000-0005-0000-0000-00007E110000}"/>
    <cellStyle name="40% - Accent4 8 3 2 2" xfId="4483" xr:uid="{00000000-0005-0000-0000-00007F110000}"/>
    <cellStyle name="40% - Accent4 8 3 3" xfId="4484" xr:uid="{00000000-0005-0000-0000-000080110000}"/>
    <cellStyle name="40% - Accent4 8 3 4" xfId="4485" xr:uid="{00000000-0005-0000-0000-000081110000}"/>
    <cellStyle name="40% - Accent4 8 3 5" xfId="4486" xr:uid="{00000000-0005-0000-0000-000082110000}"/>
    <cellStyle name="40% - Accent4 8 4" xfId="4487" xr:uid="{00000000-0005-0000-0000-000083110000}"/>
    <cellStyle name="40% - Accent4 8 4 2" xfId="4488" xr:uid="{00000000-0005-0000-0000-000084110000}"/>
    <cellStyle name="40% - Accent4 8 4 3" xfId="4489" xr:uid="{00000000-0005-0000-0000-000085110000}"/>
    <cellStyle name="40% - Accent4 8 4 4" xfId="4490" xr:uid="{00000000-0005-0000-0000-000086110000}"/>
    <cellStyle name="40% - Accent4 8 5" xfId="4491" xr:uid="{00000000-0005-0000-0000-000087110000}"/>
    <cellStyle name="40% - Accent4 8 5 2" xfId="4492" xr:uid="{00000000-0005-0000-0000-000088110000}"/>
    <cellStyle name="40% - Accent4 8 6" xfId="4493" xr:uid="{00000000-0005-0000-0000-000089110000}"/>
    <cellStyle name="40% - Accent4 8 7" xfId="4494" xr:uid="{00000000-0005-0000-0000-00008A110000}"/>
    <cellStyle name="40% - Accent4 8 8" xfId="4495" xr:uid="{00000000-0005-0000-0000-00008B110000}"/>
    <cellStyle name="40% - Accent4 8 9" xfId="4496" xr:uid="{00000000-0005-0000-0000-00008C110000}"/>
    <cellStyle name="40% - Accent4 9" xfId="4497" xr:uid="{00000000-0005-0000-0000-00008D110000}"/>
    <cellStyle name="40% - Accent4 9 2" xfId="4498" xr:uid="{00000000-0005-0000-0000-00008E110000}"/>
    <cellStyle name="40% - Accent4 9 2 2" xfId="4499" xr:uid="{00000000-0005-0000-0000-00008F110000}"/>
    <cellStyle name="40% - Accent4 9 2 2 2" xfId="4500" xr:uid="{00000000-0005-0000-0000-000090110000}"/>
    <cellStyle name="40% - Accent4 9 2 3" xfId="4501" xr:uid="{00000000-0005-0000-0000-000091110000}"/>
    <cellStyle name="40% - Accent4 9 2 4" xfId="4502" xr:uid="{00000000-0005-0000-0000-000092110000}"/>
    <cellStyle name="40% - Accent4 9 2 5" xfId="4503" xr:uid="{00000000-0005-0000-0000-000093110000}"/>
    <cellStyle name="40% - Accent4 9 3" xfId="4504" xr:uid="{00000000-0005-0000-0000-000094110000}"/>
    <cellStyle name="40% - Accent4 9 3 2" xfId="4505" xr:uid="{00000000-0005-0000-0000-000095110000}"/>
    <cellStyle name="40% - Accent4 9 3 3" xfId="4506" xr:uid="{00000000-0005-0000-0000-000096110000}"/>
    <cellStyle name="40% - Accent4 9 3 4" xfId="4507" xr:uid="{00000000-0005-0000-0000-000097110000}"/>
    <cellStyle name="40% - Accent4 9 4" xfId="4508" xr:uid="{00000000-0005-0000-0000-000098110000}"/>
    <cellStyle name="40% - Accent4 9 4 2" xfId="4509" xr:uid="{00000000-0005-0000-0000-000099110000}"/>
    <cellStyle name="40% - Accent4 9 5" xfId="4510" xr:uid="{00000000-0005-0000-0000-00009A110000}"/>
    <cellStyle name="40% - Accent4 9 6" xfId="4511" xr:uid="{00000000-0005-0000-0000-00009B110000}"/>
    <cellStyle name="40% - Accent4 9 7" xfId="4512" xr:uid="{00000000-0005-0000-0000-00009C110000}"/>
    <cellStyle name="40% - Accent4 9 8" xfId="4513" xr:uid="{00000000-0005-0000-0000-00009D110000}"/>
    <cellStyle name="40% - Accent5 10" xfId="4514" xr:uid="{00000000-0005-0000-0000-00009E110000}"/>
    <cellStyle name="40% - Accent5 10 2" xfId="4515" xr:uid="{00000000-0005-0000-0000-00009F110000}"/>
    <cellStyle name="40% - Accent5 10 2 2" xfId="4516" xr:uid="{00000000-0005-0000-0000-0000A0110000}"/>
    <cellStyle name="40% - Accent5 10 2 2 2" xfId="4517" xr:uid="{00000000-0005-0000-0000-0000A1110000}"/>
    <cellStyle name="40% - Accent5 10 2 3" xfId="4518" xr:uid="{00000000-0005-0000-0000-0000A2110000}"/>
    <cellStyle name="40% - Accent5 10 2 4" xfId="4519" xr:uid="{00000000-0005-0000-0000-0000A3110000}"/>
    <cellStyle name="40% - Accent5 10 2 5" xfId="4520" xr:uid="{00000000-0005-0000-0000-0000A4110000}"/>
    <cellStyle name="40% - Accent5 10 3" xfId="4521" xr:uid="{00000000-0005-0000-0000-0000A5110000}"/>
    <cellStyle name="40% - Accent5 10 3 2" xfId="4522" xr:uid="{00000000-0005-0000-0000-0000A6110000}"/>
    <cellStyle name="40% - Accent5 10 3 3" xfId="4523" xr:uid="{00000000-0005-0000-0000-0000A7110000}"/>
    <cellStyle name="40% - Accent5 10 3 4" xfId="4524" xr:uid="{00000000-0005-0000-0000-0000A8110000}"/>
    <cellStyle name="40% - Accent5 10 4" xfId="4525" xr:uid="{00000000-0005-0000-0000-0000A9110000}"/>
    <cellStyle name="40% - Accent5 10 4 2" xfId="4526" xr:uid="{00000000-0005-0000-0000-0000AA110000}"/>
    <cellStyle name="40% - Accent5 10 5" xfId="4527" xr:uid="{00000000-0005-0000-0000-0000AB110000}"/>
    <cellStyle name="40% - Accent5 10 6" xfId="4528" xr:uid="{00000000-0005-0000-0000-0000AC110000}"/>
    <cellStyle name="40% - Accent5 10 7" xfId="4529" xr:uid="{00000000-0005-0000-0000-0000AD110000}"/>
    <cellStyle name="40% - Accent5 10 8" xfId="4530" xr:uid="{00000000-0005-0000-0000-0000AE110000}"/>
    <cellStyle name="40% - Accent5 11" xfId="4531" xr:uid="{00000000-0005-0000-0000-0000AF110000}"/>
    <cellStyle name="40% - Accent5 11 2" xfId="4532" xr:uid="{00000000-0005-0000-0000-0000B0110000}"/>
    <cellStyle name="40% - Accent5 11 2 2" xfId="4533" xr:uid="{00000000-0005-0000-0000-0000B1110000}"/>
    <cellStyle name="40% - Accent5 11 2 2 2" xfId="4534" xr:uid="{00000000-0005-0000-0000-0000B2110000}"/>
    <cellStyle name="40% - Accent5 11 2 3" xfId="4535" xr:uid="{00000000-0005-0000-0000-0000B3110000}"/>
    <cellStyle name="40% - Accent5 11 2 4" xfId="4536" xr:uid="{00000000-0005-0000-0000-0000B4110000}"/>
    <cellStyle name="40% - Accent5 11 2 5" xfId="4537" xr:uid="{00000000-0005-0000-0000-0000B5110000}"/>
    <cellStyle name="40% - Accent5 11 3" xfId="4538" xr:uid="{00000000-0005-0000-0000-0000B6110000}"/>
    <cellStyle name="40% - Accent5 11 3 2" xfId="4539" xr:uid="{00000000-0005-0000-0000-0000B7110000}"/>
    <cellStyle name="40% - Accent5 11 3 3" xfId="4540" xr:uid="{00000000-0005-0000-0000-0000B8110000}"/>
    <cellStyle name="40% - Accent5 11 3 4" xfId="4541" xr:uid="{00000000-0005-0000-0000-0000B9110000}"/>
    <cellStyle name="40% - Accent5 11 4" xfId="4542" xr:uid="{00000000-0005-0000-0000-0000BA110000}"/>
    <cellStyle name="40% - Accent5 11 4 2" xfId="4543" xr:uid="{00000000-0005-0000-0000-0000BB110000}"/>
    <cellStyle name="40% - Accent5 11 5" xfId="4544" xr:uid="{00000000-0005-0000-0000-0000BC110000}"/>
    <cellStyle name="40% - Accent5 11 6" xfId="4545" xr:uid="{00000000-0005-0000-0000-0000BD110000}"/>
    <cellStyle name="40% - Accent5 11 7" xfId="4546" xr:uid="{00000000-0005-0000-0000-0000BE110000}"/>
    <cellStyle name="40% - Accent5 11 8" xfId="4547" xr:uid="{00000000-0005-0000-0000-0000BF110000}"/>
    <cellStyle name="40% - Accent5 12" xfId="4548" xr:uid="{00000000-0005-0000-0000-0000C0110000}"/>
    <cellStyle name="40% - Accent5 12 2" xfId="4549" xr:uid="{00000000-0005-0000-0000-0000C1110000}"/>
    <cellStyle name="40% - Accent5 12 2 2" xfId="4550" xr:uid="{00000000-0005-0000-0000-0000C2110000}"/>
    <cellStyle name="40% - Accent5 12 2 2 2" xfId="4551" xr:uid="{00000000-0005-0000-0000-0000C3110000}"/>
    <cellStyle name="40% - Accent5 12 2 3" xfId="4552" xr:uid="{00000000-0005-0000-0000-0000C4110000}"/>
    <cellStyle name="40% - Accent5 12 2 4" xfId="4553" xr:uid="{00000000-0005-0000-0000-0000C5110000}"/>
    <cellStyle name="40% - Accent5 12 2 5" xfId="4554" xr:uid="{00000000-0005-0000-0000-0000C6110000}"/>
    <cellStyle name="40% - Accent5 12 3" xfId="4555" xr:uid="{00000000-0005-0000-0000-0000C7110000}"/>
    <cellStyle name="40% - Accent5 12 3 2" xfId="4556" xr:uid="{00000000-0005-0000-0000-0000C8110000}"/>
    <cellStyle name="40% - Accent5 12 3 3" xfId="4557" xr:uid="{00000000-0005-0000-0000-0000C9110000}"/>
    <cellStyle name="40% - Accent5 12 3 4" xfId="4558" xr:uid="{00000000-0005-0000-0000-0000CA110000}"/>
    <cellStyle name="40% - Accent5 12 4" xfId="4559" xr:uid="{00000000-0005-0000-0000-0000CB110000}"/>
    <cellStyle name="40% - Accent5 12 4 2" xfId="4560" xr:uid="{00000000-0005-0000-0000-0000CC110000}"/>
    <cellStyle name="40% - Accent5 12 5" xfId="4561" xr:uid="{00000000-0005-0000-0000-0000CD110000}"/>
    <cellStyle name="40% - Accent5 12 6" xfId="4562" xr:uid="{00000000-0005-0000-0000-0000CE110000}"/>
    <cellStyle name="40% - Accent5 12 7" xfId="4563" xr:uid="{00000000-0005-0000-0000-0000CF110000}"/>
    <cellStyle name="40% - Accent5 12 8" xfId="4564" xr:uid="{00000000-0005-0000-0000-0000D0110000}"/>
    <cellStyle name="40% - Accent5 13" xfId="4565" xr:uid="{00000000-0005-0000-0000-0000D1110000}"/>
    <cellStyle name="40% - Accent5 13 2" xfId="4566" xr:uid="{00000000-0005-0000-0000-0000D2110000}"/>
    <cellStyle name="40% - Accent5 13 2 2" xfId="4567" xr:uid="{00000000-0005-0000-0000-0000D3110000}"/>
    <cellStyle name="40% - Accent5 13 2 3" xfId="4568" xr:uid="{00000000-0005-0000-0000-0000D4110000}"/>
    <cellStyle name="40% - Accent5 13 2 4" xfId="4569" xr:uid="{00000000-0005-0000-0000-0000D5110000}"/>
    <cellStyle name="40% - Accent5 13 3" xfId="4570" xr:uid="{00000000-0005-0000-0000-0000D6110000}"/>
    <cellStyle name="40% - Accent5 13 3 2" xfId="4571" xr:uid="{00000000-0005-0000-0000-0000D7110000}"/>
    <cellStyle name="40% - Accent5 13 4" xfId="4572" xr:uid="{00000000-0005-0000-0000-0000D8110000}"/>
    <cellStyle name="40% - Accent5 13 5" xfId="4573" xr:uid="{00000000-0005-0000-0000-0000D9110000}"/>
    <cellStyle name="40% - Accent5 13 6" xfId="4574" xr:uid="{00000000-0005-0000-0000-0000DA110000}"/>
    <cellStyle name="40% - Accent5 14" xfId="4575" xr:uid="{00000000-0005-0000-0000-0000DB110000}"/>
    <cellStyle name="40% - Accent5 14 2" xfId="4576" xr:uid="{00000000-0005-0000-0000-0000DC110000}"/>
    <cellStyle name="40% - Accent5 14 2 2" xfId="4577" xr:uid="{00000000-0005-0000-0000-0000DD110000}"/>
    <cellStyle name="40% - Accent5 14 3" xfId="4578" xr:uid="{00000000-0005-0000-0000-0000DE110000}"/>
    <cellStyle name="40% - Accent5 14 4" xfId="4579" xr:uid="{00000000-0005-0000-0000-0000DF110000}"/>
    <cellStyle name="40% - Accent5 14 5" xfId="4580" xr:uid="{00000000-0005-0000-0000-0000E0110000}"/>
    <cellStyle name="40% - Accent5 15" xfId="4581" xr:uid="{00000000-0005-0000-0000-0000E1110000}"/>
    <cellStyle name="40% - Accent5 15 2" xfId="4582" xr:uid="{00000000-0005-0000-0000-0000E2110000}"/>
    <cellStyle name="40% - Accent5 15 2 2" xfId="4583" xr:uid="{00000000-0005-0000-0000-0000E3110000}"/>
    <cellStyle name="40% - Accent5 15 3" xfId="4584" xr:uid="{00000000-0005-0000-0000-0000E4110000}"/>
    <cellStyle name="40% - Accent5 15 4" xfId="4585" xr:uid="{00000000-0005-0000-0000-0000E5110000}"/>
    <cellStyle name="40% - Accent5 15 5" xfId="4586" xr:uid="{00000000-0005-0000-0000-0000E6110000}"/>
    <cellStyle name="40% - Accent5 16" xfId="4587" xr:uid="{00000000-0005-0000-0000-0000E7110000}"/>
    <cellStyle name="40% - Accent5 16 2" xfId="4588" xr:uid="{00000000-0005-0000-0000-0000E8110000}"/>
    <cellStyle name="40% - Accent5 17" xfId="4589" xr:uid="{00000000-0005-0000-0000-0000E9110000}"/>
    <cellStyle name="40% - Accent5 18" xfId="4590" xr:uid="{00000000-0005-0000-0000-0000EA110000}"/>
    <cellStyle name="40% - Accent5 19" xfId="4591" xr:uid="{00000000-0005-0000-0000-0000EB110000}"/>
    <cellStyle name="40% - Accent5 2" xfId="4592" xr:uid="{00000000-0005-0000-0000-0000EC110000}"/>
    <cellStyle name="40% - Accent5 2 10" xfId="4593" xr:uid="{00000000-0005-0000-0000-0000ED110000}"/>
    <cellStyle name="40% - Accent5 2 11" xfId="4594" xr:uid="{00000000-0005-0000-0000-0000EE110000}"/>
    <cellStyle name="40% - Accent5 2 2" xfId="4595" xr:uid="{00000000-0005-0000-0000-0000EF110000}"/>
    <cellStyle name="40% - Accent5 2 2 10" xfId="4596" xr:uid="{00000000-0005-0000-0000-0000F0110000}"/>
    <cellStyle name="40% - Accent5 2 2 2" xfId="4597" xr:uid="{00000000-0005-0000-0000-0000F1110000}"/>
    <cellStyle name="40% - Accent5 2 2 2 2" xfId="4598" xr:uid="{00000000-0005-0000-0000-0000F2110000}"/>
    <cellStyle name="40% - Accent5 2 2 2 2 2" xfId="4599" xr:uid="{00000000-0005-0000-0000-0000F3110000}"/>
    <cellStyle name="40% - Accent5 2 2 2 2 2 2" xfId="4600" xr:uid="{00000000-0005-0000-0000-0000F4110000}"/>
    <cellStyle name="40% - Accent5 2 2 2 2 2 3" xfId="4601" xr:uid="{00000000-0005-0000-0000-0000F5110000}"/>
    <cellStyle name="40% - Accent5 2 2 2 2 3" xfId="4602" xr:uid="{00000000-0005-0000-0000-0000F6110000}"/>
    <cellStyle name="40% - Accent5 2 2 2 2 4" xfId="4603" xr:uid="{00000000-0005-0000-0000-0000F7110000}"/>
    <cellStyle name="40% - Accent5 2 2 2 2 5" xfId="4604" xr:uid="{00000000-0005-0000-0000-0000F8110000}"/>
    <cellStyle name="40% - Accent5 2 2 2 2 6" xfId="4605" xr:uid="{00000000-0005-0000-0000-0000F9110000}"/>
    <cellStyle name="40% - Accent5 2 2 2 3" xfId="4606" xr:uid="{00000000-0005-0000-0000-0000FA110000}"/>
    <cellStyle name="40% - Accent5 2 2 2 3 2" xfId="4607" xr:uid="{00000000-0005-0000-0000-0000FB110000}"/>
    <cellStyle name="40% - Accent5 2 2 2 3 2 2" xfId="4608" xr:uid="{00000000-0005-0000-0000-0000FC110000}"/>
    <cellStyle name="40% - Accent5 2 2 2 3 3" xfId="4609" xr:uid="{00000000-0005-0000-0000-0000FD110000}"/>
    <cellStyle name="40% - Accent5 2 2 2 3 4" xfId="4610" xr:uid="{00000000-0005-0000-0000-0000FE110000}"/>
    <cellStyle name="40% - Accent5 2 2 2 3 5" xfId="4611" xr:uid="{00000000-0005-0000-0000-0000FF110000}"/>
    <cellStyle name="40% - Accent5 2 2 2 4" xfId="4612" xr:uid="{00000000-0005-0000-0000-000000120000}"/>
    <cellStyle name="40% - Accent5 2 2 2 4 2" xfId="4613" xr:uid="{00000000-0005-0000-0000-000001120000}"/>
    <cellStyle name="40% - Accent5 2 2 2 4 3" xfId="4614" xr:uid="{00000000-0005-0000-0000-000002120000}"/>
    <cellStyle name="40% - Accent5 2 2 2 4 4" xfId="4615" xr:uid="{00000000-0005-0000-0000-000003120000}"/>
    <cellStyle name="40% - Accent5 2 2 2 5" xfId="4616" xr:uid="{00000000-0005-0000-0000-000004120000}"/>
    <cellStyle name="40% - Accent5 2 2 2 5 2" xfId="4617" xr:uid="{00000000-0005-0000-0000-000005120000}"/>
    <cellStyle name="40% - Accent5 2 2 2 6" xfId="4618" xr:uid="{00000000-0005-0000-0000-000006120000}"/>
    <cellStyle name="40% - Accent5 2 2 2 7" xfId="4619" xr:uid="{00000000-0005-0000-0000-000007120000}"/>
    <cellStyle name="40% - Accent5 2 2 2 8" xfId="4620" xr:uid="{00000000-0005-0000-0000-000008120000}"/>
    <cellStyle name="40% - Accent5 2 2 2 9" xfId="4621" xr:uid="{00000000-0005-0000-0000-000009120000}"/>
    <cellStyle name="40% - Accent5 2 2 3" xfId="4622" xr:uid="{00000000-0005-0000-0000-00000A120000}"/>
    <cellStyle name="40% - Accent5 2 2 3 2" xfId="4623" xr:uid="{00000000-0005-0000-0000-00000B120000}"/>
    <cellStyle name="40% - Accent5 2 2 3 2 2" xfId="4624" xr:uid="{00000000-0005-0000-0000-00000C120000}"/>
    <cellStyle name="40% - Accent5 2 2 3 2 3" xfId="4625" xr:uid="{00000000-0005-0000-0000-00000D120000}"/>
    <cellStyle name="40% - Accent5 2 2 3 3" xfId="4626" xr:uid="{00000000-0005-0000-0000-00000E120000}"/>
    <cellStyle name="40% - Accent5 2 2 3 4" xfId="4627" xr:uid="{00000000-0005-0000-0000-00000F120000}"/>
    <cellStyle name="40% - Accent5 2 2 3 5" xfId="4628" xr:uid="{00000000-0005-0000-0000-000010120000}"/>
    <cellStyle name="40% - Accent5 2 2 3 6" xfId="4629" xr:uid="{00000000-0005-0000-0000-000011120000}"/>
    <cellStyle name="40% - Accent5 2 2 4" xfId="4630" xr:uid="{00000000-0005-0000-0000-000012120000}"/>
    <cellStyle name="40% - Accent5 2 2 4 2" xfId="4631" xr:uid="{00000000-0005-0000-0000-000013120000}"/>
    <cellStyle name="40% - Accent5 2 2 4 2 2" xfId="4632" xr:uid="{00000000-0005-0000-0000-000014120000}"/>
    <cellStyle name="40% - Accent5 2 2 4 3" xfId="4633" xr:uid="{00000000-0005-0000-0000-000015120000}"/>
    <cellStyle name="40% - Accent5 2 2 4 4" xfId="4634" xr:uid="{00000000-0005-0000-0000-000016120000}"/>
    <cellStyle name="40% - Accent5 2 2 4 5" xfId="4635" xr:uid="{00000000-0005-0000-0000-000017120000}"/>
    <cellStyle name="40% - Accent5 2 2 5" xfId="4636" xr:uid="{00000000-0005-0000-0000-000018120000}"/>
    <cellStyle name="40% - Accent5 2 2 5 2" xfId="4637" xr:uid="{00000000-0005-0000-0000-000019120000}"/>
    <cellStyle name="40% - Accent5 2 2 5 3" xfId="4638" xr:uid="{00000000-0005-0000-0000-00001A120000}"/>
    <cellStyle name="40% - Accent5 2 2 5 4" xfId="4639" xr:uid="{00000000-0005-0000-0000-00001B120000}"/>
    <cellStyle name="40% - Accent5 2 2 6" xfId="4640" xr:uid="{00000000-0005-0000-0000-00001C120000}"/>
    <cellStyle name="40% - Accent5 2 2 6 2" xfId="4641" xr:uid="{00000000-0005-0000-0000-00001D120000}"/>
    <cellStyle name="40% - Accent5 2 2 7" xfId="4642" xr:uid="{00000000-0005-0000-0000-00001E120000}"/>
    <cellStyle name="40% - Accent5 2 2 8" xfId="4643" xr:uid="{00000000-0005-0000-0000-00001F120000}"/>
    <cellStyle name="40% - Accent5 2 2 9" xfId="4644" xr:uid="{00000000-0005-0000-0000-000020120000}"/>
    <cellStyle name="40% - Accent5 2 3" xfId="4645" xr:uid="{00000000-0005-0000-0000-000021120000}"/>
    <cellStyle name="40% - Accent5 2 3 2" xfId="4646" xr:uid="{00000000-0005-0000-0000-000022120000}"/>
    <cellStyle name="40% - Accent5 2 3 2 2" xfId="4647" xr:uid="{00000000-0005-0000-0000-000023120000}"/>
    <cellStyle name="40% - Accent5 2 3 2 2 2" xfId="4648" xr:uid="{00000000-0005-0000-0000-000024120000}"/>
    <cellStyle name="40% - Accent5 2 3 2 2 3" xfId="4649" xr:uid="{00000000-0005-0000-0000-000025120000}"/>
    <cellStyle name="40% - Accent5 2 3 2 3" xfId="4650" xr:uid="{00000000-0005-0000-0000-000026120000}"/>
    <cellStyle name="40% - Accent5 2 3 2 4" xfId="4651" xr:uid="{00000000-0005-0000-0000-000027120000}"/>
    <cellStyle name="40% - Accent5 2 3 2 5" xfId="4652" xr:uid="{00000000-0005-0000-0000-000028120000}"/>
    <cellStyle name="40% - Accent5 2 3 2 6" xfId="4653" xr:uid="{00000000-0005-0000-0000-000029120000}"/>
    <cellStyle name="40% - Accent5 2 3 3" xfId="4654" xr:uid="{00000000-0005-0000-0000-00002A120000}"/>
    <cellStyle name="40% - Accent5 2 3 3 2" xfId="4655" xr:uid="{00000000-0005-0000-0000-00002B120000}"/>
    <cellStyle name="40% - Accent5 2 3 3 2 2" xfId="4656" xr:uid="{00000000-0005-0000-0000-00002C120000}"/>
    <cellStyle name="40% - Accent5 2 3 3 3" xfId="4657" xr:uid="{00000000-0005-0000-0000-00002D120000}"/>
    <cellStyle name="40% - Accent5 2 3 3 4" xfId="4658" xr:uid="{00000000-0005-0000-0000-00002E120000}"/>
    <cellStyle name="40% - Accent5 2 3 3 5" xfId="4659" xr:uid="{00000000-0005-0000-0000-00002F120000}"/>
    <cellStyle name="40% - Accent5 2 3 4" xfId="4660" xr:uid="{00000000-0005-0000-0000-000030120000}"/>
    <cellStyle name="40% - Accent5 2 3 4 2" xfId="4661" xr:uid="{00000000-0005-0000-0000-000031120000}"/>
    <cellStyle name="40% - Accent5 2 3 4 3" xfId="4662" xr:uid="{00000000-0005-0000-0000-000032120000}"/>
    <cellStyle name="40% - Accent5 2 3 4 4" xfId="4663" xr:uid="{00000000-0005-0000-0000-000033120000}"/>
    <cellStyle name="40% - Accent5 2 3 5" xfId="4664" xr:uid="{00000000-0005-0000-0000-000034120000}"/>
    <cellStyle name="40% - Accent5 2 3 5 2" xfId="4665" xr:uid="{00000000-0005-0000-0000-000035120000}"/>
    <cellStyle name="40% - Accent5 2 3 6" xfId="4666" xr:uid="{00000000-0005-0000-0000-000036120000}"/>
    <cellStyle name="40% - Accent5 2 3 7" xfId="4667" xr:uid="{00000000-0005-0000-0000-000037120000}"/>
    <cellStyle name="40% - Accent5 2 3 8" xfId="4668" xr:uid="{00000000-0005-0000-0000-000038120000}"/>
    <cellStyle name="40% - Accent5 2 3 9" xfId="4669" xr:uid="{00000000-0005-0000-0000-000039120000}"/>
    <cellStyle name="40% - Accent5 2 4" xfId="4670" xr:uid="{00000000-0005-0000-0000-00003A120000}"/>
    <cellStyle name="40% - Accent5 2 4 2" xfId="4671" xr:uid="{00000000-0005-0000-0000-00003B120000}"/>
    <cellStyle name="40% - Accent5 2 4 2 2" xfId="4672" xr:uid="{00000000-0005-0000-0000-00003C120000}"/>
    <cellStyle name="40% - Accent5 2 4 2 3" xfId="4673" xr:uid="{00000000-0005-0000-0000-00003D120000}"/>
    <cellStyle name="40% - Accent5 2 4 3" xfId="4674" xr:uid="{00000000-0005-0000-0000-00003E120000}"/>
    <cellStyle name="40% - Accent5 2 4 4" xfId="4675" xr:uid="{00000000-0005-0000-0000-00003F120000}"/>
    <cellStyle name="40% - Accent5 2 4 5" xfId="4676" xr:uid="{00000000-0005-0000-0000-000040120000}"/>
    <cellStyle name="40% - Accent5 2 4 6" xfId="4677" xr:uid="{00000000-0005-0000-0000-000041120000}"/>
    <cellStyle name="40% - Accent5 2 5" xfId="4678" xr:uid="{00000000-0005-0000-0000-000042120000}"/>
    <cellStyle name="40% - Accent5 2 5 2" xfId="4679" xr:uid="{00000000-0005-0000-0000-000043120000}"/>
    <cellStyle name="40% - Accent5 2 5 2 2" xfId="4680" xr:uid="{00000000-0005-0000-0000-000044120000}"/>
    <cellStyle name="40% - Accent5 2 5 3" xfId="4681" xr:uid="{00000000-0005-0000-0000-000045120000}"/>
    <cellStyle name="40% - Accent5 2 5 4" xfId="4682" xr:uid="{00000000-0005-0000-0000-000046120000}"/>
    <cellStyle name="40% - Accent5 2 5 5" xfId="4683" xr:uid="{00000000-0005-0000-0000-000047120000}"/>
    <cellStyle name="40% - Accent5 2 6" xfId="4684" xr:uid="{00000000-0005-0000-0000-000048120000}"/>
    <cellStyle name="40% - Accent5 2 6 2" xfId="4685" xr:uid="{00000000-0005-0000-0000-000049120000}"/>
    <cellStyle name="40% - Accent5 2 6 2 2" xfId="4686" xr:uid="{00000000-0005-0000-0000-00004A120000}"/>
    <cellStyle name="40% - Accent5 2 6 3" xfId="4687" xr:uid="{00000000-0005-0000-0000-00004B120000}"/>
    <cellStyle name="40% - Accent5 2 6 4" xfId="4688" xr:uid="{00000000-0005-0000-0000-00004C120000}"/>
    <cellStyle name="40% - Accent5 2 6 5" xfId="4689" xr:uid="{00000000-0005-0000-0000-00004D120000}"/>
    <cellStyle name="40% - Accent5 2 7" xfId="4690" xr:uid="{00000000-0005-0000-0000-00004E120000}"/>
    <cellStyle name="40% - Accent5 2 7 2" xfId="4691" xr:uid="{00000000-0005-0000-0000-00004F120000}"/>
    <cellStyle name="40% - Accent5 2 8" xfId="4692" xr:uid="{00000000-0005-0000-0000-000050120000}"/>
    <cellStyle name="40% - Accent5 2 9" xfId="4693" xr:uid="{00000000-0005-0000-0000-000051120000}"/>
    <cellStyle name="40% - Accent5 3" xfId="4694" xr:uid="{00000000-0005-0000-0000-000052120000}"/>
    <cellStyle name="40% - Accent5 3 10" xfId="4695" xr:uid="{00000000-0005-0000-0000-000053120000}"/>
    <cellStyle name="40% - Accent5 3 2" xfId="4696" xr:uid="{00000000-0005-0000-0000-000054120000}"/>
    <cellStyle name="40% - Accent5 3 2 2" xfId="4697" xr:uid="{00000000-0005-0000-0000-000055120000}"/>
    <cellStyle name="40% - Accent5 3 2 2 2" xfId="4698" xr:uid="{00000000-0005-0000-0000-000056120000}"/>
    <cellStyle name="40% - Accent5 3 2 2 2 2" xfId="4699" xr:uid="{00000000-0005-0000-0000-000057120000}"/>
    <cellStyle name="40% - Accent5 3 2 2 2 3" xfId="4700" xr:uid="{00000000-0005-0000-0000-000058120000}"/>
    <cellStyle name="40% - Accent5 3 2 2 3" xfId="4701" xr:uid="{00000000-0005-0000-0000-000059120000}"/>
    <cellStyle name="40% - Accent5 3 2 2 4" xfId="4702" xr:uid="{00000000-0005-0000-0000-00005A120000}"/>
    <cellStyle name="40% - Accent5 3 2 2 5" xfId="4703" xr:uid="{00000000-0005-0000-0000-00005B120000}"/>
    <cellStyle name="40% - Accent5 3 2 2 6" xfId="4704" xr:uid="{00000000-0005-0000-0000-00005C120000}"/>
    <cellStyle name="40% - Accent5 3 2 3" xfId="4705" xr:uid="{00000000-0005-0000-0000-00005D120000}"/>
    <cellStyle name="40% - Accent5 3 2 3 2" xfId="4706" xr:uid="{00000000-0005-0000-0000-00005E120000}"/>
    <cellStyle name="40% - Accent5 3 2 3 2 2" xfId="4707" xr:uid="{00000000-0005-0000-0000-00005F120000}"/>
    <cellStyle name="40% - Accent5 3 2 3 3" xfId="4708" xr:uid="{00000000-0005-0000-0000-000060120000}"/>
    <cellStyle name="40% - Accent5 3 2 3 4" xfId="4709" xr:uid="{00000000-0005-0000-0000-000061120000}"/>
    <cellStyle name="40% - Accent5 3 2 3 5" xfId="4710" xr:uid="{00000000-0005-0000-0000-000062120000}"/>
    <cellStyle name="40% - Accent5 3 2 4" xfId="4711" xr:uid="{00000000-0005-0000-0000-000063120000}"/>
    <cellStyle name="40% - Accent5 3 2 4 2" xfId="4712" xr:uid="{00000000-0005-0000-0000-000064120000}"/>
    <cellStyle name="40% - Accent5 3 2 4 3" xfId="4713" xr:uid="{00000000-0005-0000-0000-000065120000}"/>
    <cellStyle name="40% - Accent5 3 2 4 4" xfId="4714" xr:uid="{00000000-0005-0000-0000-000066120000}"/>
    <cellStyle name="40% - Accent5 3 2 5" xfId="4715" xr:uid="{00000000-0005-0000-0000-000067120000}"/>
    <cellStyle name="40% - Accent5 3 2 5 2" xfId="4716" xr:uid="{00000000-0005-0000-0000-000068120000}"/>
    <cellStyle name="40% - Accent5 3 2 6" xfId="4717" xr:uid="{00000000-0005-0000-0000-000069120000}"/>
    <cellStyle name="40% - Accent5 3 2 7" xfId="4718" xr:uid="{00000000-0005-0000-0000-00006A120000}"/>
    <cellStyle name="40% - Accent5 3 2 8" xfId="4719" xr:uid="{00000000-0005-0000-0000-00006B120000}"/>
    <cellStyle name="40% - Accent5 3 2 9" xfId="4720" xr:uid="{00000000-0005-0000-0000-00006C120000}"/>
    <cellStyle name="40% - Accent5 3 3" xfId="4721" xr:uid="{00000000-0005-0000-0000-00006D120000}"/>
    <cellStyle name="40% - Accent5 3 3 2" xfId="4722" xr:uid="{00000000-0005-0000-0000-00006E120000}"/>
    <cellStyle name="40% - Accent5 3 3 2 2" xfId="4723" xr:uid="{00000000-0005-0000-0000-00006F120000}"/>
    <cellStyle name="40% - Accent5 3 3 2 3" xfId="4724" xr:uid="{00000000-0005-0000-0000-000070120000}"/>
    <cellStyle name="40% - Accent5 3 3 3" xfId="4725" xr:uid="{00000000-0005-0000-0000-000071120000}"/>
    <cellStyle name="40% - Accent5 3 3 4" xfId="4726" xr:uid="{00000000-0005-0000-0000-000072120000}"/>
    <cellStyle name="40% - Accent5 3 3 5" xfId="4727" xr:uid="{00000000-0005-0000-0000-000073120000}"/>
    <cellStyle name="40% - Accent5 3 3 6" xfId="4728" xr:uid="{00000000-0005-0000-0000-000074120000}"/>
    <cellStyle name="40% - Accent5 3 4" xfId="4729" xr:uid="{00000000-0005-0000-0000-000075120000}"/>
    <cellStyle name="40% - Accent5 3 4 2" xfId="4730" xr:uid="{00000000-0005-0000-0000-000076120000}"/>
    <cellStyle name="40% - Accent5 3 4 2 2" xfId="4731" xr:uid="{00000000-0005-0000-0000-000077120000}"/>
    <cellStyle name="40% - Accent5 3 4 3" xfId="4732" xr:uid="{00000000-0005-0000-0000-000078120000}"/>
    <cellStyle name="40% - Accent5 3 4 4" xfId="4733" xr:uid="{00000000-0005-0000-0000-000079120000}"/>
    <cellStyle name="40% - Accent5 3 4 5" xfId="4734" xr:uid="{00000000-0005-0000-0000-00007A120000}"/>
    <cellStyle name="40% - Accent5 3 5" xfId="4735" xr:uid="{00000000-0005-0000-0000-00007B120000}"/>
    <cellStyle name="40% - Accent5 3 5 2" xfId="4736" xr:uid="{00000000-0005-0000-0000-00007C120000}"/>
    <cellStyle name="40% - Accent5 3 5 2 2" xfId="4737" xr:uid="{00000000-0005-0000-0000-00007D120000}"/>
    <cellStyle name="40% - Accent5 3 5 3" xfId="4738" xr:uid="{00000000-0005-0000-0000-00007E120000}"/>
    <cellStyle name="40% - Accent5 3 5 4" xfId="4739" xr:uid="{00000000-0005-0000-0000-00007F120000}"/>
    <cellStyle name="40% - Accent5 3 5 5" xfId="4740" xr:uid="{00000000-0005-0000-0000-000080120000}"/>
    <cellStyle name="40% - Accent5 3 6" xfId="4741" xr:uid="{00000000-0005-0000-0000-000081120000}"/>
    <cellStyle name="40% - Accent5 3 6 2" xfId="4742" xr:uid="{00000000-0005-0000-0000-000082120000}"/>
    <cellStyle name="40% - Accent5 3 7" xfId="4743" xr:uid="{00000000-0005-0000-0000-000083120000}"/>
    <cellStyle name="40% - Accent5 3 8" xfId="4744" xr:uid="{00000000-0005-0000-0000-000084120000}"/>
    <cellStyle name="40% - Accent5 3 9" xfId="4745" xr:uid="{00000000-0005-0000-0000-000085120000}"/>
    <cellStyle name="40% - Accent5 4" xfId="4746" xr:uid="{00000000-0005-0000-0000-000086120000}"/>
    <cellStyle name="40% - Accent5 4 10" xfId="4747" xr:uid="{00000000-0005-0000-0000-000087120000}"/>
    <cellStyle name="40% - Accent5 4 2" xfId="4748" xr:uid="{00000000-0005-0000-0000-000088120000}"/>
    <cellStyle name="40% - Accent5 4 2 2" xfId="4749" xr:uid="{00000000-0005-0000-0000-000089120000}"/>
    <cellStyle name="40% - Accent5 4 2 2 2" xfId="4750" xr:uid="{00000000-0005-0000-0000-00008A120000}"/>
    <cellStyle name="40% - Accent5 4 2 2 2 2" xfId="4751" xr:uid="{00000000-0005-0000-0000-00008B120000}"/>
    <cellStyle name="40% - Accent5 4 2 2 2 3" xfId="4752" xr:uid="{00000000-0005-0000-0000-00008C120000}"/>
    <cellStyle name="40% - Accent5 4 2 2 3" xfId="4753" xr:uid="{00000000-0005-0000-0000-00008D120000}"/>
    <cellStyle name="40% - Accent5 4 2 2 4" xfId="4754" xr:uid="{00000000-0005-0000-0000-00008E120000}"/>
    <cellStyle name="40% - Accent5 4 2 2 5" xfId="4755" xr:uid="{00000000-0005-0000-0000-00008F120000}"/>
    <cellStyle name="40% - Accent5 4 2 2 6" xfId="4756" xr:uid="{00000000-0005-0000-0000-000090120000}"/>
    <cellStyle name="40% - Accent5 4 2 3" xfId="4757" xr:uid="{00000000-0005-0000-0000-000091120000}"/>
    <cellStyle name="40% - Accent5 4 2 3 2" xfId="4758" xr:uid="{00000000-0005-0000-0000-000092120000}"/>
    <cellStyle name="40% - Accent5 4 2 3 2 2" xfId="4759" xr:uid="{00000000-0005-0000-0000-000093120000}"/>
    <cellStyle name="40% - Accent5 4 2 3 3" xfId="4760" xr:uid="{00000000-0005-0000-0000-000094120000}"/>
    <cellStyle name="40% - Accent5 4 2 3 4" xfId="4761" xr:uid="{00000000-0005-0000-0000-000095120000}"/>
    <cellStyle name="40% - Accent5 4 2 3 5" xfId="4762" xr:uid="{00000000-0005-0000-0000-000096120000}"/>
    <cellStyle name="40% - Accent5 4 2 4" xfId="4763" xr:uid="{00000000-0005-0000-0000-000097120000}"/>
    <cellStyle name="40% - Accent5 4 2 4 2" xfId="4764" xr:uid="{00000000-0005-0000-0000-000098120000}"/>
    <cellStyle name="40% - Accent5 4 2 4 3" xfId="4765" xr:uid="{00000000-0005-0000-0000-000099120000}"/>
    <cellStyle name="40% - Accent5 4 2 4 4" xfId="4766" xr:uid="{00000000-0005-0000-0000-00009A120000}"/>
    <cellStyle name="40% - Accent5 4 2 5" xfId="4767" xr:uid="{00000000-0005-0000-0000-00009B120000}"/>
    <cellStyle name="40% - Accent5 4 2 5 2" xfId="4768" xr:uid="{00000000-0005-0000-0000-00009C120000}"/>
    <cellStyle name="40% - Accent5 4 2 6" xfId="4769" xr:uid="{00000000-0005-0000-0000-00009D120000}"/>
    <cellStyle name="40% - Accent5 4 2 7" xfId="4770" xr:uid="{00000000-0005-0000-0000-00009E120000}"/>
    <cellStyle name="40% - Accent5 4 2 8" xfId="4771" xr:uid="{00000000-0005-0000-0000-00009F120000}"/>
    <cellStyle name="40% - Accent5 4 2 9" xfId="4772" xr:uid="{00000000-0005-0000-0000-0000A0120000}"/>
    <cellStyle name="40% - Accent5 4 3" xfId="4773" xr:uid="{00000000-0005-0000-0000-0000A1120000}"/>
    <cellStyle name="40% - Accent5 4 3 2" xfId="4774" xr:uid="{00000000-0005-0000-0000-0000A2120000}"/>
    <cellStyle name="40% - Accent5 4 3 2 2" xfId="4775" xr:uid="{00000000-0005-0000-0000-0000A3120000}"/>
    <cellStyle name="40% - Accent5 4 3 2 3" xfId="4776" xr:uid="{00000000-0005-0000-0000-0000A4120000}"/>
    <cellStyle name="40% - Accent5 4 3 3" xfId="4777" xr:uid="{00000000-0005-0000-0000-0000A5120000}"/>
    <cellStyle name="40% - Accent5 4 3 4" xfId="4778" xr:uid="{00000000-0005-0000-0000-0000A6120000}"/>
    <cellStyle name="40% - Accent5 4 3 5" xfId="4779" xr:uid="{00000000-0005-0000-0000-0000A7120000}"/>
    <cellStyle name="40% - Accent5 4 3 6" xfId="4780" xr:uid="{00000000-0005-0000-0000-0000A8120000}"/>
    <cellStyle name="40% - Accent5 4 4" xfId="4781" xr:uid="{00000000-0005-0000-0000-0000A9120000}"/>
    <cellStyle name="40% - Accent5 4 4 2" xfId="4782" xr:uid="{00000000-0005-0000-0000-0000AA120000}"/>
    <cellStyle name="40% - Accent5 4 4 2 2" xfId="4783" xr:uid="{00000000-0005-0000-0000-0000AB120000}"/>
    <cellStyle name="40% - Accent5 4 4 3" xfId="4784" xr:uid="{00000000-0005-0000-0000-0000AC120000}"/>
    <cellStyle name="40% - Accent5 4 4 4" xfId="4785" xr:uid="{00000000-0005-0000-0000-0000AD120000}"/>
    <cellStyle name="40% - Accent5 4 4 5" xfId="4786" xr:uid="{00000000-0005-0000-0000-0000AE120000}"/>
    <cellStyle name="40% - Accent5 4 5" xfId="4787" xr:uid="{00000000-0005-0000-0000-0000AF120000}"/>
    <cellStyle name="40% - Accent5 4 5 2" xfId="4788" xr:uid="{00000000-0005-0000-0000-0000B0120000}"/>
    <cellStyle name="40% - Accent5 4 5 2 2" xfId="4789" xr:uid="{00000000-0005-0000-0000-0000B1120000}"/>
    <cellStyle name="40% - Accent5 4 5 3" xfId="4790" xr:uid="{00000000-0005-0000-0000-0000B2120000}"/>
    <cellStyle name="40% - Accent5 4 5 4" xfId="4791" xr:uid="{00000000-0005-0000-0000-0000B3120000}"/>
    <cellStyle name="40% - Accent5 4 5 5" xfId="4792" xr:uid="{00000000-0005-0000-0000-0000B4120000}"/>
    <cellStyle name="40% - Accent5 4 6" xfId="4793" xr:uid="{00000000-0005-0000-0000-0000B5120000}"/>
    <cellStyle name="40% - Accent5 4 6 2" xfId="4794" xr:uid="{00000000-0005-0000-0000-0000B6120000}"/>
    <cellStyle name="40% - Accent5 4 7" xfId="4795" xr:uid="{00000000-0005-0000-0000-0000B7120000}"/>
    <cellStyle name="40% - Accent5 4 8" xfId="4796" xr:uid="{00000000-0005-0000-0000-0000B8120000}"/>
    <cellStyle name="40% - Accent5 4 9" xfId="4797" xr:uid="{00000000-0005-0000-0000-0000B9120000}"/>
    <cellStyle name="40% - Accent5 5" xfId="4798" xr:uid="{00000000-0005-0000-0000-0000BA120000}"/>
    <cellStyle name="40% - Accent5 5 10" xfId="4799" xr:uid="{00000000-0005-0000-0000-0000BB120000}"/>
    <cellStyle name="40% - Accent5 5 2" xfId="4800" xr:uid="{00000000-0005-0000-0000-0000BC120000}"/>
    <cellStyle name="40% - Accent5 5 2 2" xfId="4801" xr:uid="{00000000-0005-0000-0000-0000BD120000}"/>
    <cellStyle name="40% - Accent5 5 2 2 2" xfId="4802" xr:uid="{00000000-0005-0000-0000-0000BE120000}"/>
    <cellStyle name="40% - Accent5 5 2 2 2 2" xfId="4803" xr:uid="{00000000-0005-0000-0000-0000BF120000}"/>
    <cellStyle name="40% - Accent5 5 2 2 2 3" xfId="4804" xr:uid="{00000000-0005-0000-0000-0000C0120000}"/>
    <cellStyle name="40% - Accent5 5 2 2 3" xfId="4805" xr:uid="{00000000-0005-0000-0000-0000C1120000}"/>
    <cellStyle name="40% - Accent5 5 2 2 4" xfId="4806" xr:uid="{00000000-0005-0000-0000-0000C2120000}"/>
    <cellStyle name="40% - Accent5 5 2 2 5" xfId="4807" xr:uid="{00000000-0005-0000-0000-0000C3120000}"/>
    <cellStyle name="40% - Accent5 5 2 2 6" xfId="4808" xr:uid="{00000000-0005-0000-0000-0000C4120000}"/>
    <cellStyle name="40% - Accent5 5 2 3" xfId="4809" xr:uid="{00000000-0005-0000-0000-0000C5120000}"/>
    <cellStyle name="40% - Accent5 5 2 3 2" xfId="4810" xr:uid="{00000000-0005-0000-0000-0000C6120000}"/>
    <cellStyle name="40% - Accent5 5 2 3 2 2" xfId="4811" xr:uid="{00000000-0005-0000-0000-0000C7120000}"/>
    <cellStyle name="40% - Accent5 5 2 3 3" xfId="4812" xr:uid="{00000000-0005-0000-0000-0000C8120000}"/>
    <cellStyle name="40% - Accent5 5 2 3 4" xfId="4813" xr:uid="{00000000-0005-0000-0000-0000C9120000}"/>
    <cellStyle name="40% - Accent5 5 2 3 5" xfId="4814" xr:uid="{00000000-0005-0000-0000-0000CA120000}"/>
    <cellStyle name="40% - Accent5 5 2 4" xfId="4815" xr:uid="{00000000-0005-0000-0000-0000CB120000}"/>
    <cellStyle name="40% - Accent5 5 2 4 2" xfId="4816" xr:uid="{00000000-0005-0000-0000-0000CC120000}"/>
    <cellStyle name="40% - Accent5 5 2 4 3" xfId="4817" xr:uid="{00000000-0005-0000-0000-0000CD120000}"/>
    <cellStyle name="40% - Accent5 5 2 4 4" xfId="4818" xr:uid="{00000000-0005-0000-0000-0000CE120000}"/>
    <cellStyle name="40% - Accent5 5 2 5" xfId="4819" xr:uid="{00000000-0005-0000-0000-0000CF120000}"/>
    <cellStyle name="40% - Accent5 5 2 5 2" xfId="4820" xr:uid="{00000000-0005-0000-0000-0000D0120000}"/>
    <cellStyle name="40% - Accent5 5 2 6" xfId="4821" xr:uid="{00000000-0005-0000-0000-0000D1120000}"/>
    <cellStyle name="40% - Accent5 5 2 7" xfId="4822" xr:uid="{00000000-0005-0000-0000-0000D2120000}"/>
    <cellStyle name="40% - Accent5 5 2 8" xfId="4823" xr:uid="{00000000-0005-0000-0000-0000D3120000}"/>
    <cellStyle name="40% - Accent5 5 2 9" xfId="4824" xr:uid="{00000000-0005-0000-0000-0000D4120000}"/>
    <cellStyle name="40% - Accent5 5 3" xfId="4825" xr:uid="{00000000-0005-0000-0000-0000D5120000}"/>
    <cellStyle name="40% - Accent5 5 3 2" xfId="4826" xr:uid="{00000000-0005-0000-0000-0000D6120000}"/>
    <cellStyle name="40% - Accent5 5 3 2 2" xfId="4827" xr:uid="{00000000-0005-0000-0000-0000D7120000}"/>
    <cellStyle name="40% - Accent5 5 3 2 3" xfId="4828" xr:uid="{00000000-0005-0000-0000-0000D8120000}"/>
    <cellStyle name="40% - Accent5 5 3 3" xfId="4829" xr:uid="{00000000-0005-0000-0000-0000D9120000}"/>
    <cellStyle name="40% - Accent5 5 3 4" xfId="4830" xr:uid="{00000000-0005-0000-0000-0000DA120000}"/>
    <cellStyle name="40% - Accent5 5 3 5" xfId="4831" xr:uid="{00000000-0005-0000-0000-0000DB120000}"/>
    <cellStyle name="40% - Accent5 5 3 6" xfId="4832" xr:uid="{00000000-0005-0000-0000-0000DC120000}"/>
    <cellStyle name="40% - Accent5 5 4" xfId="4833" xr:uid="{00000000-0005-0000-0000-0000DD120000}"/>
    <cellStyle name="40% - Accent5 5 4 2" xfId="4834" xr:uid="{00000000-0005-0000-0000-0000DE120000}"/>
    <cellStyle name="40% - Accent5 5 4 2 2" xfId="4835" xr:uid="{00000000-0005-0000-0000-0000DF120000}"/>
    <cellStyle name="40% - Accent5 5 4 3" xfId="4836" xr:uid="{00000000-0005-0000-0000-0000E0120000}"/>
    <cellStyle name="40% - Accent5 5 4 4" xfId="4837" xr:uid="{00000000-0005-0000-0000-0000E1120000}"/>
    <cellStyle name="40% - Accent5 5 4 5" xfId="4838" xr:uid="{00000000-0005-0000-0000-0000E2120000}"/>
    <cellStyle name="40% - Accent5 5 5" xfId="4839" xr:uid="{00000000-0005-0000-0000-0000E3120000}"/>
    <cellStyle name="40% - Accent5 5 5 2" xfId="4840" xr:uid="{00000000-0005-0000-0000-0000E4120000}"/>
    <cellStyle name="40% - Accent5 5 5 3" xfId="4841" xr:uid="{00000000-0005-0000-0000-0000E5120000}"/>
    <cellStyle name="40% - Accent5 5 5 4" xfId="4842" xr:uid="{00000000-0005-0000-0000-0000E6120000}"/>
    <cellStyle name="40% - Accent5 5 6" xfId="4843" xr:uid="{00000000-0005-0000-0000-0000E7120000}"/>
    <cellStyle name="40% - Accent5 5 6 2" xfId="4844" xr:uid="{00000000-0005-0000-0000-0000E8120000}"/>
    <cellStyle name="40% - Accent5 5 7" xfId="4845" xr:uid="{00000000-0005-0000-0000-0000E9120000}"/>
    <cellStyle name="40% - Accent5 5 8" xfId="4846" xr:uid="{00000000-0005-0000-0000-0000EA120000}"/>
    <cellStyle name="40% - Accent5 5 9" xfId="4847" xr:uid="{00000000-0005-0000-0000-0000EB120000}"/>
    <cellStyle name="40% - Accent5 6" xfId="4848" xr:uid="{00000000-0005-0000-0000-0000EC120000}"/>
    <cellStyle name="40% - Accent5 6 10" xfId="4849" xr:uid="{00000000-0005-0000-0000-0000ED120000}"/>
    <cellStyle name="40% - Accent5 6 2" xfId="4850" xr:uid="{00000000-0005-0000-0000-0000EE120000}"/>
    <cellStyle name="40% - Accent5 6 2 2" xfId="4851" xr:uid="{00000000-0005-0000-0000-0000EF120000}"/>
    <cellStyle name="40% - Accent5 6 2 2 2" xfId="4852" xr:uid="{00000000-0005-0000-0000-0000F0120000}"/>
    <cellStyle name="40% - Accent5 6 2 2 2 2" xfId="4853" xr:uid="{00000000-0005-0000-0000-0000F1120000}"/>
    <cellStyle name="40% - Accent5 6 2 2 2 3" xfId="4854" xr:uid="{00000000-0005-0000-0000-0000F2120000}"/>
    <cellStyle name="40% - Accent5 6 2 2 3" xfId="4855" xr:uid="{00000000-0005-0000-0000-0000F3120000}"/>
    <cellStyle name="40% - Accent5 6 2 2 4" xfId="4856" xr:uid="{00000000-0005-0000-0000-0000F4120000}"/>
    <cellStyle name="40% - Accent5 6 2 2 5" xfId="4857" xr:uid="{00000000-0005-0000-0000-0000F5120000}"/>
    <cellStyle name="40% - Accent5 6 2 2 6" xfId="4858" xr:uid="{00000000-0005-0000-0000-0000F6120000}"/>
    <cellStyle name="40% - Accent5 6 2 3" xfId="4859" xr:uid="{00000000-0005-0000-0000-0000F7120000}"/>
    <cellStyle name="40% - Accent5 6 2 3 2" xfId="4860" xr:uid="{00000000-0005-0000-0000-0000F8120000}"/>
    <cellStyle name="40% - Accent5 6 2 3 2 2" xfId="4861" xr:uid="{00000000-0005-0000-0000-0000F9120000}"/>
    <cellStyle name="40% - Accent5 6 2 3 3" xfId="4862" xr:uid="{00000000-0005-0000-0000-0000FA120000}"/>
    <cellStyle name="40% - Accent5 6 2 3 4" xfId="4863" xr:uid="{00000000-0005-0000-0000-0000FB120000}"/>
    <cellStyle name="40% - Accent5 6 2 3 5" xfId="4864" xr:uid="{00000000-0005-0000-0000-0000FC120000}"/>
    <cellStyle name="40% - Accent5 6 2 4" xfId="4865" xr:uid="{00000000-0005-0000-0000-0000FD120000}"/>
    <cellStyle name="40% - Accent5 6 2 4 2" xfId="4866" xr:uid="{00000000-0005-0000-0000-0000FE120000}"/>
    <cellStyle name="40% - Accent5 6 2 4 3" xfId="4867" xr:uid="{00000000-0005-0000-0000-0000FF120000}"/>
    <cellStyle name="40% - Accent5 6 2 4 4" xfId="4868" xr:uid="{00000000-0005-0000-0000-000000130000}"/>
    <cellStyle name="40% - Accent5 6 2 5" xfId="4869" xr:uid="{00000000-0005-0000-0000-000001130000}"/>
    <cellStyle name="40% - Accent5 6 2 5 2" xfId="4870" xr:uid="{00000000-0005-0000-0000-000002130000}"/>
    <cellStyle name="40% - Accent5 6 2 6" xfId="4871" xr:uid="{00000000-0005-0000-0000-000003130000}"/>
    <cellStyle name="40% - Accent5 6 2 7" xfId="4872" xr:uid="{00000000-0005-0000-0000-000004130000}"/>
    <cellStyle name="40% - Accent5 6 2 8" xfId="4873" xr:uid="{00000000-0005-0000-0000-000005130000}"/>
    <cellStyle name="40% - Accent5 6 2 9" xfId="4874" xr:uid="{00000000-0005-0000-0000-000006130000}"/>
    <cellStyle name="40% - Accent5 6 3" xfId="4875" xr:uid="{00000000-0005-0000-0000-000007130000}"/>
    <cellStyle name="40% - Accent5 6 3 2" xfId="4876" xr:uid="{00000000-0005-0000-0000-000008130000}"/>
    <cellStyle name="40% - Accent5 6 3 2 2" xfId="4877" xr:uid="{00000000-0005-0000-0000-000009130000}"/>
    <cellStyle name="40% - Accent5 6 3 2 3" xfId="4878" xr:uid="{00000000-0005-0000-0000-00000A130000}"/>
    <cellStyle name="40% - Accent5 6 3 3" xfId="4879" xr:uid="{00000000-0005-0000-0000-00000B130000}"/>
    <cellStyle name="40% - Accent5 6 3 4" xfId="4880" xr:uid="{00000000-0005-0000-0000-00000C130000}"/>
    <cellStyle name="40% - Accent5 6 3 5" xfId="4881" xr:uid="{00000000-0005-0000-0000-00000D130000}"/>
    <cellStyle name="40% - Accent5 6 3 6" xfId="4882" xr:uid="{00000000-0005-0000-0000-00000E130000}"/>
    <cellStyle name="40% - Accent5 6 4" xfId="4883" xr:uid="{00000000-0005-0000-0000-00000F130000}"/>
    <cellStyle name="40% - Accent5 6 4 2" xfId="4884" xr:uid="{00000000-0005-0000-0000-000010130000}"/>
    <cellStyle name="40% - Accent5 6 4 2 2" xfId="4885" xr:uid="{00000000-0005-0000-0000-000011130000}"/>
    <cellStyle name="40% - Accent5 6 4 3" xfId="4886" xr:uid="{00000000-0005-0000-0000-000012130000}"/>
    <cellStyle name="40% - Accent5 6 4 4" xfId="4887" xr:uid="{00000000-0005-0000-0000-000013130000}"/>
    <cellStyle name="40% - Accent5 6 4 5" xfId="4888" xr:uid="{00000000-0005-0000-0000-000014130000}"/>
    <cellStyle name="40% - Accent5 6 5" xfId="4889" xr:uid="{00000000-0005-0000-0000-000015130000}"/>
    <cellStyle name="40% - Accent5 6 5 2" xfId="4890" xr:uid="{00000000-0005-0000-0000-000016130000}"/>
    <cellStyle name="40% - Accent5 6 5 3" xfId="4891" xr:uid="{00000000-0005-0000-0000-000017130000}"/>
    <cellStyle name="40% - Accent5 6 5 4" xfId="4892" xr:uid="{00000000-0005-0000-0000-000018130000}"/>
    <cellStyle name="40% - Accent5 6 6" xfId="4893" xr:uid="{00000000-0005-0000-0000-000019130000}"/>
    <cellStyle name="40% - Accent5 6 6 2" xfId="4894" xr:uid="{00000000-0005-0000-0000-00001A130000}"/>
    <cellStyle name="40% - Accent5 6 7" xfId="4895" xr:uid="{00000000-0005-0000-0000-00001B130000}"/>
    <cellStyle name="40% - Accent5 6 8" xfId="4896" xr:uid="{00000000-0005-0000-0000-00001C130000}"/>
    <cellStyle name="40% - Accent5 6 9" xfId="4897" xr:uid="{00000000-0005-0000-0000-00001D130000}"/>
    <cellStyle name="40% - Accent5 7" xfId="4898" xr:uid="{00000000-0005-0000-0000-00001E130000}"/>
    <cellStyle name="40% - Accent5 7 2" xfId="4899" xr:uid="{00000000-0005-0000-0000-00001F130000}"/>
    <cellStyle name="40% - Accent5 7 2 2" xfId="4900" xr:uid="{00000000-0005-0000-0000-000020130000}"/>
    <cellStyle name="40% - Accent5 7 2 2 2" xfId="4901" xr:uid="{00000000-0005-0000-0000-000021130000}"/>
    <cellStyle name="40% - Accent5 7 2 2 3" xfId="4902" xr:uid="{00000000-0005-0000-0000-000022130000}"/>
    <cellStyle name="40% - Accent5 7 2 3" xfId="4903" xr:uid="{00000000-0005-0000-0000-000023130000}"/>
    <cellStyle name="40% - Accent5 7 2 4" xfId="4904" xr:uid="{00000000-0005-0000-0000-000024130000}"/>
    <cellStyle name="40% - Accent5 7 2 5" xfId="4905" xr:uid="{00000000-0005-0000-0000-000025130000}"/>
    <cellStyle name="40% - Accent5 7 2 6" xfId="4906" xr:uid="{00000000-0005-0000-0000-000026130000}"/>
    <cellStyle name="40% - Accent5 7 3" xfId="4907" xr:uid="{00000000-0005-0000-0000-000027130000}"/>
    <cellStyle name="40% - Accent5 7 3 2" xfId="4908" xr:uid="{00000000-0005-0000-0000-000028130000}"/>
    <cellStyle name="40% - Accent5 7 3 2 2" xfId="4909" xr:uid="{00000000-0005-0000-0000-000029130000}"/>
    <cellStyle name="40% - Accent5 7 3 3" xfId="4910" xr:uid="{00000000-0005-0000-0000-00002A130000}"/>
    <cellStyle name="40% - Accent5 7 3 4" xfId="4911" xr:uid="{00000000-0005-0000-0000-00002B130000}"/>
    <cellStyle name="40% - Accent5 7 3 5" xfId="4912" xr:uid="{00000000-0005-0000-0000-00002C130000}"/>
    <cellStyle name="40% - Accent5 7 4" xfId="4913" xr:uid="{00000000-0005-0000-0000-00002D130000}"/>
    <cellStyle name="40% - Accent5 7 4 2" xfId="4914" xr:uid="{00000000-0005-0000-0000-00002E130000}"/>
    <cellStyle name="40% - Accent5 7 4 3" xfId="4915" xr:uid="{00000000-0005-0000-0000-00002F130000}"/>
    <cellStyle name="40% - Accent5 7 4 4" xfId="4916" xr:uid="{00000000-0005-0000-0000-000030130000}"/>
    <cellStyle name="40% - Accent5 7 5" xfId="4917" xr:uid="{00000000-0005-0000-0000-000031130000}"/>
    <cellStyle name="40% - Accent5 7 5 2" xfId="4918" xr:uid="{00000000-0005-0000-0000-000032130000}"/>
    <cellStyle name="40% - Accent5 7 6" xfId="4919" xr:uid="{00000000-0005-0000-0000-000033130000}"/>
    <cellStyle name="40% - Accent5 7 7" xfId="4920" xr:uid="{00000000-0005-0000-0000-000034130000}"/>
    <cellStyle name="40% - Accent5 7 8" xfId="4921" xr:uid="{00000000-0005-0000-0000-000035130000}"/>
    <cellStyle name="40% - Accent5 7 9" xfId="4922" xr:uid="{00000000-0005-0000-0000-000036130000}"/>
    <cellStyle name="40% - Accent5 8" xfId="4923" xr:uid="{00000000-0005-0000-0000-000037130000}"/>
    <cellStyle name="40% - Accent5 8 2" xfId="4924" xr:uid="{00000000-0005-0000-0000-000038130000}"/>
    <cellStyle name="40% - Accent5 8 2 2" xfId="4925" xr:uid="{00000000-0005-0000-0000-000039130000}"/>
    <cellStyle name="40% - Accent5 8 2 2 2" xfId="4926" xr:uid="{00000000-0005-0000-0000-00003A130000}"/>
    <cellStyle name="40% - Accent5 8 2 2 3" xfId="4927" xr:uid="{00000000-0005-0000-0000-00003B130000}"/>
    <cellStyle name="40% - Accent5 8 2 3" xfId="4928" xr:uid="{00000000-0005-0000-0000-00003C130000}"/>
    <cellStyle name="40% - Accent5 8 2 4" xfId="4929" xr:uid="{00000000-0005-0000-0000-00003D130000}"/>
    <cellStyle name="40% - Accent5 8 2 5" xfId="4930" xr:uid="{00000000-0005-0000-0000-00003E130000}"/>
    <cellStyle name="40% - Accent5 8 2 6" xfId="4931" xr:uid="{00000000-0005-0000-0000-00003F130000}"/>
    <cellStyle name="40% - Accent5 8 3" xfId="4932" xr:uid="{00000000-0005-0000-0000-000040130000}"/>
    <cellStyle name="40% - Accent5 8 3 2" xfId="4933" xr:uid="{00000000-0005-0000-0000-000041130000}"/>
    <cellStyle name="40% - Accent5 8 3 2 2" xfId="4934" xr:uid="{00000000-0005-0000-0000-000042130000}"/>
    <cellStyle name="40% - Accent5 8 3 3" xfId="4935" xr:uid="{00000000-0005-0000-0000-000043130000}"/>
    <cellStyle name="40% - Accent5 8 3 4" xfId="4936" xr:uid="{00000000-0005-0000-0000-000044130000}"/>
    <cellStyle name="40% - Accent5 8 3 5" xfId="4937" xr:uid="{00000000-0005-0000-0000-000045130000}"/>
    <cellStyle name="40% - Accent5 8 4" xfId="4938" xr:uid="{00000000-0005-0000-0000-000046130000}"/>
    <cellStyle name="40% - Accent5 8 4 2" xfId="4939" xr:uid="{00000000-0005-0000-0000-000047130000}"/>
    <cellStyle name="40% - Accent5 8 4 3" xfId="4940" xr:uid="{00000000-0005-0000-0000-000048130000}"/>
    <cellStyle name="40% - Accent5 8 4 4" xfId="4941" xr:uid="{00000000-0005-0000-0000-000049130000}"/>
    <cellStyle name="40% - Accent5 8 5" xfId="4942" xr:uid="{00000000-0005-0000-0000-00004A130000}"/>
    <cellStyle name="40% - Accent5 8 5 2" xfId="4943" xr:uid="{00000000-0005-0000-0000-00004B130000}"/>
    <cellStyle name="40% - Accent5 8 6" xfId="4944" xr:uid="{00000000-0005-0000-0000-00004C130000}"/>
    <cellStyle name="40% - Accent5 8 7" xfId="4945" xr:uid="{00000000-0005-0000-0000-00004D130000}"/>
    <cellStyle name="40% - Accent5 8 8" xfId="4946" xr:uid="{00000000-0005-0000-0000-00004E130000}"/>
    <cellStyle name="40% - Accent5 8 9" xfId="4947" xr:uid="{00000000-0005-0000-0000-00004F130000}"/>
    <cellStyle name="40% - Accent5 9" xfId="4948" xr:uid="{00000000-0005-0000-0000-000050130000}"/>
    <cellStyle name="40% - Accent5 9 2" xfId="4949" xr:uid="{00000000-0005-0000-0000-000051130000}"/>
    <cellStyle name="40% - Accent5 9 2 2" xfId="4950" xr:uid="{00000000-0005-0000-0000-000052130000}"/>
    <cellStyle name="40% - Accent5 9 2 2 2" xfId="4951" xr:uid="{00000000-0005-0000-0000-000053130000}"/>
    <cellStyle name="40% - Accent5 9 2 3" xfId="4952" xr:uid="{00000000-0005-0000-0000-000054130000}"/>
    <cellStyle name="40% - Accent5 9 2 4" xfId="4953" xr:uid="{00000000-0005-0000-0000-000055130000}"/>
    <cellStyle name="40% - Accent5 9 2 5" xfId="4954" xr:uid="{00000000-0005-0000-0000-000056130000}"/>
    <cellStyle name="40% - Accent5 9 3" xfId="4955" xr:uid="{00000000-0005-0000-0000-000057130000}"/>
    <cellStyle name="40% - Accent5 9 3 2" xfId="4956" xr:uid="{00000000-0005-0000-0000-000058130000}"/>
    <cellStyle name="40% - Accent5 9 3 3" xfId="4957" xr:uid="{00000000-0005-0000-0000-000059130000}"/>
    <cellStyle name="40% - Accent5 9 3 4" xfId="4958" xr:uid="{00000000-0005-0000-0000-00005A130000}"/>
    <cellStyle name="40% - Accent5 9 4" xfId="4959" xr:uid="{00000000-0005-0000-0000-00005B130000}"/>
    <cellStyle name="40% - Accent5 9 4 2" xfId="4960" xr:uid="{00000000-0005-0000-0000-00005C130000}"/>
    <cellStyle name="40% - Accent5 9 5" xfId="4961" xr:uid="{00000000-0005-0000-0000-00005D130000}"/>
    <cellStyle name="40% - Accent5 9 6" xfId="4962" xr:uid="{00000000-0005-0000-0000-00005E130000}"/>
    <cellStyle name="40% - Accent5 9 7" xfId="4963" xr:uid="{00000000-0005-0000-0000-00005F130000}"/>
    <cellStyle name="40% - Accent5 9 8" xfId="4964" xr:uid="{00000000-0005-0000-0000-000060130000}"/>
    <cellStyle name="40% - Accent6 10" xfId="4965" xr:uid="{00000000-0005-0000-0000-000061130000}"/>
    <cellStyle name="40% - Accent6 10 2" xfId="4966" xr:uid="{00000000-0005-0000-0000-000062130000}"/>
    <cellStyle name="40% - Accent6 10 2 2" xfId="4967" xr:uid="{00000000-0005-0000-0000-000063130000}"/>
    <cellStyle name="40% - Accent6 10 2 2 2" xfId="4968" xr:uid="{00000000-0005-0000-0000-000064130000}"/>
    <cellStyle name="40% - Accent6 10 2 3" xfId="4969" xr:uid="{00000000-0005-0000-0000-000065130000}"/>
    <cellStyle name="40% - Accent6 10 2 4" xfId="4970" xr:uid="{00000000-0005-0000-0000-000066130000}"/>
    <cellStyle name="40% - Accent6 10 2 5" xfId="4971" xr:uid="{00000000-0005-0000-0000-000067130000}"/>
    <cellStyle name="40% - Accent6 10 3" xfId="4972" xr:uid="{00000000-0005-0000-0000-000068130000}"/>
    <cellStyle name="40% - Accent6 10 3 2" xfId="4973" xr:uid="{00000000-0005-0000-0000-000069130000}"/>
    <cellStyle name="40% - Accent6 10 3 3" xfId="4974" xr:uid="{00000000-0005-0000-0000-00006A130000}"/>
    <cellStyle name="40% - Accent6 10 3 4" xfId="4975" xr:uid="{00000000-0005-0000-0000-00006B130000}"/>
    <cellStyle name="40% - Accent6 10 4" xfId="4976" xr:uid="{00000000-0005-0000-0000-00006C130000}"/>
    <cellStyle name="40% - Accent6 10 4 2" xfId="4977" xr:uid="{00000000-0005-0000-0000-00006D130000}"/>
    <cellStyle name="40% - Accent6 10 5" xfId="4978" xr:uid="{00000000-0005-0000-0000-00006E130000}"/>
    <cellStyle name="40% - Accent6 10 6" xfId="4979" xr:uid="{00000000-0005-0000-0000-00006F130000}"/>
    <cellStyle name="40% - Accent6 10 7" xfId="4980" xr:uid="{00000000-0005-0000-0000-000070130000}"/>
    <cellStyle name="40% - Accent6 10 8" xfId="4981" xr:uid="{00000000-0005-0000-0000-000071130000}"/>
    <cellStyle name="40% - Accent6 11" xfId="4982" xr:uid="{00000000-0005-0000-0000-000072130000}"/>
    <cellStyle name="40% - Accent6 11 2" xfId="4983" xr:uid="{00000000-0005-0000-0000-000073130000}"/>
    <cellStyle name="40% - Accent6 11 2 2" xfId="4984" xr:uid="{00000000-0005-0000-0000-000074130000}"/>
    <cellStyle name="40% - Accent6 11 2 2 2" xfId="4985" xr:uid="{00000000-0005-0000-0000-000075130000}"/>
    <cellStyle name="40% - Accent6 11 2 3" xfId="4986" xr:uid="{00000000-0005-0000-0000-000076130000}"/>
    <cellStyle name="40% - Accent6 11 2 4" xfId="4987" xr:uid="{00000000-0005-0000-0000-000077130000}"/>
    <cellStyle name="40% - Accent6 11 2 5" xfId="4988" xr:uid="{00000000-0005-0000-0000-000078130000}"/>
    <cellStyle name="40% - Accent6 11 3" xfId="4989" xr:uid="{00000000-0005-0000-0000-000079130000}"/>
    <cellStyle name="40% - Accent6 11 3 2" xfId="4990" xr:uid="{00000000-0005-0000-0000-00007A130000}"/>
    <cellStyle name="40% - Accent6 11 3 3" xfId="4991" xr:uid="{00000000-0005-0000-0000-00007B130000}"/>
    <cellStyle name="40% - Accent6 11 3 4" xfId="4992" xr:uid="{00000000-0005-0000-0000-00007C130000}"/>
    <cellStyle name="40% - Accent6 11 4" xfId="4993" xr:uid="{00000000-0005-0000-0000-00007D130000}"/>
    <cellStyle name="40% - Accent6 11 4 2" xfId="4994" xr:uid="{00000000-0005-0000-0000-00007E130000}"/>
    <cellStyle name="40% - Accent6 11 5" xfId="4995" xr:uid="{00000000-0005-0000-0000-00007F130000}"/>
    <cellStyle name="40% - Accent6 11 6" xfId="4996" xr:uid="{00000000-0005-0000-0000-000080130000}"/>
    <cellStyle name="40% - Accent6 11 7" xfId="4997" xr:uid="{00000000-0005-0000-0000-000081130000}"/>
    <cellStyle name="40% - Accent6 11 8" xfId="4998" xr:uid="{00000000-0005-0000-0000-000082130000}"/>
    <cellStyle name="40% - Accent6 12" xfId="4999" xr:uid="{00000000-0005-0000-0000-000083130000}"/>
    <cellStyle name="40% - Accent6 12 2" xfId="5000" xr:uid="{00000000-0005-0000-0000-000084130000}"/>
    <cellStyle name="40% - Accent6 12 2 2" xfId="5001" xr:uid="{00000000-0005-0000-0000-000085130000}"/>
    <cellStyle name="40% - Accent6 12 2 2 2" xfId="5002" xr:uid="{00000000-0005-0000-0000-000086130000}"/>
    <cellStyle name="40% - Accent6 12 2 3" xfId="5003" xr:uid="{00000000-0005-0000-0000-000087130000}"/>
    <cellStyle name="40% - Accent6 12 2 4" xfId="5004" xr:uid="{00000000-0005-0000-0000-000088130000}"/>
    <cellStyle name="40% - Accent6 12 2 5" xfId="5005" xr:uid="{00000000-0005-0000-0000-000089130000}"/>
    <cellStyle name="40% - Accent6 12 3" xfId="5006" xr:uid="{00000000-0005-0000-0000-00008A130000}"/>
    <cellStyle name="40% - Accent6 12 3 2" xfId="5007" xr:uid="{00000000-0005-0000-0000-00008B130000}"/>
    <cellStyle name="40% - Accent6 12 3 3" xfId="5008" xr:uid="{00000000-0005-0000-0000-00008C130000}"/>
    <cellStyle name="40% - Accent6 12 3 4" xfId="5009" xr:uid="{00000000-0005-0000-0000-00008D130000}"/>
    <cellStyle name="40% - Accent6 12 4" xfId="5010" xr:uid="{00000000-0005-0000-0000-00008E130000}"/>
    <cellStyle name="40% - Accent6 12 4 2" xfId="5011" xr:uid="{00000000-0005-0000-0000-00008F130000}"/>
    <cellStyle name="40% - Accent6 12 5" xfId="5012" xr:uid="{00000000-0005-0000-0000-000090130000}"/>
    <cellStyle name="40% - Accent6 12 6" xfId="5013" xr:uid="{00000000-0005-0000-0000-000091130000}"/>
    <cellStyle name="40% - Accent6 12 7" xfId="5014" xr:uid="{00000000-0005-0000-0000-000092130000}"/>
    <cellStyle name="40% - Accent6 12 8" xfId="5015" xr:uid="{00000000-0005-0000-0000-000093130000}"/>
    <cellStyle name="40% - Accent6 13" xfId="5016" xr:uid="{00000000-0005-0000-0000-000094130000}"/>
    <cellStyle name="40% - Accent6 13 2" xfId="5017" xr:uid="{00000000-0005-0000-0000-000095130000}"/>
    <cellStyle name="40% - Accent6 13 2 2" xfId="5018" xr:uid="{00000000-0005-0000-0000-000096130000}"/>
    <cellStyle name="40% - Accent6 13 2 3" xfId="5019" xr:uid="{00000000-0005-0000-0000-000097130000}"/>
    <cellStyle name="40% - Accent6 13 2 4" xfId="5020" xr:uid="{00000000-0005-0000-0000-000098130000}"/>
    <cellStyle name="40% - Accent6 13 3" xfId="5021" xr:uid="{00000000-0005-0000-0000-000099130000}"/>
    <cellStyle name="40% - Accent6 13 3 2" xfId="5022" xr:uid="{00000000-0005-0000-0000-00009A130000}"/>
    <cellStyle name="40% - Accent6 13 4" xfId="5023" xr:uid="{00000000-0005-0000-0000-00009B130000}"/>
    <cellStyle name="40% - Accent6 13 5" xfId="5024" xr:uid="{00000000-0005-0000-0000-00009C130000}"/>
    <cellStyle name="40% - Accent6 13 6" xfId="5025" xr:uid="{00000000-0005-0000-0000-00009D130000}"/>
    <cellStyle name="40% - Accent6 14" xfId="5026" xr:uid="{00000000-0005-0000-0000-00009E130000}"/>
    <cellStyle name="40% - Accent6 14 2" xfId="5027" xr:uid="{00000000-0005-0000-0000-00009F130000}"/>
    <cellStyle name="40% - Accent6 14 2 2" xfId="5028" xr:uid="{00000000-0005-0000-0000-0000A0130000}"/>
    <cellStyle name="40% - Accent6 14 3" xfId="5029" xr:uid="{00000000-0005-0000-0000-0000A1130000}"/>
    <cellStyle name="40% - Accent6 14 4" xfId="5030" xr:uid="{00000000-0005-0000-0000-0000A2130000}"/>
    <cellStyle name="40% - Accent6 14 5" xfId="5031" xr:uid="{00000000-0005-0000-0000-0000A3130000}"/>
    <cellStyle name="40% - Accent6 15" xfId="5032" xr:uid="{00000000-0005-0000-0000-0000A4130000}"/>
    <cellStyle name="40% - Accent6 15 2" xfId="5033" xr:uid="{00000000-0005-0000-0000-0000A5130000}"/>
    <cellStyle name="40% - Accent6 15 2 2" xfId="5034" xr:uid="{00000000-0005-0000-0000-0000A6130000}"/>
    <cellStyle name="40% - Accent6 15 3" xfId="5035" xr:uid="{00000000-0005-0000-0000-0000A7130000}"/>
    <cellStyle name="40% - Accent6 15 4" xfId="5036" xr:uid="{00000000-0005-0000-0000-0000A8130000}"/>
    <cellStyle name="40% - Accent6 15 5" xfId="5037" xr:uid="{00000000-0005-0000-0000-0000A9130000}"/>
    <cellStyle name="40% - Accent6 16" xfId="5038" xr:uid="{00000000-0005-0000-0000-0000AA130000}"/>
    <cellStyle name="40% - Accent6 16 2" xfId="5039" xr:uid="{00000000-0005-0000-0000-0000AB130000}"/>
    <cellStyle name="40% - Accent6 17" xfId="5040" xr:uid="{00000000-0005-0000-0000-0000AC130000}"/>
    <cellStyle name="40% - Accent6 18" xfId="5041" xr:uid="{00000000-0005-0000-0000-0000AD130000}"/>
    <cellStyle name="40% - Accent6 19" xfId="5042" xr:uid="{00000000-0005-0000-0000-0000AE130000}"/>
    <cellStyle name="40% - Accent6 2" xfId="5043" xr:uid="{00000000-0005-0000-0000-0000AF130000}"/>
    <cellStyle name="40% - Accent6 2 10" xfId="5044" xr:uid="{00000000-0005-0000-0000-0000B0130000}"/>
    <cellStyle name="40% - Accent6 2 11" xfId="5045" xr:uid="{00000000-0005-0000-0000-0000B1130000}"/>
    <cellStyle name="40% - Accent6 2 2" xfId="5046" xr:uid="{00000000-0005-0000-0000-0000B2130000}"/>
    <cellStyle name="40% - Accent6 2 2 10" xfId="5047" xr:uid="{00000000-0005-0000-0000-0000B3130000}"/>
    <cellStyle name="40% - Accent6 2 2 2" xfId="5048" xr:uid="{00000000-0005-0000-0000-0000B4130000}"/>
    <cellStyle name="40% - Accent6 2 2 2 2" xfId="5049" xr:uid="{00000000-0005-0000-0000-0000B5130000}"/>
    <cellStyle name="40% - Accent6 2 2 2 2 2" xfId="5050" xr:uid="{00000000-0005-0000-0000-0000B6130000}"/>
    <cellStyle name="40% - Accent6 2 2 2 2 2 2" xfId="5051" xr:uid="{00000000-0005-0000-0000-0000B7130000}"/>
    <cellStyle name="40% - Accent6 2 2 2 2 2 3" xfId="5052" xr:uid="{00000000-0005-0000-0000-0000B8130000}"/>
    <cellStyle name="40% - Accent6 2 2 2 2 3" xfId="5053" xr:uid="{00000000-0005-0000-0000-0000B9130000}"/>
    <cellStyle name="40% - Accent6 2 2 2 2 4" xfId="5054" xr:uid="{00000000-0005-0000-0000-0000BA130000}"/>
    <cellStyle name="40% - Accent6 2 2 2 2 5" xfId="5055" xr:uid="{00000000-0005-0000-0000-0000BB130000}"/>
    <cellStyle name="40% - Accent6 2 2 2 2 6" xfId="5056" xr:uid="{00000000-0005-0000-0000-0000BC130000}"/>
    <cellStyle name="40% - Accent6 2 2 2 3" xfId="5057" xr:uid="{00000000-0005-0000-0000-0000BD130000}"/>
    <cellStyle name="40% - Accent6 2 2 2 3 2" xfId="5058" xr:uid="{00000000-0005-0000-0000-0000BE130000}"/>
    <cellStyle name="40% - Accent6 2 2 2 3 2 2" xfId="5059" xr:uid="{00000000-0005-0000-0000-0000BF130000}"/>
    <cellStyle name="40% - Accent6 2 2 2 3 3" xfId="5060" xr:uid="{00000000-0005-0000-0000-0000C0130000}"/>
    <cellStyle name="40% - Accent6 2 2 2 3 4" xfId="5061" xr:uid="{00000000-0005-0000-0000-0000C1130000}"/>
    <cellStyle name="40% - Accent6 2 2 2 3 5" xfId="5062" xr:uid="{00000000-0005-0000-0000-0000C2130000}"/>
    <cellStyle name="40% - Accent6 2 2 2 4" xfId="5063" xr:uid="{00000000-0005-0000-0000-0000C3130000}"/>
    <cellStyle name="40% - Accent6 2 2 2 4 2" xfId="5064" xr:uid="{00000000-0005-0000-0000-0000C4130000}"/>
    <cellStyle name="40% - Accent6 2 2 2 4 3" xfId="5065" xr:uid="{00000000-0005-0000-0000-0000C5130000}"/>
    <cellStyle name="40% - Accent6 2 2 2 4 4" xfId="5066" xr:uid="{00000000-0005-0000-0000-0000C6130000}"/>
    <cellStyle name="40% - Accent6 2 2 2 5" xfId="5067" xr:uid="{00000000-0005-0000-0000-0000C7130000}"/>
    <cellStyle name="40% - Accent6 2 2 2 5 2" xfId="5068" xr:uid="{00000000-0005-0000-0000-0000C8130000}"/>
    <cellStyle name="40% - Accent6 2 2 2 6" xfId="5069" xr:uid="{00000000-0005-0000-0000-0000C9130000}"/>
    <cellStyle name="40% - Accent6 2 2 2 7" xfId="5070" xr:uid="{00000000-0005-0000-0000-0000CA130000}"/>
    <cellStyle name="40% - Accent6 2 2 2 8" xfId="5071" xr:uid="{00000000-0005-0000-0000-0000CB130000}"/>
    <cellStyle name="40% - Accent6 2 2 2 9" xfId="5072" xr:uid="{00000000-0005-0000-0000-0000CC130000}"/>
    <cellStyle name="40% - Accent6 2 2 3" xfId="5073" xr:uid="{00000000-0005-0000-0000-0000CD130000}"/>
    <cellStyle name="40% - Accent6 2 2 3 2" xfId="5074" xr:uid="{00000000-0005-0000-0000-0000CE130000}"/>
    <cellStyle name="40% - Accent6 2 2 3 2 2" xfId="5075" xr:uid="{00000000-0005-0000-0000-0000CF130000}"/>
    <cellStyle name="40% - Accent6 2 2 3 2 3" xfId="5076" xr:uid="{00000000-0005-0000-0000-0000D0130000}"/>
    <cellStyle name="40% - Accent6 2 2 3 3" xfId="5077" xr:uid="{00000000-0005-0000-0000-0000D1130000}"/>
    <cellStyle name="40% - Accent6 2 2 3 4" xfId="5078" xr:uid="{00000000-0005-0000-0000-0000D2130000}"/>
    <cellStyle name="40% - Accent6 2 2 3 5" xfId="5079" xr:uid="{00000000-0005-0000-0000-0000D3130000}"/>
    <cellStyle name="40% - Accent6 2 2 3 6" xfId="5080" xr:uid="{00000000-0005-0000-0000-0000D4130000}"/>
    <cellStyle name="40% - Accent6 2 2 4" xfId="5081" xr:uid="{00000000-0005-0000-0000-0000D5130000}"/>
    <cellStyle name="40% - Accent6 2 2 4 2" xfId="5082" xr:uid="{00000000-0005-0000-0000-0000D6130000}"/>
    <cellStyle name="40% - Accent6 2 2 4 2 2" xfId="5083" xr:uid="{00000000-0005-0000-0000-0000D7130000}"/>
    <cellStyle name="40% - Accent6 2 2 4 3" xfId="5084" xr:uid="{00000000-0005-0000-0000-0000D8130000}"/>
    <cellStyle name="40% - Accent6 2 2 4 4" xfId="5085" xr:uid="{00000000-0005-0000-0000-0000D9130000}"/>
    <cellStyle name="40% - Accent6 2 2 4 5" xfId="5086" xr:uid="{00000000-0005-0000-0000-0000DA130000}"/>
    <cellStyle name="40% - Accent6 2 2 5" xfId="5087" xr:uid="{00000000-0005-0000-0000-0000DB130000}"/>
    <cellStyle name="40% - Accent6 2 2 5 2" xfId="5088" xr:uid="{00000000-0005-0000-0000-0000DC130000}"/>
    <cellStyle name="40% - Accent6 2 2 5 3" xfId="5089" xr:uid="{00000000-0005-0000-0000-0000DD130000}"/>
    <cellStyle name="40% - Accent6 2 2 5 4" xfId="5090" xr:uid="{00000000-0005-0000-0000-0000DE130000}"/>
    <cellStyle name="40% - Accent6 2 2 6" xfId="5091" xr:uid="{00000000-0005-0000-0000-0000DF130000}"/>
    <cellStyle name="40% - Accent6 2 2 6 2" xfId="5092" xr:uid="{00000000-0005-0000-0000-0000E0130000}"/>
    <cellStyle name="40% - Accent6 2 2 7" xfId="5093" xr:uid="{00000000-0005-0000-0000-0000E1130000}"/>
    <cellStyle name="40% - Accent6 2 2 8" xfId="5094" xr:uid="{00000000-0005-0000-0000-0000E2130000}"/>
    <cellStyle name="40% - Accent6 2 2 9" xfId="5095" xr:uid="{00000000-0005-0000-0000-0000E3130000}"/>
    <cellStyle name="40% - Accent6 2 3" xfId="5096" xr:uid="{00000000-0005-0000-0000-0000E4130000}"/>
    <cellStyle name="40% - Accent6 2 3 2" xfId="5097" xr:uid="{00000000-0005-0000-0000-0000E5130000}"/>
    <cellStyle name="40% - Accent6 2 3 2 2" xfId="5098" xr:uid="{00000000-0005-0000-0000-0000E6130000}"/>
    <cellStyle name="40% - Accent6 2 3 2 2 2" xfId="5099" xr:uid="{00000000-0005-0000-0000-0000E7130000}"/>
    <cellStyle name="40% - Accent6 2 3 2 2 3" xfId="5100" xr:uid="{00000000-0005-0000-0000-0000E8130000}"/>
    <cellStyle name="40% - Accent6 2 3 2 3" xfId="5101" xr:uid="{00000000-0005-0000-0000-0000E9130000}"/>
    <cellStyle name="40% - Accent6 2 3 2 4" xfId="5102" xr:uid="{00000000-0005-0000-0000-0000EA130000}"/>
    <cellStyle name="40% - Accent6 2 3 2 5" xfId="5103" xr:uid="{00000000-0005-0000-0000-0000EB130000}"/>
    <cellStyle name="40% - Accent6 2 3 2 6" xfId="5104" xr:uid="{00000000-0005-0000-0000-0000EC130000}"/>
    <cellStyle name="40% - Accent6 2 3 3" xfId="5105" xr:uid="{00000000-0005-0000-0000-0000ED130000}"/>
    <cellStyle name="40% - Accent6 2 3 3 2" xfId="5106" xr:uid="{00000000-0005-0000-0000-0000EE130000}"/>
    <cellStyle name="40% - Accent6 2 3 3 2 2" xfId="5107" xr:uid="{00000000-0005-0000-0000-0000EF130000}"/>
    <cellStyle name="40% - Accent6 2 3 3 3" xfId="5108" xr:uid="{00000000-0005-0000-0000-0000F0130000}"/>
    <cellStyle name="40% - Accent6 2 3 3 4" xfId="5109" xr:uid="{00000000-0005-0000-0000-0000F1130000}"/>
    <cellStyle name="40% - Accent6 2 3 3 5" xfId="5110" xr:uid="{00000000-0005-0000-0000-0000F2130000}"/>
    <cellStyle name="40% - Accent6 2 3 4" xfId="5111" xr:uid="{00000000-0005-0000-0000-0000F3130000}"/>
    <cellStyle name="40% - Accent6 2 3 4 2" xfId="5112" xr:uid="{00000000-0005-0000-0000-0000F4130000}"/>
    <cellStyle name="40% - Accent6 2 3 4 3" xfId="5113" xr:uid="{00000000-0005-0000-0000-0000F5130000}"/>
    <cellStyle name="40% - Accent6 2 3 4 4" xfId="5114" xr:uid="{00000000-0005-0000-0000-0000F6130000}"/>
    <cellStyle name="40% - Accent6 2 3 5" xfId="5115" xr:uid="{00000000-0005-0000-0000-0000F7130000}"/>
    <cellStyle name="40% - Accent6 2 3 5 2" xfId="5116" xr:uid="{00000000-0005-0000-0000-0000F8130000}"/>
    <cellStyle name="40% - Accent6 2 3 6" xfId="5117" xr:uid="{00000000-0005-0000-0000-0000F9130000}"/>
    <cellStyle name="40% - Accent6 2 3 7" xfId="5118" xr:uid="{00000000-0005-0000-0000-0000FA130000}"/>
    <cellStyle name="40% - Accent6 2 3 8" xfId="5119" xr:uid="{00000000-0005-0000-0000-0000FB130000}"/>
    <cellStyle name="40% - Accent6 2 3 9" xfId="5120" xr:uid="{00000000-0005-0000-0000-0000FC130000}"/>
    <cellStyle name="40% - Accent6 2 4" xfId="5121" xr:uid="{00000000-0005-0000-0000-0000FD130000}"/>
    <cellStyle name="40% - Accent6 2 4 2" xfId="5122" xr:uid="{00000000-0005-0000-0000-0000FE130000}"/>
    <cellStyle name="40% - Accent6 2 4 2 2" xfId="5123" xr:uid="{00000000-0005-0000-0000-0000FF130000}"/>
    <cellStyle name="40% - Accent6 2 4 2 3" xfId="5124" xr:uid="{00000000-0005-0000-0000-000000140000}"/>
    <cellStyle name="40% - Accent6 2 4 3" xfId="5125" xr:uid="{00000000-0005-0000-0000-000001140000}"/>
    <cellStyle name="40% - Accent6 2 4 4" xfId="5126" xr:uid="{00000000-0005-0000-0000-000002140000}"/>
    <cellStyle name="40% - Accent6 2 4 5" xfId="5127" xr:uid="{00000000-0005-0000-0000-000003140000}"/>
    <cellStyle name="40% - Accent6 2 4 6" xfId="5128" xr:uid="{00000000-0005-0000-0000-000004140000}"/>
    <cellStyle name="40% - Accent6 2 5" xfId="5129" xr:uid="{00000000-0005-0000-0000-000005140000}"/>
    <cellStyle name="40% - Accent6 2 5 2" xfId="5130" xr:uid="{00000000-0005-0000-0000-000006140000}"/>
    <cellStyle name="40% - Accent6 2 5 2 2" xfId="5131" xr:uid="{00000000-0005-0000-0000-000007140000}"/>
    <cellStyle name="40% - Accent6 2 5 3" xfId="5132" xr:uid="{00000000-0005-0000-0000-000008140000}"/>
    <cellStyle name="40% - Accent6 2 5 4" xfId="5133" xr:uid="{00000000-0005-0000-0000-000009140000}"/>
    <cellStyle name="40% - Accent6 2 5 5" xfId="5134" xr:uid="{00000000-0005-0000-0000-00000A140000}"/>
    <cellStyle name="40% - Accent6 2 6" xfId="5135" xr:uid="{00000000-0005-0000-0000-00000B140000}"/>
    <cellStyle name="40% - Accent6 2 6 2" xfId="5136" xr:uid="{00000000-0005-0000-0000-00000C140000}"/>
    <cellStyle name="40% - Accent6 2 6 2 2" xfId="5137" xr:uid="{00000000-0005-0000-0000-00000D140000}"/>
    <cellStyle name="40% - Accent6 2 6 3" xfId="5138" xr:uid="{00000000-0005-0000-0000-00000E140000}"/>
    <cellStyle name="40% - Accent6 2 6 4" xfId="5139" xr:uid="{00000000-0005-0000-0000-00000F140000}"/>
    <cellStyle name="40% - Accent6 2 6 5" xfId="5140" xr:uid="{00000000-0005-0000-0000-000010140000}"/>
    <cellStyle name="40% - Accent6 2 7" xfId="5141" xr:uid="{00000000-0005-0000-0000-000011140000}"/>
    <cellStyle name="40% - Accent6 2 7 2" xfId="5142" xr:uid="{00000000-0005-0000-0000-000012140000}"/>
    <cellStyle name="40% - Accent6 2 8" xfId="5143" xr:uid="{00000000-0005-0000-0000-000013140000}"/>
    <cellStyle name="40% - Accent6 2 9" xfId="5144" xr:uid="{00000000-0005-0000-0000-000014140000}"/>
    <cellStyle name="40% - Accent6 3" xfId="5145" xr:uid="{00000000-0005-0000-0000-000015140000}"/>
    <cellStyle name="40% - Accent6 3 10" xfId="5146" xr:uid="{00000000-0005-0000-0000-000016140000}"/>
    <cellStyle name="40% - Accent6 3 2" xfId="5147" xr:uid="{00000000-0005-0000-0000-000017140000}"/>
    <cellStyle name="40% - Accent6 3 2 2" xfId="5148" xr:uid="{00000000-0005-0000-0000-000018140000}"/>
    <cellStyle name="40% - Accent6 3 2 2 2" xfId="5149" xr:uid="{00000000-0005-0000-0000-000019140000}"/>
    <cellStyle name="40% - Accent6 3 2 2 2 2" xfId="5150" xr:uid="{00000000-0005-0000-0000-00001A140000}"/>
    <cellStyle name="40% - Accent6 3 2 2 2 3" xfId="5151" xr:uid="{00000000-0005-0000-0000-00001B140000}"/>
    <cellStyle name="40% - Accent6 3 2 2 3" xfId="5152" xr:uid="{00000000-0005-0000-0000-00001C140000}"/>
    <cellStyle name="40% - Accent6 3 2 2 4" xfId="5153" xr:uid="{00000000-0005-0000-0000-00001D140000}"/>
    <cellStyle name="40% - Accent6 3 2 2 5" xfId="5154" xr:uid="{00000000-0005-0000-0000-00001E140000}"/>
    <cellStyle name="40% - Accent6 3 2 2 6" xfId="5155" xr:uid="{00000000-0005-0000-0000-00001F140000}"/>
    <cellStyle name="40% - Accent6 3 2 3" xfId="5156" xr:uid="{00000000-0005-0000-0000-000020140000}"/>
    <cellStyle name="40% - Accent6 3 2 3 2" xfId="5157" xr:uid="{00000000-0005-0000-0000-000021140000}"/>
    <cellStyle name="40% - Accent6 3 2 3 2 2" xfId="5158" xr:uid="{00000000-0005-0000-0000-000022140000}"/>
    <cellStyle name="40% - Accent6 3 2 3 3" xfId="5159" xr:uid="{00000000-0005-0000-0000-000023140000}"/>
    <cellStyle name="40% - Accent6 3 2 3 4" xfId="5160" xr:uid="{00000000-0005-0000-0000-000024140000}"/>
    <cellStyle name="40% - Accent6 3 2 3 5" xfId="5161" xr:uid="{00000000-0005-0000-0000-000025140000}"/>
    <cellStyle name="40% - Accent6 3 2 4" xfId="5162" xr:uid="{00000000-0005-0000-0000-000026140000}"/>
    <cellStyle name="40% - Accent6 3 2 4 2" xfId="5163" xr:uid="{00000000-0005-0000-0000-000027140000}"/>
    <cellStyle name="40% - Accent6 3 2 4 3" xfId="5164" xr:uid="{00000000-0005-0000-0000-000028140000}"/>
    <cellStyle name="40% - Accent6 3 2 4 4" xfId="5165" xr:uid="{00000000-0005-0000-0000-000029140000}"/>
    <cellStyle name="40% - Accent6 3 2 5" xfId="5166" xr:uid="{00000000-0005-0000-0000-00002A140000}"/>
    <cellStyle name="40% - Accent6 3 2 5 2" xfId="5167" xr:uid="{00000000-0005-0000-0000-00002B140000}"/>
    <cellStyle name="40% - Accent6 3 2 6" xfId="5168" xr:uid="{00000000-0005-0000-0000-00002C140000}"/>
    <cellStyle name="40% - Accent6 3 2 7" xfId="5169" xr:uid="{00000000-0005-0000-0000-00002D140000}"/>
    <cellStyle name="40% - Accent6 3 2 8" xfId="5170" xr:uid="{00000000-0005-0000-0000-00002E140000}"/>
    <cellStyle name="40% - Accent6 3 2 9" xfId="5171" xr:uid="{00000000-0005-0000-0000-00002F140000}"/>
    <cellStyle name="40% - Accent6 3 3" xfId="5172" xr:uid="{00000000-0005-0000-0000-000030140000}"/>
    <cellStyle name="40% - Accent6 3 3 2" xfId="5173" xr:uid="{00000000-0005-0000-0000-000031140000}"/>
    <cellStyle name="40% - Accent6 3 3 2 2" xfId="5174" xr:uid="{00000000-0005-0000-0000-000032140000}"/>
    <cellStyle name="40% - Accent6 3 3 2 3" xfId="5175" xr:uid="{00000000-0005-0000-0000-000033140000}"/>
    <cellStyle name="40% - Accent6 3 3 3" xfId="5176" xr:uid="{00000000-0005-0000-0000-000034140000}"/>
    <cellStyle name="40% - Accent6 3 3 4" xfId="5177" xr:uid="{00000000-0005-0000-0000-000035140000}"/>
    <cellStyle name="40% - Accent6 3 3 5" xfId="5178" xr:uid="{00000000-0005-0000-0000-000036140000}"/>
    <cellStyle name="40% - Accent6 3 3 6" xfId="5179" xr:uid="{00000000-0005-0000-0000-000037140000}"/>
    <cellStyle name="40% - Accent6 3 4" xfId="5180" xr:uid="{00000000-0005-0000-0000-000038140000}"/>
    <cellStyle name="40% - Accent6 3 4 2" xfId="5181" xr:uid="{00000000-0005-0000-0000-000039140000}"/>
    <cellStyle name="40% - Accent6 3 4 2 2" xfId="5182" xr:uid="{00000000-0005-0000-0000-00003A140000}"/>
    <cellStyle name="40% - Accent6 3 4 3" xfId="5183" xr:uid="{00000000-0005-0000-0000-00003B140000}"/>
    <cellStyle name="40% - Accent6 3 4 4" xfId="5184" xr:uid="{00000000-0005-0000-0000-00003C140000}"/>
    <cellStyle name="40% - Accent6 3 4 5" xfId="5185" xr:uid="{00000000-0005-0000-0000-00003D140000}"/>
    <cellStyle name="40% - Accent6 3 5" xfId="5186" xr:uid="{00000000-0005-0000-0000-00003E140000}"/>
    <cellStyle name="40% - Accent6 3 5 2" xfId="5187" xr:uid="{00000000-0005-0000-0000-00003F140000}"/>
    <cellStyle name="40% - Accent6 3 5 2 2" xfId="5188" xr:uid="{00000000-0005-0000-0000-000040140000}"/>
    <cellStyle name="40% - Accent6 3 5 3" xfId="5189" xr:uid="{00000000-0005-0000-0000-000041140000}"/>
    <cellStyle name="40% - Accent6 3 5 4" xfId="5190" xr:uid="{00000000-0005-0000-0000-000042140000}"/>
    <cellStyle name="40% - Accent6 3 5 5" xfId="5191" xr:uid="{00000000-0005-0000-0000-000043140000}"/>
    <cellStyle name="40% - Accent6 3 6" xfId="5192" xr:uid="{00000000-0005-0000-0000-000044140000}"/>
    <cellStyle name="40% - Accent6 3 6 2" xfId="5193" xr:uid="{00000000-0005-0000-0000-000045140000}"/>
    <cellStyle name="40% - Accent6 3 7" xfId="5194" xr:uid="{00000000-0005-0000-0000-000046140000}"/>
    <cellStyle name="40% - Accent6 3 8" xfId="5195" xr:uid="{00000000-0005-0000-0000-000047140000}"/>
    <cellStyle name="40% - Accent6 3 9" xfId="5196" xr:uid="{00000000-0005-0000-0000-000048140000}"/>
    <cellStyle name="40% - Accent6 4" xfId="5197" xr:uid="{00000000-0005-0000-0000-000049140000}"/>
    <cellStyle name="40% - Accent6 4 10" xfId="5198" xr:uid="{00000000-0005-0000-0000-00004A140000}"/>
    <cellStyle name="40% - Accent6 4 2" xfId="5199" xr:uid="{00000000-0005-0000-0000-00004B140000}"/>
    <cellStyle name="40% - Accent6 4 2 2" xfId="5200" xr:uid="{00000000-0005-0000-0000-00004C140000}"/>
    <cellStyle name="40% - Accent6 4 2 2 2" xfId="5201" xr:uid="{00000000-0005-0000-0000-00004D140000}"/>
    <cellStyle name="40% - Accent6 4 2 2 2 2" xfId="5202" xr:uid="{00000000-0005-0000-0000-00004E140000}"/>
    <cellStyle name="40% - Accent6 4 2 2 2 3" xfId="5203" xr:uid="{00000000-0005-0000-0000-00004F140000}"/>
    <cellStyle name="40% - Accent6 4 2 2 3" xfId="5204" xr:uid="{00000000-0005-0000-0000-000050140000}"/>
    <cellStyle name="40% - Accent6 4 2 2 4" xfId="5205" xr:uid="{00000000-0005-0000-0000-000051140000}"/>
    <cellStyle name="40% - Accent6 4 2 2 5" xfId="5206" xr:uid="{00000000-0005-0000-0000-000052140000}"/>
    <cellStyle name="40% - Accent6 4 2 2 6" xfId="5207" xr:uid="{00000000-0005-0000-0000-000053140000}"/>
    <cellStyle name="40% - Accent6 4 2 3" xfId="5208" xr:uid="{00000000-0005-0000-0000-000054140000}"/>
    <cellStyle name="40% - Accent6 4 2 3 2" xfId="5209" xr:uid="{00000000-0005-0000-0000-000055140000}"/>
    <cellStyle name="40% - Accent6 4 2 3 2 2" xfId="5210" xr:uid="{00000000-0005-0000-0000-000056140000}"/>
    <cellStyle name="40% - Accent6 4 2 3 3" xfId="5211" xr:uid="{00000000-0005-0000-0000-000057140000}"/>
    <cellStyle name="40% - Accent6 4 2 3 4" xfId="5212" xr:uid="{00000000-0005-0000-0000-000058140000}"/>
    <cellStyle name="40% - Accent6 4 2 3 5" xfId="5213" xr:uid="{00000000-0005-0000-0000-000059140000}"/>
    <cellStyle name="40% - Accent6 4 2 4" xfId="5214" xr:uid="{00000000-0005-0000-0000-00005A140000}"/>
    <cellStyle name="40% - Accent6 4 2 4 2" xfId="5215" xr:uid="{00000000-0005-0000-0000-00005B140000}"/>
    <cellStyle name="40% - Accent6 4 2 4 3" xfId="5216" xr:uid="{00000000-0005-0000-0000-00005C140000}"/>
    <cellStyle name="40% - Accent6 4 2 4 4" xfId="5217" xr:uid="{00000000-0005-0000-0000-00005D140000}"/>
    <cellStyle name="40% - Accent6 4 2 5" xfId="5218" xr:uid="{00000000-0005-0000-0000-00005E140000}"/>
    <cellStyle name="40% - Accent6 4 2 5 2" xfId="5219" xr:uid="{00000000-0005-0000-0000-00005F140000}"/>
    <cellStyle name="40% - Accent6 4 2 6" xfId="5220" xr:uid="{00000000-0005-0000-0000-000060140000}"/>
    <cellStyle name="40% - Accent6 4 2 7" xfId="5221" xr:uid="{00000000-0005-0000-0000-000061140000}"/>
    <cellStyle name="40% - Accent6 4 2 8" xfId="5222" xr:uid="{00000000-0005-0000-0000-000062140000}"/>
    <cellStyle name="40% - Accent6 4 2 9" xfId="5223" xr:uid="{00000000-0005-0000-0000-000063140000}"/>
    <cellStyle name="40% - Accent6 4 3" xfId="5224" xr:uid="{00000000-0005-0000-0000-000064140000}"/>
    <cellStyle name="40% - Accent6 4 3 2" xfId="5225" xr:uid="{00000000-0005-0000-0000-000065140000}"/>
    <cellStyle name="40% - Accent6 4 3 2 2" xfId="5226" xr:uid="{00000000-0005-0000-0000-000066140000}"/>
    <cellStyle name="40% - Accent6 4 3 2 3" xfId="5227" xr:uid="{00000000-0005-0000-0000-000067140000}"/>
    <cellStyle name="40% - Accent6 4 3 3" xfId="5228" xr:uid="{00000000-0005-0000-0000-000068140000}"/>
    <cellStyle name="40% - Accent6 4 3 4" xfId="5229" xr:uid="{00000000-0005-0000-0000-000069140000}"/>
    <cellStyle name="40% - Accent6 4 3 5" xfId="5230" xr:uid="{00000000-0005-0000-0000-00006A140000}"/>
    <cellStyle name="40% - Accent6 4 3 6" xfId="5231" xr:uid="{00000000-0005-0000-0000-00006B140000}"/>
    <cellStyle name="40% - Accent6 4 4" xfId="5232" xr:uid="{00000000-0005-0000-0000-00006C140000}"/>
    <cellStyle name="40% - Accent6 4 4 2" xfId="5233" xr:uid="{00000000-0005-0000-0000-00006D140000}"/>
    <cellStyle name="40% - Accent6 4 4 2 2" xfId="5234" xr:uid="{00000000-0005-0000-0000-00006E140000}"/>
    <cellStyle name="40% - Accent6 4 4 3" xfId="5235" xr:uid="{00000000-0005-0000-0000-00006F140000}"/>
    <cellStyle name="40% - Accent6 4 4 4" xfId="5236" xr:uid="{00000000-0005-0000-0000-000070140000}"/>
    <cellStyle name="40% - Accent6 4 4 5" xfId="5237" xr:uid="{00000000-0005-0000-0000-000071140000}"/>
    <cellStyle name="40% - Accent6 4 5" xfId="5238" xr:uid="{00000000-0005-0000-0000-000072140000}"/>
    <cellStyle name="40% - Accent6 4 5 2" xfId="5239" xr:uid="{00000000-0005-0000-0000-000073140000}"/>
    <cellStyle name="40% - Accent6 4 5 2 2" xfId="5240" xr:uid="{00000000-0005-0000-0000-000074140000}"/>
    <cellStyle name="40% - Accent6 4 5 3" xfId="5241" xr:uid="{00000000-0005-0000-0000-000075140000}"/>
    <cellStyle name="40% - Accent6 4 5 4" xfId="5242" xr:uid="{00000000-0005-0000-0000-000076140000}"/>
    <cellStyle name="40% - Accent6 4 5 5" xfId="5243" xr:uid="{00000000-0005-0000-0000-000077140000}"/>
    <cellStyle name="40% - Accent6 4 6" xfId="5244" xr:uid="{00000000-0005-0000-0000-000078140000}"/>
    <cellStyle name="40% - Accent6 4 6 2" xfId="5245" xr:uid="{00000000-0005-0000-0000-000079140000}"/>
    <cellStyle name="40% - Accent6 4 7" xfId="5246" xr:uid="{00000000-0005-0000-0000-00007A140000}"/>
    <cellStyle name="40% - Accent6 4 8" xfId="5247" xr:uid="{00000000-0005-0000-0000-00007B140000}"/>
    <cellStyle name="40% - Accent6 4 9" xfId="5248" xr:uid="{00000000-0005-0000-0000-00007C140000}"/>
    <cellStyle name="40% - Accent6 5" xfId="5249" xr:uid="{00000000-0005-0000-0000-00007D140000}"/>
    <cellStyle name="40% - Accent6 5 10" xfId="5250" xr:uid="{00000000-0005-0000-0000-00007E140000}"/>
    <cellStyle name="40% - Accent6 5 2" xfId="5251" xr:uid="{00000000-0005-0000-0000-00007F140000}"/>
    <cellStyle name="40% - Accent6 5 2 2" xfId="5252" xr:uid="{00000000-0005-0000-0000-000080140000}"/>
    <cellStyle name="40% - Accent6 5 2 2 2" xfId="5253" xr:uid="{00000000-0005-0000-0000-000081140000}"/>
    <cellStyle name="40% - Accent6 5 2 2 2 2" xfId="5254" xr:uid="{00000000-0005-0000-0000-000082140000}"/>
    <cellStyle name="40% - Accent6 5 2 2 2 3" xfId="5255" xr:uid="{00000000-0005-0000-0000-000083140000}"/>
    <cellStyle name="40% - Accent6 5 2 2 3" xfId="5256" xr:uid="{00000000-0005-0000-0000-000084140000}"/>
    <cellStyle name="40% - Accent6 5 2 2 4" xfId="5257" xr:uid="{00000000-0005-0000-0000-000085140000}"/>
    <cellStyle name="40% - Accent6 5 2 2 5" xfId="5258" xr:uid="{00000000-0005-0000-0000-000086140000}"/>
    <cellStyle name="40% - Accent6 5 2 2 6" xfId="5259" xr:uid="{00000000-0005-0000-0000-000087140000}"/>
    <cellStyle name="40% - Accent6 5 2 3" xfId="5260" xr:uid="{00000000-0005-0000-0000-000088140000}"/>
    <cellStyle name="40% - Accent6 5 2 3 2" xfId="5261" xr:uid="{00000000-0005-0000-0000-000089140000}"/>
    <cellStyle name="40% - Accent6 5 2 3 2 2" xfId="5262" xr:uid="{00000000-0005-0000-0000-00008A140000}"/>
    <cellStyle name="40% - Accent6 5 2 3 3" xfId="5263" xr:uid="{00000000-0005-0000-0000-00008B140000}"/>
    <cellStyle name="40% - Accent6 5 2 3 4" xfId="5264" xr:uid="{00000000-0005-0000-0000-00008C140000}"/>
    <cellStyle name="40% - Accent6 5 2 3 5" xfId="5265" xr:uid="{00000000-0005-0000-0000-00008D140000}"/>
    <cellStyle name="40% - Accent6 5 2 4" xfId="5266" xr:uid="{00000000-0005-0000-0000-00008E140000}"/>
    <cellStyle name="40% - Accent6 5 2 4 2" xfId="5267" xr:uid="{00000000-0005-0000-0000-00008F140000}"/>
    <cellStyle name="40% - Accent6 5 2 4 3" xfId="5268" xr:uid="{00000000-0005-0000-0000-000090140000}"/>
    <cellStyle name="40% - Accent6 5 2 4 4" xfId="5269" xr:uid="{00000000-0005-0000-0000-000091140000}"/>
    <cellStyle name="40% - Accent6 5 2 5" xfId="5270" xr:uid="{00000000-0005-0000-0000-000092140000}"/>
    <cellStyle name="40% - Accent6 5 2 5 2" xfId="5271" xr:uid="{00000000-0005-0000-0000-000093140000}"/>
    <cellStyle name="40% - Accent6 5 2 6" xfId="5272" xr:uid="{00000000-0005-0000-0000-000094140000}"/>
    <cellStyle name="40% - Accent6 5 2 7" xfId="5273" xr:uid="{00000000-0005-0000-0000-000095140000}"/>
    <cellStyle name="40% - Accent6 5 2 8" xfId="5274" xr:uid="{00000000-0005-0000-0000-000096140000}"/>
    <cellStyle name="40% - Accent6 5 2 9" xfId="5275" xr:uid="{00000000-0005-0000-0000-000097140000}"/>
    <cellStyle name="40% - Accent6 5 3" xfId="5276" xr:uid="{00000000-0005-0000-0000-000098140000}"/>
    <cellStyle name="40% - Accent6 5 3 2" xfId="5277" xr:uid="{00000000-0005-0000-0000-000099140000}"/>
    <cellStyle name="40% - Accent6 5 3 2 2" xfId="5278" xr:uid="{00000000-0005-0000-0000-00009A140000}"/>
    <cellStyle name="40% - Accent6 5 3 2 3" xfId="5279" xr:uid="{00000000-0005-0000-0000-00009B140000}"/>
    <cellStyle name="40% - Accent6 5 3 3" xfId="5280" xr:uid="{00000000-0005-0000-0000-00009C140000}"/>
    <cellStyle name="40% - Accent6 5 3 4" xfId="5281" xr:uid="{00000000-0005-0000-0000-00009D140000}"/>
    <cellStyle name="40% - Accent6 5 3 5" xfId="5282" xr:uid="{00000000-0005-0000-0000-00009E140000}"/>
    <cellStyle name="40% - Accent6 5 3 6" xfId="5283" xr:uid="{00000000-0005-0000-0000-00009F140000}"/>
    <cellStyle name="40% - Accent6 5 4" xfId="5284" xr:uid="{00000000-0005-0000-0000-0000A0140000}"/>
    <cellStyle name="40% - Accent6 5 4 2" xfId="5285" xr:uid="{00000000-0005-0000-0000-0000A1140000}"/>
    <cellStyle name="40% - Accent6 5 4 2 2" xfId="5286" xr:uid="{00000000-0005-0000-0000-0000A2140000}"/>
    <cellStyle name="40% - Accent6 5 4 3" xfId="5287" xr:uid="{00000000-0005-0000-0000-0000A3140000}"/>
    <cellStyle name="40% - Accent6 5 4 4" xfId="5288" xr:uid="{00000000-0005-0000-0000-0000A4140000}"/>
    <cellStyle name="40% - Accent6 5 4 5" xfId="5289" xr:uid="{00000000-0005-0000-0000-0000A5140000}"/>
    <cellStyle name="40% - Accent6 5 5" xfId="5290" xr:uid="{00000000-0005-0000-0000-0000A6140000}"/>
    <cellStyle name="40% - Accent6 5 5 2" xfId="5291" xr:uid="{00000000-0005-0000-0000-0000A7140000}"/>
    <cellStyle name="40% - Accent6 5 5 3" xfId="5292" xr:uid="{00000000-0005-0000-0000-0000A8140000}"/>
    <cellStyle name="40% - Accent6 5 5 4" xfId="5293" xr:uid="{00000000-0005-0000-0000-0000A9140000}"/>
    <cellStyle name="40% - Accent6 5 6" xfId="5294" xr:uid="{00000000-0005-0000-0000-0000AA140000}"/>
    <cellStyle name="40% - Accent6 5 6 2" xfId="5295" xr:uid="{00000000-0005-0000-0000-0000AB140000}"/>
    <cellStyle name="40% - Accent6 5 7" xfId="5296" xr:uid="{00000000-0005-0000-0000-0000AC140000}"/>
    <cellStyle name="40% - Accent6 5 8" xfId="5297" xr:uid="{00000000-0005-0000-0000-0000AD140000}"/>
    <cellStyle name="40% - Accent6 5 9" xfId="5298" xr:uid="{00000000-0005-0000-0000-0000AE140000}"/>
    <cellStyle name="40% - Accent6 6" xfId="5299" xr:uid="{00000000-0005-0000-0000-0000AF140000}"/>
    <cellStyle name="40% - Accent6 6 10" xfId="5300" xr:uid="{00000000-0005-0000-0000-0000B0140000}"/>
    <cellStyle name="40% - Accent6 6 2" xfId="5301" xr:uid="{00000000-0005-0000-0000-0000B1140000}"/>
    <cellStyle name="40% - Accent6 6 2 2" xfId="5302" xr:uid="{00000000-0005-0000-0000-0000B2140000}"/>
    <cellStyle name="40% - Accent6 6 2 2 2" xfId="5303" xr:uid="{00000000-0005-0000-0000-0000B3140000}"/>
    <cellStyle name="40% - Accent6 6 2 2 2 2" xfId="5304" xr:uid="{00000000-0005-0000-0000-0000B4140000}"/>
    <cellStyle name="40% - Accent6 6 2 2 2 3" xfId="5305" xr:uid="{00000000-0005-0000-0000-0000B5140000}"/>
    <cellStyle name="40% - Accent6 6 2 2 3" xfId="5306" xr:uid="{00000000-0005-0000-0000-0000B6140000}"/>
    <cellStyle name="40% - Accent6 6 2 2 4" xfId="5307" xr:uid="{00000000-0005-0000-0000-0000B7140000}"/>
    <cellStyle name="40% - Accent6 6 2 2 5" xfId="5308" xr:uid="{00000000-0005-0000-0000-0000B8140000}"/>
    <cellStyle name="40% - Accent6 6 2 2 6" xfId="5309" xr:uid="{00000000-0005-0000-0000-0000B9140000}"/>
    <cellStyle name="40% - Accent6 6 2 3" xfId="5310" xr:uid="{00000000-0005-0000-0000-0000BA140000}"/>
    <cellStyle name="40% - Accent6 6 2 3 2" xfId="5311" xr:uid="{00000000-0005-0000-0000-0000BB140000}"/>
    <cellStyle name="40% - Accent6 6 2 3 2 2" xfId="5312" xr:uid="{00000000-0005-0000-0000-0000BC140000}"/>
    <cellStyle name="40% - Accent6 6 2 3 3" xfId="5313" xr:uid="{00000000-0005-0000-0000-0000BD140000}"/>
    <cellStyle name="40% - Accent6 6 2 3 4" xfId="5314" xr:uid="{00000000-0005-0000-0000-0000BE140000}"/>
    <cellStyle name="40% - Accent6 6 2 3 5" xfId="5315" xr:uid="{00000000-0005-0000-0000-0000BF140000}"/>
    <cellStyle name="40% - Accent6 6 2 4" xfId="5316" xr:uid="{00000000-0005-0000-0000-0000C0140000}"/>
    <cellStyle name="40% - Accent6 6 2 4 2" xfId="5317" xr:uid="{00000000-0005-0000-0000-0000C1140000}"/>
    <cellStyle name="40% - Accent6 6 2 4 3" xfId="5318" xr:uid="{00000000-0005-0000-0000-0000C2140000}"/>
    <cellStyle name="40% - Accent6 6 2 4 4" xfId="5319" xr:uid="{00000000-0005-0000-0000-0000C3140000}"/>
    <cellStyle name="40% - Accent6 6 2 5" xfId="5320" xr:uid="{00000000-0005-0000-0000-0000C4140000}"/>
    <cellStyle name="40% - Accent6 6 2 5 2" xfId="5321" xr:uid="{00000000-0005-0000-0000-0000C5140000}"/>
    <cellStyle name="40% - Accent6 6 2 6" xfId="5322" xr:uid="{00000000-0005-0000-0000-0000C6140000}"/>
    <cellStyle name="40% - Accent6 6 2 7" xfId="5323" xr:uid="{00000000-0005-0000-0000-0000C7140000}"/>
    <cellStyle name="40% - Accent6 6 2 8" xfId="5324" xr:uid="{00000000-0005-0000-0000-0000C8140000}"/>
    <cellStyle name="40% - Accent6 6 2 9" xfId="5325" xr:uid="{00000000-0005-0000-0000-0000C9140000}"/>
    <cellStyle name="40% - Accent6 6 3" xfId="5326" xr:uid="{00000000-0005-0000-0000-0000CA140000}"/>
    <cellStyle name="40% - Accent6 6 3 2" xfId="5327" xr:uid="{00000000-0005-0000-0000-0000CB140000}"/>
    <cellStyle name="40% - Accent6 6 3 2 2" xfId="5328" xr:uid="{00000000-0005-0000-0000-0000CC140000}"/>
    <cellStyle name="40% - Accent6 6 3 2 3" xfId="5329" xr:uid="{00000000-0005-0000-0000-0000CD140000}"/>
    <cellStyle name="40% - Accent6 6 3 3" xfId="5330" xr:uid="{00000000-0005-0000-0000-0000CE140000}"/>
    <cellStyle name="40% - Accent6 6 3 4" xfId="5331" xr:uid="{00000000-0005-0000-0000-0000CF140000}"/>
    <cellStyle name="40% - Accent6 6 3 5" xfId="5332" xr:uid="{00000000-0005-0000-0000-0000D0140000}"/>
    <cellStyle name="40% - Accent6 6 3 6" xfId="5333" xr:uid="{00000000-0005-0000-0000-0000D1140000}"/>
    <cellStyle name="40% - Accent6 6 4" xfId="5334" xr:uid="{00000000-0005-0000-0000-0000D2140000}"/>
    <cellStyle name="40% - Accent6 6 4 2" xfId="5335" xr:uid="{00000000-0005-0000-0000-0000D3140000}"/>
    <cellStyle name="40% - Accent6 6 4 2 2" xfId="5336" xr:uid="{00000000-0005-0000-0000-0000D4140000}"/>
    <cellStyle name="40% - Accent6 6 4 3" xfId="5337" xr:uid="{00000000-0005-0000-0000-0000D5140000}"/>
    <cellStyle name="40% - Accent6 6 4 4" xfId="5338" xr:uid="{00000000-0005-0000-0000-0000D6140000}"/>
    <cellStyle name="40% - Accent6 6 4 5" xfId="5339" xr:uid="{00000000-0005-0000-0000-0000D7140000}"/>
    <cellStyle name="40% - Accent6 6 5" xfId="5340" xr:uid="{00000000-0005-0000-0000-0000D8140000}"/>
    <cellStyle name="40% - Accent6 6 5 2" xfId="5341" xr:uid="{00000000-0005-0000-0000-0000D9140000}"/>
    <cellStyle name="40% - Accent6 6 5 3" xfId="5342" xr:uid="{00000000-0005-0000-0000-0000DA140000}"/>
    <cellStyle name="40% - Accent6 6 5 4" xfId="5343" xr:uid="{00000000-0005-0000-0000-0000DB140000}"/>
    <cellStyle name="40% - Accent6 6 6" xfId="5344" xr:uid="{00000000-0005-0000-0000-0000DC140000}"/>
    <cellStyle name="40% - Accent6 6 6 2" xfId="5345" xr:uid="{00000000-0005-0000-0000-0000DD140000}"/>
    <cellStyle name="40% - Accent6 6 7" xfId="5346" xr:uid="{00000000-0005-0000-0000-0000DE140000}"/>
    <cellStyle name="40% - Accent6 6 8" xfId="5347" xr:uid="{00000000-0005-0000-0000-0000DF140000}"/>
    <cellStyle name="40% - Accent6 6 9" xfId="5348" xr:uid="{00000000-0005-0000-0000-0000E0140000}"/>
    <cellStyle name="40% - Accent6 7" xfId="5349" xr:uid="{00000000-0005-0000-0000-0000E1140000}"/>
    <cellStyle name="40% - Accent6 7 2" xfId="5350" xr:uid="{00000000-0005-0000-0000-0000E2140000}"/>
    <cellStyle name="40% - Accent6 7 2 2" xfId="5351" xr:uid="{00000000-0005-0000-0000-0000E3140000}"/>
    <cellStyle name="40% - Accent6 7 2 2 2" xfId="5352" xr:uid="{00000000-0005-0000-0000-0000E4140000}"/>
    <cellStyle name="40% - Accent6 7 2 2 3" xfId="5353" xr:uid="{00000000-0005-0000-0000-0000E5140000}"/>
    <cellStyle name="40% - Accent6 7 2 3" xfId="5354" xr:uid="{00000000-0005-0000-0000-0000E6140000}"/>
    <cellStyle name="40% - Accent6 7 2 4" xfId="5355" xr:uid="{00000000-0005-0000-0000-0000E7140000}"/>
    <cellStyle name="40% - Accent6 7 2 5" xfId="5356" xr:uid="{00000000-0005-0000-0000-0000E8140000}"/>
    <cellStyle name="40% - Accent6 7 2 6" xfId="5357" xr:uid="{00000000-0005-0000-0000-0000E9140000}"/>
    <cellStyle name="40% - Accent6 7 3" xfId="5358" xr:uid="{00000000-0005-0000-0000-0000EA140000}"/>
    <cellStyle name="40% - Accent6 7 3 2" xfId="5359" xr:uid="{00000000-0005-0000-0000-0000EB140000}"/>
    <cellStyle name="40% - Accent6 7 3 2 2" xfId="5360" xr:uid="{00000000-0005-0000-0000-0000EC140000}"/>
    <cellStyle name="40% - Accent6 7 3 3" xfId="5361" xr:uid="{00000000-0005-0000-0000-0000ED140000}"/>
    <cellStyle name="40% - Accent6 7 3 4" xfId="5362" xr:uid="{00000000-0005-0000-0000-0000EE140000}"/>
    <cellStyle name="40% - Accent6 7 3 5" xfId="5363" xr:uid="{00000000-0005-0000-0000-0000EF140000}"/>
    <cellStyle name="40% - Accent6 7 4" xfId="5364" xr:uid="{00000000-0005-0000-0000-0000F0140000}"/>
    <cellStyle name="40% - Accent6 7 4 2" xfId="5365" xr:uid="{00000000-0005-0000-0000-0000F1140000}"/>
    <cellStyle name="40% - Accent6 7 4 3" xfId="5366" xr:uid="{00000000-0005-0000-0000-0000F2140000}"/>
    <cellStyle name="40% - Accent6 7 4 4" xfId="5367" xr:uid="{00000000-0005-0000-0000-0000F3140000}"/>
    <cellStyle name="40% - Accent6 7 5" xfId="5368" xr:uid="{00000000-0005-0000-0000-0000F4140000}"/>
    <cellStyle name="40% - Accent6 7 5 2" xfId="5369" xr:uid="{00000000-0005-0000-0000-0000F5140000}"/>
    <cellStyle name="40% - Accent6 7 6" xfId="5370" xr:uid="{00000000-0005-0000-0000-0000F6140000}"/>
    <cellStyle name="40% - Accent6 7 7" xfId="5371" xr:uid="{00000000-0005-0000-0000-0000F7140000}"/>
    <cellStyle name="40% - Accent6 7 8" xfId="5372" xr:uid="{00000000-0005-0000-0000-0000F8140000}"/>
    <cellStyle name="40% - Accent6 7 9" xfId="5373" xr:uid="{00000000-0005-0000-0000-0000F9140000}"/>
    <cellStyle name="40% - Accent6 8" xfId="5374" xr:uid="{00000000-0005-0000-0000-0000FA140000}"/>
    <cellStyle name="40% - Accent6 8 2" xfId="5375" xr:uid="{00000000-0005-0000-0000-0000FB140000}"/>
    <cellStyle name="40% - Accent6 8 2 2" xfId="5376" xr:uid="{00000000-0005-0000-0000-0000FC140000}"/>
    <cellStyle name="40% - Accent6 8 2 2 2" xfId="5377" xr:uid="{00000000-0005-0000-0000-0000FD140000}"/>
    <cellStyle name="40% - Accent6 8 2 2 3" xfId="5378" xr:uid="{00000000-0005-0000-0000-0000FE140000}"/>
    <cellStyle name="40% - Accent6 8 2 3" xfId="5379" xr:uid="{00000000-0005-0000-0000-0000FF140000}"/>
    <cellStyle name="40% - Accent6 8 2 4" xfId="5380" xr:uid="{00000000-0005-0000-0000-000000150000}"/>
    <cellStyle name="40% - Accent6 8 2 5" xfId="5381" xr:uid="{00000000-0005-0000-0000-000001150000}"/>
    <cellStyle name="40% - Accent6 8 2 6" xfId="5382" xr:uid="{00000000-0005-0000-0000-000002150000}"/>
    <cellStyle name="40% - Accent6 8 3" xfId="5383" xr:uid="{00000000-0005-0000-0000-000003150000}"/>
    <cellStyle name="40% - Accent6 8 3 2" xfId="5384" xr:uid="{00000000-0005-0000-0000-000004150000}"/>
    <cellStyle name="40% - Accent6 8 3 2 2" xfId="5385" xr:uid="{00000000-0005-0000-0000-000005150000}"/>
    <cellStyle name="40% - Accent6 8 3 3" xfId="5386" xr:uid="{00000000-0005-0000-0000-000006150000}"/>
    <cellStyle name="40% - Accent6 8 3 4" xfId="5387" xr:uid="{00000000-0005-0000-0000-000007150000}"/>
    <cellStyle name="40% - Accent6 8 3 5" xfId="5388" xr:uid="{00000000-0005-0000-0000-000008150000}"/>
    <cellStyle name="40% - Accent6 8 4" xfId="5389" xr:uid="{00000000-0005-0000-0000-000009150000}"/>
    <cellStyle name="40% - Accent6 8 4 2" xfId="5390" xr:uid="{00000000-0005-0000-0000-00000A150000}"/>
    <cellStyle name="40% - Accent6 8 4 3" xfId="5391" xr:uid="{00000000-0005-0000-0000-00000B150000}"/>
    <cellStyle name="40% - Accent6 8 4 4" xfId="5392" xr:uid="{00000000-0005-0000-0000-00000C150000}"/>
    <cellStyle name="40% - Accent6 8 5" xfId="5393" xr:uid="{00000000-0005-0000-0000-00000D150000}"/>
    <cellStyle name="40% - Accent6 8 5 2" xfId="5394" xr:uid="{00000000-0005-0000-0000-00000E150000}"/>
    <cellStyle name="40% - Accent6 8 6" xfId="5395" xr:uid="{00000000-0005-0000-0000-00000F150000}"/>
    <cellStyle name="40% - Accent6 8 7" xfId="5396" xr:uid="{00000000-0005-0000-0000-000010150000}"/>
    <cellStyle name="40% - Accent6 8 8" xfId="5397" xr:uid="{00000000-0005-0000-0000-000011150000}"/>
    <cellStyle name="40% - Accent6 8 9" xfId="5398" xr:uid="{00000000-0005-0000-0000-000012150000}"/>
    <cellStyle name="40% - Accent6 9" xfId="5399" xr:uid="{00000000-0005-0000-0000-000013150000}"/>
    <cellStyle name="40% - Accent6 9 2" xfId="5400" xr:uid="{00000000-0005-0000-0000-000014150000}"/>
    <cellStyle name="40% - Accent6 9 2 2" xfId="5401" xr:uid="{00000000-0005-0000-0000-000015150000}"/>
    <cellStyle name="40% - Accent6 9 2 2 2" xfId="5402" xr:uid="{00000000-0005-0000-0000-000016150000}"/>
    <cellStyle name="40% - Accent6 9 2 3" xfId="5403" xr:uid="{00000000-0005-0000-0000-000017150000}"/>
    <cellStyle name="40% - Accent6 9 2 4" xfId="5404" xr:uid="{00000000-0005-0000-0000-000018150000}"/>
    <cellStyle name="40% - Accent6 9 2 5" xfId="5405" xr:uid="{00000000-0005-0000-0000-000019150000}"/>
    <cellStyle name="40% - Accent6 9 3" xfId="5406" xr:uid="{00000000-0005-0000-0000-00001A150000}"/>
    <cellStyle name="40% - Accent6 9 3 2" xfId="5407" xr:uid="{00000000-0005-0000-0000-00001B150000}"/>
    <cellStyle name="40% - Accent6 9 3 3" xfId="5408" xr:uid="{00000000-0005-0000-0000-00001C150000}"/>
    <cellStyle name="40% - Accent6 9 3 4" xfId="5409" xr:uid="{00000000-0005-0000-0000-00001D150000}"/>
    <cellStyle name="40% - Accent6 9 4" xfId="5410" xr:uid="{00000000-0005-0000-0000-00001E150000}"/>
    <cellStyle name="40% - Accent6 9 4 2" xfId="5411" xr:uid="{00000000-0005-0000-0000-00001F150000}"/>
    <cellStyle name="40% - Accent6 9 5" xfId="5412" xr:uid="{00000000-0005-0000-0000-000020150000}"/>
    <cellStyle name="40% - Accent6 9 6" xfId="5413" xr:uid="{00000000-0005-0000-0000-000021150000}"/>
    <cellStyle name="40% - Accent6 9 7" xfId="5414" xr:uid="{00000000-0005-0000-0000-000022150000}"/>
    <cellStyle name="40% - Accent6 9 8" xfId="5415" xr:uid="{00000000-0005-0000-0000-000023150000}"/>
    <cellStyle name="C00A" xfId="5416" xr:uid="{00000000-0005-0000-0000-000024150000}"/>
    <cellStyle name="C00B" xfId="5417" xr:uid="{00000000-0005-0000-0000-000025150000}"/>
    <cellStyle name="C00L" xfId="5418" xr:uid="{00000000-0005-0000-0000-000026150000}"/>
    <cellStyle name="C01A" xfId="5419" xr:uid="{00000000-0005-0000-0000-000027150000}"/>
    <cellStyle name="C01B" xfId="5420" xr:uid="{00000000-0005-0000-0000-000028150000}"/>
    <cellStyle name="C01H" xfId="5421" xr:uid="{00000000-0005-0000-0000-000029150000}"/>
    <cellStyle name="C01L" xfId="5422" xr:uid="{00000000-0005-0000-0000-00002A150000}"/>
    <cellStyle name="C02A" xfId="5423" xr:uid="{00000000-0005-0000-0000-00002B150000}"/>
    <cellStyle name="C02B" xfId="5424" xr:uid="{00000000-0005-0000-0000-00002C150000}"/>
    <cellStyle name="C02H" xfId="5425" xr:uid="{00000000-0005-0000-0000-00002D150000}"/>
    <cellStyle name="C02L" xfId="5426" xr:uid="{00000000-0005-0000-0000-00002E150000}"/>
    <cellStyle name="C03A" xfId="5427" xr:uid="{00000000-0005-0000-0000-00002F150000}"/>
    <cellStyle name="C03B" xfId="5428" xr:uid="{00000000-0005-0000-0000-000030150000}"/>
    <cellStyle name="C03H" xfId="5429" xr:uid="{00000000-0005-0000-0000-000031150000}"/>
    <cellStyle name="C03L" xfId="5430" xr:uid="{00000000-0005-0000-0000-000032150000}"/>
    <cellStyle name="C04A" xfId="5431" xr:uid="{00000000-0005-0000-0000-000033150000}"/>
    <cellStyle name="C04B" xfId="5432" xr:uid="{00000000-0005-0000-0000-000034150000}"/>
    <cellStyle name="C04H" xfId="5433" xr:uid="{00000000-0005-0000-0000-000035150000}"/>
    <cellStyle name="C04L" xfId="5434" xr:uid="{00000000-0005-0000-0000-000036150000}"/>
    <cellStyle name="C05A" xfId="5435" xr:uid="{00000000-0005-0000-0000-000037150000}"/>
    <cellStyle name="C05B" xfId="5436" xr:uid="{00000000-0005-0000-0000-000038150000}"/>
    <cellStyle name="C05H" xfId="5437" xr:uid="{00000000-0005-0000-0000-000039150000}"/>
    <cellStyle name="C05L" xfId="5438" xr:uid="{00000000-0005-0000-0000-00003A150000}"/>
    <cellStyle name="C06A" xfId="5439" xr:uid="{00000000-0005-0000-0000-00003B150000}"/>
    <cellStyle name="C06B" xfId="5440" xr:uid="{00000000-0005-0000-0000-00003C150000}"/>
    <cellStyle name="C06H" xfId="5441" xr:uid="{00000000-0005-0000-0000-00003D150000}"/>
    <cellStyle name="C06L" xfId="5442" xr:uid="{00000000-0005-0000-0000-00003E150000}"/>
    <cellStyle name="C07A" xfId="5443" xr:uid="{00000000-0005-0000-0000-00003F150000}"/>
    <cellStyle name="C07B" xfId="5444" xr:uid="{00000000-0005-0000-0000-000040150000}"/>
    <cellStyle name="C07H" xfId="5445" xr:uid="{00000000-0005-0000-0000-000041150000}"/>
    <cellStyle name="C07L" xfId="5446" xr:uid="{00000000-0005-0000-0000-000042150000}"/>
    <cellStyle name="Comma" xfId="1" builtinId="3"/>
    <cellStyle name="Comma 10" xfId="5447" xr:uid="{00000000-0005-0000-0000-000044150000}"/>
    <cellStyle name="Comma 11" xfId="5448" xr:uid="{00000000-0005-0000-0000-000045150000}"/>
    <cellStyle name="Comma 12" xfId="5449" xr:uid="{00000000-0005-0000-0000-000046150000}"/>
    <cellStyle name="Comma 13" xfId="5450" xr:uid="{00000000-0005-0000-0000-000047150000}"/>
    <cellStyle name="Comma 14" xfId="5451" xr:uid="{00000000-0005-0000-0000-000048150000}"/>
    <cellStyle name="Comma 15" xfId="5452" xr:uid="{00000000-0005-0000-0000-000049150000}"/>
    <cellStyle name="Comma 16" xfId="5453" xr:uid="{00000000-0005-0000-0000-00004A150000}"/>
    <cellStyle name="Comma 17" xfId="5454" xr:uid="{00000000-0005-0000-0000-00004B150000}"/>
    <cellStyle name="Comma 18" xfId="5455" xr:uid="{00000000-0005-0000-0000-00004C150000}"/>
    <cellStyle name="Comma 19" xfId="5456" xr:uid="{00000000-0005-0000-0000-00004D150000}"/>
    <cellStyle name="Comma 2" xfId="5457" xr:uid="{00000000-0005-0000-0000-00004E150000}"/>
    <cellStyle name="Comma 2 10" xfId="5458" xr:uid="{00000000-0005-0000-0000-00004F150000}"/>
    <cellStyle name="Comma 2 10 10" xfId="5459" xr:uid="{00000000-0005-0000-0000-000050150000}"/>
    <cellStyle name="Comma 2 10 11" xfId="5460" xr:uid="{00000000-0005-0000-0000-000051150000}"/>
    <cellStyle name="Comma 2 10 2" xfId="5461" xr:uid="{00000000-0005-0000-0000-000052150000}"/>
    <cellStyle name="Comma 2 10 2 2" xfId="5462" xr:uid="{00000000-0005-0000-0000-000053150000}"/>
    <cellStyle name="Comma 2 10 2 2 2" xfId="5463" xr:uid="{00000000-0005-0000-0000-000054150000}"/>
    <cellStyle name="Comma 2 10 2 2 2 2" xfId="5464" xr:uid="{00000000-0005-0000-0000-000055150000}"/>
    <cellStyle name="Comma 2 10 2 2 2 3" xfId="5465" xr:uid="{00000000-0005-0000-0000-000056150000}"/>
    <cellStyle name="Comma 2 10 2 2 3" xfId="5466" xr:uid="{00000000-0005-0000-0000-000057150000}"/>
    <cellStyle name="Comma 2 10 2 2 4" xfId="5467" xr:uid="{00000000-0005-0000-0000-000058150000}"/>
    <cellStyle name="Comma 2 10 2 2 5" xfId="5468" xr:uid="{00000000-0005-0000-0000-000059150000}"/>
    <cellStyle name="Comma 2 10 2 2 6" xfId="5469" xr:uid="{00000000-0005-0000-0000-00005A150000}"/>
    <cellStyle name="Comma 2 10 2 3" xfId="5470" xr:uid="{00000000-0005-0000-0000-00005B150000}"/>
    <cellStyle name="Comma 2 10 2 3 2" xfId="5471" xr:uid="{00000000-0005-0000-0000-00005C150000}"/>
    <cellStyle name="Comma 2 10 2 3 2 2" xfId="5472" xr:uid="{00000000-0005-0000-0000-00005D150000}"/>
    <cellStyle name="Comma 2 10 2 3 3" xfId="5473" xr:uid="{00000000-0005-0000-0000-00005E150000}"/>
    <cellStyle name="Comma 2 10 2 3 4" xfId="5474" xr:uid="{00000000-0005-0000-0000-00005F150000}"/>
    <cellStyle name="Comma 2 10 2 3 5" xfId="5475" xr:uid="{00000000-0005-0000-0000-000060150000}"/>
    <cellStyle name="Comma 2 10 2 4" xfId="5476" xr:uid="{00000000-0005-0000-0000-000061150000}"/>
    <cellStyle name="Comma 2 10 2 4 2" xfId="5477" xr:uid="{00000000-0005-0000-0000-000062150000}"/>
    <cellStyle name="Comma 2 10 2 4 3" xfId="5478" xr:uid="{00000000-0005-0000-0000-000063150000}"/>
    <cellStyle name="Comma 2 10 2 4 4" xfId="5479" xr:uid="{00000000-0005-0000-0000-000064150000}"/>
    <cellStyle name="Comma 2 10 2 5" xfId="5480" xr:uid="{00000000-0005-0000-0000-000065150000}"/>
    <cellStyle name="Comma 2 10 2 5 2" xfId="5481" xr:uid="{00000000-0005-0000-0000-000066150000}"/>
    <cellStyle name="Comma 2 10 2 6" xfId="5482" xr:uid="{00000000-0005-0000-0000-000067150000}"/>
    <cellStyle name="Comma 2 10 2 7" xfId="5483" xr:uid="{00000000-0005-0000-0000-000068150000}"/>
    <cellStyle name="Comma 2 10 2 8" xfId="5484" xr:uid="{00000000-0005-0000-0000-000069150000}"/>
    <cellStyle name="Comma 2 10 2 9" xfId="5485" xr:uid="{00000000-0005-0000-0000-00006A150000}"/>
    <cellStyle name="Comma 2 10 3" xfId="5486" xr:uid="{00000000-0005-0000-0000-00006B150000}"/>
    <cellStyle name="Comma 2 10 3 2" xfId="5487" xr:uid="{00000000-0005-0000-0000-00006C150000}"/>
    <cellStyle name="Comma 2 10 3 2 2" xfId="5488" xr:uid="{00000000-0005-0000-0000-00006D150000}"/>
    <cellStyle name="Comma 2 10 3 2 2 2" xfId="5489" xr:uid="{00000000-0005-0000-0000-00006E150000}"/>
    <cellStyle name="Comma 2 10 3 2 2 3" xfId="5490" xr:uid="{00000000-0005-0000-0000-00006F150000}"/>
    <cellStyle name="Comma 2 10 3 2 3" xfId="5491" xr:uid="{00000000-0005-0000-0000-000070150000}"/>
    <cellStyle name="Comma 2 10 3 2 4" xfId="5492" xr:uid="{00000000-0005-0000-0000-000071150000}"/>
    <cellStyle name="Comma 2 10 3 2 5" xfId="5493" xr:uid="{00000000-0005-0000-0000-000072150000}"/>
    <cellStyle name="Comma 2 10 3 2 6" xfId="5494" xr:uid="{00000000-0005-0000-0000-000073150000}"/>
    <cellStyle name="Comma 2 10 3 3" xfId="5495" xr:uid="{00000000-0005-0000-0000-000074150000}"/>
    <cellStyle name="Comma 2 10 3 3 2" xfId="5496" xr:uid="{00000000-0005-0000-0000-000075150000}"/>
    <cellStyle name="Comma 2 10 3 3 2 2" xfId="5497" xr:uid="{00000000-0005-0000-0000-000076150000}"/>
    <cellStyle name="Comma 2 10 3 3 3" xfId="5498" xr:uid="{00000000-0005-0000-0000-000077150000}"/>
    <cellStyle name="Comma 2 10 3 3 4" xfId="5499" xr:uid="{00000000-0005-0000-0000-000078150000}"/>
    <cellStyle name="Comma 2 10 3 3 5" xfId="5500" xr:uid="{00000000-0005-0000-0000-000079150000}"/>
    <cellStyle name="Comma 2 10 3 4" xfId="5501" xr:uid="{00000000-0005-0000-0000-00007A150000}"/>
    <cellStyle name="Comma 2 10 3 4 2" xfId="5502" xr:uid="{00000000-0005-0000-0000-00007B150000}"/>
    <cellStyle name="Comma 2 10 3 4 3" xfId="5503" xr:uid="{00000000-0005-0000-0000-00007C150000}"/>
    <cellStyle name="Comma 2 10 3 4 4" xfId="5504" xr:uid="{00000000-0005-0000-0000-00007D150000}"/>
    <cellStyle name="Comma 2 10 3 5" xfId="5505" xr:uid="{00000000-0005-0000-0000-00007E150000}"/>
    <cellStyle name="Comma 2 10 3 5 2" xfId="5506" xr:uid="{00000000-0005-0000-0000-00007F150000}"/>
    <cellStyle name="Comma 2 10 3 6" xfId="5507" xr:uid="{00000000-0005-0000-0000-000080150000}"/>
    <cellStyle name="Comma 2 10 3 7" xfId="5508" xr:uid="{00000000-0005-0000-0000-000081150000}"/>
    <cellStyle name="Comma 2 10 3 8" xfId="5509" xr:uid="{00000000-0005-0000-0000-000082150000}"/>
    <cellStyle name="Comma 2 10 3 9" xfId="5510" xr:uid="{00000000-0005-0000-0000-000083150000}"/>
    <cellStyle name="Comma 2 10 4" xfId="5511" xr:uid="{00000000-0005-0000-0000-000084150000}"/>
    <cellStyle name="Comma 2 10 4 2" xfId="5512" xr:uid="{00000000-0005-0000-0000-000085150000}"/>
    <cellStyle name="Comma 2 10 4 2 2" xfId="5513" xr:uid="{00000000-0005-0000-0000-000086150000}"/>
    <cellStyle name="Comma 2 10 4 2 3" xfId="5514" xr:uid="{00000000-0005-0000-0000-000087150000}"/>
    <cellStyle name="Comma 2 10 4 3" xfId="5515" xr:uid="{00000000-0005-0000-0000-000088150000}"/>
    <cellStyle name="Comma 2 10 4 4" xfId="5516" xr:uid="{00000000-0005-0000-0000-000089150000}"/>
    <cellStyle name="Comma 2 10 4 5" xfId="5517" xr:uid="{00000000-0005-0000-0000-00008A150000}"/>
    <cellStyle name="Comma 2 10 4 6" xfId="5518" xr:uid="{00000000-0005-0000-0000-00008B150000}"/>
    <cellStyle name="Comma 2 10 5" xfId="5519" xr:uid="{00000000-0005-0000-0000-00008C150000}"/>
    <cellStyle name="Comma 2 10 5 2" xfId="5520" xr:uid="{00000000-0005-0000-0000-00008D150000}"/>
    <cellStyle name="Comma 2 10 5 2 2" xfId="5521" xr:uid="{00000000-0005-0000-0000-00008E150000}"/>
    <cellStyle name="Comma 2 10 5 3" xfId="5522" xr:uid="{00000000-0005-0000-0000-00008F150000}"/>
    <cellStyle name="Comma 2 10 5 4" xfId="5523" xr:uid="{00000000-0005-0000-0000-000090150000}"/>
    <cellStyle name="Comma 2 10 5 5" xfId="5524" xr:uid="{00000000-0005-0000-0000-000091150000}"/>
    <cellStyle name="Comma 2 10 5 6" xfId="5525" xr:uid="{00000000-0005-0000-0000-000092150000}"/>
    <cellStyle name="Comma 2 10 6" xfId="5526" xr:uid="{00000000-0005-0000-0000-000093150000}"/>
    <cellStyle name="Comma 2 10 6 2" xfId="5527" xr:uid="{00000000-0005-0000-0000-000094150000}"/>
    <cellStyle name="Comma 2 10 6 3" xfId="5528" xr:uid="{00000000-0005-0000-0000-000095150000}"/>
    <cellStyle name="Comma 2 10 6 4" xfId="5529" xr:uid="{00000000-0005-0000-0000-000096150000}"/>
    <cellStyle name="Comma 2 10 6 5" xfId="5530" xr:uid="{00000000-0005-0000-0000-000097150000}"/>
    <cellStyle name="Comma 2 10 7" xfId="5531" xr:uid="{00000000-0005-0000-0000-000098150000}"/>
    <cellStyle name="Comma 2 10 7 2" xfId="5532" xr:uid="{00000000-0005-0000-0000-000099150000}"/>
    <cellStyle name="Comma 2 10 7 3" xfId="5533" xr:uid="{00000000-0005-0000-0000-00009A150000}"/>
    <cellStyle name="Comma 2 10 8" xfId="5534" xr:uid="{00000000-0005-0000-0000-00009B150000}"/>
    <cellStyle name="Comma 2 10 9" xfId="5535" xr:uid="{00000000-0005-0000-0000-00009C150000}"/>
    <cellStyle name="Comma 2 11" xfId="5536" xr:uid="{00000000-0005-0000-0000-00009D150000}"/>
    <cellStyle name="Comma 2 11 10" xfId="5537" xr:uid="{00000000-0005-0000-0000-00009E150000}"/>
    <cellStyle name="Comma 2 11 11" xfId="5538" xr:uid="{00000000-0005-0000-0000-00009F150000}"/>
    <cellStyle name="Comma 2 11 2" xfId="5539" xr:uid="{00000000-0005-0000-0000-0000A0150000}"/>
    <cellStyle name="Comma 2 11 2 2" xfId="5540" xr:uid="{00000000-0005-0000-0000-0000A1150000}"/>
    <cellStyle name="Comma 2 11 2 2 2" xfId="5541" xr:uid="{00000000-0005-0000-0000-0000A2150000}"/>
    <cellStyle name="Comma 2 11 2 2 2 2" xfId="5542" xr:uid="{00000000-0005-0000-0000-0000A3150000}"/>
    <cellStyle name="Comma 2 11 2 2 2 3" xfId="5543" xr:uid="{00000000-0005-0000-0000-0000A4150000}"/>
    <cellStyle name="Comma 2 11 2 2 3" xfId="5544" xr:uid="{00000000-0005-0000-0000-0000A5150000}"/>
    <cellStyle name="Comma 2 11 2 2 4" xfId="5545" xr:uid="{00000000-0005-0000-0000-0000A6150000}"/>
    <cellStyle name="Comma 2 11 2 2 5" xfId="5546" xr:uid="{00000000-0005-0000-0000-0000A7150000}"/>
    <cellStyle name="Comma 2 11 2 2 6" xfId="5547" xr:uid="{00000000-0005-0000-0000-0000A8150000}"/>
    <cellStyle name="Comma 2 11 2 3" xfId="5548" xr:uid="{00000000-0005-0000-0000-0000A9150000}"/>
    <cellStyle name="Comma 2 11 2 3 2" xfId="5549" xr:uid="{00000000-0005-0000-0000-0000AA150000}"/>
    <cellStyle name="Comma 2 11 2 3 2 2" xfId="5550" xr:uid="{00000000-0005-0000-0000-0000AB150000}"/>
    <cellStyle name="Comma 2 11 2 3 3" xfId="5551" xr:uid="{00000000-0005-0000-0000-0000AC150000}"/>
    <cellStyle name="Comma 2 11 2 3 4" xfId="5552" xr:uid="{00000000-0005-0000-0000-0000AD150000}"/>
    <cellStyle name="Comma 2 11 2 3 5" xfId="5553" xr:uid="{00000000-0005-0000-0000-0000AE150000}"/>
    <cellStyle name="Comma 2 11 2 4" xfId="5554" xr:uid="{00000000-0005-0000-0000-0000AF150000}"/>
    <cellStyle name="Comma 2 11 2 4 2" xfId="5555" xr:uid="{00000000-0005-0000-0000-0000B0150000}"/>
    <cellStyle name="Comma 2 11 2 4 3" xfId="5556" xr:uid="{00000000-0005-0000-0000-0000B1150000}"/>
    <cellStyle name="Comma 2 11 2 4 4" xfId="5557" xr:uid="{00000000-0005-0000-0000-0000B2150000}"/>
    <cellStyle name="Comma 2 11 2 5" xfId="5558" xr:uid="{00000000-0005-0000-0000-0000B3150000}"/>
    <cellStyle name="Comma 2 11 2 5 2" xfId="5559" xr:uid="{00000000-0005-0000-0000-0000B4150000}"/>
    <cellStyle name="Comma 2 11 2 6" xfId="5560" xr:uid="{00000000-0005-0000-0000-0000B5150000}"/>
    <cellStyle name="Comma 2 11 2 7" xfId="5561" xr:uid="{00000000-0005-0000-0000-0000B6150000}"/>
    <cellStyle name="Comma 2 11 2 8" xfId="5562" xr:uid="{00000000-0005-0000-0000-0000B7150000}"/>
    <cellStyle name="Comma 2 11 2 9" xfId="5563" xr:uid="{00000000-0005-0000-0000-0000B8150000}"/>
    <cellStyle name="Comma 2 11 3" xfId="5564" xr:uid="{00000000-0005-0000-0000-0000B9150000}"/>
    <cellStyle name="Comma 2 11 3 2" xfId="5565" xr:uid="{00000000-0005-0000-0000-0000BA150000}"/>
    <cellStyle name="Comma 2 11 3 2 2" xfId="5566" xr:uid="{00000000-0005-0000-0000-0000BB150000}"/>
    <cellStyle name="Comma 2 11 3 2 2 2" xfId="5567" xr:uid="{00000000-0005-0000-0000-0000BC150000}"/>
    <cellStyle name="Comma 2 11 3 2 2 3" xfId="5568" xr:uid="{00000000-0005-0000-0000-0000BD150000}"/>
    <cellStyle name="Comma 2 11 3 2 3" xfId="5569" xr:uid="{00000000-0005-0000-0000-0000BE150000}"/>
    <cellStyle name="Comma 2 11 3 2 4" xfId="5570" xr:uid="{00000000-0005-0000-0000-0000BF150000}"/>
    <cellStyle name="Comma 2 11 3 2 5" xfId="5571" xr:uid="{00000000-0005-0000-0000-0000C0150000}"/>
    <cellStyle name="Comma 2 11 3 2 6" xfId="5572" xr:uid="{00000000-0005-0000-0000-0000C1150000}"/>
    <cellStyle name="Comma 2 11 3 3" xfId="5573" xr:uid="{00000000-0005-0000-0000-0000C2150000}"/>
    <cellStyle name="Comma 2 11 3 3 2" xfId="5574" xr:uid="{00000000-0005-0000-0000-0000C3150000}"/>
    <cellStyle name="Comma 2 11 3 3 2 2" xfId="5575" xr:uid="{00000000-0005-0000-0000-0000C4150000}"/>
    <cellStyle name="Comma 2 11 3 3 3" xfId="5576" xr:uid="{00000000-0005-0000-0000-0000C5150000}"/>
    <cellStyle name="Comma 2 11 3 3 4" xfId="5577" xr:uid="{00000000-0005-0000-0000-0000C6150000}"/>
    <cellStyle name="Comma 2 11 3 3 5" xfId="5578" xr:uid="{00000000-0005-0000-0000-0000C7150000}"/>
    <cellStyle name="Comma 2 11 3 4" xfId="5579" xr:uid="{00000000-0005-0000-0000-0000C8150000}"/>
    <cellStyle name="Comma 2 11 3 4 2" xfId="5580" xr:uid="{00000000-0005-0000-0000-0000C9150000}"/>
    <cellStyle name="Comma 2 11 3 4 3" xfId="5581" xr:uid="{00000000-0005-0000-0000-0000CA150000}"/>
    <cellStyle name="Comma 2 11 3 4 4" xfId="5582" xr:uid="{00000000-0005-0000-0000-0000CB150000}"/>
    <cellStyle name="Comma 2 11 3 5" xfId="5583" xr:uid="{00000000-0005-0000-0000-0000CC150000}"/>
    <cellStyle name="Comma 2 11 3 5 2" xfId="5584" xr:uid="{00000000-0005-0000-0000-0000CD150000}"/>
    <cellStyle name="Comma 2 11 3 6" xfId="5585" xr:uid="{00000000-0005-0000-0000-0000CE150000}"/>
    <cellStyle name="Comma 2 11 3 7" xfId="5586" xr:uid="{00000000-0005-0000-0000-0000CF150000}"/>
    <cellStyle name="Comma 2 11 3 8" xfId="5587" xr:uid="{00000000-0005-0000-0000-0000D0150000}"/>
    <cellStyle name="Comma 2 11 3 9" xfId="5588" xr:uid="{00000000-0005-0000-0000-0000D1150000}"/>
    <cellStyle name="Comma 2 11 4" xfId="5589" xr:uid="{00000000-0005-0000-0000-0000D2150000}"/>
    <cellStyle name="Comma 2 11 4 2" xfId="5590" xr:uid="{00000000-0005-0000-0000-0000D3150000}"/>
    <cellStyle name="Comma 2 11 4 2 2" xfId="5591" xr:uid="{00000000-0005-0000-0000-0000D4150000}"/>
    <cellStyle name="Comma 2 11 4 2 3" xfId="5592" xr:uid="{00000000-0005-0000-0000-0000D5150000}"/>
    <cellStyle name="Comma 2 11 4 3" xfId="5593" xr:uid="{00000000-0005-0000-0000-0000D6150000}"/>
    <cellStyle name="Comma 2 11 4 4" xfId="5594" xr:uid="{00000000-0005-0000-0000-0000D7150000}"/>
    <cellStyle name="Comma 2 11 4 5" xfId="5595" xr:uid="{00000000-0005-0000-0000-0000D8150000}"/>
    <cellStyle name="Comma 2 11 4 6" xfId="5596" xr:uid="{00000000-0005-0000-0000-0000D9150000}"/>
    <cellStyle name="Comma 2 11 5" xfId="5597" xr:uid="{00000000-0005-0000-0000-0000DA150000}"/>
    <cellStyle name="Comma 2 11 5 2" xfId="5598" xr:uid="{00000000-0005-0000-0000-0000DB150000}"/>
    <cellStyle name="Comma 2 11 5 2 2" xfId="5599" xr:uid="{00000000-0005-0000-0000-0000DC150000}"/>
    <cellStyle name="Comma 2 11 5 3" xfId="5600" xr:uid="{00000000-0005-0000-0000-0000DD150000}"/>
    <cellStyle name="Comma 2 11 5 4" xfId="5601" xr:uid="{00000000-0005-0000-0000-0000DE150000}"/>
    <cellStyle name="Comma 2 11 5 5" xfId="5602" xr:uid="{00000000-0005-0000-0000-0000DF150000}"/>
    <cellStyle name="Comma 2 11 5 6" xfId="5603" xr:uid="{00000000-0005-0000-0000-0000E0150000}"/>
    <cellStyle name="Comma 2 11 6" xfId="5604" xr:uid="{00000000-0005-0000-0000-0000E1150000}"/>
    <cellStyle name="Comma 2 11 6 2" xfId="5605" xr:uid="{00000000-0005-0000-0000-0000E2150000}"/>
    <cellStyle name="Comma 2 11 6 3" xfId="5606" xr:uid="{00000000-0005-0000-0000-0000E3150000}"/>
    <cellStyle name="Comma 2 11 6 4" xfId="5607" xr:uid="{00000000-0005-0000-0000-0000E4150000}"/>
    <cellStyle name="Comma 2 11 6 5" xfId="5608" xr:uid="{00000000-0005-0000-0000-0000E5150000}"/>
    <cellStyle name="Comma 2 11 7" xfId="5609" xr:uid="{00000000-0005-0000-0000-0000E6150000}"/>
    <cellStyle name="Comma 2 11 7 2" xfId="5610" xr:uid="{00000000-0005-0000-0000-0000E7150000}"/>
    <cellStyle name="Comma 2 11 7 3" xfId="5611" xr:uid="{00000000-0005-0000-0000-0000E8150000}"/>
    <cellStyle name="Comma 2 11 8" xfId="5612" xr:uid="{00000000-0005-0000-0000-0000E9150000}"/>
    <cellStyle name="Comma 2 11 9" xfId="5613" xr:uid="{00000000-0005-0000-0000-0000EA150000}"/>
    <cellStyle name="Comma 2 12" xfId="5614" xr:uid="{00000000-0005-0000-0000-0000EB150000}"/>
    <cellStyle name="Comma 2 12 10" xfId="5615" xr:uid="{00000000-0005-0000-0000-0000EC150000}"/>
    <cellStyle name="Comma 2 12 11" xfId="5616" xr:uid="{00000000-0005-0000-0000-0000ED150000}"/>
    <cellStyle name="Comma 2 12 12" xfId="5617" xr:uid="{00000000-0005-0000-0000-0000EE150000}"/>
    <cellStyle name="Comma 2 12 13" xfId="5618" xr:uid="{00000000-0005-0000-0000-0000EF150000}"/>
    <cellStyle name="Comma 2 12 14" xfId="5619" xr:uid="{00000000-0005-0000-0000-0000F0150000}"/>
    <cellStyle name="Comma 2 12 15" xfId="5620" xr:uid="{00000000-0005-0000-0000-0000F1150000}"/>
    <cellStyle name="Comma 2 12 16" xfId="5621" xr:uid="{00000000-0005-0000-0000-0000F2150000}"/>
    <cellStyle name="Comma 2 12 17" xfId="5622" xr:uid="{00000000-0005-0000-0000-0000F3150000}"/>
    <cellStyle name="Comma 2 12 18" xfId="5623" xr:uid="{00000000-0005-0000-0000-0000F4150000}"/>
    <cellStyle name="Comma 2 12 19" xfId="5624" xr:uid="{00000000-0005-0000-0000-0000F5150000}"/>
    <cellStyle name="Comma 2 12 2" xfId="5625" xr:uid="{00000000-0005-0000-0000-0000F6150000}"/>
    <cellStyle name="Comma 2 12 2 2" xfId="5626" xr:uid="{00000000-0005-0000-0000-0000F7150000}"/>
    <cellStyle name="Comma 2 12 2 2 2" xfId="5627" xr:uid="{00000000-0005-0000-0000-0000F8150000}"/>
    <cellStyle name="Comma 2 12 2 2 2 2" xfId="5628" xr:uid="{00000000-0005-0000-0000-0000F9150000}"/>
    <cellStyle name="Comma 2 12 2 2 2 3" xfId="5629" xr:uid="{00000000-0005-0000-0000-0000FA150000}"/>
    <cellStyle name="Comma 2 12 2 2 3" xfId="5630" xr:uid="{00000000-0005-0000-0000-0000FB150000}"/>
    <cellStyle name="Comma 2 12 2 2 4" xfId="5631" xr:uid="{00000000-0005-0000-0000-0000FC150000}"/>
    <cellStyle name="Comma 2 12 2 2 5" xfId="5632" xr:uid="{00000000-0005-0000-0000-0000FD150000}"/>
    <cellStyle name="Comma 2 12 2 2 6" xfId="5633" xr:uid="{00000000-0005-0000-0000-0000FE150000}"/>
    <cellStyle name="Comma 2 12 2 3" xfId="5634" xr:uid="{00000000-0005-0000-0000-0000FF150000}"/>
    <cellStyle name="Comma 2 12 2 3 2" xfId="5635" xr:uid="{00000000-0005-0000-0000-000000160000}"/>
    <cellStyle name="Comma 2 12 2 3 2 2" xfId="5636" xr:uid="{00000000-0005-0000-0000-000001160000}"/>
    <cellStyle name="Comma 2 12 2 3 3" xfId="5637" xr:uid="{00000000-0005-0000-0000-000002160000}"/>
    <cellStyle name="Comma 2 12 2 3 4" xfId="5638" xr:uid="{00000000-0005-0000-0000-000003160000}"/>
    <cellStyle name="Comma 2 12 2 3 5" xfId="5639" xr:uid="{00000000-0005-0000-0000-000004160000}"/>
    <cellStyle name="Comma 2 12 2 4" xfId="5640" xr:uid="{00000000-0005-0000-0000-000005160000}"/>
    <cellStyle name="Comma 2 12 2 4 2" xfId="5641" xr:uid="{00000000-0005-0000-0000-000006160000}"/>
    <cellStyle name="Comma 2 12 2 4 3" xfId="5642" xr:uid="{00000000-0005-0000-0000-000007160000}"/>
    <cellStyle name="Comma 2 12 2 4 4" xfId="5643" xr:uid="{00000000-0005-0000-0000-000008160000}"/>
    <cellStyle name="Comma 2 12 2 5" xfId="5644" xr:uid="{00000000-0005-0000-0000-000009160000}"/>
    <cellStyle name="Comma 2 12 2 5 2" xfId="5645" xr:uid="{00000000-0005-0000-0000-00000A160000}"/>
    <cellStyle name="Comma 2 12 2 6" xfId="5646" xr:uid="{00000000-0005-0000-0000-00000B160000}"/>
    <cellStyle name="Comma 2 12 2 7" xfId="5647" xr:uid="{00000000-0005-0000-0000-00000C160000}"/>
    <cellStyle name="Comma 2 12 2 8" xfId="5648" xr:uid="{00000000-0005-0000-0000-00000D160000}"/>
    <cellStyle name="Comma 2 12 2 9" xfId="5649" xr:uid="{00000000-0005-0000-0000-00000E160000}"/>
    <cellStyle name="Comma 2 12 20" xfId="5650" xr:uid="{00000000-0005-0000-0000-00000F160000}"/>
    <cellStyle name="Comma 2 12 21" xfId="5651" xr:uid="{00000000-0005-0000-0000-000010160000}"/>
    <cellStyle name="Comma 2 12 22" xfId="5652" xr:uid="{00000000-0005-0000-0000-000011160000}"/>
    <cellStyle name="Comma 2 12 23" xfId="5653" xr:uid="{00000000-0005-0000-0000-000012160000}"/>
    <cellStyle name="Comma 2 12 24" xfId="5654" xr:uid="{00000000-0005-0000-0000-000013160000}"/>
    <cellStyle name="Comma 2 12 25" xfId="5655" xr:uid="{00000000-0005-0000-0000-000014160000}"/>
    <cellStyle name="Comma 2 12 26" xfId="5656" xr:uid="{00000000-0005-0000-0000-000015160000}"/>
    <cellStyle name="Comma 2 12 27" xfId="5657" xr:uid="{00000000-0005-0000-0000-000016160000}"/>
    <cellStyle name="Comma 2 12 28" xfId="5658" xr:uid="{00000000-0005-0000-0000-000017160000}"/>
    <cellStyle name="Comma 2 12 29" xfId="5659" xr:uid="{00000000-0005-0000-0000-000018160000}"/>
    <cellStyle name="Comma 2 12 3" xfId="5660" xr:uid="{00000000-0005-0000-0000-000019160000}"/>
    <cellStyle name="Comma 2 12 3 2" xfId="5661" xr:uid="{00000000-0005-0000-0000-00001A160000}"/>
    <cellStyle name="Comma 2 12 3 2 2" xfId="5662" xr:uid="{00000000-0005-0000-0000-00001B160000}"/>
    <cellStyle name="Comma 2 12 3 2 2 2" xfId="5663" xr:uid="{00000000-0005-0000-0000-00001C160000}"/>
    <cellStyle name="Comma 2 12 3 2 2 3" xfId="5664" xr:uid="{00000000-0005-0000-0000-00001D160000}"/>
    <cellStyle name="Comma 2 12 3 2 3" xfId="5665" xr:uid="{00000000-0005-0000-0000-00001E160000}"/>
    <cellStyle name="Comma 2 12 3 2 4" xfId="5666" xr:uid="{00000000-0005-0000-0000-00001F160000}"/>
    <cellStyle name="Comma 2 12 3 2 5" xfId="5667" xr:uid="{00000000-0005-0000-0000-000020160000}"/>
    <cellStyle name="Comma 2 12 3 2 6" xfId="5668" xr:uid="{00000000-0005-0000-0000-000021160000}"/>
    <cellStyle name="Comma 2 12 3 3" xfId="5669" xr:uid="{00000000-0005-0000-0000-000022160000}"/>
    <cellStyle name="Comma 2 12 3 3 2" xfId="5670" xr:uid="{00000000-0005-0000-0000-000023160000}"/>
    <cellStyle name="Comma 2 12 3 3 2 2" xfId="5671" xr:uid="{00000000-0005-0000-0000-000024160000}"/>
    <cellStyle name="Comma 2 12 3 3 3" xfId="5672" xr:uid="{00000000-0005-0000-0000-000025160000}"/>
    <cellStyle name="Comma 2 12 3 3 4" xfId="5673" xr:uid="{00000000-0005-0000-0000-000026160000}"/>
    <cellStyle name="Comma 2 12 3 3 5" xfId="5674" xr:uid="{00000000-0005-0000-0000-000027160000}"/>
    <cellStyle name="Comma 2 12 3 4" xfId="5675" xr:uid="{00000000-0005-0000-0000-000028160000}"/>
    <cellStyle name="Comma 2 12 3 4 2" xfId="5676" xr:uid="{00000000-0005-0000-0000-000029160000}"/>
    <cellStyle name="Comma 2 12 3 4 3" xfId="5677" xr:uid="{00000000-0005-0000-0000-00002A160000}"/>
    <cellStyle name="Comma 2 12 3 4 4" xfId="5678" xr:uid="{00000000-0005-0000-0000-00002B160000}"/>
    <cellStyle name="Comma 2 12 3 5" xfId="5679" xr:uid="{00000000-0005-0000-0000-00002C160000}"/>
    <cellStyle name="Comma 2 12 3 5 2" xfId="5680" xr:uid="{00000000-0005-0000-0000-00002D160000}"/>
    <cellStyle name="Comma 2 12 3 6" xfId="5681" xr:uid="{00000000-0005-0000-0000-00002E160000}"/>
    <cellStyle name="Comma 2 12 3 7" xfId="5682" xr:uid="{00000000-0005-0000-0000-00002F160000}"/>
    <cellStyle name="Comma 2 12 3 8" xfId="5683" xr:uid="{00000000-0005-0000-0000-000030160000}"/>
    <cellStyle name="Comma 2 12 3 9" xfId="5684" xr:uid="{00000000-0005-0000-0000-000031160000}"/>
    <cellStyle name="Comma 2 12 30" xfId="5685" xr:uid="{00000000-0005-0000-0000-000032160000}"/>
    <cellStyle name="Comma 2 12 31" xfId="5686" xr:uid="{00000000-0005-0000-0000-000033160000}"/>
    <cellStyle name="Comma 2 12 32" xfId="5687" xr:uid="{00000000-0005-0000-0000-000034160000}"/>
    <cellStyle name="Comma 2 12 33" xfId="5688" xr:uid="{00000000-0005-0000-0000-000035160000}"/>
    <cellStyle name="Comma 2 12 34" xfId="5689" xr:uid="{00000000-0005-0000-0000-000036160000}"/>
    <cellStyle name="Comma 2 12 35" xfId="5690" xr:uid="{00000000-0005-0000-0000-000037160000}"/>
    <cellStyle name="Comma 2 12 36" xfId="5691" xr:uid="{00000000-0005-0000-0000-000038160000}"/>
    <cellStyle name="Comma 2 12 37" xfId="5692" xr:uid="{00000000-0005-0000-0000-000039160000}"/>
    <cellStyle name="Comma 2 12 37 2" xfId="5693" xr:uid="{00000000-0005-0000-0000-00003A160000}"/>
    <cellStyle name="Comma 2 12 38" xfId="5694" xr:uid="{00000000-0005-0000-0000-00003B160000}"/>
    <cellStyle name="Comma 2 12 39" xfId="5695" xr:uid="{00000000-0005-0000-0000-00003C160000}"/>
    <cellStyle name="Comma 2 12 4" xfId="5696" xr:uid="{00000000-0005-0000-0000-00003D160000}"/>
    <cellStyle name="Comma 2 12 4 2" xfId="5697" xr:uid="{00000000-0005-0000-0000-00003E160000}"/>
    <cellStyle name="Comma 2 12 4 2 2" xfId="5698" xr:uid="{00000000-0005-0000-0000-00003F160000}"/>
    <cellStyle name="Comma 2 12 4 2 3" xfId="5699" xr:uid="{00000000-0005-0000-0000-000040160000}"/>
    <cellStyle name="Comma 2 12 4 3" xfId="5700" xr:uid="{00000000-0005-0000-0000-000041160000}"/>
    <cellStyle name="Comma 2 12 4 4" xfId="5701" xr:uid="{00000000-0005-0000-0000-000042160000}"/>
    <cellStyle name="Comma 2 12 4 5" xfId="5702" xr:uid="{00000000-0005-0000-0000-000043160000}"/>
    <cellStyle name="Comma 2 12 4 6" xfId="5703" xr:uid="{00000000-0005-0000-0000-000044160000}"/>
    <cellStyle name="Comma 2 12 40" xfId="5704" xr:uid="{00000000-0005-0000-0000-000045160000}"/>
    <cellStyle name="Comma 2 12 5" xfId="5705" xr:uid="{00000000-0005-0000-0000-000046160000}"/>
    <cellStyle name="Comma 2 12 5 2" xfId="5706" xr:uid="{00000000-0005-0000-0000-000047160000}"/>
    <cellStyle name="Comma 2 12 5 2 2" xfId="5707" xr:uid="{00000000-0005-0000-0000-000048160000}"/>
    <cellStyle name="Comma 2 12 5 2 3" xfId="5708" xr:uid="{00000000-0005-0000-0000-000049160000}"/>
    <cellStyle name="Comma 2 12 5 3" xfId="5709" xr:uid="{00000000-0005-0000-0000-00004A160000}"/>
    <cellStyle name="Comma 2 12 5 4" xfId="5710" xr:uid="{00000000-0005-0000-0000-00004B160000}"/>
    <cellStyle name="Comma 2 12 5 5" xfId="5711" xr:uid="{00000000-0005-0000-0000-00004C160000}"/>
    <cellStyle name="Comma 2 12 5 6" xfId="5712" xr:uid="{00000000-0005-0000-0000-00004D160000}"/>
    <cellStyle name="Comma 2 12 6" xfId="5713" xr:uid="{00000000-0005-0000-0000-00004E160000}"/>
    <cellStyle name="Comma 2 12 6 2" xfId="5714" xr:uid="{00000000-0005-0000-0000-00004F160000}"/>
    <cellStyle name="Comma 2 12 6 2 2" xfId="5715" xr:uid="{00000000-0005-0000-0000-000050160000}"/>
    <cellStyle name="Comma 2 12 6 3" xfId="5716" xr:uid="{00000000-0005-0000-0000-000051160000}"/>
    <cellStyle name="Comma 2 12 6 4" xfId="5717" xr:uid="{00000000-0005-0000-0000-000052160000}"/>
    <cellStyle name="Comma 2 12 6 5" xfId="5718" xr:uid="{00000000-0005-0000-0000-000053160000}"/>
    <cellStyle name="Comma 2 12 7" xfId="5719" xr:uid="{00000000-0005-0000-0000-000054160000}"/>
    <cellStyle name="Comma 2 12 7 2" xfId="5720" xr:uid="{00000000-0005-0000-0000-000055160000}"/>
    <cellStyle name="Comma 2 12 7 3" xfId="5721" xr:uid="{00000000-0005-0000-0000-000056160000}"/>
    <cellStyle name="Comma 2 12 8" xfId="5722" xr:uid="{00000000-0005-0000-0000-000057160000}"/>
    <cellStyle name="Comma 2 12 8 2" xfId="5723" xr:uid="{00000000-0005-0000-0000-000058160000}"/>
    <cellStyle name="Comma 2 12 8 3" xfId="5724" xr:uid="{00000000-0005-0000-0000-000059160000}"/>
    <cellStyle name="Comma 2 12 9" xfId="5725" xr:uid="{00000000-0005-0000-0000-00005A160000}"/>
    <cellStyle name="Comma 2 13" xfId="5726" xr:uid="{00000000-0005-0000-0000-00005B160000}"/>
    <cellStyle name="Comma 2 13 10" xfId="5727" xr:uid="{00000000-0005-0000-0000-00005C160000}"/>
    <cellStyle name="Comma 2 13 11" xfId="5728" xr:uid="{00000000-0005-0000-0000-00005D160000}"/>
    <cellStyle name="Comma 2 13 2" xfId="5729" xr:uid="{00000000-0005-0000-0000-00005E160000}"/>
    <cellStyle name="Comma 2 13 2 2" xfId="5730" xr:uid="{00000000-0005-0000-0000-00005F160000}"/>
    <cellStyle name="Comma 2 13 2 2 2" xfId="5731" xr:uid="{00000000-0005-0000-0000-000060160000}"/>
    <cellStyle name="Comma 2 13 2 2 2 2" xfId="5732" xr:uid="{00000000-0005-0000-0000-000061160000}"/>
    <cellStyle name="Comma 2 13 2 2 2 3" xfId="5733" xr:uid="{00000000-0005-0000-0000-000062160000}"/>
    <cellStyle name="Comma 2 13 2 2 3" xfId="5734" xr:uid="{00000000-0005-0000-0000-000063160000}"/>
    <cellStyle name="Comma 2 13 2 2 4" xfId="5735" xr:uid="{00000000-0005-0000-0000-000064160000}"/>
    <cellStyle name="Comma 2 13 2 2 5" xfId="5736" xr:uid="{00000000-0005-0000-0000-000065160000}"/>
    <cellStyle name="Comma 2 13 2 2 6" xfId="5737" xr:uid="{00000000-0005-0000-0000-000066160000}"/>
    <cellStyle name="Comma 2 13 2 3" xfId="5738" xr:uid="{00000000-0005-0000-0000-000067160000}"/>
    <cellStyle name="Comma 2 13 2 3 2" xfId="5739" xr:uid="{00000000-0005-0000-0000-000068160000}"/>
    <cellStyle name="Comma 2 13 2 3 2 2" xfId="5740" xr:uid="{00000000-0005-0000-0000-000069160000}"/>
    <cellStyle name="Comma 2 13 2 3 3" xfId="5741" xr:uid="{00000000-0005-0000-0000-00006A160000}"/>
    <cellStyle name="Comma 2 13 2 3 4" xfId="5742" xr:uid="{00000000-0005-0000-0000-00006B160000}"/>
    <cellStyle name="Comma 2 13 2 3 5" xfId="5743" xr:uid="{00000000-0005-0000-0000-00006C160000}"/>
    <cellStyle name="Comma 2 13 2 4" xfId="5744" xr:uid="{00000000-0005-0000-0000-00006D160000}"/>
    <cellStyle name="Comma 2 13 2 4 2" xfId="5745" xr:uid="{00000000-0005-0000-0000-00006E160000}"/>
    <cellStyle name="Comma 2 13 2 4 3" xfId="5746" xr:uid="{00000000-0005-0000-0000-00006F160000}"/>
    <cellStyle name="Comma 2 13 2 4 4" xfId="5747" xr:uid="{00000000-0005-0000-0000-000070160000}"/>
    <cellStyle name="Comma 2 13 2 5" xfId="5748" xr:uid="{00000000-0005-0000-0000-000071160000}"/>
    <cellStyle name="Comma 2 13 2 5 2" xfId="5749" xr:uid="{00000000-0005-0000-0000-000072160000}"/>
    <cellStyle name="Comma 2 13 2 6" xfId="5750" xr:uid="{00000000-0005-0000-0000-000073160000}"/>
    <cellStyle name="Comma 2 13 2 7" xfId="5751" xr:uid="{00000000-0005-0000-0000-000074160000}"/>
    <cellStyle name="Comma 2 13 2 8" xfId="5752" xr:uid="{00000000-0005-0000-0000-000075160000}"/>
    <cellStyle name="Comma 2 13 2 9" xfId="5753" xr:uid="{00000000-0005-0000-0000-000076160000}"/>
    <cellStyle name="Comma 2 13 3" xfId="5754" xr:uid="{00000000-0005-0000-0000-000077160000}"/>
    <cellStyle name="Comma 2 13 3 2" xfId="5755" xr:uid="{00000000-0005-0000-0000-000078160000}"/>
    <cellStyle name="Comma 2 13 3 2 2" xfId="5756" xr:uid="{00000000-0005-0000-0000-000079160000}"/>
    <cellStyle name="Comma 2 13 3 2 2 2" xfId="5757" xr:uid="{00000000-0005-0000-0000-00007A160000}"/>
    <cellStyle name="Comma 2 13 3 2 2 3" xfId="5758" xr:uid="{00000000-0005-0000-0000-00007B160000}"/>
    <cellStyle name="Comma 2 13 3 2 3" xfId="5759" xr:uid="{00000000-0005-0000-0000-00007C160000}"/>
    <cellStyle name="Comma 2 13 3 2 4" xfId="5760" xr:uid="{00000000-0005-0000-0000-00007D160000}"/>
    <cellStyle name="Comma 2 13 3 2 5" xfId="5761" xr:uid="{00000000-0005-0000-0000-00007E160000}"/>
    <cellStyle name="Comma 2 13 3 2 6" xfId="5762" xr:uid="{00000000-0005-0000-0000-00007F160000}"/>
    <cellStyle name="Comma 2 13 3 3" xfId="5763" xr:uid="{00000000-0005-0000-0000-000080160000}"/>
    <cellStyle name="Comma 2 13 3 3 2" xfId="5764" xr:uid="{00000000-0005-0000-0000-000081160000}"/>
    <cellStyle name="Comma 2 13 3 3 2 2" xfId="5765" xr:uid="{00000000-0005-0000-0000-000082160000}"/>
    <cellStyle name="Comma 2 13 3 3 3" xfId="5766" xr:uid="{00000000-0005-0000-0000-000083160000}"/>
    <cellStyle name="Comma 2 13 3 3 4" xfId="5767" xr:uid="{00000000-0005-0000-0000-000084160000}"/>
    <cellStyle name="Comma 2 13 3 3 5" xfId="5768" xr:uid="{00000000-0005-0000-0000-000085160000}"/>
    <cellStyle name="Comma 2 13 3 4" xfId="5769" xr:uid="{00000000-0005-0000-0000-000086160000}"/>
    <cellStyle name="Comma 2 13 3 4 2" xfId="5770" xr:uid="{00000000-0005-0000-0000-000087160000}"/>
    <cellStyle name="Comma 2 13 3 4 3" xfId="5771" xr:uid="{00000000-0005-0000-0000-000088160000}"/>
    <cellStyle name="Comma 2 13 3 4 4" xfId="5772" xr:uid="{00000000-0005-0000-0000-000089160000}"/>
    <cellStyle name="Comma 2 13 3 5" xfId="5773" xr:uid="{00000000-0005-0000-0000-00008A160000}"/>
    <cellStyle name="Comma 2 13 3 5 2" xfId="5774" xr:uid="{00000000-0005-0000-0000-00008B160000}"/>
    <cellStyle name="Comma 2 13 3 6" xfId="5775" xr:uid="{00000000-0005-0000-0000-00008C160000}"/>
    <cellStyle name="Comma 2 13 3 7" xfId="5776" xr:uid="{00000000-0005-0000-0000-00008D160000}"/>
    <cellStyle name="Comma 2 13 3 8" xfId="5777" xr:uid="{00000000-0005-0000-0000-00008E160000}"/>
    <cellStyle name="Comma 2 13 3 9" xfId="5778" xr:uid="{00000000-0005-0000-0000-00008F160000}"/>
    <cellStyle name="Comma 2 13 4" xfId="5779" xr:uid="{00000000-0005-0000-0000-000090160000}"/>
    <cellStyle name="Comma 2 13 4 2" xfId="5780" xr:uid="{00000000-0005-0000-0000-000091160000}"/>
    <cellStyle name="Comma 2 13 4 2 2" xfId="5781" xr:uid="{00000000-0005-0000-0000-000092160000}"/>
    <cellStyle name="Comma 2 13 4 2 3" xfId="5782" xr:uid="{00000000-0005-0000-0000-000093160000}"/>
    <cellStyle name="Comma 2 13 4 3" xfId="5783" xr:uid="{00000000-0005-0000-0000-000094160000}"/>
    <cellStyle name="Comma 2 13 4 4" xfId="5784" xr:uid="{00000000-0005-0000-0000-000095160000}"/>
    <cellStyle name="Comma 2 13 4 5" xfId="5785" xr:uid="{00000000-0005-0000-0000-000096160000}"/>
    <cellStyle name="Comma 2 13 4 6" xfId="5786" xr:uid="{00000000-0005-0000-0000-000097160000}"/>
    <cellStyle name="Comma 2 13 5" xfId="5787" xr:uid="{00000000-0005-0000-0000-000098160000}"/>
    <cellStyle name="Comma 2 13 5 2" xfId="5788" xr:uid="{00000000-0005-0000-0000-000099160000}"/>
    <cellStyle name="Comma 2 13 5 2 2" xfId="5789" xr:uid="{00000000-0005-0000-0000-00009A160000}"/>
    <cellStyle name="Comma 2 13 5 3" xfId="5790" xr:uid="{00000000-0005-0000-0000-00009B160000}"/>
    <cellStyle name="Comma 2 13 5 4" xfId="5791" xr:uid="{00000000-0005-0000-0000-00009C160000}"/>
    <cellStyle name="Comma 2 13 5 5" xfId="5792" xr:uid="{00000000-0005-0000-0000-00009D160000}"/>
    <cellStyle name="Comma 2 13 5 6" xfId="5793" xr:uid="{00000000-0005-0000-0000-00009E160000}"/>
    <cellStyle name="Comma 2 13 6" xfId="5794" xr:uid="{00000000-0005-0000-0000-00009F160000}"/>
    <cellStyle name="Comma 2 13 6 2" xfId="5795" xr:uid="{00000000-0005-0000-0000-0000A0160000}"/>
    <cellStyle name="Comma 2 13 6 3" xfId="5796" xr:uid="{00000000-0005-0000-0000-0000A1160000}"/>
    <cellStyle name="Comma 2 13 6 4" xfId="5797" xr:uid="{00000000-0005-0000-0000-0000A2160000}"/>
    <cellStyle name="Comma 2 13 6 5" xfId="5798" xr:uid="{00000000-0005-0000-0000-0000A3160000}"/>
    <cellStyle name="Comma 2 13 7" xfId="5799" xr:uid="{00000000-0005-0000-0000-0000A4160000}"/>
    <cellStyle name="Comma 2 13 7 2" xfId="5800" xr:uid="{00000000-0005-0000-0000-0000A5160000}"/>
    <cellStyle name="Comma 2 13 7 3" xfId="5801" xr:uid="{00000000-0005-0000-0000-0000A6160000}"/>
    <cellStyle name="Comma 2 13 8" xfId="5802" xr:uid="{00000000-0005-0000-0000-0000A7160000}"/>
    <cellStyle name="Comma 2 13 9" xfId="5803" xr:uid="{00000000-0005-0000-0000-0000A8160000}"/>
    <cellStyle name="Comma 2 14" xfId="5804" xr:uid="{00000000-0005-0000-0000-0000A9160000}"/>
    <cellStyle name="Comma 2 14 10" xfId="5805" xr:uid="{00000000-0005-0000-0000-0000AA160000}"/>
    <cellStyle name="Comma 2 14 11" xfId="5806" xr:uid="{00000000-0005-0000-0000-0000AB160000}"/>
    <cellStyle name="Comma 2 14 2" xfId="5807" xr:uid="{00000000-0005-0000-0000-0000AC160000}"/>
    <cellStyle name="Comma 2 14 2 2" xfId="5808" xr:uid="{00000000-0005-0000-0000-0000AD160000}"/>
    <cellStyle name="Comma 2 14 2 2 2" xfId="5809" xr:uid="{00000000-0005-0000-0000-0000AE160000}"/>
    <cellStyle name="Comma 2 14 2 2 2 2" xfId="5810" xr:uid="{00000000-0005-0000-0000-0000AF160000}"/>
    <cellStyle name="Comma 2 14 2 2 2 3" xfId="5811" xr:uid="{00000000-0005-0000-0000-0000B0160000}"/>
    <cellStyle name="Comma 2 14 2 2 3" xfId="5812" xr:uid="{00000000-0005-0000-0000-0000B1160000}"/>
    <cellStyle name="Comma 2 14 2 2 4" xfId="5813" xr:uid="{00000000-0005-0000-0000-0000B2160000}"/>
    <cellStyle name="Comma 2 14 2 2 5" xfId="5814" xr:uid="{00000000-0005-0000-0000-0000B3160000}"/>
    <cellStyle name="Comma 2 14 2 2 6" xfId="5815" xr:uid="{00000000-0005-0000-0000-0000B4160000}"/>
    <cellStyle name="Comma 2 14 2 3" xfId="5816" xr:uid="{00000000-0005-0000-0000-0000B5160000}"/>
    <cellStyle name="Comma 2 14 2 3 2" xfId="5817" xr:uid="{00000000-0005-0000-0000-0000B6160000}"/>
    <cellStyle name="Comma 2 14 2 3 2 2" xfId="5818" xr:uid="{00000000-0005-0000-0000-0000B7160000}"/>
    <cellStyle name="Comma 2 14 2 3 3" xfId="5819" xr:uid="{00000000-0005-0000-0000-0000B8160000}"/>
    <cellStyle name="Comma 2 14 2 3 4" xfId="5820" xr:uid="{00000000-0005-0000-0000-0000B9160000}"/>
    <cellStyle name="Comma 2 14 2 3 5" xfId="5821" xr:uid="{00000000-0005-0000-0000-0000BA160000}"/>
    <cellStyle name="Comma 2 14 2 4" xfId="5822" xr:uid="{00000000-0005-0000-0000-0000BB160000}"/>
    <cellStyle name="Comma 2 14 2 4 2" xfId="5823" xr:uid="{00000000-0005-0000-0000-0000BC160000}"/>
    <cellStyle name="Comma 2 14 2 4 3" xfId="5824" xr:uid="{00000000-0005-0000-0000-0000BD160000}"/>
    <cellStyle name="Comma 2 14 2 4 4" xfId="5825" xr:uid="{00000000-0005-0000-0000-0000BE160000}"/>
    <cellStyle name="Comma 2 14 2 5" xfId="5826" xr:uid="{00000000-0005-0000-0000-0000BF160000}"/>
    <cellStyle name="Comma 2 14 2 5 2" xfId="5827" xr:uid="{00000000-0005-0000-0000-0000C0160000}"/>
    <cellStyle name="Comma 2 14 2 6" xfId="5828" xr:uid="{00000000-0005-0000-0000-0000C1160000}"/>
    <cellStyle name="Comma 2 14 2 7" xfId="5829" xr:uid="{00000000-0005-0000-0000-0000C2160000}"/>
    <cellStyle name="Comma 2 14 2 8" xfId="5830" xr:uid="{00000000-0005-0000-0000-0000C3160000}"/>
    <cellStyle name="Comma 2 14 2 9" xfId="5831" xr:uid="{00000000-0005-0000-0000-0000C4160000}"/>
    <cellStyle name="Comma 2 14 3" xfId="5832" xr:uid="{00000000-0005-0000-0000-0000C5160000}"/>
    <cellStyle name="Comma 2 14 3 2" xfId="5833" xr:uid="{00000000-0005-0000-0000-0000C6160000}"/>
    <cellStyle name="Comma 2 14 3 2 2" xfId="5834" xr:uid="{00000000-0005-0000-0000-0000C7160000}"/>
    <cellStyle name="Comma 2 14 3 2 2 2" xfId="5835" xr:uid="{00000000-0005-0000-0000-0000C8160000}"/>
    <cellStyle name="Comma 2 14 3 2 2 3" xfId="5836" xr:uid="{00000000-0005-0000-0000-0000C9160000}"/>
    <cellStyle name="Comma 2 14 3 2 3" xfId="5837" xr:uid="{00000000-0005-0000-0000-0000CA160000}"/>
    <cellStyle name="Comma 2 14 3 2 4" xfId="5838" xr:uid="{00000000-0005-0000-0000-0000CB160000}"/>
    <cellStyle name="Comma 2 14 3 2 5" xfId="5839" xr:uid="{00000000-0005-0000-0000-0000CC160000}"/>
    <cellStyle name="Comma 2 14 3 2 6" xfId="5840" xr:uid="{00000000-0005-0000-0000-0000CD160000}"/>
    <cellStyle name="Comma 2 14 3 3" xfId="5841" xr:uid="{00000000-0005-0000-0000-0000CE160000}"/>
    <cellStyle name="Comma 2 14 3 3 2" xfId="5842" xr:uid="{00000000-0005-0000-0000-0000CF160000}"/>
    <cellStyle name="Comma 2 14 3 3 2 2" xfId="5843" xr:uid="{00000000-0005-0000-0000-0000D0160000}"/>
    <cellStyle name="Comma 2 14 3 3 3" xfId="5844" xr:uid="{00000000-0005-0000-0000-0000D1160000}"/>
    <cellStyle name="Comma 2 14 3 3 4" xfId="5845" xr:uid="{00000000-0005-0000-0000-0000D2160000}"/>
    <cellStyle name="Comma 2 14 3 3 5" xfId="5846" xr:uid="{00000000-0005-0000-0000-0000D3160000}"/>
    <cellStyle name="Comma 2 14 3 4" xfId="5847" xr:uid="{00000000-0005-0000-0000-0000D4160000}"/>
    <cellStyle name="Comma 2 14 3 4 2" xfId="5848" xr:uid="{00000000-0005-0000-0000-0000D5160000}"/>
    <cellStyle name="Comma 2 14 3 4 3" xfId="5849" xr:uid="{00000000-0005-0000-0000-0000D6160000}"/>
    <cellStyle name="Comma 2 14 3 4 4" xfId="5850" xr:uid="{00000000-0005-0000-0000-0000D7160000}"/>
    <cellStyle name="Comma 2 14 3 5" xfId="5851" xr:uid="{00000000-0005-0000-0000-0000D8160000}"/>
    <cellStyle name="Comma 2 14 3 5 2" xfId="5852" xr:uid="{00000000-0005-0000-0000-0000D9160000}"/>
    <cellStyle name="Comma 2 14 3 6" xfId="5853" xr:uid="{00000000-0005-0000-0000-0000DA160000}"/>
    <cellStyle name="Comma 2 14 3 7" xfId="5854" xr:uid="{00000000-0005-0000-0000-0000DB160000}"/>
    <cellStyle name="Comma 2 14 3 8" xfId="5855" xr:uid="{00000000-0005-0000-0000-0000DC160000}"/>
    <cellStyle name="Comma 2 14 3 9" xfId="5856" xr:uid="{00000000-0005-0000-0000-0000DD160000}"/>
    <cellStyle name="Comma 2 14 4" xfId="5857" xr:uid="{00000000-0005-0000-0000-0000DE160000}"/>
    <cellStyle name="Comma 2 14 4 2" xfId="5858" xr:uid="{00000000-0005-0000-0000-0000DF160000}"/>
    <cellStyle name="Comma 2 14 4 2 2" xfId="5859" xr:uid="{00000000-0005-0000-0000-0000E0160000}"/>
    <cellStyle name="Comma 2 14 4 2 3" xfId="5860" xr:uid="{00000000-0005-0000-0000-0000E1160000}"/>
    <cellStyle name="Comma 2 14 4 3" xfId="5861" xr:uid="{00000000-0005-0000-0000-0000E2160000}"/>
    <cellStyle name="Comma 2 14 4 4" xfId="5862" xr:uid="{00000000-0005-0000-0000-0000E3160000}"/>
    <cellStyle name="Comma 2 14 4 5" xfId="5863" xr:uid="{00000000-0005-0000-0000-0000E4160000}"/>
    <cellStyle name="Comma 2 14 4 6" xfId="5864" xr:uid="{00000000-0005-0000-0000-0000E5160000}"/>
    <cellStyle name="Comma 2 14 5" xfId="5865" xr:uid="{00000000-0005-0000-0000-0000E6160000}"/>
    <cellStyle name="Comma 2 14 5 2" xfId="5866" xr:uid="{00000000-0005-0000-0000-0000E7160000}"/>
    <cellStyle name="Comma 2 14 5 2 2" xfId="5867" xr:uid="{00000000-0005-0000-0000-0000E8160000}"/>
    <cellStyle name="Comma 2 14 5 3" xfId="5868" xr:uid="{00000000-0005-0000-0000-0000E9160000}"/>
    <cellStyle name="Comma 2 14 5 4" xfId="5869" xr:uid="{00000000-0005-0000-0000-0000EA160000}"/>
    <cellStyle name="Comma 2 14 5 5" xfId="5870" xr:uid="{00000000-0005-0000-0000-0000EB160000}"/>
    <cellStyle name="Comma 2 14 5 6" xfId="5871" xr:uid="{00000000-0005-0000-0000-0000EC160000}"/>
    <cellStyle name="Comma 2 14 6" xfId="5872" xr:uid="{00000000-0005-0000-0000-0000ED160000}"/>
    <cellStyle name="Comma 2 14 6 2" xfId="5873" xr:uid="{00000000-0005-0000-0000-0000EE160000}"/>
    <cellStyle name="Comma 2 14 6 3" xfId="5874" xr:uid="{00000000-0005-0000-0000-0000EF160000}"/>
    <cellStyle name="Comma 2 14 6 4" xfId="5875" xr:uid="{00000000-0005-0000-0000-0000F0160000}"/>
    <cellStyle name="Comma 2 14 6 5" xfId="5876" xr:uid="{00000000-0005-0000-0000-0000F1160000}"/>
    <cellStyle name="Comma 2 14 7" xfId="5877" xr:uid="{00000000-0005-0000-0000-0000F2160000}"/>
    <cellStyle name="Comma 2 14 7 2" xfId="5878" xr:uid="{00000000-0005-0000-0000-0000F3160000}"/>
    <cellStyle name="Comma 2 14 7 3" xfId="5879" xr:uid="{00000000-0005-0000-0000-0000F4160000}"/>
    <cellStyle name="Comma 2 14 8" xfId="5880" xr:uid="{00000000-0005-0000-0000-0000F5160000}"/>
    <cellStyle name="Comma 2 14 9" xfId="5881" xr:uid="{00000000-0005-0000-0000-0000F6160000}"/>
    <cellStyle name="Comma 2 15" xfId="5882" xr:uid="{00000000-0005-0000-0000-0000F7160000}"/>
    <cellStyle name="Comma 2 15 10" xfId="5883" xr:uid="{00000000-0005-0000-0000-0000F8160000}"/>
    <cellStyle name="Comma 2 15 11" xfId="5884" xr:uid="{00000000-0005-0000-0000-0000F9160000}"/>
    <cellStyle name="Comma 2 15 2" xfId="5885" xr:uid="{00000000-0005-0000-0000-0000FA160000}"/>
    <cellStyle name="Comma 2 15 2 2" xfId="5886" xr:uid="{00000000-0005-0000-0000-0000FB160000}"/>
    <cellStyle name="Comma 2 15 2 2 2" xfId="5887" xr:uid="{00000000-0005-0000-0000-0000FC160000}"/>
    <cellStyle name="Comma 2 15 2 2 2 2" xfId="5888" xr:uid="{00000000-0005-0000-0000-0000FD160000}"/>
    <cellStyle name="Comma 2 15 2 2 2 3" xfId="5889" xr:uid="{00000000-0005-0000-0000-0000FE160000}"/>
    <cellStyle name="Comma 2 15 2 2 3" xfId="5890" xr:uid="{00000000-0005-0000-0000-0000FF160000}"/>
    <cellStyle name="Comma 2 15 2 2 4" xfId="5891" xr:uid="{00000000-0005-0000-0000-000000170000}"/>
    <cellStyle name="Comma 2 15 2 2 5" xfId="5892" xr:uid="{00000000-0005-0000-0000-000001170000}"/>
    <cellStyle name="Comma 2 15 2 2 6" xfId="5893" xr:uid="{00000000-0005-0000-0000-000002170000}"/>
    <cellStyle name="Comma 2 15 2 3" xfId="5894" xr:uid="{00000000-0005-0000-0000-000003170000}"/>
    <cellStyle name="Comma 2 15 2 3 2" xfId="5895" xr:uid="{00000000-0005-0000-0000-000004170000}"/>
    <cellStyle name="Comma 2 15 2 3 2 2" xfId="5896" xr:uid="{00000000-0005-0000-0000-000005170000}"/>
    <cellStyle name="Comma 2 15 2 3 3" xfId="5897" xr:uid="{00000000-0005-0000-0000-000006170000}"/>
    <cellStyle name="Comma 2 15 2 3 4" xfId="5898" xr:uid="{00000000-0005-0000-0000-000007170000}"/>
    <cellStyle name="Comma 2 15 2 3 5" xfId="5899" xr:uid="{00000000-0005-0000-0000-000008170000}"/>
    <cellStyle name="Comma 2 15 2 4" xfId="5900" xr:uid="{00000000-0005-0000-0000-000009170000}"/>
    <cellStyle name="Comma 2 15 2 4 2" xfId="5901" xr:uid="{00000000-0005-0000-0000-00000A170000}"/>
    <cellStyle name="Comma 2 15 2 4 3" xfId="5902" xr:uid="{00000000-0005-0000-0000-00000B170000}"/>
    <cellStyle name="Comma 2 15 2 4 4" xfId="5903" xr:uid="{00000000-0005-0000-0000-00000C170000}"/>
    <cellStyle name="Comma 2 15 2 5" xfId="5904" xr:uid="{00000000-0005-0000-0000-00000D170000}"/>
    <cellStyle name="Comma 2 15 2 5 2" xfId="5905" xr:uid="{00000000-0005-0000-0000-00000E170000}"/>
    <cellStyle name="Comma 2 15 2 6" xfId="5906" xr:uid="{00000000-0005-0000-0000-00000F170000}"/>
    <cellStyle name="Comma 2 15 2 7" xfId="5907" xr:uid="{00000000-0005-0000-0000-000010170000}"/>
    <cellStyle name="Comma 2 15 2 8" xfId="5908" xr:uid="{00000000-0005-0000-0000-000011170000}"/>
    <cellStyle name="Comma 2 15 2 9" xfId="5909" xr:uid="{00000000-0005-0000-0000-000012170000}"/>
    <cellStyle name="Comma 2 15 3" xfId="5910" xr:uid="{00000000-0005-0000-0000-000013170000}"/>
    <cellStyle name="Comma 2 15 3 2" xfId="5911" xr:uid="{00000000-0005-0000-0000-000014170000}"/>
    <cellStyle name="Comma 2 15 3 2 2" xfId="5912" xr:uid="{00000000-0005-0000-0000-000015170000}"/>
    <cellStyle name="Comma 2 15 3 2 2 2" xfId="5913" xr:uid="{00000000-0005-0000-0000-000016170000}"/>
    <cellStyle name="Comma 2 15 3 2 2 3" xfId="5914" xr:uid="{00000000-0005-0000-0000-000017170000}"/>
    <cellStyle name="Comma 2 15 3 2 3" xfId="5915" xr:uid="{00000000-0005-0000-0000-000018170000}"/>
    <cellStyle name="Comma 2 15 3 2 4" xfId="5916" xr:uid="{00000000-0005-0000-0000-000019170000}"/>
    <cellStyle name="Comma 2 15 3 2 5" xfId="5917" xr:uid="{00000000-0005-0000-0000-00001A170000}"/>
    <cellStyle name="Comma 2 15 3 2 6" xfId="5918" xr:uid="{00000000-0005-0000-0000-00001B170000}"/>
    <cellStyle name="Comma 2 15 3 3" xfId="5919" xr:uid="{00000000-0005-0000-0000-00001C170000}"/>
    <cellStyle name="Comma 2 15 3 3 2" xfId="5920" xr:uid="{00000000-0005-0000-0000-00001D170000}"/>
    <cellStyle name="Comma 2 15 3 3 2 2" xfId="5921" xr:uid="{00000000-0005-0000-0000-00001E170000}"/>
    <cellStyle name="Comma 2 15 3 3 3" xfId="5922" xr:uid="{00000000-0005-0000-0000-00001F170000}"/>
    <cellStyle name="Comma 2 15 3 3 4" xfId="5923" xr:uid="{00000000-0005-0000-0000-000020170000}"/>
    <cellStyle name="Comma 2 15 3 3 5" xfId="5924" xr:uid="{00000000-0005-0000-0000-000021170000}"/>
    <cellStyle name="Comma 2 15 3 4" xfId="5925" xr:uid="{00000000-0005-0000-0000-000022170000}"/>
    <cellStyle name="Comma 2 15 3 4 2" xfId="5926" xr:uid="{00000000-0005-0000-0000-000023170000}"/>
    <cellStyle name="Comma 2 15 3 4 3" xfId="5927" xr:uid="{00000000-0005-0000-0000-000024170000}"/>
    <cellStyle name="Comma 2 15 3 4 4" xfId="5928" xr:uid="{00000000-0005-0000-0000-000025170000}"/>
    <cellStyle name="Comma 2 15 3 5" xfId="5929" xr:uid="{00000000-0005-0000-0000-000026170000}"/>
    <cellStyle name="Comma 2 15 3 5 2" xfId="5930" xr:uid="{00000000-0005-0000-0000-000027170000}"/>
    <cellStyle name="Comma 2 15 3 6" xfId="5931" xr:uid="{00000000-0005-0000-0000-000028170000}"/>
    <cellStyle name="Comma 2 15 3 7" xfId="5932" xr:uid="{00000000-0005-0000-0000-000029170000}"/>
    <cellStyle name="Comma 2 15 3 8" xfId="5933" xr:uid="{00000000-0005-0000-0000-00002A170000}"/>
    <cellStyle name="Comma 2 15 3 9" xfId="5934" xr:uid="{00000000-0005-0000-0000-00002B170000}"/>
    <cellStyle name="Comma 2 15 4" xfId="5935" xr:uid="{00000000-0005-0000-0000-00002C170000}"/>
    <cellStyle name="Comma 2 15 4 2" xfId="5936" xr:uid="{00000000-0005-0000-0000-00002D170000}"/>
    <cellStyle name="Comma 2 15 4 2 2" xfId="5937" xr:uid="{00000000-0005-0000-0000-00002E170000}"/>
    <cellStyle name="Comma 2 15 4 2 3" xfId="5938" xr:uid="{00000000-0005-0000-0000-00002F170000}"/>
    <cellStyle name="Comma 2 15 4 3" xfId="5939" xr:uid="{00000000-0005-0000-0000-000030170000}"/>
    <cellStyle name="Comma 2 15 4 4" xfId="5940" xr:uid="{00000000-0005-0000-0000-000031170000}"/>
    <cellStyle name="Comma 2 15 4 5" xfId="5941" xr:uid="{00000000-0005-0000-0000-000032170000}"/>
    <cellStyle name="Comma 2 15 4 6" xfId="5942" xr:uid="{00000000-0005-0000-0000-000033170000}"/>
    <cellStyle name="Comma 2 15 5" xfId="5943" xr:uid="{00000000-0005-0000-0000-000034170000}"/>
    <cellStyle name="Comma 2 15 5 2" xfId="5944" xr:uid="{00000000-0005-0000-0000-000035170000}"/>
    <cellStyle name="Comma 2 15 5 2 2" xfId="5945" xr:uid="{00000000-0005-0000-0000-000036170000}"/>
    <cellStyle name="Comma 2 15 5 3" xfId="5946" xr:uid="{00000000-0005-0000-0000-000037170000}"/>
    <cellStyle name="Comma 2 15 5 4" xfId="5947" xr:uid="{00000000-0005-0000-0000-000038170000}"/>
    <cellStyle name="Comma 2 15 5 5" xfId="5948" xr:uid="{00000000-0005-0000-0000-000039170000}"/>
    <cellStyle name="Comma 2 15 5 6" xfId="5949" xr:uid="{00000000-0005-0000-0000-00003A170000}"/>
    <cellStyle name="Comma 2 15 6" xfId="5950" xr:uid="{00000000-0005-0000-0000-00003B170000}"/>
    <cellStyle name="Comma 2 15 6 2" xfId="5951" xr:uid="{00000000-0005-0000-0000-00003C170000}"/>
    <cellStyle name="Comma 2 15 6 3" xfId="5952" xr:uid="{00000000-0005-0000-0000-00003D170000}"/>
    <cellStyle name="Comma 2 15 6 4" xfId="5953" xr:uid="{00000000-0005-0000-0000-00003E170000}"/>
    <cellStyle name="Comma 2 15 6 5" xfId="5954" xr:uid="{00000000-0005-0000-0000-00003F170000}"/>
    <cellStyle name="Comma 2 15 7" xfId="5955" xr:uid="{00000000-0005-0000-0000-000040170000}"/>
    <cellStyle name="Comma 2 15 7 2" xfId="5956" xr:uid="{00000000-0005-0000-0000-000041170000}"/>
    <cellStyle name="Comma 2 15 7 3" xfId="5957" xr:uid="{00000000-0005-0000-0000-000042170000}"/>
    <cellStyle name="Comma 2 15 8" xfId="5958" xr:uid="{00000000-0005-0000-0000-000043170000}"/>
    <cellStyle name="Comma 2 15 9" xfId="5959" xr:uid="{00000000-0005-0000-0000-000044170000}"/>
    <cellStyle name="Comma 2 16" xfId="5960" xr:uid="{00000000-0005-0000-0000-000045170000}"/>
    <cellStyle name="Comma 2 16 10" xfId="5961" xr:uid="{00000000-0005-0000-0000-000046170000}"/>
    <cellStyle name="Comma 2 16 2" xfId="5962" xr:uid="{00000000-0005-0000-0000-000047170000}"/>
    <cellStyle name="Comma 2 16 2 2" xfId="5963" xr:uid="{00000000-0005-0000-0000-000048170000}"/>
    <cellStyle name="Comma 2 16 2 2 2" xfId="5964" xr:uid="{00000000-0005-0000-0000-000049170000}"/>
    <cellStyle name="Comma 2 16 2 2 3" xfId="5965" xr:uid="{00000000-0005-0000-0000-00004A170000}"/>
    <cellStyle name="Comma 2 16 2 3" xfId="5966" xr:uid="{00000000-0005-0000-0000-00004B170000}"/>
    <cellStyle name="Comma 2 16 2 4" xfId="5967" xr:uid="{00000000-0005-0000-0000-00004C170000}"/>
    <cellStyle name="Comma 2 16 2 5" xfId="5968" xr:uid="{00000000-0005-0000-0000-00004D170000}"/>
    <cellStyle name="Comma 2 16 2 6" xfId="5969" xr:uid="{00000000-0005-0000-0000-00004E170000}"/>
    <cellStyle name="Comma 2 16 3" xfId="5970" xr:uid="{00000000-0005-0000-0000-00004F170000}"/>
    <cellStyle name="Comma 2 16 3 2" xfId="5971" xr:uid="{00000000-0005-0000-0000-000050170000}"/>
    <cellStyle name="Comma 2 16 3 2 2" xfId="5972" xr:uid="{00000000-0005-0000-0000-000051170000}"/>
    <cellStyle name="Comma 2 16 3 2 3" xfId="5973" xr:uid="{00000000-0005-0000-0000-000052170000}"/>
    <cellStyle name="Comma 2 16 3 3" xfId="5974" xr:uid="{00000000-0005-0000-0000-000053170000}"/>
    <cellStyle name="Comma 2 16 3 4" xfId="5975" xr:uid="{00000000-0005-0000-0000-000054170000}"/>
    <cellStyle name="Comma 2 16 3 5" xfId="5976" xr:uid="{00000000-0005-0000-0000-000055170000}"/>
    <cellStyle name="Comma 2 16 3 6" xfId="5977" xr:uid="{00000000-0005-0000-0000-000056170000}"/>
    <cellStyle name="Comma 2 16 4" xfId="5978" xr:uid="{00000000-0005-0000-0000-000057170000}"/>
    <cellStyle name="Comma 2 16 4 2" xfId="5979" xr:uid="{00000000-0005-0000-0000-000058170000}"/>
    <cellStyle name="Comma 2 16 4 2 2" xfId="5980" xr:uid="{00000000-0005-0000-0000-000059170000}"/>
    <cellStyle name="Comma 2 16 4 3" xfId="5981" xr:uid="{00000000-0005-0000-0000-00005A170000}"/>
    <cellStyle name="Comma 2 16 4 4" xfId="5982" xr:uid="{00000000-0005-0000-0000-00005B170000}"/>
    <cellStyle name="Comma 2 16 4 5" xfId="5983" xr:uid="{00000000-0005-0000-0000-00005C170000}"/>
    <cellStyle name="Comma 2 16 4 6" xfId="5984" xr:uid="{00000000-0005-0000-0000-00005D170000}"/>
    <cellStyle name="Comma 2 16 5" xfId="5985" xr:uid="{00000000-0005-0000-0000-00005E170000}"/>
    <cellStyle name="Comma 2 16 5 2" xfId="5986" xr:uid="{00000000-0005-0000-0000-00005F170000}"/>
    <cellStyle name="Comma 2 16 5 3" xfId="5987" xr:uid="{00000000-0005-0000-0000-000060170000}"/>
    <cellStyle name="Comma 2 16 5 4" xfId="5988" xr:uid="{00000000-0005-0000-0000-000061170000}"/>
    <cellStyle name="Comma 2 16 5 5" xfId="5989" xr:uid="{00000000-0005-0000-0000-000062170000}"/>
    <cellStyle name="Comma 2 16 6" xfId="5990" xr:uid="{00000000-0005-0000-0000-000063170000}"/>
    <cellStyle name="Comma 2 16 6 2" xfId="5991" xr:uid="{00000000-0005-0000-0000-000064170000}"/>
    <cellStyle name="Comma 2 16 6 3" xfId="5992" xr:uid="{00000000-0005-0000-0000-000065170000}"/>
    <cellStyle name="Comma 2 16 7" xfId="5993" xr:uid="{00000000-0005-0000-0000-000066170000}"/>
    <cellStyle name="Comma 2 16 7 2" xfId="5994" xr:uid="{00000000-0005-0000-0000-000067170000}"/>
    <cellStyle name="Comma 2 16 8" xfId="5995" xr:uid="{00000000-0005-0000-0000-000068170000}"/>
    <cellStyle name="Comma 2 16 9" xfId="5996" xr:uid="{00000000-0005-0000-0000-000069170000}"/>
    <cellStyle name="Comma 2 17" xfId="5997" xr:uid="{00000000-0005-0000-0000-00006A170000}"/>
    <cellStyle name="Comma 2 17 10" xfId="5998" xr:uid="{00000000-0005-0000-0000-00006B170000}"/>
    <cellStyle name="Comma 2 17 2" xfId="5999" xr:uid="{00000000-0005-0000-0000-00006C170000}"/>
    <cellStyle name="Comma 2 17 2 2" xfId="6000" xr:uid="{00000000-0005-0000-0000-00006D170000}"/>
    <cellStyle name="Comma 2 17 2 2 2" xfId="6001" xr:uid="{00000000-0005-0000-0000-00006E170000}"/>
    <cellStyle name="Comma 2 17 2 2 3" xfId="6002" xr:uid="{00000000-0005-0000-0000-00006F170000}"/>
    <cellStyle name="Comma 2 17 2 3" xfId="6003" xr:uid="{00000000-0005-0000-0000-000070170000}"/>
    <cellStyle name="Comma 2 17 2 4" xfId="6004" xr:uid="{00000000-0005-0000-0000-000071170000}"/>
    <cellStyle name="Comma 2 17 2 5" xfId="6005" xr:uid="{00000000-0005-0000-0000-000072170000}"/>
    <cellStyle name="Comma 2 17 2 6" xfId="6006" xr:uid="{00000000-0005-0000-0000-000073170000}"/>
    <cellStyle name="Comma 2 17 3" xfId="6007" xr:uid="{00000000-0005-0000-0000-000074170000}"/>
    <cellStyle name="Comma 2 17 3 2" xfId="6008" xr:uid="{00000000-0005-0000-0000-000075170000}"/>
    <cellStyle name="Comma 2 17 3 2 2" xfId="6009" xr:uid="{00000000-0005-0000-0000-000076170000}"/>
    <cellStyle name="Comma 2 17 3 2 3" xfId="6010" xr:uid="{00000000-0005-0000-0000-000077170000}"/>
    <cellStyle name="Comma 2 17 3 3" xfId="6011" xr:uid="{00000000-0005-0000-0000-000078170000}"/>
    <cellStyle name="Comma 2 17 3 4" xfId="6012" xr:uid="{00000000-0005-0000-0000-000079170000}"/>
    <cellStyle name="Comma 2 17 3 5" xfId="6013" xr:uid="{00000000-0005-0000-0000-00007A170000}"/>
    <cellStyle name="Comma 2 17 3 6" xfId="6014" xr:uid="{00000000-0005-0000-0000-00007B170000}"/>
    <cellStyle name="Comma 2 17 4" xfId="6015" xr:uid="{00000000-0005-0000-0000-00007C170000}"/>
    <cellStyle name="Comma 2 17 4 2" xfId="6016" xr:uid="{00000000-0005-0000-0000-00007D170000}"/>
    <cellStyle name="Comma 2 17 4 2 2" xfId="6017" xr:uid="{00000000-0005-0000-0000-00007E170000}"/>
    <cellStyle name="Comma 2 17 4 3" xfId="6018" xr:uid="{00000000-0005-0000-0000-00007F170000}"/>
    <cellStyle name="Comma 2 17 4 4" xfId="6019" xr:uid="{00000000-0005-0000-0000-000080170000}"/>
    <cellStyle name="Comma 2 17 4 5" xfId="6020" xr:uid="{00000000-0005-0000-0000-000081170000}"/>
    <cellStyle name="Comma 2 17 4 6" xfId="6021" xr:uid="{00000000-0005-0000-0000-000082170000}"/>
    <cellStyle name="Comma 2 17 5" xfId="6022" xr:uid="{00000000-0005-0000-0000-000083170000}"/>
    <cellStyle name="Comma 2 17 5 2" xfId="6023" xr:uid="{00000000-0005-0000-0000-000084170000}"/>
    <cellStyle name="Comma 2 17 5 3" xfId="6024" xr:uid="{00000000-0005-0000-0000-000085170000}"/>
    <cellStyle name="Comma 2 17 5 4" xfId="6025" xr:uid="{00000000-0005-0000-0000-000086170000}"/>
    <cellStyle name="Comma 2 17 5 5" xfId="6026" xr:uid="{00000000-0005-0000-0000-000087170000}"/>
    <cellStyle name="Comma 2 17 6" xfId="6027" xr:uid="{00000000-0005-0000-0000-000088170000}"/>
    <cellStyle name="Comma 2 17 6 2" xfId="6028" xr:uid="{00000000-0005-0000-0000-000089170000}"/>
    <cellStyle name="Comma 2 17 6 3" xfId="6029" xr:uid="{00000000-0005-0000-0000-00008A170000}"/>
    <cellStyle name="Comma 2 17 7" xfId="6030" xr:uid="{00000000-0005-0000-0000-00008B170000}"/>
    <cellStyle name="Comma 2 17 7 2" xfId="6031" xr:uid="{00000000-0005-0000-0000-00008C170000}"/>
    <cellStyle name="Comma 2 17 8" xfId="6032" xr:uid="{00000000-0005-0000-0000-00008D170000}"/>
    <cellStyle name="Comma 2 17 9" xfId="6033" xr:uid="{00000000-0005-0000-0000-00008E170000}"/>
    <cellStyle name="Comma 2 18" xfId="6034" xr:uid="{00000000-0005-0000-0000-00008F170000}"/>
    <cellStyle name="Comma 2 18 10" xfId="6035" xr:uid="{00000000-0005-0000-0000-000090170000}"/>
    <cellStyle name="Comma 2 18 2" xfId="6036" xr:uid="{00000000-0005-0000-0000-000091170000}"/>
    <cellStyle name="Comma 2 18 2 2" xfId="6037" xr:uid="{00000000-0005-0000-0000-000092170000}"/>
    <cellStyle name="Comma 2 18 2 2 2" xfId="6038" xr:uid="{00000000-0005-0000-0000-000093170000}"/>
    <cellStyle name="Comma 2 18 2 2 3" xfId="6039" xr:uid="{00000000-0005-0000-0000-000094170000}"/>
    <cellStyle name="Comma 2 18 2 3" xfId="6040" xr:uid="{00000000-0005-0000-0000-000095170000}"/>
    <cellStyle name="Comma 2 18 2 4" xfId="6041" xr:uid="{00000000-0005-0000-0000-000096170000}"/>
    <cellStyle name="Comma 2 18 2 5" xfId="6042" xr:uid="{00000000-0005-0000-0000-000097170000}"/>
    <cellStyle name="Comma 2 18 2 6" xfId="6043" xr:uid="{00000000-0005-0000-0000-000098170000}"/>
    <cellStyle name="Comma 2 18 3" xfId="6044" xr:uid="{00000000-0005-0000-0000-000099170000}"/>
    <cellStyle name="Comma 2 18 3 2" xfId="6045" xr:uid="{00000000-0005-0000-0000-00009A170000}"/>
    <cellStyle name="Comma 2 18 3 2 2" xfId="6046" xr:uid="{00000000-0005-0000-0000-00009B170000}"/>
    <cellStyle name="Comma 2 18 3 2 3" xfId="6047" xr:uid="{00000000-0005-0000-0000-00009C170000}"/>
    <cellStyle name="Comma 2 18 3 3" xfId="6048" xr:uid="{00000000-0005-0000-0000-00009D170000}"/>
    <cellStyle name="Comma 2 18 3 4" xfId="6049" xr:uid="{00000000-0005-0000-0000-00009E170000}"/>
    <cellStyle name="Comma 2 18 3 5" xfId="6050" xr:uid="{00000000-0005-0000-0000-00009F170000}"/>
    <cellStyle name="Comma 2 18 3 6" xfId="6051" xr:uid="{00000000-0005-0000-0000-0000A0170000}"/>
    <cellStyle name="Comma 2 18 4" xfId="6052" xr:uid="{00000000-0005-0000-0000-0000A1170000}"/>
    <cellStyle name="Comma 2 18 4 2" xfId="6053" xr:uid="{00000000-0005-0000-0000-0000A2170000}"/>
    <cellStyle name="Comma 2 18 4 2 2" xfId="6054" xr:uid="{00000000-0005-0000-0000-0000A3170000}"/>
    <cellStyle name="Comma 2 18 4 3" xfId="6055" xr:uid="{00000000-0005-0000-0000-0000A4170000}"/>
    <cellStyle name="Comma 2 18 4 4" xfId="6056" xr:uid="{00000000-0005-0000-0000-0000A5170000}"/>
    <cellStyle name="Comma 2 18 4 5" xfId="6057" xr:uid="{00000000-0005-0000-0000-0000A6170000}"/>
    <cellStyle name="Comma 2 18 4 6" xfId="6058" xr:uid="{00000000-0005-0000-0000-0000A7170000}"/>
    <cellStyle name="Comma 2 18 5" xfId="6059" xr:uid="{00000000-0005-0000-0000-0000A8170000}"/>
    <cellStyle name="Comma 2 18 5 2" xfId="6060" xr:uid="{00000000-0005-0000-0000-0000A9170000}"/>
    <cellStyle name="Comma 2 18 5 3" xfId="6061" xr:uid="{00000000-0005-0000-0000-0000AA170000}"/>
    <cellStyle name="Comma 2 18 5 4" xfId="6062" xr:uid="{00000000-0005-0000-0000-0000AB170000}"/>
    <cellStyle name="Comma 2 18 5 5" xfId="6063" xr:uid="{00000000-0005-0000-0000-0000AC170000}"/>
    <cellStyle name="Comma 2 18 6" xfId="6064" xr:uid="{00000000-0005-0000-0000-0000AD170000}"/>
    <cellStyle name="Comma 2 18 6 2" xfId="6065" xr:uid="{00000000-0005-0000-0000-0000AE170000}"/>
    <cellStyle name="Comma 2 18 6 3" xfId="6066" xr:uid="{00000000-0005-0000-0000-0000AF170000}"/>
    <cellStyle name="Comma 2 18 7" xfId="6067" xr:uid="{00000000-0005-0000-0000-0000B0170000}"/>
    <cellStyle name="Comma 2 18 7 2" xfId="6068" xr:uid="{00000000-0005-0000-0000-0000B1170000}"/>
    <cellStyle name="Comma 2 18 8" xfId="6069" xr:uid="{00000000-0005-0000-0000-0000B2170000}"/>
    <cellStyle name="Comma 2 18 9" xfId="6070" xr:uid="{00000000-0005-0000-0000-0000B3170000}"/>
    <cellStyle name="Comma 2 19" xfId="6071" xr:uid="{00000000-0005-0000-0000-0000B4170000}"/>
    <cellStyle name="Comma 2 19 10" xfId="6072" xr:uid="{00000000-0005-0000-0000-0000B5170000}"/>
    <cellStyle name="Comma 2 19 2" xfId="6073" xr:uid="{00000000-0005-0000-0000-0000B6170000}"/>
    <cellStyle name="Comma 2 19 2 2" xfId="6074" xr:uid="{00000000-0005-0000-0000-0000B7170000}"/>
    <cellStyle name="Comma 2 19 2 2 2" xfId="6075" xr:uid="{00000000-0005-0000-0000-0000B8170000}"/>
    <cellStyle name="Comma 2 19 2 2 3" xfId="6076" xr:uid="{00000000-0005-0000-0000-0000B9170000}"/>
    <cellStyle name="Comma 2 19 2 3" xfId="6077" xr:uid="{00000000-0005-0000-0000-0000BA170000}"/>
    <cellStyle name="Comma 2 19 2 4" xfId="6078" xr:uid="{00000000-0005-0000-0000-0000BB170000}"/>
    <cellStyle name="Comma 2 19 2 5" xfId="6079" xr:uid="{00000000-0005-0000-0000-0000BC170000}"/>
    <cellStyle name="Comma 2 19 2 6" xfId="6080" xr:uid="{00000000-0005-0000-0000-0000BD170000}"/>
    <cellStyle name="Comma 2 19 3" xfId="6081" xr:uid="{00000000-0005-0000-0000-0000BE170000}"/>
    <cellStyle name="Comma 2 19 3 2" xfId="6082" xr:uid="{00000000-0005-0000-0000-0000BF170000}"/>
    <cellStyle name="Comma 2 19 3 2 2" xfId="6083" xr:uid="{00000000-0005-0000-0000-0000C0170000}"/>
    <cellStyle name="Comma 2 19 3 2 3" xfId="6084" xr:uid="{00000000-0005-0000-0000-0000C1170000}"/>
    <cellStyle name="Comma 2 19 3 3" xfId="6085" xr:uid="{00000000-0005-0000-0000-0000C2170000}"/>
    <cellStyle name="Comma 2 19 3 4" xfId="6086" xr:uid="{00000000-0005-0000-0000-0000C3170000}"/>
    <cellStyle name="Comma 2 19 3 5" xfId="6087" xr:uid="{00000000-0005-0000-0000-0000C4170000}"/>
    <cellStyle name="Comma 2 19 3 6" xfId="6088" xr:uid="{00000000-0005-0000-0000-0000C5170000}"/>
    <cellStyle name="Comma 2 19 4" xfId="6089" xr:uid="{00000000-0005-0000-0000-0000C6170000}"/>
    <cellStyle name="Comma 2 19 4 2" xfId="6090" xr:uid="{00000000-0005-0000-0000-0000C7170000}"/>
    <cellStyle name="Comma 2 19 4 2 2" xfId="6091" xr:uid="{00000000-0005-0000-0000-0000C8170000}"/>
    <cellStyle name="Comma 2 19 4 3" xfId="6092" xr:uid="{00000000-0005-0000-0000-0000C9170000}"/>
    <cellStyle name="Comma 2 19 4 4" xfId="6093" xr:uid="{00000000-0005-0000-0000-0000CA170000}"/>
    <cellStyle name="Comma 2 19 4 5" xfId="6094" xr:uid="{00000000-0005-0000-0000-0000CB170000}"/>
    <cellStyle name="Comma 2 19 4 6" xfId="6095" xr:uid="{00000000-0005-0000-0000-0000CC170000}"/>
    <cellStyle name="Comma 2 19 5" xfId="6096" xr:uid="{00000000-0005-0000-0000-0000CD170000}"/>
    <cellStyle name="Comma 2 19 5 2" xfId="6097" xr:uid="{00000000-0005-0000-0000-0000CE170000}"/>
    <cellStyle name="Comma 2 19 5 3" xfId="6098" xr:uid="{00000000-0005-0000-0000-0000CF170000}"/>
    <cellStyle name="Comma 2 19 5 4" xfId="6099" xr:uid="{00000000-0005-0000-0000-0000D0170000}"/>
    <cellStyle name="Comma 2 19 5 5" xfId="6100" xr:uid="{00000000-0005-0000-0000-0000D1170000}"/>
    <cellStyle name="Comma 2 19 6" xfId="6101" xr:uid="{00000000-0005-0000-0000-0000D2170000}"/>
    <cellStyle name="Comma 2 19 6 2" xfId="6102" xr:uid="{00000000-0005-0000-0000-0000D3170000}"/>
    <cellStyle name="Comma 2 19 6 3" xfId="6103" xr:uid="{00000000-0005-0000-0000-0000D4170000}"/>
    <cellStyle name="Comma 2 19 7" xfId="6104" xr:uid="{00000000-0005-0000-0000-0000D5170000}"/>
    <cellStyle name="Comma 2 19 7 2" xfId="6105" xr:uid="{00000000-0005-0000-0000-0000D6170000}"/>
    <cellStyle name="Comma 2 19 8" xfId="6106" xr:uid="{00000000-0005-0000-0000-0000D7170000}"/>
    <cellStyle name="Comma 2 19 9" xfId="6107" xr:uid="{00000000-0005-0000-0000-0000D8170000}"/>
    <cellStyle name="Comma 2 2" xfId="6108" xr:uid="{00000000-0005-0000-0000-0000D9170000}"/>
    <cellStyle name="Comma 2 2 10" xfId="6109" xr:uid="{00000000-0005-0000-0000-0000DA170000}"/>
    <cellStyle name="Comma 2 2 10 10" xfId="6110" xr:uid="{00000000-0005-0000-0000-0000DB170000}"/>
    <cellStyle name="Comma 2 2 10 2" xfId="6111" xr:uid="{00000000-0005-0000-0000-0000DC170000}"/>
    <cellStyle name="Comma 2 2 10 2 2" xfId="6112" xr:uid="{00000000-0005-0000-0000-0000DD170000}"/>
    <cellStyle name="Comma 2 2 10 2 2 2" xfId="6113" xr:uid="{00000000-0005-0000-0000-0000DE170000}"/>
    <cellStyle name="Comma 2 2 10 2 2 3" xfId="6114" xr:uid="{00000000-0005-0000-0000-0000DF170000}"/>
    <cellStyle name="Comma 2 2 10 2 3" xfId="6115" xr:uid="{00000000-0005-0000-0000-0000E0170000}"/>
    <cellStyle name="Comma 2 2 10 2 4" xfId="6116" xr:uid="{00000000-0005-0000-0000-0000E1170000}"/>
    <cellStyle name="Comma 2 2 10 2 5" xfId="6117" xr:uid="{00000000-0005-0000-0000-0000E2170000}"/>
    <cellStyle name="Comma 2 2 10 2 6" xfId="6118" xr:uid="{00000000-0005-0000-0000-0000E3170000}"/>
    <cellStyle name="Comma 2 2 10 3" xfId="6119" xr:uid="{00000000-0005-0000-0000-0000E4170000}"/>
    <cellStyle name="Comma 2 2 10 3 2" xfId="6120" xr:uid="{00000000-0005-0000-0000-0000E5170000}"/>
    <cellStyle name="Comma 2 2 10 3 2 2" xfId="6121" xr:uid="{00000000-0005-0000-0000-0000E6170000}"/>
    <cellStyle name="Comma 2 2 10 3 2 3" xfId="6122" xr:uid="{00000000-0005-0000-0000-0000E7170000}"/>
    <cellStyle name="Comma 2 2 10 3 3" xfId="6123" xr:uid="{00000000-0005-0000-0000-0000E8170000}"/>
    <cellStyle name="Comma 2 2 10 3 4" xfId="6124" xr:uid="{00000000-0005-0000-0000-0000E9170000}"/>
    <cellStyle name="Comma 2 2 10 3 5" xfId="6125" xr:uid="{00000000-0005-0000-0000-0000EA170000}"/>
    <cellStyle name="Comma 2 2 10 3 6" xfId="6126" xr:uid="{00000000-0005-0000-0000-0000EB170000}"/>
    <cellStyle name="Comma 2 2 10 4" xfId="6127" xr:uid="{00000000-0005-0000-0000-0000EC170000}"/>
    <cellStyle name="Comma 2 2 10 4 2" xfId="6128" xr:uid="{00000000-0005-0000-0000-0000ED170000}"/>
    <cellStyle name="Comma 2 2 10 4 2 2" xfId="6129" xr:uid="{00000000-0005-0000-0000-0000EE170000}"/>
    <cellStyle name="Comma 2 2 10 4 3" xfId="6130" xr:uid="{00000000-0005-0000-0000-0000EF170000}"/>
    <cellStyle name="Comma 2 2 10 4 4" xfId="6131" xr:uid="{00000000-0005-0000-0000-0000F0170000}"/>
    <cellStyle name="Comma 2 2 10 4 5" xfId="6132" xr:uid="{00000000-0005-0000-0000-0000F1170000}"/>
    <cellStyle name="Comma 2 2 10 5" xfId="6133" xr:uid="{00000000-0005-0000-0000-0000F2170000}"/>
    <cellStyle name="Comma 2 2 10 5 2" xfId="6134" xr:uid="{00000000-0005-0000-0000-0000F3170000}"/>
    <cellStyle name="Comma 2 2 10 5 3" xfId="6135" xr:uid="{00000000-0005-0000-0000-0000F4170000}"/>
    <cellStyle name="Comma 2 2 10 5 4" xfId="6136" xr:uid="{00000000-0005-0000-0000-0000F5170000}"/>
    <cellStyle name="Comma 2 2 10 6" xfId="6137" xr:uid="{00000000-0005-0000-0000-0000F6170000}"/>
    <cellStyle name="Comma 2 2 10 6 2" xfId="6138" xr:uid="{00000000-0005-0000-0000-0000F7170000}"/>
    <cellStyle name="Comma 2 2 10 7" xfId="6139" xr:uid="{00000000-0005-0000-0000-0000F8170000}"/>
    <cellStyle name="Comma 2 2 10 8" xfId="6140" xr:uid="{00000000-0005-0000-0000-0000F9170000}"/>
    <cellStyle name="Comma 2 2 10 9" xfId="6141" xr:uid="{00000000-0005-0000-0000-0000FA170000}"/>
    <cellStyle name="Comma 2 2 11" xfId="6142" xr:uid="{00000000-0005-0000-0000-0000FB170000}"/>
    <cellStyle name="Comma 2 2 11 10" xfId="6143" xr:uid="{00000000-0005-0000-0000-0000FC170000}"/>
    <cellStyle name="Comma 2 2 11 2" xfId="6144" xr:uid="{00000000-0005-0000-0000-0000FD170000}"/>
    <cellStyle name="Comma 2 2 11 2 2" xfId="6145" xr:uid="{00000000-0005-0000-0000-0000FE170000}"/>
    <cellStyle name="Comma 2 2 11 2 2 2" xfId="6146" xr:uid="{00000000-0005-0000-0000-0000FF170000}"/>
    <cellStyle name="Comma 2 2 11 2 2 3" xfId="6147" xr:uid="{00000000-0005-0000-0000-000000180000}"/>
    <cellStyle name="Comma 2 2 11 2 3" xfId="6148" xr:uid="{00000000-0005-0000-0000-000001180000}"/>
    <cellStyle name="Comma 2 2 11 2 4" xfId="6149" xr:uid="{00000000-0005-0000-0000-000002180000}"/>
    <cellStyle name="Comma 2 2 11 2 5" xfId="6150" xr:uid="{00000000-0005-0000-0000-000003180000}"/>
    <cellStyle name="Comma 2 2 11 2 6" xfId="6151" xr:uid="{00000000-0005-0000-0000-000004180000}"/>
    <cellStyle name="Comma 2 2 11 3" xfId="6152" xr:uid="{00000000-0005-0000-0000-000005180000}"/>
    <cellStyle name="Comma 2 2 11 3 2" xfId="6153" xr:uid="{00000000-0005-0000-0000-000006180000}"/>
    <cellStyle name="Comma 2 2 11 3 2 2" xfId="6154" xr:uid="{00000000-0005-0000-0000-000007180000}"/>
    <cellStyle name="Comma 2 2 11 3 2 3" xfId="6155" xr:uid="{00000000-0005-0000-0000-000008180000}"/>
    <cellStyle name="Comma 2 2 11 3 3" xfId="6156" xr:uid="{00000000-0005-0000-0000-000009180000}"/>
    <cellStyle name="Comma 2 2 11 3 4" xfId="6157" xr:uid="{00000000-0005-0000-0000-00000A180000}"/>
    <cellStyle name="Comma 2 2 11 3 5" xfId="6158" xr:uid="{00000000-0005-0000-0000-00000B180000}"/>
    <cellStyle name="Comma 2 2 11 3 6" xfId="6159" xr:uid="{00000000-0005-0000-0000-00000C180000}"/>
    <cellStyle name="Comma 2 2 11 4" xfId="6160" xr:uid="{00000000-0005-0000-0000-00000D180000}"/>
    <cellStyle name="Comma 2 2 11 4 2" xfId="6161" xr:uid="{00000000-0005-0000-0000-00000E180000}"/>
    <cellStyle name="Comma 2 2 11 4 2 2" xfId="6162" xr:uid="{00000000-0005-0000-0000-00000F180000}"/>
    <cellStyle name="Comma 2 2 11 4 3" xfId="6163" xr:uid="{00000000-0005-0000-0000-000010180000}"/>
    <cellStyle name="Comma 2 2 11 4 4" xfId="6164" xr:uid="{00000000-0005-0000-0000-000011180000}"/>
    <cellStyle name="Comma 2 2 11 4 5" xfId="6165" xr:uid="{00000000-0005-0000-0000-000012180000}"/>
    <cellStyle name="Comma 2 2 11 5" xfId="6166" xr:uid="{00000000-0005-0000-0000-000013180000}"/>
    <cellStyle name="Comma 2 2 11 5 2" xfId="6167" xr:uid="{00000000-0005-0000-0000-000014180000}"/>
    <cellStyle name="Comma 2 2 11 5 3" xfId="6168" xr:uid="{00000000-0005-0000-0000-000015180000}"/>
    <cellStyle name="Comma 2 2 11 5 4" xfId="6169" xr:uid="{00000000-0005-0000-0000-000016180000}"/>
    <cellStyle name="Comma 2 2 11 6" xfId="6170" xr:uid="{00000000-0005-0000-0000-000017180000}"/>
    <cellStyle name="Comma 2 2 11 6 2" xfId="6171" xr:uid="{00000000-0005-0000-0000-000018180000}"/>
    <cellStyle name="Comma 2 2 11 7" xfId="6172" xr:uid="{00000000-0005-0000-0000-000019180000}"/>
    <cellStyle name="Comma 2 2 11 8" xfId="6173" xr:uid="{00000000-0005-0000-0000-00001A180000}"/>
    <cellStyle name="Comma 2 2 11 9" xfId="6174" xr:uid="{00000000-0005-0000-0000-00001B180000}"/>
    <cellStyle name="Comma 2 2 12" xfId="6175" xr:uid="{00000000-0005-0000-0000-00001C180000}"/>
    <cellStyle name="Comma 2 2 12 10" xfId="6176" xr:uid="{00000000-0005-0000-0000-00001D180000}"/>
    <cellStyle name="Comma 2 2 12 2" xfId="6177" xr:uid="{00000000-0005-0000-0000-00001E180000}"/>
    <cellStyle name="Comma 2 2 12 2 2" xfId="6178" xr:uid="{00000000-0005-0000-0000-00001F180000}"/>
    <cellStyle name="Comma 2 2 12 2 2 2" xfId="6179" xr:uid="{00000000-0005-0000-0000-000020180000}"/>
    <cellStyle name="Comma 2 2 12 2 2 3" xfId="6180" xr:uid="{00000000-0005-0000-0000-000021180000}"/>
    <cellStyle name="Comma 2 2 12 2 3" xfId="6181" xr:uid="{00000000-0005-0000-0000-000022180000}"/>
    <cellStyle name="Comma 2 2 12 2 4" xfId="6182" xr:uid="{00000000-0005-0000-0000-000023180000}"/>
    <cellStyle name="Comma 2 2 12 2 5" xfId="6183" xr:uid="{00000000-0005-0000-0000-000024180000}"/>
    <cellStyle name="Comma 2 2 12 2 6" xfId="6184" xr:uid="{00000000-0005-0000-0000-000025180000}"/>
    <cellStyle name="Comma 2 2 12 3" xfId="6185" xr:uid="{00000000-0005-0000-0000-000026180000}"/>
    <cellStyle name="Comma 2 2 12 3 2" xfId="6186" xr:uid="{00000000-0005-0000-0000-000027180000}"/>
    <cellStyle name="Comma 2 2 12 3 2 2" xfId="6187" xr:uid="{00000000-0005-0000-0000-000028180000}"/>
    <cellStyle name="Comma 2 2 12 3 2 3" xfId="6188" xr:uid="{00000000-0005-0000-0000-000029180000}"/>
    <cellStyle name="Comma 2 2 12 3 3" xfId="6189" xr:uid="{00000000-0005-0000-0000-00002A180000}"/>
    <cellStyle name="Comma 2 2 12 3 4" xfId="6190" xr:uid="{00000000-0005-0000-0000-00002B180000}"/>
    <cellStyle name="Comma 2 2 12 3 5" xfId="6191" xr:uid="{00000000-0005-0000-0000-00002C180000}"/>
    <cellStyle name="Comma 2 2 12 3 6" xfId="6192" xr:uid="{00000000-0005-0000-0000-00002D180000}"/>
    <cellStyle name="Comma 2 2 12 4" xfId="6193" xr:uid="{00000000-0005-0000-0000-00002E180000}"/>
    <cellStyle name="Comma 2 2 12 4 2" xfId="6194" xr:uid="{00000000-0005-0000-0000-00002F180000}"/>
    <cellStyle name="Comma 2 2 12 4 2 2" xfId="6195" xr:uid="{00000000-0005-0000-0000-000030180000}"/>
    <cellStyle name="Comma 2 2 12 4 3" xfId="6196" xr:uid="{00000000-0005-0000-0000-000031180000}"/>
    <cellStyle name="Comma 2 2 12 4 4" xfId="6197" xr:uid="{00000000-0005-0000-0000-000032180000}"/>
    <cellStyle name="Comma 2 2 12 4 5" xfId="6198" xr:uid="{00000000-0005-0000-0000-000033180000}"/>
    <cellStyle name="Comma 2 2 12 5" xfId="6199" xr:uid="{00000000-0005-0000-0000-000034180000}"/>
    <cellStyle name="Comma 2 2 12 5 2" xfId="6200" xr:uid="{00000000-0005-0000-0000-000035180000}"/>
    <cellStyle name="Comma 2 2 12 5 3" xfId="6201" xr:uid="{00000000-0005-0000-0000-000036180000}"/>
    <cellStyle name="Comma 2 2 12 5 4" xfId="6202" xr:uid="{00000000-0005-0000-0000-000037180000}"/>
    <cellStyle name="Comma 2 2 12 6" xfId="6203" xr:uid="{00000000-0005-0000-0000-000038180000}"/>
    <cellStyle name="Comma 2 2 12 6 2" xfId="6204" xr:uid="{00000000-0005-0000-0000-000039180000}"/>
    <cellStyle name="Comma 2 2 12 7" xfId="6205" xr:uid="{00000000-0005-0000-0000-00003A180000}"/>
    <cellStyle name="Comma 2 2 12 8" xfId="6206" xr:uid="{00000000-0005-0000-0000-00003B180000}"/>
    <cellStyle name="Comma 2 2 12 9" xfId="6207" xr:uid="{00000000-0005-0000-0000-00003C180000}"/>
    <cellStyle name="Comma 2 2 13" xfId="6208" xr:uid="{00000000-0005-0000-0000-00003D180000}"/>
    <cellStyle name="Comma 2 2 13 10" xfId="6209" xr:uid="{00000000-0005-0000-0000-00003E180000}"/>
    <cellStyle name="Comma 2 2 13 2" xfId="6210" xr:uid="{00000000-0005-0000-0000-00003F180000}"/>
    <cellStyle name="Comma 2 2 13 2 2" xfId="6211" xr:uid="{00000000-0005-0000-0000-000040180000}"/>
    <cellStyle name="Comma 2 2 13 2 2 2" xfId="6212" xr:uid="{00000000-0005-0000-0000-000041180000}"/>
    <cellStyle name="Comma 2 2 13 2 2 3" xfId="6213" xr:uid="{00000000-0005-0000-0000-000042180000}"/>
    <cellStyle name="Comma 2 2 13 2 3" xfId="6214" xr:uid="{00000000-0005-0000-0000-000043180000}"/>
    <cellStyle name="Comma 2 2 13 2 4" xfId="6215" xr:uid="{00000000-0005-0000-0000-000044180000}"/>
    <cellStyle name="Comma 2 2 13 2 5" xfId="6216" xr:uid="{00000000-0005-0000-0000-000045180000}"/>
    <cellStyle name="Comma 2 2 13 2 6" xfId="6217" xr:uid="{00000000-0005-0000-0000-000046180000}"/>
    <cellStyle name="Comma 2 2 13 3" xfId="6218" xr:uid="{00000000-0005-0000-0000-000047180000}"/>
    <cellStyle name="Comma 2 2 13 3 2" xfId="6219" xr:uid="{00000000-0005-0000-0000-000048180000}"/>
    <cellStyle name="Comma 2 2 13 3 2 2" xfId="6220" xr:uid="{00000000-0005-0000-0000-000049180000}"/>
    <cellStyle name="Comma 2 2 13 3 2 3" xfId="6221" xr:uid="{00000000-0005-0000-0000-00004A180000}"/>
    <cellStyle name="Comma 2 2 13 3 3" xfId="6222" xr:uid="{00000000-0005-0000-0000-00004B180000}"/>
    <cellStyle name="Comma 2 2 13 3 4" xfId="6223" xr:uid="{00000000-0005-0000-0000-00004C180000}"/>
    <cellStyle name="Comma 2 2 13 3 5" xfId="6224" xr:uid="{00000000-0005-0000-0000-00004D180000}"/>
    <cellStyle name="Comma 2 2 13 3 6" xfId="6225" xr:uid="{00000000-0005-0000-0000-00004E180000}"/>
    <cellStyle name="Comma 2 2 13 4" xfId="6226" xr:uid="{00000000-0005-0000-0000-00004F180000}"/>
    <cellStyle name="Comma 2 2 13 4 2" xfId="6227" xr:uid="{00000000-0005-0000-0000-000050180000}"/>
    <cellStyle name="Comma 2 2 13 4 2 2" xfId="6228" xr:uid="{00000000-0005-0000-0000-000051180000}"/>
    <cellStyle name="Comma 2 2 13 4 3" xfId="6229" xr:uid="{00000000-0005-0000-0000-000052180000}"/>
    <cellStyle name="Comma 2 2 13 4 4" xfId="6230" xr:uid="{00000000-0005-0000-0000-000053180000}"/>
    <cellStyle name="Comma 2 2 13 4 5" xfId="6231" xr:uid="{00000000-0005-0000-0000-000054180000}"/>
    <cellStyle name="Comma 2 2 13 5" xfId="6232" xr:uid="{00000000-0005-0000-0000-000055180000}"/>
    <cellStyle name="Comma 2 2 13 5 2" xfId="6233" xr:uid="{00000000-0005-0000-0000-000056180000}"/>
    <cellStyle name="Comma 2 2 13 5 3" xfId="6234" xr:uid="{00000000-0005-0000-0000-000057180000}"/>
    <cellStyle name="Comma 2 2 13 5 4" xfId="6235" xr:uid="{00000000-0005-0000-0000-000058180000}"/>
    <cellStyle name="Comma 2 2 13 6" xfId="6236" xr:uid="{00000000-0005-0000-0000-000059180000}"/>
    <cellStyle name="Comma 2 2 13 6 2" xfId="6237" xr:uid="{00000000-0005-0000-0000-00005A180000}"/>
    <cellStyle name="Comma 2 2 13 7" xfId="6238" xr:uid="{00000000-0005-0000-0000-00005B180000}"/>
    <cellStyle name="Comma 2 2 13 8" xfId="6239" xr:uid="{00000000-0005-0000-0000-00005C180000}"/>
    <cellStyle name="Comma 2 2 13 9" xfId="6240" xr:uid="{00000000-0005-0000-0000-00005D180000}"/>
    <cellStyle name="Comma 2 2 14" xfId="6241" xr:uid="{00000000-0005-0000-0000-00005E180000}"/>
    <cellStyle name="Comma 2 2 14 10" xfId="6242" xr:uid="{00000000-0005-0000-0000-00005F180000}"/>
    <cellStyle name="Comma 2 2 14 2" xfId="6243" xr:uid="{00000000-0005-0000-0000-000060180000}"/>
    <cellStyle name="Comma 2 2 14 2 2" xfId="6244" xr:uid="{00000000-0005-0000-0000-000061180000}"/>
    <cellStyle name="Comma 2 2 14 2 2 2" xfId="6245" xr:uid="{00000000-0005-0000-0000-000062180000}"/>
    <cellStyle name="Comma 2 2 14 2 2 3" xfId="6246" xr:uid="{00000000-0005-0000-0000-000063180000}"/>
    <cellStyle name="Comma 2 2 14 2 3" xfId="6247" xr:uid="{00000000-0005-0000-0000-000064180000}"/>
    <cellStyle name="Comma 2 2 14 2 4" xfId="6248" xr:uid="{00000000-0005-0000-0000-000065180000}"/>
    <cellStyle name="Comma 2 2 14 2 5" xfId="6249" xr:uid="{00000000-0005-0000-0000-000066180000}"/>
    <cellStyle name="Comma 2 2 14 2 6" xfId="6250" xr:uid="{00000000-0005-0000-0000-000067180000}"/>
    <cellStyle name="Comma 2 2 14 3" xfId="6251" xr:uid="{00000000-0005-0000-0000-000068180000}"/>
    <cellStyle name="Comma 2 2 14 3 2" xfId="6252" xr:uid="{00000000-0005-0000-0000-000069180000}"/>
    <cellStyle name="Comma 2 2 14 3 2 2" xfId="6253" xr:uid="{00000000-0005-0000-0000-00006A180000}"/>
    <cellStyle name="Comma 2 2 14 3 2 3" xfId="6254" xr:uid="{00000000-0005-0000-0000-00006B180000}"/>
    <cellStyle name="Comma 2 2 14 3 3" xfId="6255" xr:uid="{00000000-0005-0000-0000-00006C180000}"/>
    <cellStyle name="Comma 2 2 14 3 4" xfId="6256" xr:uid="{00000000-0005-0000-0000-00006D180000}"/>
    <cellStyle name="Comma 2 2 14 3 5" xfId="6257" xr:uid="{00000000-0005-0000-0000-00006E180000}"/>
    <cellStyle name="Comma 2 2 14 3 6" xfId="6258" xr:uid="{00000000-0005-0000-0000-00006F180000}"/>
    <cellStyle name="Comma 2 2 14 4" xfId="6259" xr:uid="{00000000-0005-0000-0000-000070180000}"/>
    <cellStyle name="Comma 2 2 14 4 2" xfId="6260" xr:uid="{00000000-0005-0000-0000-000071180000}"/>
    <cellStyle name="Comma 2 2 14 4 2 2" xfId="6261" xr:uid="{00000000-0005-0000-0000-000072180000}"/>
    <cellStyle name="Comma 2 2 14 4 3" xfId="6262" xr:uid="{00000000-0005-0000-0000-000073180000}"/>
    <cellStyle name="Comma 2 2 14 4 4" xfId="6263" xr:uid="{00000000-0005-0000-0000-000074180000}"/>
    <cellStyle name="Comma 2 2 14 4 5" xfId="6264" xr:uid="{00000000-0005-0000-0000-000075180000}"/>
    <cellStyle name="Comma 2 2 14 5" xfId="6265" xr:uid="{00000000-0005-0000-0000-000076180000}"/>
    <cellStyle name="Comma 2 2 14 5 2" xfId="6266" xr:uid="{00000000-0005-0000-0000-000077180000}"/>
    <cellStyle name="Comma 2 2 14 5 3" xfId="6267" xr:uid="{00000000-0005-0000-0000-000078180000}"/>
    <cellStyle name="Comma 2 2 14 5 4" xfId="6268" xr:uid="{00000000-0005-0000-0000-000079180000}"/>
    <cellStyle name="Comma 2 2 14 6" xfId="6269" xr:uid="{00000000-0005-0000-0000-00007A180000}"/>
    <cellStyle name="Comma 2 2 14 6 2" xfId="6270" xr:uid="{00000000-0005-0000-0000-00007B180000}"/>
    <cellStyle name="Comma 2 2 14 7" xfId="6271" xr:uid="{00000000-0005-0000-0000-00007C180000}"/>
    <cellStyle name="Comma 2 2 14 8" xfId="6272" xr:uid="{00000000-0005-0000-0000-00007D180000}"/>
    <cellStyle name="Comma 2 2 14 9" xfId="6273" xr:uid="{00000000-0005-0000-0000-00007E180000}"/>
    <cellStyle name="Comma 2 2 15" xfId="6274" xr:uid="{00000000-0005-0000-0000-00007F180000}"/>
    <cellStyle name="Comma 2 2 15 10" xfId="6275" xr:uid="{00000000-0005-0000-0000-000080180000}"/>
    <cellStyle name="Comma 2 2 15 2" xfId="6276" xr:uid="{00000000-0005-0000-0000-000081180000}"/>
    <cellStyle name="Comma 2 2 15 2 2" xfId="6277" xr:uid="{00000000-0005-0000-0000-000082180000}"/>
    <cellStyle name="Comma 2 2 15 2 2 2" xfId="6278" xr:uid="{00000000-0005-0000-0000-000083180000}"/>
    <cellStyle name="Comma 2 2 15 2 2 3" xfId="6279" xr:uid="{00000000-0005-0000-0000-000084180000}"/>
    <cellStyle name="Comma 2 2 15 2 3" xfId="6280" xr:uid="{00000000-0005-0000-0000-000085180000}"/>
    <cellStyle name="Comma 2 2 15 2 4" xfId="6281" xr:uid="{00000000-0005-0000-0000-000086180000}"/>
    <cellStyle name="Comma 2 2 15 2 5" xfId="6282" xr:uid="{00000000-0005-0000-0000-000087180000}"/>
    <cellStyle name="Comma 2 2 15 2 6" xfId="6283" xr:uid="{00000000-0005-0000-0000-000088180000}"/>
    <cellStyle name="Comma 2 2 15 3" xfId="6284" xr:uid="{00000000-0005-0000-0000-000089180000}"/>
    <cellStyle name="Comma 2 2 15 3 2" xfId="6285" xr:uid="{00000000-0005-0000-0000-00008A180000}"/>
    <cellStyle name="Comma 2 2 15 3 2 2" xfId="6286" xr:uid="{00000000-0005-0000-0000-00008B180000}"/>
    <cellStyle name="Comma 2 2 15 3 2 3" xfId="6287" xr:uid="{00000000-0005-0000-0000-00008C180000}"/>
    <cellStyle name="Comma 2 2 15 3 3" xfId="6288" xr:uid="{00000000-0005-0000-0000-00008D180000}"/>
    <cellStyle name="Comma 2 2 15 3 4" xfId="6289" xr:uid="{00000000-0005-0000-0000-00008E180000}"/>
    <cellStyle name="Comma 2 2 15 3 5" xfId="6290" xr:uid="{00000000-0005-0000-0000-00008F180000}"/>
    <cellStyle name="Comma 2 2 15 3 6" xfId="6291" xr:uid="{00000000-0005-0000-0000-000090180000}"/>
    <cellStyle name="Comma 2 2 15 4" xfId="6292" xr:uid="{00000000-0005-0000-0000-000091180000}"/>
    <cellStyle name="Comma 2 2 15 4 2" xfId="6293" xr:uid="{00000000-0005-0000-0000-000092180000}"/>
    <cellStyle name="Comma 2 2 15 4 2 2" xfId="6294" xr:uid="{00000000-0005-0000-0000-000093180000}"/>
    <cellStyle name="Comma 2 2 15 4 3" xfId="6295" xr:uid="{00000000-0005-0000-0000-000094180000}"/>
    <cellStyle name="Comma 2 2 15 4 4" xfId="6296" xr:uid="{00000000-0005-0000-0000-000095180000}"/>
    <cellStyle name="Comma 2 2 15 4 5" xfId="6297" xr:uid="{00000000-0005-0000-0000-000096180000}"/>
    <cellStyle name="Comma 2 2 15 5" xfId="6298" xr:uid="{00000000-0005-0000-0000-000097180000}"/>
    <cellStyle name="Comma 2 2 15 5 2" xfId="6299" xr:uid="{00000000-0005-0000-0000-000098180000}"/>
    <cellStyle name="Comma 2 2 15 5 3" xfId="6300" xr:uid="{00000000-0005-0000-0000-000099180000}"/>
    <cellStyle name="Comma 2 2 15 5 4" xfId="6301" xr:uid="{00000000-0005-0000-0000-00009A180000}"/>
    <cellStyle name="Comma 2 2 15 6" xfId="6302" xr:uid="{00000000-0005-0000-0000-00009B180000}"/>
    <cellStyle name="Comma 2 2 15 6 2" xfId="6303" xr:uid="{00000000-0005-0000-0000-00009C180000}"/>
    <cellStyle name="Comma 2 2 15 7" xfId="6304" xr:uid="{00000000-0005-0000-0000-00009D180000}"/>
    <cellStyle name="Comma 2 2 15 8" xfId="6305" xr:uid="{00000000-0005-0000-0000-00009E180000}"/>
    <cellStyle name="Comma 2 2 15 9" xfId="6306" xr:uid="{00000000-0005-0000-0000-00009F180000}"/>
    <cellStyle name="Comma 2 2 16" xfId="6307" xr:uid="{00000000-0005-0000-0000-0000A0180000}"/>
    <cellStyle name="Comma 2 2 16 10" xfId="6308" xr:uid="{00000000-0005-0000-0000-0000A1180000}"/>
    <cellStyle name="Comma 2 2 16 2" xfId="6309" xr:uid="{00000000-0005-0000-0000-0000A2180000}"/>
    <cellStyle name="Comma 2 2 16 2 2" xfId="6310" xr:uid="{00000000-0005-0000-0000-0000A3180000}"/>
    <cellStyle name="Comma 2 2 16 2 2 2" xfId="6311" xr:uid="{00000000-0005-0000-0000-0000A4180000}"/>
    <cellStyle name="Comma 2 2 16 2 2 3" xfId="6312" xr:uid="{00000000-0005-0000-0000-0000A5180000}"/>
    <cellStyle name="Comma 2 2 16 2 3" xfId="6313" xr:uid="{00000000-0005-0000-0000-0000A6180000}"/>
    <cellStyle name="Comma 2 2 16 2 4" xfId="6314" xr:uid="{00000000-0005-0000-0000-0000A7180000}"/>
    <cellStyle name="Comma 2 2 16 2 5" xfId="6315" xr:uid="{00000000-0005-0000-0000-0000A8180000}"/>
    <cellStyle name="Comma 2 2 16 2 6" xfId="6316" xr:uid="{00000000-0005-0000-0000-0000A9180000}"/>
    <cellStyle name="Comma 2 2 16 3" xfId="6317" xr:uid="{00000000-0005-0000-0000-0000AA180000}"/>
    <cellStyle name="Comma 2 2 16 3 2" xfId="6318" xr:uid="{00000000-0005-0000-0000-0000AB180000}"/>
    <cellStyle name="Comma 2 2 16 3 2 2" xfId="6319" xr:uid="{00000000-0005-0000-0000-0000AC180000}"/>
    <cellStyle name="Comma 2 2 16 3 2 3" xfId="6320" xr:uid="{00000000-0005-0000-0000-0000AD180000}"/>
    <cellStyle name="Comma 2 2 16 3 3" xfId="6321" xr:uid="{00000000-0005-0000-0000-0000AE180000}"/>
    <cellStyle name="Comma 2 2 16 3 4" xfId="6322" xr:uid="{00000000-0005-0000-0000-0000AF180000}"/>
    <cellStyle name="Comma 2 2 16 3 5" xfId="6323" xr:uid="{00000000-0005-0000-0000-0000B0180000}"/>
    <cellStyle name="Comma 2 2 16 3 6" xfId="6324" xr:uid="{00000000-0005-0000-0000-0000B1180000}"/>
    <cellStyle name="Comma 2 2 16 4" xfId="6325" xr:uid="{00000000-0005-0000-0000-0000B2180000}"/>
    <cellStyle name="Comma 2 2 16 4 2" xfId="6326" xr:uid="{00000000-0005-0000-0000-0000B3180000}"/>
    <cellStyle name="Comma 2 2 16 4 2 2" xfId="6327" xr:uid="{00000000-0005-0000-0000-0000B4180000}"/>
    <cellStyle name="Comma 2 2 16 4 3" xfId="6328" xr:uid="{00000000-0005-0000-0000-0000B5180000}"/>
    <cellStyle name="Comma 2 2 16 4 4" xfId="6329" xr:uid="{00000000-0005-0000-0000-0000B6180000}"/>
    <cellStyle name="Comma 2 2 16 4 5" xfId="6330" xr:uid="{00000000-0005-0000-0000-0000B7180000}"/>
    <cellStyle name="Comma 2 2 16 5" xfId="6331" xr:uid="{00000000-0005-0000-0000-0000B8180000}"/>
    <cellStyle name="Comma 2 2 16 5 2" xfId="6332" xr:uid="{00000000-0005-0000-0000-0000B9180000}"/>
    <cellStyle name="Comma 2 2 16 5 3" xfId="6333" xr:uid="{00000000-0005-0000-0000-0000BA180000}"/>
    <cellStyle name="Comma 2 2 16 5 4" xfId="6334" xr:uid="{00000000-0005-0000-0000-0000BB180000}"/>
    <cellStyle name="Comma 2 2 16 6" xfId="6335" xr:uid="{00000000-0005-0000-0000-0000BC180000}"/>
    <cellStyle name="Comma 2 2 16 6 2" xfId="6336" xr:uid="{00000000-0005-0000-0000-0000BD180000}"/>
    <cellStyle name="Comma 2 2 16 7" xfId="6337" xr:uid="{00000000-0005-0000-0000-0000BE180000}"/>
    <cellStyle name="Comma 2 2 16 8" xfId="6338" xr:uid="{00000000-0005-0000-0000-0000BF180000}"/>
    <cellStyle name="Comma 2 2 16 9" xfId="6339" xr:uid="{00000000-0005-0000-0000-0000C0180000}"/>
    <cellStyle name="Comma 2 2 17" xfId="6340" xr:uid="{00000000-0005-0000-0000-0000C1180000}"/>
    <cellStyle name="Comma 2 2 17 10" xfId="6341" xr:uid="{00000000-0005-0000-0000-0000C2180000}"/>
    <cellStyle name="Comma 2 2 17 2" xfId="6342" xr:uid="{00000000-0005-0000-0000-0000C3180000}"/>
    <cellStyle name="Comma 2 2 17 2 2" xfId="6343" xr:uid="{00000000-0005-0000-0000-0000C4180000}"/>
    <cellStyle name="Comma 2 2 17 2 2 2" xfId="6344" xr:uid="{00000000-0005-0000-0000-0000C5180000}"/>
    <cellStyle name="Comma 2 2 17 2 2 3" xfId="6345" xr:uid="{00000000-0005-0000-0000-0000C6180000}"/>
    <cellStyle name="Comma 2 2 17 2 3" xfId="6346" xr:uid="{00000000-0005-0000-0000-0000C7180000}"/>
    <cellStyle name="Comma 2 2 17 2 4" xfId="6347" xr:uid="{00000000-0005-0000-0000-0000C8180000}"/>
    <cellStyle name="Comma 2 2 17 2 5" xfId="6348" xr:uid="{00000000-0005-0000-0000-0000C9180000}"/>
    <cellStyle name="Comma 2 2 17 2 6" xfId="6349" xr:uid="{00000000-0005-0000-0000-0000CA180000}"/>
    <cellStyle name="Comma 2 2 17 3" xfId="6350" xr:uid="{00000000-0005-0000-0000-0000CB180000}"/>
    <cellStyle name="Comma 2 2 17 3 2" xfId="6351" xr:uid="{00000000-0005-0000-0000-0000CC180000}"/>
    <cellStyle name="Comma 2 2 17 3 2 2" xfId="6352" xr:uid="{00000000-0005-0000-0000-0000CD180000}"/>
    <cellStyle name="Comma 2 2 17 3 2 3" xfId="6353" xr:uid="{00000000-0005-0000-0000-0000CE180000}"/>
    <cellStyle name="Comma 2 2 17 3 3" xfId="6354" xr:uid="{00000000-0005-0000-0000-0000CF180000}"/>
    <cellStyle name="Comma 2 2 17 3 4" xfId="6355" xr:uid="{00000000-0005-0000-0000-0000D0180000}"/>
    <cellStyle name="Comma 2 2 17 3 5" xfId="6356" xr:uid="{00000000-0005-0000-0000-0000D1180000}"/>
    <cellStyle name="Comma 2 2 17 3 6" xfId="6357" xr:uid="{00000000-0005-0000-0000-0000D2180000}"/>
    <cellStyle name="Comma 2 2 17 4" xfId="6358" xr:uid="{00000000-0005-0000-0000-0000D3180000}"/>
    <cellStyle name="Comma 2 2 17 4 2" xfId="6359" xr:uid="{00000000-0005-0000-0000-0000D4180000}"/>
    <cellStyle name="Comma 2 2 17 4 2 2" xfId="6360" xr:uid="{00000000-0005-0000-0000-0000D5180000}"/>
    <cellStyle name="Comma 2 2 17 4 3" xfId="6361" xr:uid="{00000000-0005-0000-0000-0000D6180000}"/>
    <cellStyle name="Comma 2 2 17 4 4" xfId="6362" xr:uid="{00000000-0005-0000-0000-0000D7180000}"/>
    <cellStyle name="Comma 2 2 17 4 5" xfId="6363" xr:uid="{00000000-0005-0000-0000-0000D8180000}"/>
    <cellStyle name="Comma 2 2 17 5" xfId="6364" xr:uid="{00000000-0005-0000-0000-0000D9180000}"/>
    <cellStyle name="Comma 2 2 17 5 2" xfId="6365" xr:uid="{00000000-0005-0000-0000-0000DA180000}"/>
    <cellStyle name="Comma 2 2 17 5 3" xfId="6366" xr:uid="{00000000-0005-0000-0000-0000DB180000}"/>
    <cellStyle name="Comma 2 2 17 5 4" xfId="6367" xr:uid="{00000000-0005-0000-0000-0000DC180000}"/>
    <cellStyle name="Comma 2 2 17 6" xfId="6368" xr:uid="{00000000-0005-0000-0000-0000DD180000}"/>
    <cellStyle name="Comma 2 2 17 6 2" xfId="6369" xr:uid="{00000000-0005-0000-0000-0000DE180000}"/>
    <cellStyle name="Comma 2 2 17 7" xfId="6370" xr:uid="{00000000-0005-0000-0000-0000DF180000}"/>
    <cellStyle name="Comma 2 2 17 8" xfId="6371" xr:uid="{00000000-0005-0000-0000-0000E0180000}"/>
    <cellStyle name="Comma 2 2 17 9" xfId="6372" xr:uid="{00000000-0005-0000-0000-0000E1180000}"/>
    <cellStyle name="Comma 2 2 18" xfId="6373" xr:uid="{00000000-0005-0000-0000-0000E2180000}"/>
    <cellStyle name="Comma 2 2 18 10" xfId="6374" xr:uid="{00000000-0005-0000-0000-0000E3180000}"/>
    <cellStyle name="Comma 2 2 18 2" xfId="6375" xr:uid="{00000000-0005-0000-0000-0000E4180000}"/>
    <cellStyle name="Comma 2 2 18 2 2" xfId="6376" xr:uid="{00000000-0005-0000-0000-0000E5180000}"/>
    <cellStyle name="Comma 2 2 18 2 2 2" xfId="6377" xr:uid="{00000000-0005-0000-0000-0000E6180000}"/>
    <cellStyle name="Comma 2 2 18 2 2 3" xfId="6378" xr:uid="{00000000-0005-0000-0000-0000E7180000}"/>
    <cellStyle name="Comma 2 2 18 2 3" xfId="6379" xr:uid="{00000000-0005-0000-0000-0000E8180000}"/>
    <cellStyle name="Comma 2 2 18 2 4" xfId="6380" xr:uid="{00000000-0005-0000-0000-0000E9180000}"/>
    <cellStyle name="Comma 2 2 18 2 5" xfId="6381" xr:uid="{00000000-0005-0000-0000-0000EA180000}"/>
    <cellStyle name="Comma 2 2 18 2 6" xfId="6382" xr:uid="{00000000-0005-0000-0000-0000EB180000}"/>
    <cellStyle name="Comma 2 2 18 3" xfId="6383" xr:uid="{00000000-0005-0000-0000-0000EC180000}"/>
    <cellStyle name="Comma 2 2 18 3 2" xfId="6384" xr:uid="{00000000-0005-0000-0000-0000ED180000}"/>
    <cellStyle name="Comma 2 2 18 3 2 2" xfId="6385" xr:uid="{00000000-0005-0000-0000-0000EE180000}"/>
    <cellStyle name="Comma 2 2 18 3 2 3" xfId="6386" xr:uid="{00000000-0005-0000-0000-0000EF180000}"/>
    <cellStyle name="Comma 2 2 18 3 3" xfId="6387" xr:uid="{00000000-0005-0000-0000-0000F0180000}"/>
    <cellStyle name="Comma 2 2 18 3 4" xfId="6388" xr:uid="{00000000-0005-0000-0000-0000F1180000}"/>
    <cellStyle name="Comma 2 2 18 3 5" xfId="6389" xr:uid="{00000000-0005-0000-0000-0000F2180000}"/>
    <cellStyle name="Comma 2 2 18 3 6" xfId="6390" xr:uid="{00000000-0005-0000-0000-0000F3180000}"/>
    <cellStyle name="Comma 2 2 18 4" xfId="6391" xr:uid="{00000000-0005-0000-0000-0000F4180000}"/>
    <cellStyle name="Comma 2 2 18 4 2" xfId="6392" xr:uid="{00000000-0005-0000-0000-0000F5180000}"/>
    <cellStyle name="Comma 2 2 18 4 2 2" xfId="6393" xr:uid="{00000000-0005-0000-0000-0000F6180000}"/>
    <cellStyle name="Comma 2 2 18 4 3" xfId="6394" xr:uid="{00000000-0005-0000-0000-0000F7180000}"/>
    <cellStyle name="Comma 2 2 18 4 4" xfId="6395" xr:uid="{00000000-0005-0000-0000-0000F8180000}"/>
    <cellStyle name="Comma 2 2 18 4 5" xfId="6396" xr:uid="{00000000-0005-0000-0000-0000F9180000}"/>
    <cellStyle name="Comma 2 2 18 5" xfId="6397" xr:uid="{00000000-0005-0000-0000-0000FA180000}"/>
    <cellStyle name="Comma 2 2 18 5 2" xfId="6398" xr:uid="{00000000-0005-0000-0000-0000FB180000}"/>
    <cellStyle name="Comma 2 2 18 5 3" xfId="6399" xr:uid="{00000000-0005-0000-0000-0000FC180000}"/>
    <cellStyle name="Comma 2 2 18 5 4" xfId="6400" xr:uid="{00000000-0005-0000-0000-0000FD180000}"/>
    <cellStyle name="Comma 2 2 18 6" xfId="6401" xr:uid="{00000000-0005-0000-0000-0000FE180000}"/>
    <cellStyle name="Comma 2 2 18 6 2" xfId="6402" xr:uid="{00000000-0005-0000-0000-0000FF180000}"/>
    <cellStyle name="Comma 2 2 18 7" xfId="6403" xr:uid="{00000000-0005-0000-0000-000000190000}"/>
    <cellStyle name="Comma 2 2 18 8" xfId="6404" xr:uid="{00000000-0005-0000-0000-000001190000}"/>
    <cellStyle name="Comma 2 2 18 9" xfId="6405" xr:uid="{00000000-0005-0000-0000-000002190000}"/>
    <cellStyle name="Comma 2 2 19" xfId="6406" xr:uid="{00000000-0005-0000-0000-000003190000}"/>
    <cellStyle name="Comma 2 2 19 10" xfId="6407" xr:uid="{00000000-0005-0000-0000-000004190000}"/>
    <cellStyle name="Comma 2 2 19 2" xfId="6408" xr:uid="{00000000-0005-0000-0000-000005190000}"/>
    <cellStyle name="Comma 2 2 19 2 2" xfId="6409" xr:uid="{00000000-0005-0000-0000-000006190000}"/>
    <cellStyle name="Comma 2 2 19 2 2 2" xfId="6410" xr:uid="{00000000-0005-0000-0000-000007190000}"/>
    <cellStyle name="Comma 2 2 19 2 2 3" xfId="6411" xr:uid="{00000000-0005-0000-0000-000008190000}"/>
    <cellStyle name="Comma 2 2 19 2 3" xfId="6412" xr:uid="{00000000-0005-0000-0000-000009190000}"/>
    <cellStyle name="Comma 2 2 19 2 4" xfId="6413" xr:uid="{00000000-0005-0000-0000-00000A190000}"/>
    <cellStyle name="Comma 2 2 19 2 5" xfId="6414" xr:uid="{00000000-0005-0000-0000-00000B190000}"/>
    <cellStyle name="Comma 2 2 19 2 6" xfId="6415" xr:uid="{00000000-0005-0000-0000-00000C190000}"/>
    <cellStyle name="Comma 2 2 19 3" xfId="6416" xr:uid="{00000000-0005-0000-0000-00000D190000}"/>
    <cellStyle name="Comma 2 2 19 3 2" xfId="6417" xr:uid="{00000000-0005-0000-0000-00000E190000}"/>
    <cellStyle name="Comma 2 2 19 3 2 2" xfId="6418" xr:uid="{00000000-0005-0000-0000-00000F190000}"/>
    <cellStyle name="Comma 2 2 19 3 2 3" xfId="6419" xr:uid="{00000000-0005-0000-0000-000010190000}"/>
    <cellStyle name="Comma 2 2 19 3 3" xfId="6420" xr:uid="{00000000-0005-0000-0000-000011190000}"/>
    <cellStyle name="Comma 2 2 19 3 4" xfId="6421" xr:uid="{00000000-0005-0000-0000-000012190000}"/>
    <cellStyle name="Comma 2 2 19 3 5" xfId="6422" xr:uid="{00000000-0005-0000-0000-000013190000}"/>
    <cellStyle name="Comma 2 2 19 3 6" xfId="6423" xr:uid="{00000000-0005-0000-0000-000014190000}"/>
    <cellStyle name="Comma 2 2 19 4" xfId="6424" xr:uid="{00000000-0005-0000-0000-000015190000}"/>
    <cellStyle name="Comma 2 2 19 4 2" xfId="6425" xr:uid="{00000000-0005-0000-0000-000016190000}"/>
    <cellStyle name="Comma 2 2 19 4 2 2" xfId="6426" xr:uid="{00000000-0005-0000-0000-000017190000}"/>
    <cellStyle name="Comma 2 2 19 4 3" xfId="6427" xr:uid="{00000000-0005-0000-0000-000018190000}"/>
    <cellStyle name="Comma 2 2 19 4 4" xfId="6428" xr:uid="{00000000-0005-0000-0000-000019190000}"/>
    <cellStyle name="Comma 2 2 19 4 5" xfId="6429" xr:uid="{00000000-0005-0000-0000-00001A190000}"/>
    <cellStyle name="Comma 2 2 19 5" xfId="6430" xr:uid="{00000000-0005-0000-0000-00001B190000}"/>
    <cellStyle name="Comma 2 2 19 5 2" xfId="6431" xr:uid="{00000000-0005-0000-0000-00001C190000}"/>
    <cellStyle name="Comma 2 2 19 5 3" xfId="6432" xr:uid="{00000000-0005-0000-0000-00001D190000}"/>
    <cellStyle name="Comma 2 2 19 5 4" xfId="6433" xr:uid="{00000000-0005-0000-0000-00001E190000}"/>
    <cellStyle name="Comma 2 2 19 6" xfId="6434" xr:uid="{00000000-0005-0000-0000-00001F190000}"/>
    <cellStyle name="Comma 2 2 19 6 2" xfId="6435" xr:uid="{00000000-0005-0000-0000-000020190000}"/>
    <cellStyle name="Comma 2 2 19 7" xfId="6436" xr:uid="{00000000-0005-0000-0000-000021190000}"/>
    <cellStyle name="Comma 2 2 19 8" xfId="6437" xr:uid="{00000000-0005-0000-0000-000022190000}"/>
    <cellStyle name="Comma 2 2 19 9" xfId="6438" xr:uid="{00000000-0005-0000-0000-000023190000}"/>
    <cellStyle name="Comma 2 2 2" xfId="6439" xr:uid="{00000000-0005-0000-0000-000024190000}"/>
    <cellStyle name="Comma 2 2 2 10" xfId="6440" xr:uid="{00000000-0005-0000-0000-000025190000}"/>
    <cellStyle name="Comma 2 2 2 10 10" xfId="6441" xr:uid="{00000000-0005-0000-0000-000026190000}"/>
    <cellStyle name="Comma 2 2 2 10 2" xfId="6442" xr:uid="{00000000-0005-0000-0000-000027190000}"/>
    <cellStyle name="Comma 2 2 2 10 2 2" xfId="6443" xr:uid="{00000000-0005-0000-0000-000028190000}"/>
    <cellStyle name="Comma 2 2 2 10 2 2 2" xfId="6444" xr:uid="{00000000-0005-0000-0000-000029190000}"/>
    <cellStyle name="Comma 2 2 2 10 2 2 3" xfId="6445" xr:uid="{00000000-0005-0000-0000-00002A190000}"/>
    <cellStyle name="Comma 2 2 2 10 2 3" xfId="6446" xr:uid="{00000000-0005-0000-0000-00002B190000}"/>
    <cellStyle name="Comma 2 2 2 10 2 4" xfId="6447" xr:uid="{00000000-0005-0000-0000-00002C190000}"/>
    <cellStyle name="Comma 2 2 2 10 2 5" xfId="6448" xr:uid="{00000000-0005-0000-0000-00002D190000}"/>
    <cellStyle name="Comma 2 2 2 10 2 6" xfId="6449" xr:uid="{00000000-0005-0000-0000-00002E190000}"/>
    <cellStyle name="Comma 2 2 2 10 3" xfId="6450" xr:uid="{00000000-0005-0000-0000-00002F190000}"/>
    <cellStyle name="Comma 2 2 2 10 3 2" xfId="6451" xr:uid="{00000000-0005-0000-0000-000030190000}"/>
    <cellStyle name="Comma 2 2 2 10 3 2 2" xfId="6452" xr:uid="{00000000-0005-0000-0000-000031190000}"/>
    <cellStyle name="Comma 2 2 2 10 3 2 3" xfId="6453" xr:uid="{00000000-0005-0000-0000-000032190000}"/>
    <cellStyle name="Comma 2 2 2 10 3 3" xfId="6454" xr:uid="{00000000-0005-0000-0000-000033190000}"/>
    <cellStyle name="Comma 2 2 2 10 3 4" xfId="6455" xr:uid="{00000000-0005-0000-0000-000034190000}"/>
    <cellStyle name="Comma 2 2 2 10 3 5" xfId="6456" xr:uid="{00000000-0005-0000-0000-000035190000}"/>
    <cellStyle name="Comma 2 2 2 10 3 6" xfId="6457" xr:uid="{00000000-0005-0000-0000-000036190000}"/>
    <cellStyle name="Comma 2 2 2 10 4" xfId="6458" xr:uid="{00000000-0005-0000-0000-000037190000}"/>
    <cellStyle name="Comma 2 2 2 10 4 2" xfId="6459" xr:uid="{00000000-0005-0000-0000-000038190000}"/>
    <cellStyle name="Comma 2 2 2 10 4 2 2" xfId="6460" xr:uid="{00000000-0005-0000-0000-000039190000}"/>
    <cellStyle name="Comma 2 2 2 10 4 3" xfId="6461" xr:uid="{00000000-0005-0000-0000-00003A190000}"/>
    <cellStyle name="Comma 2 2 2 10 4 4" xfId="6462" xr:uid="{00000000-0005-0000-0000-00003B190000}"/>
    <cellStyle name="Comma 2 2 2 10 4 5" xfId="6463" xr:uid="{00000000-0005-0000-0000-00003C190000}"/>
    <cellStyle name="Comma 2 2 2 10 5" xfId="6464" xr:uid="{00000000-0005-0000-0000-00003D190000}"/>
    <cellStyle name="Comma 2 2 2 10 5 2" xfId="6465" xr:uid="{00000000-0005-0000-0000-00003E190000}"/>
    <cellStyle name="Comma 2 2 2 10 5 3" xfId="6466" xr:uid="{00000000-0005-0000-0000-00003F190000}"/>
    <cellStyle name="Comma 2 2 2 10 5 4" xfId="6467" xr:uid="{00000000-0005-0000-0000-000040190000}"/>
    <cellStyle name="Comma 2 2 2 10 6" xfId="6468" xr:uid="{00000000-0005-0000-0000-000041190000}"/>
    <cellStyle name="Comma 2 2 2 10 6 2" xfId="6469" xr:uid="{00000000-0005-0000-0000-000042190000}"/>
    <cellStyle name="Comma 2 2 2 10 7" xfId="6470" xr:uid="{00000000-0005-0000-0000-000043190000}"/>
    <cellStyle name="Comma 2 2 2 10 8" xfId="6471" xr:uid="{00000000-0005-0000-0000-000044190000}"/>
    <cellStyle name="Comma 2 2 2 10 9" xfId="6472" xr:uid="{00000000-0005-0000-0000-000045190000}"/>
    <cellStyle name="Comma 2 2 2 11" xfId="6473" xr:uid="{00000000-0005-0000-0000-000046190000}"/>
    <cellStyle name="Comma 2 2 2 11 10" xfId="6474" xr:uid="{00000000-0005-0000-0000-000047190000}"/>
    <cellStyle name="Comma 2 2 2 11 2" xfId="6475" xr:uid="{00000000-0005-0000-0000-000048190000}"/>
    <cellStyle name="Comma 2 2 2 11 2 2" xfId="6476" xr:uid="{00000000-0005-0000-0000-000049190000}"/>
    <cellStyle name="Comma 2 2 2 11 2 2 2" xfId="6477" xr:uid="{00000000-0005-0000-0000-00004A190000}"/>
    <cellStyle name="Comma 2 2 2 11 2 2 3" xfId="6478" xr:uid="{00000000-0005-0000-0000-00004B190000}"/>
    <cellStyle name="Comma 2 2 2 11 2 3" xfId="6479" xr:uid="{00000000-0005-0000-0000-00004C190000}"/>
    <cellStyle name="Comma 2 2 2 11 2 4" xfId="6480" xr:uid="{00000000-0005-0000-0000-00004D190000}"/>
    <cellStyle name="Comma 2 2 2 11 2 5" xfId="6481" xr:uid="{00000000-0005-0000-0000-00004E190000}"/>
    <cellStyle name="Comma 2 2 2 11 2 6" xfId="6482" xr:uid="{00000000-0005-0000-0000-00004F190000}"/>
    <cellStyle name="Comma 2 2 2 11 3" xfId="6483" xr:uid="{00000000-0005-0000-0000-000050190000}"/>
    <cellStyle name="Comma 2 2 2 11 3 2" xfId="6484" xr:uid="{00000000-0005-0000-0000-000051190000}"/>
    <cellStyle name="Comma 2 2 2 11 3 2 2" xfId="6485" xr:uid="{00000000-0005-0000-0000-000052190000}"/>
    <cellStyle name="Comma 2 2 2 11 3 2 3" xfId="6486" xr:uid="{00000000-0005-0000-0000-000053190000}"/>
    <cellStyle name="Comma 2 2 2 11 3 3" xfId="6487" xr:uid="{00000000-0005-0000-0000-000054190000}"/>
    <cellStyle name="Comma 2 2 2 11 3 4" xfId="6488" xr:uid="{00000000-0005-0000-0000-000055190000}"/>
    <cellStyle name="Comma 2 2 2 11 3 5" xfId="6489" xr:uid="{00000000-0005-0000-0000-000056190000}"/>
    <cellStyle name="Comma 2 2 2 11 3 6" xfId="6490" xr:uid="{00000000-0005-0000-0000-000057190000}"/>
    <cellStyle name="Comma 2 2 2 11 4" xfId="6491" xr:uid="{00000000-0005-0000-0000-000058190000}"/>
    <cellStyle name="Comma 2 2 2 11 4 2" xfId="6492" xr:uid="{00000000-0005-0000-0000-000059190000}"/>
    <cellStyle name="Comma 2 2 2 11 4 2 2" xfId="6493" xr:uid="{00000000-0005-0000-0000-00005A190000}"/>
    <cellStyle name="Comma 2 2 2 11 4 3" xfId="6494" xr:uid="{00000000-0005-0000-0000-00005B190000}"/>
    <cellStyle name="Comma 2 2 2 11 4 4" xfId="6495" xr:uid="{00000000-0005-0000-0000-00005C190000}"/>
    <cellStyle name="Comma 2 2 2 11 4 5" xfId="6496" xr:uid="{00000000-0005-0000-0000-00005D190000}"/>
    <cellStyle name="Comma 2 2 2 11 5" xfId="6497" xr:uid="{00000000-0005-0000-0000-00005E190000}"/>
    <cellStyle name="Comma 2 2 2 11 5 2" xfId="6498" xr:uid="{00000000-0005-0000-0000-00005F190000}"/>
    <cellStyle name="Comma 2 2 2 11 5 3" xfId="6499" xr:uid="{00000000-0005-0000-0000-000060190000}"/>
    <cellStyle name="Comma 2 2 2 11 5 4" xfId="6500" xr:uid="{00000000-0005-0000-0000-000061190000}"/>
    <cellStyle name="Comma 2 2 2 11 6" xfId="6501" xr:uid="{00000000-0005-0000-0000-000062190000}"/>
    <cellStyle name="Comma 2 2 2 11 6 2" xfId="6502" xr:uid="{00000000-0005-0000-0000-000063190000}"/>
    <cellStyle name="Comma 2 2 2 11 7" xfId="6503" xr:uid="{00000000-0005-0000-0000-000064190000}"/>
    <cellStyle name="Comma 2 2 2 11 8" xfId="6504" xr:uid="{00000000-0005-0000-0000-000065190000}"/>
    <cellStyle name="Comma 2 2 2 11 9" xfId="6505" xr:uid="{00000000-0005-0000-0000-000066190000}"/>
    <cellStyle name="Comma 2 2 2 12" xfId="6506" xr:uid="{00000000-0005-0000-0000-000067190000}"/>
    <cellStyle name="Comma 2 2 2 12 10" xfId="6507" xr:uid="{00000000-0005-0000-0000-000068190000}"/>
    <cellStyle name="Comma 2 2 2 12 2" xfId="6508" xr:uid="{00000000-0005-0000-0000-000069190000}"/>
    <cellStyle name="Comma 2 2 2 12 2 2" xfId="6509" xr:uid="{00000000-0005-0000-0000-00006A190000}"/>
    <cellStyle name="Comma 2 2 2 12 2 2 2" xfId="6510" xr:uid="{00000000-0005-0000-0000-00006B190000}"/>
    <cellStyle name="Comma 2 2 2 12 2 2 3" xfId="6511" xr:uid="{00000000-0005-0000-0000-00006C190000}"/>
    <cellStyle name="Comma 2 2 2 12 2 3" xfId="6512" xr:uid="{00000000-0005-0000-0000-00006D190000}"/>
    <cellStyle name="Comma 2 2 2 12 2 4" xfId="6513" xr:uid="{00000000-0005-0000-0000-00006E190000}"/>
    <cellStyle name="Comma 2 2 2 12 2 5" xfId="6514" xr:uid="{00000000-0005-0000-0000-00006F190000}"/>
    <cellStyle name="Comma 2 2 2 12 2 6" xfId="6515" xr:uid="{00000000-0005-0000-0000-000070190000}"/>
    <cellStyle name="Comma 2 2 2 12 3" xfId="6516" xr:uid="{00000000-0005-0000-0000-000071190000}"/>
    <cellStyle name="Comma 2 2 2 12 3 2" xfId="6517" xr:uid="{00000000-0005-0000-0000-000072190000}"/>
    <cellStyle name="Comma 2 2 2 12 3 2 2" xfId="6518" xr:uid="{00000000-0005-0000-0000-000073190000}"/>
    <cellStyle name="Comma 2 2 2 12 3 2 3" xfId="6519" xr:uid="{00000000-0005-0000-0000-000074190000}"/>
    <cellStyle name="Comma 2 2 2 12 3 3" xfId="6520" xr:uid="{00000000-0005-0000-0000-000075190000}"/>
    <cellStyle name="Comma 2 2 2 12 3 4" xfId="6521" xr:uid="{00000000-0005-0000-0000-000076190000}"/>
    <cellStyle name="Comma 2 2 2 12 3 5" xfId="6522" xr:uid="{00000000-0005-0000-0000-000077190000}"/>
    <cellStyle name="Comma 2 2 2 12 3 6" xfId="6523" xr:uid="{00000000-0005-0000-0000-000078190000}"/>
    <cellStyle name="Comma 2 2 2 12 4" xfId="6524" xr:uid="{00000000-0005-0000-0000-000079190000}"/>
    <cellStyle name="Comma 2 2 2 12 4 2" xfId="6525" xr:uid="{00000000-0005-0000-0000-00007A190000}"/>
    <cellStyle name="Comma 2 2 2 12 4 2 2" xfId="6526" xr:uid="{00000000-0005-0000-0000-00007B190000}"/>
    <cellStyle name="Comma 2 2 2 12 4 3" xfId="6527" xr:uid="{00000000-0005-0000-0000-00007C190000}"/>
    <cellStyle name="Comma 2 2 2 12 4 4" xfId="6528" xr:uid="{00000000-0005-0000-0000-00007D190000}"/>
    <cellStyle name="Comma 2 2 2 12 4 5" xfId="6529" xr:uid="{00000000-0005-0000-0000-00007E190000}"/>
    <cellStyle name="Comma 2 2 2 12 5" xfId="6530" xr:uid="{00000000-0005-0000-0000-00007F190000}"/>
    <cellStyle name="Comma 2 2 2 12 5 2" xfId="6531" xr:uid="{00000000-0005-0000-0000-000080190000}"/>
    <cellStyle name="Comma 2 2 2 12 5 3" xfId="6532" xr:uid="{00000000-0005-0000-0000-000081190000}"/>
    <cellStyle name="Comma 2 2 2 12 5 4" xfId="6533" xr:uid="{00000000-0005-0000-0000-000082190000}"/>
    <cellStyle name="Comma 2 2 2 12 6" xfId="6534" xr:uid="{00000000-0005-0000-0000-000083190000}"/>
    <cellStyle name="Comma 2 2 2 12 6 2" xfId="6535" xr:uid="{00000000-0005-0000-0000-000084190000}"/>
    <cellStyle name="Comma 2 2 2 12 7" xfId="6536" xr:uid="{00000000-0005-0000-0000-000085190000}"/>
    <cellStyle name="Comma 2 2 2 12 8" xfId="6537" xr:uid="{00000000-0005-0000-0000-000086190000}"/>
    <cellStyle name="Comma 2 2 2 12 9" xfId="6538" xr:uid="{00000000-0005-0000-0000-000087190000}"/>
    <cellStyle name="Comma 2 2 2 13" xfId="6539" xr:uid="{00000000-0005-0000-0000-000088190000}"/>
    <cellStyle name="Comma 2 2 2 13 2" xfId="6540" xr:uid="{00000000-0005-0000-0000-000089190000}"/>
    <cellStyle name="Comma 2 2 2 13 2 2" xfId="6541" xr:uid="{00000000-0005-0000-0000-00008A190000}"/>
    <cellStyle name="Comma 2 2 2 13 2 2 2" xfId="6542" xr:uid="{00000000-0005-0000-0000-00008B190000}"/>
    <cellStyle name="Comma 2 2 2 13 2 2 3" xfId="6543" xr:uid="{00000000-0005-0000-0000-00008C190000}"/>
    <cellStyle name="Comma 2 2 2 13 2 3" xfId="6544" xr:uid="{00000000-0005-0000-0000-00008D190000}"/>
    <cellStyle name="Comma 2 2 2 13 2 4" xfId="6545" xr:uid="{00000000-0005-0000-0000-00008E190000}"/>
    <cellStyle name="Comma 2 2 2 13 2 5" xfId="6546" xr:uid="{00000000-0005-0000-0000-00008F190000}"/>
    <cellStyle name="Comma 2 2 2 13 2 6" xfId="6547" xr:uid="{00000000-0005-0000-0000-000090190000}"/>
    <cellStyle name="Comma 2 2 2 13 3" xfId="6548" xr:uid="{00000000-0005-0000-0000-000091190000}"/>
    <cellStyle name="Comma 2 2 2 13 3 2" xfId="6549" xr:uid="{00000000-0005-0000-0000-000092190000}"/>
    <cellStyle name="Comma 2 2 2 13 3 2 2" xfId="6550" xr:uid="{00000000-0005-0000-0000-000093190000}"/>
    <cellStyle name="Comma 2 2 2 13 3 3" xfId="6551" xr:uid="{00000000-0005-0000-0000-000094190000}"/>
    <cellStyle name="Comma 2 2 2 13 3 4" xfId="6552" xr:uid="{00000000-0005-0000-0000-000095190000}"/>
    <cellStyle name="Comma 2 2 2 13 3 5" xfId="6553" xr:uid="{00000000-0005-0000-0000-000096190000}"/>
    <cellStyle name="Comma 2 2 2 13 4" xfId="6554" xr:uid="{00000000-0005-0000-0000-000097190000}"/>
    <cellStyle name="Comma 2 2 2 13 4 2" xfId="6555" xr:uid="{00000000-0005-0000-0000-000098190000}"/>
    <cellStyle name="Comma 2 2 2 13 4 3" xfId="6556" xr:uid="{00000000-0005-0000-0000-000099190000}"/>
    <cellStyle name="Comma 2 2 2 13 4 4" xfId="6557" xr:uid="{00000000-0005-0000-0000-00009A190000}"/>
    <cellStyle name="Comma 2 2 2 13 5" xfId="6558" xr:uid="{00000000-0005-0000-0000-00009B190000}"/>
    <cellStyle name="Comma 2 2 2 13 5 2" xfId="6559" xr:uid="{00000000-0005-0000-0000-00009C190000}"/>
    <cellStyle name="Comma 2 2 2 13 6" xfId="6560" xr:uid="{00000000-0005-0000-0000-00009D190000}"/>
    <cellStyle name="Comma 2 2 2 13 7" xfId="6561" xr:uid="{00000000-0005-0000-0000-00009E190000}"/>
    <cellStyle name="Comma 2 2 2 13 8" xfId="6562" xr:uid="{00000000-0005-0000-0000-00009F190000}"/>
    <cellStyle name="Comma 2 2 2 13 9" xfId="6563" xr:uid="{00000000-0005-0000-0000-0000A0190000}"/>
    <cellStyle name="Comma 2 2 2 14" xfId="6564" xr:uid="{00000000-0005-0000-0000-0000A1190000}"/>
    <cellStyle name="Comma 2 2 2 14 2" xfId="6565" xr:uid="{00000000-0005-0000-0000-0000A2190000}"/>
    <cellStyle name="Comma 2 2 2 14 2 2" xfId="6566" xr:uid="{00000000-0005-0000-0000-0000A3190000}"/>
    <cellStyle name="Comma 2 2 2 14 2 2 2" xfId="6567" xr:uid="{00000000-0005-0000-0000-0000A4190000}"/>
    <cellStyle name="Comma 2 2 2 14 2 2 3" xfId="6568" xr:uid="{00000000-0005-0000-0000-0000A5190000}"/>
    <cellStyle name="Comma 2 2 2 14 2 3" xfId="6569" xr:uid="{00000000-0005-0000-0000-0000A6190000}"/>
    <cellStyle name="Comma 2 2 2 14 2 4" xfId="6570" xr:uid="{00000000-0005-0000-0000-0000A7190000}"/>
    <cellStyle name="Comma 2 2 2 14 2 5" xfId="6571" xr:uid="{00000000-0005-0000-0000-0000A8190000}"/>
    <cellStyle name="Comma 2 2 2 14 2 6" xfId="6572" xr:uid="{00000000-0005-0000-0000-0000A9190000}"/>
    <cellStyle name="Comma 2 2 2 14 3" xfId="6573" xr:uid="{00000000-0005-0000-0000-0000AA190000}"/>
    <cellStyle name="Comma 2 2 2 14 3 2" xfId="6574" xr:uid="{00000000-0005-0000-0000-0000AB190000}"/>
    <cellStyle name="Comma 2 2 2 14 3 2 2" xfId="6575" xr:uid="{00000000-0005-0000-0000-0000AC190000}"/>
    <cellStyle name="Comma 2 2 2 14 3 3" xfId="6576" xr:uid="{00000000-0005-0000-0000-0000AD190000}"/>
    <cellStyle name="Comma 2 2 2 14 3 4" xfId="6577" xr:uid="{00000000-0005-0000-0000-0000AE190000}"/>
    <cellStyle name="Comma 2 2 2 14 3 5" xfId="6578" xr:uid="{00000000-0005-0000-0000-0000AF190000}"/>
    <cellStyle name="Comma 2 2 2 14 4" xfId="6579" xr:uid="{00000000-0005-0000-0000-0000B0190000}"/>
    <cellStyle name="Comma 2 2 2 14 4 2" xfId="6580" xr:uid="{00000000-0005-0000-0000-0000B1190000}"/>
    <cellStyle name="Comma 2 2 2 14 4 3" xfId="6581" xr:uid="{00000000-0005-0000-0000-0000B2190000}"/>
    <cellStyle name="Comma 2 2 2 14 4 4" xfId="6582" xr:uid="{00000000-0005-0000-0000-0000B3190000}"/>
    <cellStyle name="Comma 2 2 2 14 5" xfId="6583" xr:uid="{00000000-0005-0000-0000-0000B4190000}"/>
    <cellStyle name="Comma 2 2 2 14 5 2" xfId="6584" xr:uid="{00000000-0005-0000-0000-0000B5190000}"/>
    <cellStyle name="Comma 2 2 2 14 6" xfId="6585" xr:uid="{00000000-0005-0000-0000-0000B6190000}"/>
    <cellStyle name="Comma 2 2 2 14 7" xfId="6586" xr:uid="{00000000-0005-0000-0000-0000B7190000}"/>
    <cellStyle name="Comma 2 2 2 14 8" xfId="6587" xr:uid="{00000000-0005-0000-0000-0000B8190000}"/>
    <cellStyle name="Comma 2 2 2 14 9" xfId="6588" xr:uid="{00000000-0005-0000-0000-0000B9190000}"/>
    <cellStyle name="Comma 2 2 2 15" xfId="6589" xr:uid="{00000000-0005-0000-0000-0000BA190000}"/>
    <cellStyle name="Comma 2 2 2 15 2" xfId="6590" xr:uid="{00000000-0005-0000-0000-0000BB190000}"/>
    <cellStyle name="Comma 2 2 2 15 2 2" xfId="6591" xr:uid="{00000000-0005-0000-0000-0000BC190000}"/>
    <cellStyle name="Comma 2 2 2 15 2 3" xfId="6592" xr:uid="{00000000-0005-0000-0000-0000BD190000}"/>
    <cellStyle name="Comma 2 2 2 15 3" xfId="6593" xr:uid="{00000000-0005-0000-0000-0000BE190000}"/>
    <cellStyle name="Comma 2 2 2 15 4" xfId="6594" xr:uid="{00000000-0005-0000-0000-0000BF190000}"/>
    <cellStyle name="Comma 2 2 2 15 5" xfId="6595" xr:uid="{00000000-0005-0000-0000-0000C0190000}"/>
    <cellStyle name="Comma 2 2 2 15 6" xfId="6596" xr:uid="{00000000-0005-0000-0000-0000C1190000}"/>
    <cellStyle name="Comma 2 2 2 16" xfId="6597" xr:uid="{00000000-0005-0000-0000-0000C2190000}"/>
    <cellStyle name="Comma 2 2 2 16 2" xfId="6598" xr:uid="{00000000-0005-0000-0000-0000C3190000}"/>
    <cellStyle name="Comma 2 2 2 16 2 2" xfId="6599" xr:uid="{00000000-0005-0000-0000-0000C4190000}"/>
    <cellStyle name="Comma 2 2 2 16 2 3" xfId="6600" xr:uid="{00000000-0005-0000-0000-0000C5190000}"/>
    <cellStyle name="Comma 2 2 2 16 3" xfId="6601" xr:uid="{00000000-0005-0000-0000-0000C6190000}"/>
    <cellStyle name="Comma 2 2 2 16 4" xfId="6602" xr:uid="{00000000-0005-0000-0000-0000C7190000}"/>
    <cellStyle name="Comma 2 2 2 16 5" xfId="6603" xr:uid="{00000000-0005-0000-0000-0000C8190000}"/>
    <cellStyle name="Comma 2 2 2 16 6" xfId="6604" xr:uid="{00000000-0005-0000-0000-0000C9190000}"/>
    <cellStyle name="Comma 2 2 2 17" xfId="6605" xr:uid="{00000000-0005-0000-0000-0000CA190000}"/>
    <cellStyle name="Comma 2 2 2 17 2" xfId="6606" xr:uid="{00000000-0005-0000-0000-0000CB190000}"/>
    <cellStyle name="Comma 2 2 2 17 2 2" xfId="6607" xr:uid="{00000000-0005-0000-0000-0000CC190000}"/>
    <cellStyle name="Comma 2 2 2 17 2 3" xfId="6608" xr:uid="{00000000-0005-0000-0000-0000CD190000}"/>
    <cellStyle name="Comma 2 2 2 17 3" xfId="6609" xr:uid="{00000000-0005-0000-0000-0000CE190000}"/>
    <cellStyle name="Comma 2 2 2 17 4" xfId="6610" xr:uid="{00000000-0005-0000-0000-0000CF190000}"/>
    <cellStyle name="Comma 2 2 2 17 5" xfId="6611" xr:uid="{00000000-0005-0000-0000-0000D0190000}"/>
    <cellStyle name="Comma 2 2 2 17 6" xfId="6612" xr:uid="{00000000-0005-0000-0000-0000D1190000}"/>
    <cellStyle name="Comma 2 2 2 18" xfId="6613" xr:uid="{00000000-0005-0000-0000-0000D2190000}"/>
    <cellStyle name="Comma 2 2 2 18 2" xfId="6614" xr:uid="{00000000-0005-0000-0000-0000D3190000}"/>
    <cellStyle name="Comma 2 2 2 18 3" xfId="6615" xr:uid="{00000000-0005-0000-0000-0000D4190000}"/>
    <cellStyle name="Comma 2 2 2 18 4" xfId="6616" xr:uid="{00000000-0005-0000-0000-0000D5190000}"/>
    <cellStyle name="Comma 2 2 2 19" xfId="6617" xr:uid="{00000000-0005-0000-0000-0000D6190000}"/>
    <cellStyle name="Comma 2 2 2 19 2" xfId="6618" xr:uid="{00000000-0005-0000-0000-0000D7190000}"/>
    <cellStyle name="Comma 2 2 2 19 3" xfId="6619" xr:uid="{00000000-0005-0000-0000-0000D8190000}"/>
    <cellStyle name="Comma 2 2 2 2" xfId="6620" xr:uid="{00000000-0005-0000-0000-0000D9190000}"/>
    <cellStyle name="Comma 2 2 2 2 10" xfId="6621" xr:uid="{00000000-0005-0000-0000-0000DA190000}"/>
    <cellStyle name="Comma 2 2 2 2 11" xfId="6622" xr:uid="{00000000-0005-0000-0000-0000DB190000}"/>
    <cellStyle name="Comma 2 2 2 2 2" xfId="6623" xr:uid="{00000000-0005-0000-0000-0000DC190000}"/>
    <cellStyle name="Comma 2 2 2 2 2 2" xfId="6624" xr:uid="{00000000-0005-0000-0000-0000DD190000}"/>
    <cellStyle name="Comma 2 2 2 2 2 2 2" xfId="6625" xr:uid="{00000000-0005-0000-0000-0000DE190000}"/>
    <cellStyle name="Comma 2 2 2 2 2 2 2 2" xfId="6626" xr:uid="{00000000-0005-0000-0000-0000DF190000}"/>
    <cellStyle name="Comma 2 2 2 2 2 2 2 3" xfId="6627" xr:uid="{00000000-0005-0000-0000-0000E0190000}"/>
    <cellStyle name="Comma 2 2 2 2 2 2 3" xfId="6628" xr:uid="{00000000-0005-0000-0000-0000E1190000}"/>
    <cellStyle name="Comma 2 2 2 2 2 2 4" xfId="6629" xr:uid="{00000000-0005-0000-0000-0000E2190000}"/>
    <cellStyle name="Comma 2 2 2 2 2 2 5" xfId="6630" xr:uid="{00000000-0005-0000-0000-0000E3190000}"/>
    <cellStyle name="Comma 2 2 2 2 2 2 6" xfId="6631" xr:uid="{00000000-0005-0000-0000-0000E4190000}"/>
    <cellStyle name="Comma 2 2 2 2 2 3" xfId="6632" xr:uid="{00000000-0005-0000-0000-0000E5190000}"/>
    <cellStyle name="Comma 2 2 2 2 2 3 2" xfId="6633" xr:uid="{00000000-0005-0000-0000-0000E6190000}"/>
    <cellStyle name="Comma 2 2 2 2 2 3 2 2" xfId="6634" xr:uid="{00000000-0005-0000-0000-0000E7190000}"/>
    <cellStyle name="Comma 2 2 2 2 2 3 3" xfId="6635" xr:uid="{00000000-0005-0000-0000-0000E8190000}"/>
    <cellStyle name="Comma 2 2 2 2 2 3 4" xfId="6636" xr:uid="{00000000-0005-0000-0000-0000E9190000}"/>
    <cellStyle name="Comma 2 2 2 2 2 3 5" xfId="6637" xr:uid="{00000000-0005-0000-0000-0000EA190000}"/>
    <cellStyle name="Comma 2 2 2 2 2 3 6" xfId="6638" xr:uid="{00000000-0005-0000-0000-0000EB190000}"/>
    <cellStyle name="Comma 2 2 2 2 2 4" xfId="6639" xr:uid="{00000000-0005-0000-0000-0000EC190000}"/>
    <cellStyle name="Comma 2 2 2 2 2 4 2" xfId="6640" xr:uid="{00000000-0005-0000-0000-0000ED190000}"/>
    <cellStyle name="Comma 2 2 2 2 2 4 3" xfId="6641" xr:uid="{00000000-0005-0000-0000-0000EE190000}"/>
    <cellStyle name="Comma 2 2 2 2 2 4 4" xfId="6642" xr:uid="{00000000-0005-0000-0000-0000EF190000}"/>
    <cellStyle name="Comma 2 2 2 2 2 4 5" xfId="6643" xr:uid="{00000000-0005-0000-0000-0000F0190000}"/>
    <cellStyle name="Comma 2 2 2 2 2 5" xfId="6644" xr:uid="{00000000-0005-0000-0000-0000F1190000}"/>
    <cellStyle name="Comma 2 2 2 2 2 5 2" xfId="6645" xr:uid="{00000000-0005-0000-0000-0000F2190000}"/>
    <cellStyle name="Comma 2 2 2 2 2 6" xfId="6646" xr:uid="{00000000-0005-0000-0000-0000F3190000}"/>
    <cellStyle name="Comma 2 2 2 2 2 7" xfId="6647" xr:uid="{00000000-0005-0000-0000-0000F4190000}"/>
    <cellStyle name="Comma 2 2 2 2 2 8" xfId="6648" xr:uid="{00000000-0005-0000-0000-0000F5190000}"/>
    <cellStyle name="Comma 2 2 2 2 2 9" xfId="6649" xr:uid="{00000000-0005-0000-0000-0000F6190000}"/>
    <cellStyle name="Comma 2 2 2 2 3" xfId="6650" xr:uid="{00000000-0005-0000-0000-0000F7190000}"/>
    <cellStyle name="Comma 2 2 2 2 3 2" xfId="6651" xr:uid="{00000000-0005-0000-0000-0000F8190000}"/>
    <cellStyle name="Comma 2 2 2 2 3 2 2" xfId="6652" xr:uid="{00000000-0005-0000-0000-0000F9190000}"/>
    <cellStyle name="Comma 2 2 2 2 3 2 2 2" xfId="6653" xr:uid="{00000000-0005-0000-0000-0000FA190000}"/>
    <cellStyle name="Comma 2 2 2 2 3 2 2 3" xfId="6654" xr:uid="{00000000-0005-0000-0000-0000FB190000}"/>
    <cellStyle name="Comma 2 2 2 2 3 2 3" xfId="6655" xr:uid="{00000000-0005-0000-0000-0000FC190000}"/>
    <cellStyle name="Comma 2 2 2 2 3 2 4" xfId="6656" xr:uid="{00000000-0005-0000-0000-0000FD190000}"/>
    <cellStyle name="Comma 2 2 2 2 3 2 5" xfId="6657" xr:uid="{00000000-0005-0000-0000-0000FE190000}"/>
    <cellStyle name="Comma 2 2 2 2 3 2 6" xfId="6658" xr:uid="{00000000-0005-0000-0000-0000FF190000}"/>
    <cellStyle name="Comma 2 2 2 2 3 3" xfId="6659" xr:uid="{00000000-0005-0000-0000-0000001A0000}"/>
    <cellStyle name="Comma 2 2 2 2 3 3 2" xfId="6660" xr:uid="{00000000-0005-0000-0000-0000011A0000}"/>
    <cellStyle name="Comma 2 2 2 2 3 3 2 2" xfId="6661" xr:uid="{00000000-0005-0000-0000-0000021A0000}"/>
    <cellStyle name="Comma 2 2 2 2 3 3 3" xfId="6662" xr:uid="{00000000-0005-0000-0000-0000031A0000}"/>
    <cellStyle name="Comma 2 2 2 2 3 3 4" xfId="6663" xr:uid="{00000000-0005-0000-0000-0000041A0000}"/>
    <cellStyle name="Comma 2 2 2 2 3 3 5" xfId="6664" xr:uid="{00000000-0005-0000-0000-0000051A0000}"/>
    <cellStyle name="Comma 2 2 2 2 3 4" xfId="6665" xr:uid="{00000000-0005-0000-0000-0000061A0000}"/>
    <cellStyle name="Comma 2 2 2 2 3 4 2" xfId="6666" xr:uid="{00000000-0005-0000-0000-0000071A0000}"/>
    <cellStyle name="Comma 2 2 2 2 3 4 3" xfId="6667" xr:uid="{00000000-0005-0000-0000-0000081A0000}"/>
    <cellStyle name="Comma 2 2 2 2 3 4 4" xfId="6668" xr:uid="{00000000-0005-0000-0000-0000091A0000}"/>
    <cellStyle name="Comma 2 2 2 2 3 5" xfId="6669" xr:uid="{00000000-0005-0000-0000-00000A1A0000}"/>
    <cellStyle name="Comma 2 2 2 2 3 5 2" xfId="6670" xr:uid="{00000000-0005-0000-0000-00000B1A0000}"/>
    <cellStyle name="Comma 2 2 2 2 3 6" xfId="6671" xr:uid="{00000000-0005-0000-0000-00000C1A0000}"/>
    <cellStyle name="Comma 2 2 2 2 3 7" xfId="6672" xr:uid="{00000000-0005-0000-0000-00000D1A0000}"/>
    <cellStyle name="Comma 2 2 2 2 3 8" xfId="6673" xr:uid="{00000000-0005-0000-0000-00000E1A0000}"/>
    <cellStyle name="Comma 2 2 2 2 3 9" xfId="6674" xr:uid="{00000000-0005-0000-0000-00000F1A0000}"/>
    <cellStyle name="Comma 2 2 2 2 4" xfId="6675" xr:uid="{00000000-0005-0000-0000-0000101A0000}"/>
    <cellStyle name="Comma 2 2 2 2 4 2" xfId="6676" xr:uid="{00000000-0005-0000-0000-0000111A0000}"/>
    <cellStyle name="Comma 2 2 2 2 4 2 2" xfId="6677" xr:uid="{00000000-0005-0000-0000-0000121A0000}"/>
    <cellStyle name="Comma 2 2 2 2 4 2 3" xfId="6678" xr:uid="{00000000-0005-0000-0000-0000131A0000}"/>
    <cellStyle name="Comma 2 2 2 2 4 3" xfId="6679" xr:uid="{00000000-0005-0000-0000-0000141A0000}"/>
    <cellStyle name="Comma 2 2 2 2 4 4" xfId="6680" xr:uid="{00000000-0005-0000-0000-0000151A0000}"/>
    <cellStyle name="Comma 2 2 2 2 4 5" xfId="6681" xr:uid="{00000000-0005-0000-0000-0000161A0000}"/>
    <cellStyle name="Comma 2 2 2 2 4 6" xfId="6682" xr:uid="{00000000-0005-0000-0000-0000171A0000}"/>
    <cellStyle name="Comma 2 2 2 2 5" xfId="6683" xr:uid="{00000000-0005-0000-0000-0000181A0000}"/>
    <cellStyle name="Comma 2 2 2 2 5 2" xfId="6684" xr:uid="{00000000-0005-0000-0000-0000191A0000}"/>
    <cellStyle name="Comma 2 2 2 2 5 2 2" xfId="6685" xr:uid="{00000000-0005-0000-0000-00001A1A0000}"/>
    <cellStyle name="Comma 2 2 2 2 5 3" xfId="6686" xr:uid="{00000000-0005-0000-0000-00001B1A0000}"/>
    <cellStyle name="Comma 2 2 2 2 5 4" xfId="6687" xr:uid="{00000000-0005-0000-0000-00001C1A0000}"/>
    <cellStyle name="Comma 2 2 2 2 5 5" xfId="6688" xr:uid="{00000000-0005-0000-0000-00001D1A0000}"/>
    <cellStyle name="Comma 2 2 2 2 6" xfId="6689" xr:uid="{00000000-0005-0000-0000-00001E1A0000}"/>
    <cellStyle name="Comma 2 2 2 2 6 2" xfId="6690" xr:uid="{00000000-0005-0000-0000-00001F1A0000}"/>
    <cellStyle name="Comma 2 2 2 2 6 3" xfId="6691" xr:uid="{00000000-0005-0000-0000-0000201A0000}"/>
    <cellStyle name="Comma 2 2 2 2 6 4" xfId="6692" xr:uid="{00000000-0005-0000-0000-0000211A0000}"/>
    <cellStyle name="Comma 2 2 2 2 7" xfId="6693" xr:uid="{00000000-0005-0000-0000-0000221A0000}"/>
    <cellStyle name="Comma 2 2 2 2 7 2" xfId="6694" xr:uid="{00000000-0005-0000-0000-0000231A0000}"/>
    <cellStyle name="Comma 2 2 2 2 8" xfId="6695" xr:uid="{00000000-0005-0000-0000-0000241A0000}"/>
    <cellStyle name="Comma 2 2 2 2 9" xfId="6696" xr:uid="{00000000-0005-0000-0000-0000251A0000}"/>
    <cellStyle name="Comma 2 2 2 20" xfId="6697" xr:uid="{00000000-0005-0000-0000-0000261A0000}"/>
    <cellStyle name="Comma 2 2 2 20 2" xfId="6698" xr:uid="{00000000-0005-0000-0000-0000271A0000}"/>
    <cellStyle name="Comma 2 2 2 21" xfId="6699" xr:uid="{00000000-0005-0000-0000-0000281A0000}"/>
    <cellStyle name="Comma 2 2 2 21 2" xfId="6700" xr:uid="{00000000-0005-0000-0000-0000291A0000}"/>
    <cellStyle name="Comma 2 2 2 22" xfId="6701" xr:uid="{00000000-0005-0000-0000-00002A1A0000}"/>
    <cellStyle name="Comma 2 2 2 22 2" xfId="6702" xr:uid="{00000000-0005-0000-0000-00002B1A0000}"/>
    <cellStyle name="Comma 2 2 2 23" xfId="6703" xr:uid="{00000000-0005-0000-0000-00002C1A0000}"/>
    <cellStyle name="Comma 2 2 2 23 2" xfId="6704" xr:uid="{00000000-0005-0000-0000-00002D1A0000}"/>
    <cellStyle name="Comma 2 2 2 24" xfId="6705" xr:uid="{00000000-0005-0000-0000-00002E1A0000}"/>
    <cellStyle name="Comma 2 2 2 24 2" xfId="6706" xr:uid="{00000000-0005-0000-0000-00002F1A0000}"/>
    <cellStyle name="Comma 2 2 2 25" xfId="6707" xr:uid="{00000000-0005-0000-0000-0000301A0000}"/>
    <cellStyle name="Comma 2 2 2 25 2" xfId="6708" xr:uid="{00000000-0005-0000-0000-0000311A0000}"/>
    <cellStyle name="Comma 2 2 2 26" xfId="6709" xr:uid="{00000000-0005-0000-0000-0000321A0000}"/>
    <cellStyle name="Comma 2 2 2 26 2" xfId="6710" xr:uid="{00000000-0005-0000-0000-0000331A0000}"/>
    <cellStyle name="Comma 2 2 2 27" xfId="6711" xr:uid="{00000000-0005-0000-0000-0000341A0000}"/>
    <cellStyle name="Comma 2 2 2 27 2" xfId="6712" xr:uid="{00000000-0005-0000-0000-0000351A0000}"/>
    <cellStyle name="Comma 2 2 2 28" xfId="6713" xr:uid="{00000000-0005-0000-0000-0000361A0000}"/>
    <cellStyle name="Comma 2 2 2 28 2" xfId="6714" xr:uid="{00000000-0005-0000-0000-0000371A0000}"/>
    <cellStyle name="Comma 2 2 2 29" xfId="6715" xr:uid="{00000000-0005-0000-0000-0000381A0000}"/>
    <cellStyle name="Comma 2 2 2 29 2" xfId="6716" xr:uid="{00000000-0005-0000-0000-0000391A0000}"/>
    <cellStyle name="Comma 2 2 2 3" xfId="6717" xr:uid="{00000000-0005-0000-0000-00003A1A0000}"/>
    <cellStyle name="Comma 2 2 2 3 10" xfId="6718" xr:uid="{00000000-0005-0000-0000-00003B1A0000}"/>
    <cellStyle name="Comma 2 2 2 3 11" xfId="6719" xr:uid="{00000000-0005-0000-0000-00003C1A0000}"/>
    <cellStyle name="Comma 2 2 2 3 2" xfId="6720" xr:uid="{00000000-0005-0000-0000-00003D1A0000}"/>
    <cellStyle name="Comma 2 2 2 3 2 2" xfId="6721" xr:uid="{00000000-0005-0000-0000-00003E1A0000}"/>
    <cellStyle name="Comma 2 2 2 3 2 2 2" xfId="6722" xr:uid="{00000000-0005-0000-0000-00003F1A0000}"/>
    <cellStyle name="Comma 2 2 2 3 2 2 2 2" xfId="6723" xr:uid="{00000000-0005-0000-0000-0000401A0000}"/>
    <cellStyle name="Comma 2 2 2 3 2 2 2 3" xfId="6724" xr:uid="{00000000-0005-0000-0000-0000411A0000}"/>
    <cellStyle name="Comma 2 2 2 3 2 2 3" xfId="6725" xr:uid="{00000000-0005-0000-0000-0000421A0000}"/>
    <cellStyle name="Comma 2 2 2 3 2 2 4" xfId="6726" xr:uid="{00000000-0005-0000-0000-0000431A0000}"/>
    <cellStyle name="Comma 2 2 2 3 2 2 5" xfId="6727" xr:uid="{00000000-0005-0000-0000-0000441A0000}"/>
    <cellStyle name="Comma 2 2 2 3 2 2 6" xfId="6728" xr:uid="{00000000-0005-0000-0000-0000451A0000}"/>
    <cellStyle name="Comma 2 2 2 3 2 3" xfId="6729" xr:uid="{00000000-0005-0000-0000-0000461A0000}"/>
    <cellStyle name="Comma 2 2 2 3 2 3 2" xfId="6730" xr:uid="{00000000-0005-0000-0000-0000471A0000}"/>
    <cellStyle name="Comma 2 2 2 3 2 3 2 2" xfId="6731" xr:uid="{00000000-0005-0000-0000-0000481A0000}"/>
    <cellStyle name="Comma 2 2 2 3 2 3 3" xfId="6732" xr:uid="{00000000-0005-0000-0000-0000491A0000}"/>
    <cellStyle name="Comma 2 2 2 3 2 3 4" xfId="6733" xr:uid="{00000000-0005-0000-0000-00004A1A0000}"/>
    <cellStyle name="Comma 2 2 2 3 2 3 5" xfId="6734" xr:uid="{00000000-0005-0000-0000-00004B1A0000}"/>
    <cellStyle name="Comma 2 2 2 3 2 4" xfId="6735" xr:uid="{00000000-0005-0000-0000-00004C1A0000}"/>
    <cellStyle name="Comma 2 2 2 3 2 4 2" xfId="6736" xr:uid="{00000000-0005-0000-0000-00004D1A0000}"/>
    <cellStyle name="Comma 2 2 2 3 2 4 3" xfId="6737" xr:uid="{00000000-0005-0000-0000-00004E1A0000}"/>
    <cellStyle name="Comma 2 2 2 3 2 4 4" xfId="6738" xr:uid="{00000000-0005-0000-0000-00004F1A0000}"/>
    <cellStyle name="Comma 2 2 2 3 2 5" xfId="6739" xr:uid="{00000000-0005-0000-0000-0000501A0000}"/>
    <cellStyle name="Comma 2 2 2 3 2 5 2" xfId="6740" xr:uid="{00000000-0005-0000-0000-0000511A0000}"/>
    <cellStyle name="Comma 2 2 2 3 2 6" xfId="6741" xr:uid="{00000000-0005-0000-0000-0000521A0000}"/>
    <cellStyle name="Comma 2 2 2 3 2 7" xfId="6742" xr:uid="{00000000-0005-0000-0000-0000531A0000}"/>
    <cellStyle name="Comma 2 2 2 3 2 8" xfId="6743" xr:uid="{00000000-0005-0000-0000-0000541A0000}"/>
    <cellStyle name="Comma 2 2 2 3 2 9" xfId="6744" xr:uid="{00000000-0005-0000-0000-0000551A0000}"/>
    <cellStyle name="Comma 2 2 2 3 3" xfId="6745" xr:uid="{00000000-0005-0000-0000-0000561A0000}"/>
    <cellStyle name="Comma 2 2 2 3 3 2" xfId="6746" xr:uid="{00000000-0005-0000-0000-0000571A0000}"/>
    <cellStyle name="Comma 2 2 2 3 3 2 2" xfId="6747" xr:uid="{00000000-0005-0000-0000-0000581A0000}"/>
    <cellStyle name="Comma 2 2 2 3 3 2 2 2" xfId="6748" xr:uid="{00000000-0005-0000-0000-0000591A0000}"/>
    <cellStyle name="Comma 2 2 2 3 3 2 2 3" xfId="6749" xr:uid="{00000000-0005-0000-0000-00005A1A0000}"/>
    <cellStyle name="Comma 2 2 2 3 3 2 3" xfId="6750" xr:uid="{00000000-0005-0000-0000-00005B1A0000}"/>
    <cellStyle name="Comma 2 2 2 3 3 2 4" xfId="6751" xr:uid="{00000000-0005-0000-0000-00005C1A0000}"/>
    <cellStyle name="Comma 2 2 2 3 3 2 5" xfId="6752" xr:uid="{00000000-0005-0000-0000-00005D1A0000}"/>
    <cellStyle name="Comma 2 2 2 3 3 2 6" xfId="6753" xr:uid="{00000000-0005-0000-0000-00005E1A0000}"/>
    <cellStyle name="Comma 2 2 2 3 3 3" xfId="6754" xr:uid="{00000000-0005-0000-0000-00005F1A0000}"/>
    <cellStyle name="Comma 2 2 2 3 3 3 2" xfId="6755" xr:uid="{00000000-0005-0000-0000-0000601A0000}"/>
    <cellStyle name="Comma 2 2 2 3 3 3 2 2" xfId="6756" xr:uid="{00000000-0005-0000-0000-0000611A0000}"/>
    <cellStyle name="Comma 2 2 2 3 3 3 3" xfId="6757" xr:uid="{00000000-0005-0000-0000-0000621A0000}"/>
    <cellStyle name="Comma 2 2 2 3 3 3 4" xfId="6758" xr:uid="{00000000-0005-0000-0000-0000631A0000}"/>
    <cellStyle name="Comma 2 2 2 3 3 3 5" xfId="6759" xr:uid="{00000000-0005-0000-0000-0000641A0000}"/>
    <cellStyle name="Comma 2 2 2 3 3 4" xfId="6760" xr:uid="{00000000-0005-0000-0000-0000651A0000}"/>
    <cellStyle name="Comma 2 2 2 3 3 4 2" xfId="6761" xr:uid="{00000000-0005-0000-0000-0000661A0000}"/>
    <cellStyle name="Comma 2 2 2 3 3 4 3" xfId="6762" xr:uid="{00000000-0005-0000-0000-0000671A0000}"/>
    <cellStyle name="Comma 2 2 2 3 3 4 4" xfId="6763" xr:uid="{00000000-0005-0000-0000-0000681A0000}"/>
    <cellStyle name="Comma 2 2 2 3 3 5" xfId="6764" xr:uid="{00000000-0005-0000-0000-0000691A0000}"/>
    <cellStyle name="Comma 2 2 2 3 3 5 2" xfId="6765" xr:uid="{00000000-0005-0000-0000-00006A1A0000}"/>
    <cellStyle name="Comma 2 2 2 3 3 6" xfId="6766" xr:uid="{00000000-0005-0000-0000-00006B1A0000}"/>
    <cellStyle name="Comma 2 2 2 3 3 7" xfId="6767" xr:uid="{00000000-0005-0000-0000-00006C1A0000}"/>
    <cellStyle name="Comma 2 2 2 3 3 8" xfId="6768" xr:uid="{00000000-0005-0000-0000-00006D1A0000}"/>
    <cellStyle name="Comma 2 2 2 3 3 9" xfId="6769" xr:uid="{00000000-0005-0000-0000-00006E1A0000}"/>
    <cellStyle name="Comma 2 2 2 3 4" xfId="6770" xr:uid="{00000000-0005-0000-0000-00006F1A0000}"/>
    <cellStyle name="Comma 2 2 2 3 4 2" xfId="6771" xr:uid="{00000000-0005-0000-0000-0000701A0000}"/>
    <cellStyle name="Comma 2 2 2 3 4 2 2" xfId="6772" xr:uid="{00000000-0005-0000-0000-0000711A0000}"/>
    <cellStyle name="Comma 2 2 2 3 4 2 3" xfId="6773" xr:uid="{00000000-0005-0000-0000-0000721A0000}"/>
    <cellStyle name="Comma 2 2 2 3 4 3" xfId="6774" xr:uid="{00000000-0005-0000-0000-0000731A0000}"/>
    <cellStyle name="Comma 2 2 2 3 4 4" xfId="6775" xr:uid="{00000000-0005-0000-0000-0000741A0000}"/>
    <cellStyle name="Comma 2 2 2 3 4 5" xfId="6776" xr:uid="{00000000-0005-0000-0000-0000751A0000}"/>
    <cellStyle name="Comma 2 2 2 3 4 6" xfId="6777" xr:uid="{00000000-0005-0000-0000-0000761A0000}"/>
    <cellStyle name="Comma 2 2 2 3 5" xfId="6778" xr:uid="{00000000-0005-0000-0000-0000771A0000}"/>
    <cellStyle name="Comma 2 2 2 3 5 2" xfId="6779" xr:uid="{00000000-0005-0000-0000-0000781A0000}"/>
    <cellStyle name="Comma 2 2 2 3 5 2 2" xfId="6780" xr:uid="{00000000-0005-0000-0000-0000791A0000}"/>
    <cellStyle name="Comma 2 2 2 3 5 3" xfId="6781" xr:uid="{00000000-0005-0000-0000-00007A1A0000}"/>
    <cellStyle name="Comma 2 2 2 3 5 4" xfId="6782" xr:uid="{00000000-0005-0000-0000-00007B1A0000}"/>
    <cellStyle name="Comma 2 2 2 3 5 5" xfId="6783" xr:uid="{00000000-0005-0000-0000-00007C1A0000}"/>
    <cellStyle name="Comma 2 2 2 3 6" xfId="6784" xr:uid="{00000000-0005-0000-0000-00007D1A0000}"/>
    <cellStyle name="Comma 2 2 2 3 6 2" xfId="6785" xr:uid="{00000000-0005-0000-0000-00007E1A0000}"/>
    <cellStyle name="Comma 2 2 2 3 6 3" xfId="6786" xr:uid="{00000000-0005-0000-0000-00007F1A0000}"/>
    <cellStyle name="Comma 2 2 2 3 6 4" xfId="6787" xr:uid="{00000000-0005-0000-0000-0000801A0000}"/>
    <cellStyle name="Comma 2 2 2 3 7" xfId="6788" xr:uid="{00000000-0005-0000-0000-0000811A0000}"/>
    <cellStyle name="Comma 2 2 2 3 7 2" xfId="6789" xr:uid="{00000000-0005-0000-0000-0000821A0000}"/>
    <cellStyle name="Comma 2 2 2 3 8" xfId="6790" xr:uid="{00000000-0005-0000-0000-0000831A0000}"/>
    <cellStyle name="Comma 2 2 2 3 9" xfId="6791" xr:uid="{00000000-0005-0000-0000-0000841A0000}"/>
    <cellStyle name="Comma 2 2 2 30" xfId="6792" xr:uid="{00000000-0005-0000-0000-0000851A0000}"/>
    <cellStyle name="Comma 2 2 2 30 2" xfId="6793" xr:uid="{00000000-0005-0000-0000-0000861A0000}"/>
    <cellStyle name="Comma 2 2 2 31" xfId="6794" xr:uid="{00000000-0005-0000-0000-0000871A0000}"/>
    <cellStyle name="Comma 2 2 2 31 2" xfId="6795" xr:uid="{00000000-0005-0000-0000-0000881A0000}"/>
    <cellStyle name="Comma 2 2 2 32" xfId="6796" xr:uid="{00000000-0005-0000-0000-0000891A0000}"/>
    <cellStyle name="Comma 2 2 2 32 2" xfId="6797" xr:uid="{00000000-0005-0000-0000-00008A1A0000}"/>
    <cellStyle name="Comma 2 2 2 33" xfId="6798" xr:uid="{00000000-0005-0000-0000-00008B1A0000}"/>
    <cellStyle name="Comma 2 2 2 33 2" xfId="6799" xr:uid="{00000000-0005-0000-0000-00008C1A0000}"/>
    <cellStyle name="Comma 2 2 2 34" xfId="6800" xr:uid="{00000000-0005-0000-0000-00008D1A0000}"/>
    <cellStyle name="Comma 2 2 2 34 2" xfId="6801" xr:uid="{00000000-0005-0000-0000-00008E1A0000}"/>
    <cellStyle name="Comma 2 2 2 35" xfId="6802" xr:uid="{00000000-0005-0000-0000-00008F1A0000}"/>
    <cellStyle name="Comma 2 2 2 35 2" xfId="6803" xr:uid="{00000000-0005-0000-0000-0000901A0000}"/>
    <cellStyle name="Comma 2 2 2 36" xfId="6804" xr:uid="{00000000-0005-0000-0000-0000911A0000}"/>
    <cellStyle name="Comma 2 2 2 37" xfId="6805" xr:uid="{00000000-0005-0000-0000-0000921A0000}"/>
    <cellStyle name="Comma 2 2 2 38" xfId="6806" xr:uid="{00000000-0005-0000-0000-0000931A0000}"/>
    <cellStyle name="Comma 2 2 2 4" xfId="6807" xr:uid="{00000000-0005-0000-0000-0000941A0000}"/>
    <cellStyle name="Comma 2 2 2 4 10" xfId="6808" xr:uid="{00000000-0005-0000-0000-0000951A0000}"/>
    <cellStyle name="Comma 2 2 2 4 11" xfId="6809" xr:uid="{00000000-0005-0000-0000-0000961A0000}"/>
    <cellStyle name="Comma 2 2 2 4 2" xfId="6810" xr:uid="{00000000-0005-0000-0000-0000971A0000}"/>
    <cellStyle name="Comma 2 2 2 4 2 2" xfId="6811" xr:uid="{00000000-0005-0000-0000-0000981A0000}"/>
    <cellStyle name="Comma 2 2 2 4 2 2 2" xfId="6812" xr:uid="{00000000-0005-0000-0000-0000991A0000}"/>
    <cellStyle name="Comma 2 2 2 4 2 2 2 2" xfId="6813" xr:uid="{00000000-0005-0000-0000-00009A1A0000}"/>
    <cellStyle name="Comma 2 2 2 4 2 2 2 3" xfId="6814" xr:uid="{00000000-0005-0000-0000-00009B1A0000}"/>
    <cellStyle name="Comma 2 2 2 4 2 2 3" xfId="6815" xr:uid="{00000000-0005-0000-0000-00009C1A0000}"/>
    <cellStyle name="Comma 2 2 2 4 2 2 4" xfId="6816" xr:uid="{00000000-0005-0000-0000-00009D1A0000}"/>
    <cellStyle name="Comma 2 2 2 4 2 2 5" xfId="6817" xr:uid="{00000000-0005-0000-0000-00009E1A0000}"/>
    <cellStyle name="Comma 2 2 2 4 2 2 6" xfId="6818" xr:uid="{00000000-0005-0000-0000-00009F1A0000}"/>
    <cellStyle name="Comma 2 2 2 4 2 3" xfId="6819" xr:uid="{00000000-0005-0000-0000-0000A01A0000}"/>
    <cellStyle name="Comma 2 2 2 4 2 3 2" xfId="6820" xr:uid="{00000000-0005-0000-0000-0000A11A0000}"/>
    <cellStyle name="Comma 2 2 2 4 2 3 2 2" xfId="6821" xr:uid="{00000000-0005-0000-0000-0000A21A0000}"/>
    <cellStyle name="Comma 2 2 2 4 2 3 3" xfId="6822" xr:uid="{00000000-0005-0000-0000-0000A31A0000}"/>
    <cellStyle name="Comma 2 2 2 4 2 3 4" xfId="6823" xr:uid="{00000000-0005-0000-0000-0000A41A0000}"/>
    <cellStyle name="Comma 2 2 2 4 2 3 5" xfId="6824" xr:uid="{00000000-0005-0000-0000-0000A51A0000}"/>
    <cellStyle name="Comma 2 2 2 4 2 4" xfId="6825" xr:uid="{00000000-0005-0000-0000-0000A61A0000}"/>
    <cellStyle name="Comma 2 2 2 4 2 4 2" xfId="6826" xr:uid="{00000000-0005-0000-0000-0000A71A0000}"/>
    <cellStyle name="Comma 2 2 2 4 2 4 3" xfId="6827" xr:uid="{00000000-0005-0000-0000-0000A81A0000}"/>
    <cellStyle name="Comma 2 2 2 4 2 4 4" xfId="6828" xr:uid="{00000000-0005-0000-0000-0000A91A0000}"/>
    <cellStyle name="Comma 2 2 2 4 2 5" xfId="6829" xr:uid="{00000000-0005-0000-0000-0000AA1A0000}"/>
    <cellStyle name="Comma 2 2 2 4 2 5 2" xfId="6830" xr:uid="{00000000-0005-0000-0000-0000AB1A0000}"/>
    <cellStyle name="Comma 2 2 2 4 2 6" xfId="6831" xr:uid="{00000000-0005-0000-0000-0000AC1A0000}"/>
    <cellStyle name="Comma 2 2 2 4 2 7" xfId="6832" xr:uid="{00000000-0005-0000-0000-0000AD1A0000}"/>
    <cellStyle name="Comma 2 2 2 4 2 8" xfId="6833" xr:uid="{00000000-0005-0000-0000-0000AE1A0000}"/>
    <cellStyle name="Comma 2 2 2 4 2 9" xfId="6834" xr:uid="{00000000-0005-0000-0000-0000AF1A0000}"/>
    <cellStyle name="Comma 2 2 2 4 3" xfId="6835" xr:uid="{00000000-0005-0000-0000-0000B01A0000}"/>
    <cellStyle name="Comma 2 2 2 4 3 2" xfId="6836" xr:uid="{00000000-0005-0000-0000-0000B11A0000}"/>
    <cellStyle name="Comma 2 2 2 4 3 2 2" xfId="6837" xr:uid="{00000000-0005-0000-0000-0000B21A0000}"/>
    <cellStyle name="Comma 2 2 2 4 3 2 2 2" xfId="6838" xr:uid="{00000000-0005-0000-0000-0000B31A0000}"/>
    <cellStyle name="Comma 2 2 2 4 3 2 2 3" xfId="6839" xr:uid="{00000000-0005-0000-0000-0000B41A0000}"/>
    <cellStyle name="Comma 2 2 2 4 3 2 3" xfId="6840" xr:uid="{00000000-0005-0000-0000-0000B51A0000}"/>
    <cellStyle name="Comma 2 2 2 4 3 2 4" xfId="6841" xr:uid="{00000000-0005-0000-0000-0000B61A0000}"/>
    <cellStyle name="Comma 2 2 2 4 3 2 5" xfId="6842" xr:uid="{00000000-0005-0000-0000-0000B71A0000}"/>
    <cellStyle name="Comma 2 2 2 4 3 2 6" xfId="6843" xr:uid="{00000000-0005-0000-0000-0000B81A0000}"/>
    <cellStyle name="Comma 2 2 2 4 3 3" xfId="6844" xr:uid="{00000000-0005-0000-0000-0000B91A0000}"/>
    <cellStyle name="Comma 2 2 2 4 3 3 2" xfId="6845" xr:uid="{00000000-0005-0000-0000-0000BA1A0000}"/>
    <cellStyle name="Comma 2 2 2 4 3 3 2 2" xfId="6846" xr:uid="{00000000-0005-0000-0000-0000BB1A0000}"/>
    <cellStyle name="Comma 2 2 2 4 3 3 3" xfId="6847" xr:uid="{00000000-0005-0000-0000-0000BC1A0000}"/>
    <cellStyle name="Comma 2 2 2 4 3 3 4" xfId="6848" xr:uid="{00000000-0005-0000-0000-0000BD1A0000}"/>
    <cellStyle name="Comma 2 2 2 4 3 3 5" xfId="6849" xr:uid="{00000000-0005-0000-0000-0000BE1A0000}"/>
    <cellStyle name="Comma 2 2 2 4 3 4" xfId="6850" xr:uid="{00000000-0005-0000-0000-0000BF1A0000}"/>
    <cellStyle name="Comma 2 2 2 4 3 4 2" xfId="6851" xr:uid="{00000000-0005-0000-0000-0000C01A0000}"/>
    <cellStyle name="Comma 2 2 2 4 3 4 3" xfId="6852" xr:uid="{00000000-0005-0000-0000-0000C11A0000}"/>
    <cellStyle name="Comma 2 2 2 4 3 4 4" xfId="6853" xr:uid="{00000000-0005-0000-0000-0000C21A0000}"/>
    <cellStyle name="Comma 2 2 2 4 3 5" xfId="6854" xr:uid="{00000000-0005-0000-0000-0000C31A0000}"/>
    <cellStyle name="Comma 2 2 2 4 3 5 2" xfId="6855" xr:uid="{00000000-0005-0000-0000-0000C41A0000}"/>
    <cellStyle name="Comma 2 2 2 4 3 6" xfId="6856" xr:uid="{00000000-0005-0000-0000-0000C51A0000}"/>
    <cellStyle name="Comma 2 2 2 4 3 7" xfId="6857" xr:uid="{00000000-0005-0000-0000-0000C61A0000}"/>
    <cellStyle name="Comma 2 2 2 4 3 8" xfId="6858" xr:uid="{00000000-0005-0000-0000-0000C71A0000}"/>
    <cellStyle name="Comma 2 2 2 4 3 9" xfId="6859" xr:uid="{00000000-0005-0000-0000-0000C81A0000}"/>
    <cellStyle name="Comma 2 2 2 4 4" xfId="6860" xr:uid="{00000000-0005-0000-0000-0000C91A0000}"/>
    <cellStyle name="Comma 2 2 2 4 4 2" xfId="6861" xr:uid="{00000000-0005-0000-0000-0000CA1A0000}"/>
    <cellStyle name="Comma 2 2 2 4 4 2 2" xfId="6862" xr:uid="{00000000-0005-0000-0000-0000CB1A0000}"/>
    <cellStyle name="Comma 2 2 2 4 4 2 3" xfId="6863" xr:uid="{00000000-0005-0000-0000-0000CC1A0000}"/>
    <cellStyle name="Comma 2 2 2 4 4 3" xfId="6864" xr:uid="{00000000-0005-0000-0000-0000CD1A0000}"/>
    <cellStyle name="Comma 2 2 2 4 4 4" xfId="6865" xr:uid="{00000000-0005-0000-0000-0000CE1A0000}"/>
    <cellStyle name="Comma 2 2 2 4 4 5" xfId="6866" xr:uid="{00000000-0005-0000-0000-0000CF1A0000}"/>
    <cellStyle name="Comma 2 2 2 4 4 6" xfId="6867" xr:uid="{00000000-0005-0000-0000-0000D01A0000}"/>
    <cellStyle name="Comma 2 2 2 4 5" xfId="6868" xr:uid="{00000000-0005-0000-0000-0000D11A0000}"/>
    <cellStyle name="Comma 2 2 2 4 5 2" xfId="6869" xr:uid="{00000000-0005-0000-0000-0000D21A0000}"/>
    <cellStyle name="Comma 2 2 2 4 5 2 2" xfId="6870" xr:uid="{00000000-0005-0000-0000-0000D31A0000}"/>
    <cellStyle name="Comma 2 2 2 4 5 3" xfId="6871" xr:uid="{00000000-0005-0000-0000-0000D41A0000}"/>
    <cellStyle name="Comma 2 2 2 4 5 4" xfId="6872" xr:uid="{00000000-0005-0000-0000-0000D51A0000}"/>
    <cellStyle name="Comma 2 2 2 4 5 5" xfId="6873" xr:uid="{00000000-0005-0000-0000-0000D61A0000}"/>
    <cellStyle name="Comma 2 2 2 4 6" xfId="6874" xr:uid="{00000000-0005-0000-0000-0000D71A0000}"/>
    <cellStyle name="Comma 2 2 2 4 6 2" xfId="6875" xr:uid="{00000000-0005-0000-0000-0000D81A0000}"/>
    <cellStyle name="Comma 2 2 2 4 6 3" xfId="6876" xr:uid="{00000000-0005-0000-0000-0000D91A0000}"/>
    <cellStyle name="Comma 2 2 2 4 6 4" xfId="6877" xr:uid="{00000000-0005-0000-0000-0000DA1A0000}"/>
    <cellStyle name="Comma 2 2 2 4 7" xfId="6878" xr:uid="{00000000-0005-0000-0000-0000DB1A0000}"/>
    <cellStyle name="Comma 2 2 2 4 7 2" xfId="6879" xr:uid="{00000000-0005-0000-0000-0000DC1A0000}"/>
    <cellStyle name="Comma 2 2 2 4 8" xfId="6880" xr:uid="{00000000-0005-0000-0000-0000DD1A0000}"/>
    <cellStyle name="Comma 2 2 2 4 9" xfId="6881" xr:uid="{00000000-0005-0000-0000-0000DE1A0000}"/>
    <cellStyle name="Comma 2 2 2 5" xfId="6882" xr:uid="{00000000-0005-0000-0000-0000DF1A0000}"/>
    <cellStyle name="Comma 2 2 2 5 10" xfId="6883" xr:uid="{00000000-0005-0000-0000-0000E01A0000}"/>
    <cellStyle name="Comma 2 2 2 5 11" xfId="6884" xr:uid="{00000000-0005-0000-0000-0000E11A0000}"/>
    <cellStyle name="Comma 2 2 2 5 2" xfId="6885" xr:uid="{00000000-0005-0000-0000-0000E21A0000}"/>
    <cellStyle name="Comma 2 2 2 5 2 2" xfId="6886" xr:uid="{00000000-0005-0000-0000-0000E31A0000}"/>
    <cellStyle name="Comma 2 2 2 5 2 2 2" xfId="6887" xr:uid="{00000000-0005-0000-0000-0000E41A0000}"/>
    <cellStyle name="Comma 2 2 2 5 2 2 2 2" xfId="6888" xr:uid="{00000000-0005-0000-0000-0000E51A0000}"/>
    <cellStyle name="Comma 2 2 2 5 2 2 2 3" xfId="6889" xr:uid="{00000000-0005-0000-0000-0000E61A0000}"/>
    <cellStyle name="Comma 2 2 2 5 2 2 3" xfId="6890" xr:uid="{00000000-0005-0000-0000-0000E71A0000}"/>
    <cellStyle name="Comma 2 2 2 5 2 2 4" xfId="6891" xr:uid="{00000000-0005-0000-0000-0000E81A0000}"/>
    <cellStyle name="Comma 2 2 2 5 2 2 5" xfId="6892" xr:uid="{00000000-0005-0000-0000-0000E91A0000}"/>
    <cellStyle name="Comma 2 2 2 5 2 2 6" xfId="6893" xr:uid="{00000000-0005-0000-0000-0000EA1A0000}"/>
    <cellStyle name="Comma 2 2 2 5 2 3" xfId="6894" xr:uid="{00000000-0005-0000-0000-0000EB1A0000}"/>
    <cellStyle name="Comma 2 2 2 5 2 3 2" xfId="6895" xr:uid="{00000000-0005-0000-0000-0000EC1A0000}"/>
    <cellStyle name="Comma 2 2 2 5 2 3 2 2" xfId="6896" xr:uid="{00000000-0005-0000-0000-0000ED1A0000}"/>
    <cellStyle name="Comma 2 2 2 5 2 3 3" xfId="6897" xr:uid="{00000000-0005-0000-0000-0000EE1A0000}"/>
    <cellStyle name="Comma 2 2 2 5 2 3 4" xfId="6898" xr:uid="{00000000-0005-0000-0000-0000EF1A0000}"/>
    <cellStyle name="Comma 2 2 2 5 2 3 5" xfId="6899" xr:uid="{00000000-0005-0000-0000-0000F01A0000}"/>
    <cellStyle name="Comma 2 2 2 5 2 4" xfId="6900" xr:uid="{00000000-0005-0000-0000-0000F11A0000}"/>
    <cellStyle name="Comma 2 2 2 5 2 4 2" xfId="6901" xr:uid="{00000000-0005-0000-0000-0000F21A0000}"/>
    <cellStyle name="Comma 2 2 2 5 2 4 3" xfId="6902" xr:uid="{00000000-0005-0000-0000-0000F31A0000}"/>
    <cellStyle name="Comma 2 2 2 5 2 4 4" xfId="6903" xr:uid="{00000000-0005-0000-0000-0000F41A0000}"/>
    <cellStyle name="Comma 2 2 2 5 2 5" xfId="6904" xr:uid="{00000000-0005-0000-0000-0000F51A0000}"/>
    <cellStyle name="Comma 2 2 2 5 2 5 2" xfId="6905" xr:uid="{00000000-0005-0000-0000-0000F61A0000}"/>
    <cellStyle name="Comma 2 2 2 5 2 6" xfId="6906" xr:uid="{00000000-0005-0000-0000-0000F71A0000}"/>
    <cellStyle name="Comma 2 2 2 5 2 7" xfId="6907" xr:uid="{00000000-0005-0000-0000-0000F81A0000}"/>
    <cellStyle name="Comma 2 2 2 5 2 8" xfId="6908" xr:uid="{00000000-0005-0000-0000-0000F91A0000}"/>
    <cellStyle name="Comma 2 2 2 5 2 9" xfId="6909" xr:uid="{00000000-0005-0000-0000-0000FA1A0000}"/>
    <cellStyle name="Comma 2 2 2 5 3" xfId="6910" xr:uid="{00000000-0005-0000-0000-0000FB1A0000}"/>
    <cellStyle name="Comma 2 2 2 5 3 2" xfId="6911" xr:uid="{00000000-0005-0000-0000-0000FC1A0000}"/>
    <cellStyle name="Comma 2 2 2 5 3 2 2" xfId="6912" xr:uid="{00000000-0005-0000-0000-0000FD1A0000}"/>
    <cellStyle name="Comma 2 2 2 5 3 2 2 2" xfId="6913" xr:uid="{00000000-0005-0000-0000-0000FE1A0000}"/>
    <cellStyle name="Comma 2 2 2 5 3 2 2 3" xfId="6914" xr:uid="{00000000-0005-0000-0000-0000FF1A0000}"/>
    <cellStyle name="Comma 2 2 2 5 3 2 3" xfId="6915" xr:uid="{00000000-0005-0000-0000-0000001B0000}"/>
    <cellStyle name="Comma 2 2 2 5 3 2 4" xfId="6916" xr:uid="{00000000-0005-0000-0000-0000011B0000}"/>
    <cellStyle name="Comma 2 2 2 5 3 2 5" xfId="6917" xr:uid="{00000000-0005-0000-0000-0000021B0000}"/>
    <cellStyle name="Comma 2 2 2 5 3 2 6" xfId="6918" xr:uid="{00000000-0005-0000-0000-0000031B0000}"/>
    <cellStyle name="Comma 2 2 2 5 3 3" xfId="6919" xr:uid="{00000000-0005-0000-0000-0000041B0000}"/>
    <cellStyle name="Comma 2 2 2 5 3 3 2" xfId="6920" xr:uid="{00000000-0005-0000-0000-0000051B0000}"/>
    <cellStyle name="Comma 2 2 2 5 3 3 2 2" xfId="6921" xr:uid="{00000000-0005-0000-0000-0000061B0000}"/>
    <cellStyle name="Comma 2 2 2 5 3 3 3" xfId="6922" xr:uid="{00000000-0005-0000-0000-0000071B0000}"/>
    <cellStyle name="Comma 2 2 2 5 3 3 4" xfId="6923" xr:uid="{00000000-0005-0000-0000-0000081B0000}"/>
    <cellStyle name="Comma 2 2 2 5 3 3 5" xfId="6924" xr:uid="{00000000-0005-0000-0000-0000091B0000}"/>
    <cellStyle name="Comma 2 2 2 5 3 4" xfId="6925" xr:uid="{00000000-0005-0000-0000-00000A1B0000}"/>
    <cellStyle name="Comma 2 2 2 5 3 4 2" xfId="6926" xr:uid="{00000000-0005-0000-0000-00000B1B0000}"/>
    <cellStyle name="Comma 2 2 2 5 3 4 3" xfId="6927" xr:uid="{00000000-0005-0000-0000-00000C1B0000}"/>
    <cellStyle name="Comma 2 2 2 5 3 4 4" xfId="6928" xr:uid="{00000000-0005-0000-0000-00000D1B0000}"/>
    <cellStyle name="Comma 2 2 2 5 3 5" xfId="6929" xr:uid="{00000000-0005-0000-0000-00000E1B0000}"/>
    <cellStyle name="Comma 2 2 2 5 3 5 2" xfId="6930" xr:uid="{00000000-0005-0000-0000-00000F1B0000}"/>
    <cellStyle name="Comma 2 2 2 5 3 6" xfId="6931" xr:uid="{00000000-0005-0000-0000-0000101B0000}"/>
    <cellStyle name="Comma 2 2 2 5 3 7" xfId="6932" xr:uid="{00000000-0005-0000-0000-0000111B0000}"/>
    <cellStyle name="Comma 2 2 2 5 3 8" xfId="6933" xr:uid="{00000000-0005-0000-0000-0000121B0000}"/>
    <cellStyle name="Comma 2 2 2 5 3 9" xfId="6934" xr:uid="{00000000-0005-0000-0000-0000131B0000}"/>
    <cellStyle name="Comma 2 2 2 5 4" xfId="6935" xr:uid="{00000000-0005-0000-0000-0000141B0000}"/>
    <cellStyle name="Comma 2 2 2 5 4 2" xfId="6936" xr:uid="{00000000-0005-0000-0000-0000151B0000}"/>
    <cellStyle name="Comma 2 2 2 5 4 2 2" xfId="6937" xr:uid="{00000000-0005-0000-0000-0000161B0000}"/>
    <cellStyle name="Comma 2 2 2 5 4 2 3" xfId="6938" xr:uid="{00000000-0005-0000-0000-0000171B0000}"/>
    <cellStyle name="Comma 2 2 2 5 4 3" xfId="6939" xr:uid="{00000000-0005-0000-0000-0000181B0000}"/>
    <cellStyle name="Comma 2 2 2 5 4 4" xfId="6940" xr:uid="{00000000-0005-0000-0000-0000191B0000}"/>
    <cellStyle name="Comma 2 2 2 5 4 5" xfId="6941" xr:uid="{00000000-0005-0000-0000-00001A1B0000}"/>
    <cellStyle name="Comma 2 2 2 5 4 6" xfId="6942" xr:uid="{00000000-0005-0000-0000-00001B1B0000}"/>
    <cellStyle name="Comma 2 2 2 5 5" xfId="6943" xr:uid="{00000000-0005-0000-0000-00001C1B0000}"/>
    <cellStyle name="Comma 2 2 2 5 5 2" xfId="6944" xr:uid="{00000000-0005-0000-0000-00001D1B0000}"/>
    <cellStyle name="Comma 2 2 2 5 5 2 2" xfId="6945" xr:uid="{00000000-0005-0000-0000-00001E1B0000}"/>
    <cellStyle name="Comma 2 2 2 5 5 3" xfId="6946" xr:uid="{00000000-0005-0000-0000-00001F1B0000}"/>
    <cellStyle name="Comma 2 2 2 5 5 4" xfId="6947" xr:uid="{00000000-0005-0000-0000-0000201B0000}"/>
    <cellStyle name="Comma 2 2 2 5 5 5" xfId="6948" xr:uid="{00000000-0005-0000-0000-0000211B0000}"/>
    <cellStyle name="Comma 2 2 2 5 6" xfId="6949" xr:uid="{00000000-0005-0000-0000-0000221B0000}"/>
    <cellStyle name="Comma 2 2 2 5 6 2" xfId="6950" xr:uid="{00000000-0005-0000-0000-0000231B0000}"/>
    <cellStyle name="Comma 2 2 2 5 6 3" xfId="6951" xr:uid="{00000000-0005-0000-0000-0000241B0000}"/>
    <cellStyle name="Comma 2 2 2 5 6 4" xfId="6952" xr:uid="{00000000-0005-0000-0000-0000251B0000}"/>
    <cellStyle name="Comma 2 2 2 5 7" xfId="6953" xr:uid="{00000000-0005-0000-0000-0000261B0000}"/>
    <cellStyle name="Comma 2 2 2 5 7 2" xfId="6954" xr:uid="{00000000-0005-0000-0000-0000271B0000}"/>
    <cellStyle name="Comma 2 2 2 5 8" xfId="6955" xr:uid="{00000000-0005-0000-0000-0000281B0000}"/>
    <cellStyle name="Comma 2 2 2 5 9" xfId="6956" xr:uid="{00000000-0005-0000-0000-0000291B0000}"/>
    <cellStyle name="Comma 2 2 2 6" xfId="6957" xr:uid="{00000000-0005-0000-0000-00002A1B0000}"/>
    <cellStyle name="Comma 2 2 2 6 10" xfId="6958" xr:uid="{00000000-0005-0000-0000-00002B1B0000}"/>
    <cellStyle name="Comma 2 2 2 6 11" xfId="6959" xr:uid="{00000000-0005-0000-0000-00002C1B0000}"/>
    <cellStyle name="Comma 2 2 2 6 2" xfId="6960" xr:uid="{00000000-0005-0000-0000-00002D1B0000}"/>
    <cellStyle name="Comma 2 2 2 6 2 2" xfId="6961" xr:uid="{00000000-0005-0000-0000-00002E1B0000}"/>
    <cellStyle name="Comma 2 2 2 6 2 2 2" xfId="6962" xr:uid="{00000000-0005-0000-0000-00002F1B0000}"/>
    <cellStyle name="Comma 2 2 2 6 2 2 2 2" xfId="6963" xr:uid="{00000000-0005-0000-0000-0000301B0000}"/>
    <cellStyle name="Comma 2 2 2 6 2 2 2 3" xfId="6964" xr:uid="{00000000-0005-0000-0000-0000311B0000}"/>
    <cellStyle name="Comma 2 2 2 6 2 2 3" xfId="6965" xr:uid="{00000000-0005-0000-0000-0000321B0000}"/>
    <cellStyle name="Comma 2 2 2 6 2 2 4" xfId="6966" xr:uid="{00000000-0005-0000-0000-0000331B0000}"/>
    <cellStyle name="Comma 2 2 2 6 2 2 5" xfId="6967" xr:uid="{00000000-0005-0000-0000-0000341B0000}"/>
    <cellStyle name="Comma 2 2 2 6 2 2 6" xfId="6968" xr:uid="{00000000-0005-0000-0000-0000351B0000}"/>
    <cellStyle name="Comma 2 2 2 6 2 3" xfId="6969" xr:uid="{00000000-0005-0000-0000-0000361B0000}"/>
    <cellStyle name="Comma 2 2 2 6 2 3 2" xfId="6970" xr:uid="{00000000-0005-0000-0000-0000371B0000}"/>
    <cellStyle name="Comma 2 2 2 6 2 3 2 2" xfId="6971" xr:uid="{00000000-0005-0000-0000-0000381B0000}"/>
    <cellStyle name="Comma 2 2 2 6 2 3 3" xfId="6972" xr:uid="{00000000-0005-0000-0000-0000391B0000}"/>
    <cellStyle name="Comma 2 2 2 6 2 3 4" xfId="6973" xr:uid="{00000000-0005-0000-0000-00003A1B0000}"/>
    <cellStyle name="Comma 2 2 2 6 2 3 5" xfId="6974" xr:uid="{00000000-0005-0000-0000-00003B1B0000}"/>
    <cellStyle name="Comma 2 2 2 6 2 4" xfId="6975" xr:uid="{00000000-0005-0000-0000-00003C1B0000}"/>
    <cellStyle name="Comma 2 2 2 6 2 4 2" xfId="6976" xr:uid="{00000000-0005-0000-0000-00003D1B0000}"/>
    <cellStyle name="Comma 2 2 2 6 2 4 3" xfId="6977" xr:uid="{00000000-0005-0000-0000-00003E1B0000}"/>
    <cellStyle name="Comma 2 2 2 6 2 4 4" xfId="6978" xr:uid="{00000000-0005-0000-0000-00003F1B0000}"/>
    <cellStyle name="Comma 2 2 2 6 2 5" xfId="6979" xr:uid="{00000000-0005-0000-0000-0000401B0000}"/>
    <cellStyle name="Comma 2 2 2 6 2 5 2" xfId="6980" xr:uid="{00000000-0005-0000-0000-0000411B0000}"/>
    <cellStyle name="Comma 2 2 2 6 2 6" xfId="6981" xr:uid="{00000000-0005-0000-0000-0000421B0000}"/>
    <cellStyle name="Comma 2 2 2 6 2 7" xfId="6982" xr:uid="{00000000-0005-0000-0000-0000431B0000}"/>
    <cellStyle name="Comma 2 2 2 6 2 8" xfId="6983" xr:uid="{00000000-0005-0000-0000-0000441B0000}"/>
    <cellStyle name="Comma 2 2 2 6 2 9" xfId="6984" xr:uid="{00000000-0005-0000-0000-0000451B0000}"/>
    <cellStyle name="Comma 2 2 2 6 3" xfId="6985" xr:uid="{00000000-0005-0000-0000-0000461B0000}"/>
    <cellStyle name="Comma 2 2 2 6 3 2" xfId="6986" xr:uid="{00000000-0005-0000-0000-0000471B0000}"/>
    <cellStyle name="Comma 2 2 2 6 3 2 2" xfId="6987" xr:uid="{00000000-0005-0000-0000-0000481B0000}"/>
    <cellStyle name="Comma 2 2 2 6 3 2 2 2" xfId="6988" xr:uid="{00000000-0005-0000-0000-0000491B0000}"/>
    <cellStyle name="Comma 2 2 2 6 3 2 2 3" xfId="6989" xr:uid="{00000000-0005-0000-0000-00004A1B0000}"/>
    <cellStyle name="Comma 2 2 2 6 3 2 3" xfId="6990" xr:uid="{00000000-0005-0000-0000-00004B1B0000}"/>
    <cellStyle name="Comma 2 2 2 6 3 2 4" xfId="6991" xr:uid="{00000000-0005-0000-0000-00004C1B0000}"/>
    <cellStyle name="Comma 2 2 2 6 3 2 5" xfId="6992" xr:uid="{00000000-0005-0000-0000-00004D1B0000}"/>
    <cellStyle name="Comma 2 2 2 6 3 2 6" xfId="6993" xr:uid="{00000000-0005-0000-0000-00004E1B0000}"/>
    <cellStyle name="Comma 2 2 2 6 3 3" xfId="6994" xr:uid="{00000000-0005-0000-0000-00004F1B0000}"/>
    <cellStyle name="Comma 2 2 2 6 3 3 2" xfId="6995" xr:uid="{00000000-0005-0000-0000-0000501B0000}"/>
    <cellStyle name="Comma 2 2 2 6 3 3 2 2" xfId="6996" xr:uid="{00000000-0005-0000-0000-0000511B0000}"/>
    <cellStyle name="Comma 2 2 2 6 3 3 3" xfId="6997" xr:uid="{00000000-0005-0000-0000-0000521B0000}"/>
    <cellStyle name="Comma 2 2 2 6 3 3 4" xfId="6998" xr:uid="{00000000-0005-0000-0000-0000531B0000}"/>
    <cellStyle name="Comma 2 2 2 6 3 3 5" xfId="6999" xr:uid="{00000000-0005-0000-0000-0000541B0000}"/>
    <cellStyle name="Comma 2 2 2 6 3 4" xfId="7000" xr:uid="{00000000-0005-0000-0000-0000551B0000}"/>
    <cellStyle name="Comma 2 2 2 6 3 4 2" xfId="7001" xr:uid="{00000000-0005-0000-0000-0000561B0000}"/>
    <cellStyle name="Comma 2 2 2 6 3 4 3" xfId="7002" xr:uid="{00000000-0005-0000-0000-0000571B0000}"/>
    <cellStyle name="Comma 2 2 2 6 3 4 4" xfId="7003" xr:uid="{00000000-0005-0000-0000-0000581B0000}"/>
    <cellStyle name="Comma 2 2 2 6 3 5" xfId="7004" xr:uid="{00000000-0005-0000-0000-0000591B0000}"/>
    <cellStyle name="Comma 2 2 2 6 3 5 2" xfId="7005" xr:uid="{00000000-0005-0000-0000-00005A1B0000}"/>
    <cellStyle name="Comma 2 2 2 6 3 6" xfId="7006" xr:uid="{00000000-0005-0000-0000-00005B1B0000}"/>
    <cellStyle name="Comma 2 2 2 6 3 7" xfId="7007" xr:uid="{00000000-0005-0000-0000-00005C1B0000}"/>
    <cellStyle name="Comma 2 2 2 6 3 8" xfId="7008" xr:uid="{00000000-0005-0000-0000-00005D1B0000}"/>
    <cellStyle name="Comma 2 2 2 6 3 9" xfId="7009" xr:uid="{00000000-0005-0000-0000-00005E1B0000}"/>
    <cellStyle name="Comma 2 2 2 6 4" xfId="7010" xr:uid="{00000000-0005-0000-0000-00005F1B0000}"/>
    <cellStyle name="Comma 2 2 2 6 4 2" xfId="7011" xr:uid="{00000000-0005-0000-0000-0000601B0000}"/>
    <cellStyle name="Comma 2 2 2 6 4 2 2" xfId="7012" xr:uid="{00000000-0005-0000-0000-0000611B0000}"/>
    <cellStyle name="Comma 2 2 2 6 4 2 3" xfId="7013" xr:uid="{00000000-0005-0000-0000-0000621B0000}"/>
    <cellStyle name="Comma 2 2 2 6 4 3" xfId="7014" xr:uid="{00000000-0005-0000-0000-0000631B0000}"/>
    <cellStyle name="Comma 2 2 2 6 4 4" xfId="7015" xr:uid="{00000000-0005-0000-0000-0000641B0000}"/>
    <cellStyle name="Comma 2 2 2 6 4 5" xfId="7016" xr:uid="{00000000-0005-0000-0000-0000651B0000}"/>
    <cellStyle name="Comma 2 2 2 6 4 6" xfId="7017" xr:uid="{00000000-0005-0000-0000-0000661B0000}"/>
    <cellStyle name="Comma 2 2 2 6 5" xfId="7018" xr:uid="{00000000-0005-0000-0000-0000671B0000}"/>
    <cellStyle name="Comma 2 2 2 6 5 2" xfId="7019" xr:uid="{00000000-0005-0000-0000-0000681B0000}"/>
    <cellStyle name="Comma 2 2 2 6 5 2 2" xfId="7020" xr:uid="{00000000-0005-0000-0000-0000691B0000}"/>
    <cellStyle name="Comma 2 2 2 6 5 3" xfId="7021" xr:uid="{00000000-0005-0000-0000-00006A1B0000}"/>
    <cellStyle name="Comma 2 2 2 6 5 4" xfId="7022" xr:uid="{00000000-0005-0000-0000-00006B1B0000}"/>
    <cellStyle name="Comma 2 2 2 6 5 5" xfId="7023" xr:uid="{00000000-0005-0000-0000-00006C1B0000}"/>
    <cellStyle name="Comma 2 2 2 6 6" xfId="7024" xr:uid="{00000000-0005-0000-0000-00006D1B0000}"/>
    <cellStyle name="Comma 2 2 2 6 6 2" xfId="7025" xr:uid="{00000000-0005-0000-0000-00006E1B0000}"/>
    <cellStyle name="Comma 2 2 2 6 6 3" xfId="7026" xr:uid="{00000000-0005-0000-0000-00006F1B0000}"/>
    <cellStyle name="Comma 2 2 2 6 6 4" xfId="7027" xr:uid="{00000000-0005-0000-0000-0000701B0000}"/>
    <cellStyle name="Comma 2 2 2 6 7" xfId="7028" xr:uid="{00000000-0005-0000-0000-0000711B0000}"/>
    <cellStyle name="Comma 2 2 2 6 7 2" xfId="7029" xr:uid="{00000000-0005-0000-0000-0000721B0000}"/>
    <cellStyle name="Comma 2 2 2 6 8" xfId="7030" xr:uid="{00000000-0005-0000-0000-0000731B0000}"/>
    <cellStyle name="Comma 2 2 2 6 9" xfId="7031" xr:uid="{00000000-0005-0000-0000-0000741B0000}"/>
    <cellStyle name="Comma 2 2 2 7" xfId="7032" xr:uid="{00000000-0005-0000-0000-0000751B0000}"/>
    <cellStyle name="Comma 2 2 2 7 10" xfId="7033" xr:uid="{00000000-0005-0000-0000-0000761B0000}"/>
    <cellStyle name="Comma 2 2 2 7 11" xfId="7034" xr:uid="{00000000-0005-0000-0000-0000771B0000}"/>
    <cellStyle name="Comma 2 2 2 7 2" xfId="7035" xr:uid="{00000000-0005-0000-0000-0000781B0000}"/>
    <cellStyle name="Comma 2 2 2 7 2 2" xfId="7036" xr:uid="{00000000-0005-0000-0000-0000791B0000}"/>
    <cellStyle name="Comma 2 2 2 7 2 2 2" xfId="7037" xr:uid="{00000000-0005-0000-0000-00007A1B0000}"/>
    <cellStyle name="Comma 2 2 2 7 2 2 2 2" xfId="7038" xr:uid="{00000000-0005-0000-0000-00007B1B0000}"/>
    <cellStyle name="Comma 2 2 2 7 2 2 2 3" xfId="7039" xr:uid="{00000000-0005-0000-0000-00007C1B0000}"/>
    <cellStyle name="Comma 2 2 2 7 2 2 3" xfId="7040" xr:uid="{00000000-0005-0000-0000-00007D1B0000}"/>
    <cellStyle name="Comma 2 2 2 7 2 2 4" xfId="7041" xr:uid="{00000000-0005-0000-0000-00007E1B0000}"/>
    <cellStyle name="Comma 2 2 2 7 2 2 5" xfId="7042" xr:uid="{00000000-0005-0000-0000-00007F1B0000}"/>
    <cellStyle name="Comma 2 2 2 7 2 2 6" xfId="7043" xr:uid="{00000000-0005-0000-0000-0000801B0000}"/>
    <cellStyle name="Comma 2 2 2 7 2 3" xfId="7044" xr:uid="{00000000-0005-0000-0000-0000811B0000}"/>
    <cellStyle name="Comma 2 2 2 7 2 3 2" xfId="7045" xr:uid="{00000000-0005-0000-0000-0000821B0000}"/>
    <cellStyle name="Comma 2 2 2 7 2 3 2 2" xfId="7046" xr:uid="{00000000-0005-0000-0000-0000831B0000}"/>
    <cellStyle name="Comma 2 2 2 7 2 3 3" xfId="7047" xr:uid="{00000000-0005-0000-0000-0000841B0000}"/>
    <cellStyle name="Comma 2 2 2 7 2 3 4" xfId="7048" xr:uid="{00000000-0005-0000-0000-0000851B0000}"/>
    <cellStyle name="Comma 2 2 2 7 2 3 5" xfId="7049" xr:uid="{00000000-0005-0000-0000-0000861B0000}"/>
    <cellStyle name="Comma 2 2 2 7 2 4" xfId="7050" xr:uid="{00000000-0005-0000-0000-0000871B0000}"/>
    <cellStyle name="Comma 2 2 2 7 2 4 2" xfId="7051" xr:uid="{00000000-0005-0000-0000-0000881B0000}"/>
    <cellStyle name="Comma 2 2 2 7 2 4 3" xfId="7052" xr:uid="{00000000-0005-0000-0000-0000891B0000}"/>
    <cellStyle name="Comma 2 2 2 7 2 4 4" xfId="7053" xr:uid="{00000000-0005-0000-0000-00008A1B0000}"/>
    <cellStyle name="Comma 2 2 2 7 2 5" xfId="7054" xr:uid="{00000000-0005-0000-0000-00008B1B0000}"/>
    <cellStyle name="Comma 2 2 2 7 2 5 2" xfId="7055" xr:uid="{00000000-0005-0000-0000-00008C1B0000}"/>
    <cellStyle name="Comma 2 2 2 7 2 6" xfId="7056" xr:uid="{00000000-0005-0000-0000-00008D1B0000}"/>
    <cellStyle name="Comma 2 2 2 7 2 7" xfId="7057" xr:uid="{00000000-0005-0000-0000-00008E1B0000}"/>
    <cellStyle name="Comma 2 2 2 7 2 8" xfId="7058" xr:uid="{00000000-0005-0000-0000-00008F1B0000}"/>
    <cellStyle name="Comma 2 2 2 7 2 9" xfId="7059" xr:uid="{00000000-0005-0000-0000-0000901B0000}"/>
    <cellStyle name="Comma 2 2 2 7 3" xfId="7060" xr:uid="{00000000-0005-0000-0000-0000911B0000}"/>
    <cellStyle name="Comma 2 2 2 7 3 2" xfId="7061" xr:uid="{00000000-0005-0000-0000-0000921B0000}"/>
    <cellStyle name="Comma 2 2 2 7 3 2 2" xfId="7062" xr:uid="{00000000-0005-0000-0000-0000931B0000}"/>
    <cellStyle name="Comma 2 2 2 7 3 2 2 2" xfId="7063" xr:uid="{00000000-0005-0000-0000-0000941B0000}"/>
    <cellStyle name="Comma 2 2 2 7 3 2 2 3" xfId="7064" xr:uid="{00000000-0005-0000-0000-0000951B0000}"/>
    <cellStyle name="Comma 2 2 2 7 3 2 3" xfId="7065" xr:uid="{00000000-0005-0000-0000-0000961B0000}"/>
    <cellStyle name="Comma 2 2 2 7 3 2 4" xfId="7066" xr:uid="{00000000-0005-0000-0000-0000971B0000}"/>
    <cellStyle name="Comma 2 2 2 7 3 2 5" xfId="7067" xr:uid="{00000000-0005-0000-0000-0000981B0000}"/>
    <cellStyle name="Comma 2 2 2 7 3 2 6" xfId="7068" xr:uid="{00000000-0005-0000-0000-0000991B0000}"/>
    <cellStyle name="Comma 2 2 2 7 3 3" xfId="7069" xr:uid="{00000000-0005-0000-0000-00009A1B0000}"/>
    <cellStyle name="Comma 2 2 2 7 3 3 2" xfId="7070" xr:uid="{00000000-0005-0000-0000-00009B1B0000}"/>
    <cellStyle name="Comma 2 2 2 7 3 3 2 2" xfId="7071" xr:uid="{00000000-0005-0000-0000-00009C1B0000}"/>
    <cellStyle name="Comma 2 2 2 7 3 3 3" xfId="7072" xr:uid="{00000000-0005-0000-0000-00009D1B0000}"/>
    <cellStyle name="Comma 2 2 2 7 3 3 4" xfId="7073" xr:uid="{00000000-0005-0000-0000-00009E1B0000}"/>
    <cellStyle name="Comma 2 2 2 7 3 3 5" xfId="7074" xr:uid="{00000000-0005-0000-0000-00009F1B0000}"/>
    <cellStyle name="Comma 2 2 2 7 3 4" xfId="7075" xr:uid="{00000000-0005-0000-0000-0000A01B0000}"/>
    <cellStyle name="Comma 2 2 2 7 3 4 2" xfId="7076" xr:uid="{00000000-0005-0000-0000-0000A11B0000}"/>
    <cellStyle name="Comma 2 2 2 7 3 4 3" xfId="7077" xr:uid="{00000000-0005-0000-0000-0000A21B0000}"/>
    <cellStyle name="Comma 2 2 2 7 3 4 4" xfId="7078" xr:uid="{00000000-0005-0000-0000-0000A31B0000}"/>
    <cellStyle name="Comma 2 2 2 7 3 5" xfId="7079" xr:uid="{00000000-0005-0000-0000-0000A41B0000}"/>
    <cellStyle name="Comma 2 2 2 7 3 5 2" xfId="7080" xr:uid="{00000000-0005-0000-0000-0000A51B0000}"/>
    <cellStyle name="Comma 2 2 2 7 3 6" xfId="7081" xr:uid="{00000000-0005-0000-0000-0000A61B0000}"/>
    <cellStyle name="Comma 2 2 2 7 3 7" xfId="7082" xr:uid="{00000000-0005-0000-0000-0000A71B0000}"/>
    <cellStyle name="Comma 2 2 2 7 3 8" xfId="7083" xr:uid="{00000000-0005-0000-0000-0000A81B0000}"/>
    <cellStyle name="Comma 2 2 2 7 3 9" xfId="7084" xr:uid="{00000000-0005-0000-0000-0000A91B0000}"/>
    <cellStyle name="Comma 2 2 2 7 4" xfId="7085" xr:uid="{00000000-0005-0000-0000-0000AA1B0000}"/>
    <cellStyle name="Comma 2 2 2 7 4 2" xfId="7086" xr:uid="{00000000-0005-0000-0000-0000AB1B0000}"/>
    <cellStyle name="Comma 2 2 2 7 4 2 2" xfId="7087" xr:uid="{00000000-0005-0000-0000-0000AC1B0000}"/>
    <cellStyle name="Comma 2 2 2 7 4 2 3" xfId="7088" xr:uid="{00000000-0005-0000-0000-0000AD1B0000}"/>
    <cellStyle name="Comma 2 2 2 7 4 3" xfId="7089" xr:uid="{00000000-0005-0000-0000-0000AE1B0000}"/>
    <cellStyle name="Comma 2 2 2 7 4 4" xfId="7090" xr:uid="{00000000-0005-0000-0000-0000AF1B0000}"/>
    <cellStyle name="Comma 2 2 2 7 4 5" xfId="7091" xr:uid="{00000000-0005-0000-0000-0000B01B0000}"/>
    <cellStyle name="Comma 2 2 2 7 4 6" xfId="7092" xr:uid="{00000000-0005-0000-0000-0000B11B0000}"/>
    <cellStyle name="Comma 2 2 2 7 5" xfId="7093" xr:uid="{00000000-0005-0000-0000-0000B21B0000}"/>
    <cellStyle name="Comma 2 2 2 7 5 2" xfId="7094" xr:uid="{00000000-0005-0000-0000-0000B31B0000}"/>
    <cellStyle name="Comma 2 2 2 7 5 2 2" xfId="7095" xr:uid="{00000000-0005-0000-0000-0000B41B0000}"/>
    <cellStyle name="Comma 2 2 2 7 5 3" xfId="7096" xr:uid="{00000000-0005-0000-0000-0000B51B0000}"/>
    <cellStyle name="Comma 2 2 2 7 5 4" xfId="7097" xr:uid="{00000000-0005-0000-0000-0000B61B0000}"/>
    <cellStyle name="Comma 2 2 2 7 5 5" xfId="7098" xr:uid="{00000000-0005-0000-0000-0000B71B0000}"/>
    <cellStyle name="Comma 2 2 2 7 6" xfId="7099" xr:uid="{00000000-0005-0000-0000-0000B81B0000}"/>
    <cellStyle name="Comma 2 2 2 7 6 2" xfId="7100" xr:uid="{00000000-0005-0000-0000-0000B91B0000}"/>
    <cellStyle name="Comma 2 2 2 7 6 3" xfId="7101" xr:uid="{00000000-0005-0000-0000-0000BA1B0000}"/>
    <cellStyle name="Comma 2 2 2 7 6 4" xfId="7102" xr:uid="{00000000-0005-0000-0000-0000BB1B0000}"/>
    <cellStyle name="Comma 2 2 2 7 7" xfId="7103" xr:uid="{00000000-0005-0000-0000-0000BC1B0000}"/>
    <cellStyle name="Comma 2 2 2 7 7 2" xfId="7104" xr:uid="{00000000-0005-0000-0000-0000BD1B0000}"/>
    <cellStyle name="Comma 2 2 2 7 8" xfId="7105" xr:uid="{00000000-0005-0000-0000-0000BE1B0000}"/>
    <cellStyle name="Comma 2 2 2 7 9" xfId="7106" xr:uid="{00000000-0005-0000-0000-0000BF1B0000}"/>
    <cellStyle name="Comma 2 2 2 8" xfId="7107" xr:uid="{00000000-0005-0000-0000-0000C01B0000}"/>
    <cellStyle name="Comma 2 2 2 8 10" xfId="7108" xr:uid="{00000000-0005-0000-0000-0000C11B0000}"/>
    <cellStyle name="Comma 2 2 2 8 2" xfId="7109" xr:uid="{00000000-0005-0000-0000-0000C21B0000}"/>
    <cellStyle name="Comma 2 2 2 8 2 2" xfId="7110" xr:uid="{00000000-0005-0000-0000-0000C31B0000}"/>
    <cellStyle name="Comma 2 2 2 8 2 2 2" xfId="7111" xr:uid="{00000000-0005-0000-0000-0000C41B0000}"/>
    <cellStyle name="Comma 2 2 2 8 2 2 3" xfId="7112" xr:uid="{00000000-0005-0000-0000-0000C51B0000}"/>
    <cellStyle name="Comma 2 2 2 8 2 3" xfId="7113" xr:uid="{00000000-0005-0000-0000-0000C61B0000}"/>
    <cellStyle name="Comma 2 2 2 8 2 4" xfId="7114" xr:uid="{00000000-0005-0000-0000-0000C71B0000}"/>
    <cellStyle name="Comma 2 2 2 8 2 5" xfId="7115" xr:uid="{00000000-0005-0000-0000-0000C81B0000}"/>
    <cellStyle name="Comma 2 2 2 8 2 6" xfId="7116" xr:uid="{00000000-0005-0000-0000-0000C91B0000}"/>
    <cellStyle name="Comma 2 2 2 8 3" xfId="7117" xr:uid="{00000000-0005-0000-0000-0000CA1B0000}"/>
    <cellStyle name="Comma 2 2 2 8 3 2" xfId="7118" xr:uid="{00000000-0005-0000-0000-0000CB1B0000}"/>
    <cellStyle name="Comma 2 2 2 8 3 2 2" xfId="7119" xr:uid="{00000000-0005-0000-0000-0000CC1B0000}"/>
    <cellStyle name="Comma 2 2 2 8 3 2 3" xfId="7120" xr:uid="{00000000-0005-0000-0000-0000CD1B0000}"/>
    <cellStyle name="Comma 2 2 2 8 3 3" xfId="7121" xr:uid="{00000000-0005-0000-0000-0000CE1B0000}"/>
    <cellStyle name="Comma 2 2 2 8 3 4" xfId="7122" xr:uid="{00000000-0005-0000-0000-0000CF1B0000}"/>
    <cellStyle name="Comma 2 2 2 8 3 5" xfId="7123" xr:uid="{00000000-0005-0000-0000-0000D01B0000}"/>
    <cellStyle name="Comma 2 2 2 8 3 6" xfId="7124" xr:uid="{00000000-0005-0000-0000-0000D11B0000}"/>
    <cellStyle name="Comma 2 2 2 8 4" xfId="7125" xr:uid="{00000000-0005-0000-0000-0000D21B0000}"/>
    <cellStyle name="Comma 2 2 2 8 4 2" xfId="7126" xr:uid="{00000000-0005-0000-0000-0000D31B0000}"/>
    <cellStyle name="Comma 2 2 2 8 4 2 2" xfId="7127" xr:uid="{00000000-0005-0000-0000-0000D41B0000}"/>
    <cellStyle name="Comma 2 2 2 8 4 3" xfId="7128" xr:uid="{00000000-0005-0000-0000-0000D51B0000}"/>
    <cellStyle name="Comma 2 2 2 8 4 4" xfId="7129" xr:uid="{00000000-0005-0000-0000-0000D61B0000}"/>
    <cellStyle name="Comma 2 2 2 8 4 5" xfId="7130" xr:uid="{00000000-0005-0000-0000-0000D71B0000}"/>
    <cellStyle name="Comma 2 2 2 8 5" xfId="7131" xr:uid="{00000000-0005-0000-0000-0000D81B0000}"/>
    <cellStyle name="Comma 2 2 2 8 5 2" xfId="7132" xr:uid="{00000000-0005-0000-0000-0000D91B0000}"/>
    <cellStyle name="Comma 2 2 2 8 5 3" xfId="7133" xr:uid="{00000000-0005-0000-0000-0000DA1B0000}"/>
    <cellStyle name="Comma 2 2 2 8 5 4" xfId="7134" xr:uid="{00000000-0005-0000-0000-0000DB1B0000}"/>
    <cellStyle name="Comma 2 2 2 8 6" xfId="7135" xr:uid="{00000000-0005-0000-0000-0000DC1B0000}"/>
    <cellStyle name="Comma 2 2 2 8 6 2" xfId="7136" xr:uid="{00000000-0005-0000-0000-0000DD1B0000}"/>
    <cellStyle name="Comma 2 2 2 8 7" xfId="7137" xr:uid="{00000000-0005-0000-0000-0000DE1B0000}"/>
    <cellStyle name="Comma 2 2 2 8 8" xfId="7138" xr:uid="{00000000-0005-0000-0000-0000DF1B0000}"/>
    <cellStyle name="Comma 2 2 2 8 9" xfId="7139" xr:uid="{00000000-0005-0000-0000-0000E01B0000}"/>
    <cellStyle name="Comma 2 2 2 9" xfId="7140" xr:uid="{00000000-0005-0000-0000-0000E11B0000}"/>
    <cellStyle name="Comma 2 2 2 9 10" xfId="7141" xr:uid="{00000000-0005-0000-0000-0000E21B0000}"/>
    <cellStyle name="Comma 2 2 2 9 2" xfId="7142" xr:uid="{00000000-0005-0000-0000-0000E31B0000}"/>
    <cellStyle name="Comma 2 2 2 9 2 2" xfId="7143" xr:uid="{00000000-0005-0000-0000-0000E41B0000}"/>
    <cellStyle name="Comma 2 2 2 9 2 2 2" xfId="7144" xr:uid="{00000000-0005-0000-0000-0000E51B0000}"/>
    <cellStyle name="Comma 2 2 2 9 2 2 3" xfId="7145" xr:uid="{00000000-0005-0000-0000-0000E61B0000}"/>
    <cellStyle name="Comma 2 2 2 9 2 3" xfId="7146" xr:uid="{00000000-0005-0000-0000-0000E71B0000}"/>
    <cellStyle name="Comma 2 2 2 9 2 4" xfId="7147" xr:uid="{00000000-0005-0000-0000-0000E81B0000}"/>
    <cellStyle name="Comma 2 2 2 9 2 5" xfId="7148" xr:uid="{00000000-0005-0000-0000-0000E91B0000}"/>
    <cellStyle name="Comma 2 2 2 9 2 6" xfId="7149" xr:uid="{00000000-0005-0000-0000-0000EA1B0000}"/>
    <cellStyle name="Comma 2 2 2 9 3" xfId="7150" xr:uid="{00000000-0005-0000-0000-0000EB1B0000}"/>
    <cellStyle name="Comma 2 2 2 9 3 2" xfId="7151" xr:uid="{00000000-0005-0000-0000-0000EC1B0000}"/>
    <cellStyle name="Comma 2 2 2 9 3 2 2" xfId="7152" xr:uid="{00000000-0005-0000-0000-0000ED1B0000}"/>
    <cellStyle name="Comma 2 2 2 9 3 2 3" xfId="7153" xr:uid="{00000000-0005-0000-0000-0000EE1B0000}"/>
    <cellStyle name="Comma 2 2 2 9 3 3" xfId="7154" xr:uid="{00000000-0005-0000-0000-0000EF1B0000}"/>
    <cellStyle name="Comma 2 2 2 9 3 4" xfId="7155" xr:uid="{00000000-0005-0000-0000-0000F01B0000}"/>
    <cellStyle name="Comma 2 2 2 9 3 5" xfId="7156" xr:uid="{00000000-0005-0000-0000-0000F11B0000}"/>
    <cellStyle name="Comma 2 2 2 9 3 6" xfId="7157" xr:uid="{00000000-0005-0000-0000-0000F21B0000}"/>
    <cellStyle name="Comma 2 2 2 9 4" xfId="7158" xr:uid="{00000000-0005-0000-0000-0000F31B0000}"/>
    <cellStyle name="Comma 2 2 2 9 4 2" xfId="7159" xr:uid="{00000000-0005-0000-0000-0000F41B0000}"/>
    <cellStyle name="Comma 2 2 2 9 4 2 2" xfId="7160" xr:uid="{00000000-0005-0000-0000-0000F51B0000}"/>
    <cellStyle name="Comma 2 2 2 9 4 3" xfId="7161" xr:uid="{00000000-0005-0000-0000-0000F61B0000}"/>
    <cellStyle name="Comma 2 2 2 9 4 4" xfId="7162" xr:uid="{00000000-0005-0000-0000-0000F71B0000}"/>
    <cellStyle name="Comma 2 2 2 9 4 5" xfId="7163" xr:uid="{00000000-0005-0000-0000-0000F81B0000}"/>
    <cellStyle name="Comma 2 2 2 9 5" xfId="7164" xr:uid="{00000000-0005-0000-0000-0000F91B0000}"/>
    <cellStyle name="Comma 2 2 2 9 5 2" xfId="7165" xr:uid="{00000000-0005-0000-0000-0000FA1B0000}"/>
    <cellStyle name="Comma 2 2 2 9 5 3" xfId="7166" xr:uid="{00000000-0005-0000-0000-0000FB1B0000}"/>
    <cellStyle name="Comma 2 2 2 9 5 4" xfId="7167" xr:uid="{00000000-0005-0000-0000-0000FC1B0000}"/>
    <cellStyle name="Comma 2 2 2 9 6" xfId="7168" xr:uid="{00000000-0005-0000-0000-0000FD1B0000}"/>
    <cellStyle name="Comma 2 2 2 9 6 2" xfId="7169" xr:uid="{00000000-0005-0000-0000-0000FE1B0000}"/>
    <cellStyle name="Comma 2 2 2 9 7" xfId="7170" xr:uid="{00000000-0005-0000-0000-0000FF1B0000}"/>
    <cellStyle name="Comma 2 2 2 9 8" xfId="7171" xr:uid="{00000000-0005-0000-0000-0000001C0000}"/>
    <cellStyle name="Comma 2 2 2 9 9" xfId="7172" xr:uid="{00000000-0005-0000-0000-0000011C0000}"/>
    <cellStyle name="Comma 2 2 20" xfId="7173" xr:uid="{00000000-0005-0000-0000-0000021C0000}"/>
    <cellStyle name="Comma 2 2 20 10" xfId="7174" xr:uid="{00000000-0005-0000-0000-0000031C0000}"/>
    <cellStyle name="Comma 2 2 20 2" xfId="7175" xr:uid="{00000000-0005-0000-0000-0000041C0000}"/>
    <cellStyle name="Comma 2 2 20 2 2" xfId="7176" xr:uid="{00000000-0005-0000-0000-0000051C0000}"/>
    <cellStyle name="Comma 2 2 20 2 2 2" xfId="7177" xr:uid="{00000000-0005-0000-0000-0000061C0000}"/>
    <cellStyle name="Comma 2 2 20 2 2 3" xfId="7178" xr:uid="{00000000-0005-0000-0000-0000071C0000}"/>
    <cellStyle name="Comma 2 2 20 2 3" xfId="7179" xr:uid="{00000000-0005-0000-0000-0000081C0000}"/>
    <cellStyle name="Comma 2 2 20 2 4" xfId="7180" xr:uid="{00000000-0005-0000-0000-0000091C0000}"/>
    <cellStyle name="Comma 2 2 20 2 5" xfId="7181" xr:uid="{00000000-0005-0000-0000-00000A1C0000}"/>
    <cellStyle name="Comma 2 2 20 2 6" xfId="7182" xr:uid="{00000000-0005-0000-0000-00000B1C0000}"/>
    <cellStyle name="Comma 2 2 20 3" xfId="7183" xr:uid="{00000000-0005-0000-0000-00000C1C0000}"/>
    <cellStyle name="Comma 2 2 20 3 2" xfId="7184" xr:uid="{00000000-0005-0000-0000-00000D1C0000}"/>
    <cellStyle name="Comma 2 2 20 3 2 2" xfId="7185" xr:uid="{00000000-0005-0000-0000-00000E1C0000}"/>
    <cellStyle name="Comma 2 2 20 3 2 3" xfId="7186" xr:uid="{00000000-0005-0000-0000-00000F1C0000}"/>
    <cellStyle name="Comma 2 2 20 3 3" xfId="7187" xr:uid="{00000000-0005-0000-0000-0000101C0000}"/>
    <cellStyle name="Comma 2 2 20 3 4" xfId="7188" xr:uid="{00000000-0005-0000-0000-0000111C0000}"/>
    <cellStyle name="Comma 2 2 20 3 5" xfId="7189" xr:uid="{00000000-0005-0000-0000-0000121C0000}"/>
    <cellStyle name="Comma 2 2 20 3 6" xfId="7190" xr:uid="{00000000-0005-0000-0000-0000131C0000}"/>
    <cellStyle name="Comma 2 2 20 4" xfId="7191" xr:uid="{00000000-0005-0000-0000-0000141C0000}"/>
    <cellStyle name="Comma 2 2 20 4 2" xfId="7192" xr:uid="{00000000-0005-0000-0000-0000151C0000}"/>
    <cellStyle name="Comma 2 2 20 4 2 2" xfId="7193" xr:uid="{00000000-0005-0000-0000-0000161C0000}"/>
    <cellStyle name="Comma 2 2 20 4 3" xfId="7194" xr:uid="{00000000-0005-0000-0000-0000171C0000}"/>
    <cellStyle name="Comma 2 2 20 4 4" xfId="7195" xr:uid="{00000000-0005-0000-0000-0000181C0000}"/>
    <cellStyle name="Comma 2 2 20 4 5" xfId="7196" xr:uid="{00000000-0005-0000-0000-0000191C0000}"/>
    <cellStyle name="Comma 2 2 20 5" xfId="7197" xr:uid="{00000000-0005-0000-0000-00001A1C0000}"/>
    <cellStyle name="Comma 2 2 20 5 2" xfId="7198" xr:uid="{00000000-0005-0000-0000-00001B1C0000}"/>
    <cellStyle name="Comma 2 2 20 5 3" xfId="7199" xr:uid="{00000000-0005-0000-0000-00001C1C0000}"/>
    <cellStyle name="Comma 2 2 20 5 4" xfId="7200" xr:uid="{00000000-0005-0000-0000-00001D1C0000}"/>
    <cellStyle name="Comma 2 2 20 6" xfId="7201" xr:uid="{00000000-0005-0000-0000-00001E1C0000}"/>
    <cellStyle name="Comma 2 2 20 6 2" xfId="7202" xr:uid="{00000000-0005-0000-0000-00001F1C0000}"/>
    <cellStyle name="Comma 2 2 20 7" xfId="7203" xr:uid="{00000000-0005-0000-0000-0000201C0000}"/>
    <cellStyle name="Comma 2 2 20 8" xfId="7204" xr:uid="{00000000-0005-0000-0000-0000211C0000}"/>
    <cellStyle name="Comma 2 2 20 9" xfId="7205" xr:uid="{00000000-0005-0000-0000-0000221C0000}"/>
    <cellStyle name="Comma 2 2 21" xfId="7206" xr:uid="{00000000-0005-0000-0000-0000231C0000}"/>
    <cellStyle name="Comma 2 2 21 10" xfId="7207" xr:uid="{00000000-0005-0000-0000-0000241C0000}"/>
    <cellStyle name="Comma 2 2 21 2" xfId="7208" xr:uid="{00000000-0005-0000-0000-0000251C0000}"/>
    <cellStyle name="Comma 2 2 21 2 2" xfId="7209" xr:uid="{00000000-0005-0000-0000-0000261C0000}"/>
    <cellStyle name="Comma 2 2 21 2 2 2" xfId="7210" xr:uid="{00000000-0005-0000-0000-0000271C0000}"/>
    <cellStyle name="Comma 2 2 21 2 2 3" xfId="7211" xr:uid="{00000000-0005-0000-0000-0000281C0000}"/>
    <cellStyle name="Comma 2 2 21 2 3" xfId="7212" xr:uid="{00000000-0005-0000-0000-0000291C0000}"/>
    <cellStyle name="Comma 2 2 21 2 4" xfId="7213" xr:uid="{00000000-0005-0000-0000-00002A1C0000}"/>
    <cellStyle name="Comma 2 2 21 2 5" xfId="7214" xr:uid="{00000000-0005-0000-0000-00002B1C0000}"/>
    <cellStyle name="Comma 2 2 21 2 6" xfId="7215" xr:uid="{00000000-0005-0000-0000-00002C1C0000}"/>
    <cellStyle name="Comma 2 2 21 3" xfId="7216" xr:uid="{00000000-0005-0000-0000-00002D1C0000}"/>
    <cellStyle name="Comma 2 2 21 3 2" xfId="7217" xr:uid="{00000000-0005-0000-0000-00002E1C0000}"/>
    <cellStyle name="Comma 2 2 21 3 2 2" xfId="7218" xr:uid="{00000000-0005-0000-0000-00002F1C0000}"/>
    <cellStyle name="Comma 2 2 21 3 2 3" xfId="7219" xr:uid="{00000000-0005-0000-0000-0000301C0000}"/>
    <cellStyle name="Comma 2 2 21 3 3" xfId="7220" xr:uid="{00000000-0005-0000-0000-0000311C0000}"/>
    <cellStyle name="Comma 2 2 21 3 4" xfId="7221" xr:uid="{00000000-0005-0000-0000-0000321C0000}"/>
    <cellStyle name="Comma 2 2 21 3 5" xfId="7222" xr:uid="{00000000-0005-0000-0000-0000331C0000}"/>
    <cellStyle name="Comma 2 2 21 3 6" xfId="7223" xr:uid="{00000000-0005-0000-0000-0000341C0000}"/>
    <cellStyle name="Comma 2 2 21 4" xfId="7224" xr:uid="{00000000-0005-0000-0000-0000351C0000}"/>
    <cellStyle name="Comma 2 2 21 4 2" xfId="7225" xr:uid="{00000000-0005-0000-0000-0000361C0000}"/>
    <cellStyle name="Comma 2 2 21 4 2 2" xfId="7226" xr:uid="{00000000-0005-0000-0000-0000371C0000}"/>
    <cellStyle name="Comma 2 2 21 4 3" xfId="7227" xr:uid="{00000000-0005-0000-0000-0000381C0000}"/>
    <cellStyle name="Comma 2 2 21 4 4" xfId="7228" xr:uid="{00000000-0005-0000-0000-0000391C0000}"/>
    <cellStyle name="Comma 2 2 21 4 5" xfId="7229" xr:uid="{00000000-0005-0000-0000-00003A1C0000}"/>
    <cellStyle name="Comma 2 2 21 5" xfId="7230" xr:uid="{00000000-0005-0000-0000-00003B1C0000}"/>
    <cellStyle name="Comma 2 2 21 5 2" xfId="7231" xr:uid="{00000000-0005-0000-0000-00003C1C0000}"/>
    <cellStyle name="Comma 2 2 21 5 3" xfId="7232" xr:uid="{00000000-0005-0000-0000-00003D1C0000}"/>
    <cellStyle name="Comma 2 2 21 5 4" xfId="7233" xr:uid="{00000000-0005-0000-0000-00003E1C0000}"/>
    <cellStyle name="Comma 2 2 21 6" xfId="7234" xr:uid="{00000000-0005-0000-0000-00003F1C0000}"/>
    <cellStyle name="Comma 2 2 21 6 2" xfId="7235" xr:uid="{00000000-0005-0000-0000-0000401C0000}"/>
    <cellStyle name="Comma 2 2 21 7" xfId="7236" xr:uid="{00000000-0005-0000-0000-0000411C0000}"/>
    <cellStyle name="Comma 2 2 21 8" xfId="7237" xr:uid="{00000000-0005-0000-0000-0000421C0000}"/>
    <cellStyle name="Comma 2 2 21 9" xfId="7238" xr:uid="{00000000-0005-0000-0000-0000431C0000}"/>
    <cellStyle name="Comma 2 2 22" xfId="7239" xr:uid="{00000000-0005-0000-0000-0000441C0000}"/>
    <cellStyle name="Comma 2 2 22 10" xfId="7240" xr:uid="{00000000-0005-0000-0000-0000451C0000}"/>
    <cellStyle name="Comma 2 2 22 2" xfId="7241" xr:uid="{00000000-0005-0000-0000-0000461C0000}"/>
    <cellStyle name="Comma 2 2 22 2 2" xfId="7242" xr:uid="{00000000-0005-0000-0000-0000471C0000}"/>
    <cellStyle name="Comma 2 2 22 2 2 2" xfId="7243" xr:uid="{00000000-0005-0000-0000-0000481C0000}"/>
    <cellStyle name="Comma 2 2 22 2 2 3" xfId="7244" xr:uid="{00000000-0005-0000-0000-0000491C0000}"/>
    <cellStyle name="Comma 2 2 22 2 3" xfId="7245" xr:uid="{00000000-0005-0000-0000-00004A1C0000}"/>
    <cellStyle name="Comma 2 2 22 2 4" xfId="7246" xr:uid="{00000000-0005-0000-0000-00004B1C0000}"/>
    <cellStyle name="Comma 2 2 22 2 5" xfId="7247" xr:uid="{00000000-0005-0000-0000-00004C1C0000}"/>
    <cellStyle name="Comma 2 2 22 2 6" xfId="7248" xr:uid="{00000000-0005-0000-0000-00004D1C0000}"/>
    <cellStyle name="Comma 2 2 22 3" xfId="7249" xr:uid="{00000000-0005-0000-0000-00004E1C0000}"/>
    <cellStyle name="Comma 2 2 22 3 2" xfId="7250" xr:uid="{00000000-0005-0000-0000-00004F1C0000}"/>
    <cellStyle name="Comma 2 2 22 3 2 2" xfId="7251" xr:uid="{00000000-0005-0000-0000-0000501C0000}"/>
    <cellStyle name="Comma 2 2 22 3 2 3" xfId="7252" xr:uid="{00000000-0005-0000-0000-0000511C0000}"/>
    <cellStyle name="Comma 2 2 22 3 3" xfId="7253" xr:uid="{00000000-0005-0000-0000-0000521C0000}"/>
    <cellStyle name="Comma 2 2 22 3 4" xfId="7254" xr:uid="{00000000-0005-0000-0000-0000531C0000}"/>
    <cellStyle name="Comma 2 2 22 3 5" xfId="7255" xr:uid="{00000000-0005-0000-0000-0000541C0000}"/>
    <cellStyle name="Comma 2 2 22 3 6" xfId="7256" xr:uid="{00000000-0005-0000-0000-0000551C0000}"/>
    <cellStyle name="Comma 2 2 22 4" xfId="7257" xr:uid="{00000000-0005-0000-0000-0000561C0000}"/>
    <cellStyle name="Comma 2 2 22 4 2" xfId="7258" xr:uid="{00000000-0005-0000-0000-0000571C0000}"/>
    <cellStyle name="Comma 2 2 22 4 2 2" xfId="7259" xr:uid="{00000000-0005-0000-0000-0000581C0000}"/>
    <cellStyle name="Comma 2 2 22 4 3" xfId="7260" xr:uid="{00000000-0005-0000-0000-0000591C0000}"/>
    <cellStyle name="Comma 2 2 22 4 4" xfId="7261" xr:uid="{00000000-0005-0000-0000-00005A1C0000}"/>
    <cellStyle name="Comma 2 2 22 4 5" xfId="7262" xr:uid="{00000000-0005-0000-0000-00005B1C0000}"/>
    <cellStyle name="Comma 2 2 22 5" xfId="7263" xr:uid="{00000000-0005-0000-0000-00005C1C0000}"/>
    <cellStyle name="Comma 2 2 22 5 2" xfId="7264" xr:uid="{00000000-0005-0000-0000-00005D1C0000}"/>
    <cellStyle name="Comma 2 2 22 5 3" xfId="7265" xr:uid="{00000000-0005-0000-0000-00005E1C0000}"/>
    <cellStyle name="Comma 2 2 22 5 4" xfId="7266" xr:uid="{00000000-0005-0000-0000-00005F1C0000}"/>
    <cellStyle name="Comma 2 2 22 6" xfId="7267" xr:uid="{00000000-0005-0000-0000-0000601C0000}"/>
    <cellStyle name="Comma 2 2 22 6 2" xfId="7268" xr:uid="{00000000-0005-0000-0000-0000611C0000}"/>
    <cellStyle name="Comma 2 2 22 7" xfId="7269" xr:uid="{00000000-0005-0000-0000-0000621C0000}"/>
    <cellStyle name="Comma 2 2 22 8" xfId="7270" xr:uid="{00000000-0005-0000-0000-0000631C0000}"/>
    <cellStyle name="Comma 2 2 22 9" xfId="7271" xr:uid="{00000000-0005-0000-0000-0000641C0000}"/>
    <cellStyle name="Comma 2 2 23" xfId="7272" xr:uid="{00000000-0005-0000-0000-0000651C0000}"/>
    <cellStyle name="Comma 2 2 23 10" xfId="7273" xr:uid="{00000000-0005-0000-0000-0000661C0000}"/>
    <cellStyle name="Comma 2 2 23 2" xfId="7274" xr:uid="{00000000-0005-0000-0000-0000671C0000}"/>
    <cellStyle name="Comma 2 2 23 2 2" xfId="7275" xr:uid="{00000000-0005-0000-0000-0000681C0000}"/>
    <cellStyle name="Comma 2 2 23 2 2 2" xfId="7276" xr:uid="{00000000-0005-0000-0000-0000691C0000}"/>
    <cellStyle name="Comma 2 2 23 2 2 3" xfId="7277" xr:uid="{00000000-0005-0000-0000-00006A1C0000}"/>
    <cellStyle name="Comma 2 2 23 2 3" xfId="7278" xr:uid="{00000000-0005-0000-0000-00006B1C0000}"/>
    <cellStyle name="Comma 2 2 23 2 4" xfId="7279" xr:uid="{00000000-0005-0000-0000-00006C1C0000}"/>
    <cellStyle name="Comma 2 2 23 2 5" xfId="7280" xr:uid="{00000000-0005-0000-0000-00006D1C0000}"/>
    <cellStyle name="Comma 2 2 23 2 6" xfId="7281" xr:uid="{00000000-0005-0000-0000-00006E1C0000}"/>
    <cellStyle name="Comma 2 2 23 3" xfId="7282" xr:uid="{00000000-0005-0000-0000-00006F1C0000}"/>
    <cellStyle name="Comma 2 2 23 3 2" xfId="7283" xr:uid="{00000000-0005-0000-0000-0000701C0000}"/>
    <cellStyle name="Comma 2 2 23 3 2 2" xfId="7284" xr:uid="{00000000-0005-0000-0000-0000711C0000}"/>
    <cellStyle name="Comma 2 2 23 3 2 3" xfId="7285" xr:uid="{00000000-0005-0000-0000-0000721C0000}"/>
    <cellStyle name="Comma 2 2 23 3 3" xfId="7286" xr:uid="{00000000-0005-0000-0000-0000731C0000}"/>
    <cellStyle name="Comma 2 2 23 3 4" xfId="7287" xr:uid="{00000000-0005-0000-0000-0000741C0000}"/>
    <cellStyle name="Comma 2 2 23 3 5" xfId="7288" xr:uid="{00000000-0005-0000-0000-0000751C0000}"/>
    <cellStyle name="Comma 2 2 23 3 6" xfId="7289" xr:uid="{00000000-0005-0000-0000-0000761C0000}"/>
    <cellStyle name="Comma 2 2 23 4" xfId="7290" xr:uid="{00000000-0005-0000-0000-0000771C0000}"/>
    <cellStyle name="Comma 2 2 23 4 2" xfId="7291" xr:uid="{00000000-0005-0000-0000-0000781C0000}"/>
    <cellStyle name="Comma 2 2 23 4 2 2" xfId="7292" xr:uid="{00000000-0005-0000-0000-0000791C0000}"/>
    <cellStyle name="Comma 2 2 23 4 3" xfId="7293" xr:uid="{00000000-0005-0000-0000-00007A1C0000}"/>
    <cellStyle name="Comma 2 2 23 4 4" xfId="7294" xr:uid="{00000000-0005-0000-0000-00007B1C0000}"/>
    <cellStyle name="Comma 2 2 23 4 5" xfId="7295" xr:uid="{00000000-0005-0000-0000-00007C1C0000}"/>
    <cellStyle name="Comma 2 2 23 5" xfId="7296" xr:uid="{00000000-0005-0000-0000-00007D1C0000}"/>
    <cellStyle name="Comma 2 2 23 5 2" xfId="7297" xr:uid="{00000000-0005-0000-0000-00007E1C0000}"/>
    <cellStyle name="Comma 2 2 23 5 3" xfId="7298" xr:uid="{00000000-0005-0000-0000-00007F1C0000}"/>
    <cellStyle name="Comma 2 2 23 5 4" xfId="7299" xr:uid="{00000000-0005-0000-0000-0000801C0000}"/>
    <cellStyle name="Comma 2 2 23 6" xfId="7300" xr:uid="{00000000-0005-0000-0000-0000811C0000}"/>
    <cellStyle name="Comma 2 2 23 6 2" xfId="7301" xr:uid="{00000000-0005-0000-0000-0000821C0000}"/>
    <cellStyle name="Comma 2 2 23 7" xfId="7302" xr:uid="{00000000-0005-0000-0000-0000831C0000}"/>
    <cellStyle name="Comma 2 2 23 8" xfId="7303" xr:uid="{00000000-0005-0000-0000-0000841C0000}"/>
    <cellStyle name="Comma 2 2 23 9" xfId="7304" xr:uid="{00000000-0005-0000-0000-0000851C0000}"/>
    <cellStyle name="Comma 2 2 24" xfId="7305" xr:uid="{00000000-0005-0000-0000-0000861C0000}"/>
    <cellStyle name="Comma 2 2 24 10" xfId="7306" xr:uid="{00000000-0005-0000-0000-0000871C0000}"/>
    <cellStyle name="Comma 2 2 24 2" xfId="7307" xr:uid="{00000000-0005-0000-0000-0000881C0000}"/>
    <cellStyle name="Comma 2 2 24 2 2" xfId="7308" xr:uid="{00000000-0005-0000-0000-0000891C0000}"/>
    <cellStyle name="Comma 2 2 24 2 2 2" xfId="7309" xr:uid="{00000000-0005-0000-0000-00008A1C0000}"/>
    <cellStyle name="Comma 2 2 24 2 2 3" xfId="7310" xr:uid="{00000000-0005-0000-0000-00008B1C0000}"/>
    <cellStyle name="Comma 2 2 24 2 3" xfId="7311" xr:uid="{00000000-0005-0000-0000-00008C1C0000}"/>
    <cellStyle name="Comma 2 2 24 2 4" xfId="7312" xr:uid="{00000000-0005-0000-0000-00008D1C0000}"/>
    <cellStyle name="Comma 2 2 24 2 5" xfId="7313" xr:uid="{00000000-0005-0000-0000-00008E1C0000}"/>
    <cellStyle name="Comma 2 2 24 2 6" xfId="7314" xr:uid="{00000000-0005-0000-0000-00008F1C0000}"/>
    <cellStyle name="Comma 2 2 24 3" xfId="7315" xr:uid="{00000000-0005-0000-0000-0000901C0000}"/>
    <cellStyle name="Comma 2 2 24 3 2" xfId="7316" xr:uid="{00000000-0005-0000-0000-0000911C0000}"/>
    <cellStyle name="Comma 2 2 24 3 2 2" xfId="7317" xr:uid="{00000000-0005-0000-0000-0000921C0000}"/>
    <cellStyle name="Comma 2 2 24 3 2 3" xfId="7318" xr:uid="{00000000-0005-0000-0000-0000931C0000}"/>
    <cellStyle name="Comma 2 2 24 3 3" xfId="7319" xr:uid="{00000000-0005-0000-0000-0000941C0000}"/>
    <cellStyle name="Comma 2 2 24 3 4" xfId="7320" xr:uid="{00000000-0005-0000-0000-0000951C0000}"/>
    <cellStyle name="Comma 2 2 24 3 5" xfId="7321" xr:uid="{00000000-0005-0000-0000-0000961C0000}"/>
    <cellStyle name="Comma 2 2 24 3 6" xfId="7322" xr:uid="{00000000-0005-0000-0000-0000971C0000}"/>
    <cellStyle name="Comma 2 2 24 4" xfId="7323" xr:uid="{00000000-0005-0000-0000-0000981C0000}"/>
    <cellStyle name="Comma 2 2 24 4 2" xfId="7324" xr:uid="{00000000-0005-0000-0000-0000991C0000}"/>
    <cellStyle name="Comma 2 2 24 4 2 2" xfId="7325" xr:uid="{00000000-0005-0000-0000-00009A1C0000}"/>
    <cellStyle name="Comma 2 2 24 4 3" xfId="7326" xr:uid="{00000000-0005-0000-0000-00009B1C0000}"/>
    <cellStyle name="Comma 2 2 24 4 4" xfId="7327" xr:uid="{00000000-0005-0000-0000-00009C1C0000}"/>
    <cellStyle name="Comma 2 2 24 4 5" xfId="7328" xr:uid="{00000000-0005-0000-0000-00009D1C0000}"/>
    <cellStyle name="Comma 2 2 24 5" xfId="7329" xr:uid="{00000000-0005-0000-0000-00009E1C0000}"/>
    <cellStyle name="Comma 2 2 24 5 2" xfId="7330" xr:uid="{00000000-0005-0000-0000-00009F1C0000}"/>
    <cellStyle name="Comma 2 2 24 5 3" xfId="7331" xr:uid="{00000000-0005-0000-0000-0000A01C0000}"/>
    <cellStyle name="Comma 2 2 24 5 4" xfId="7332" xr:uid="{00000000-0005-0000-0000-0000A11C0000}"/>
    <cellStyle name="Comma 2 2 24 6" xfId="7333" xr:uid="{00000000-0005-0000-0000-0000A21C0000}"/>
    <cellStyle name="Comma 2 2 24 6 2" xfId="7334" xr:uid="{00000000-0005-0000-0000-0000A31C0000}"/>
    <cellStyle name="Comma 2 2 24 7" xfId="7335" xr:uid="{00000000-0005-0000-0000-0000A41C0000}"/>
    <cellStyle name="Comma 2 2 24 8" xfId="7336" xr:uid="{00000000-0005-0000-0000-0000A51C0000}"/>
    <cellStyle name="Comma 2 2 24 9" xfId="7337" xr:uid="{00000000-0005-0000-0000-0000A61C0000}"/>
    <cellStyle name="Comma 2 2 25" xfId="7338" xr:uid="{00000000-0005-0000-0000-0000A71C0000}"/>
    <cellStyle name="Comma 2 2 25 10" xfId="7339" xr:uid="{00000000-0005-0000-0000-0000A81C0000}"/>
    <cellStyle name="Comma 2 2 25 2" xfId="7340" xr:uid="{00000000-0005-0000-0000-0000A91C0000}"/>
    <cellStyle name="Comma 2 2 25 2 2" xfId="7341" xr:uid="{00000000-0005-0000-0000-0000AA1C0000}"/>
    <cellStyle name="Comma 2 2 25 2 2 2" xfId="7342" xr:uid="{00000000-0005-0000-0000-0000AB1C0000}"/>
    <cellStyle name="Comma 2 2 25 2 2 3" xfId="7343" xr:uid="{00000000-0005-0000-0000-0000AC1C0000}"/>
    <cellStyle name="Comma 2 2 25 2 3" xfId="7344" xr:uid="{00000000-0005-0000-0000-0000AD1C0000}"/>
    <cellStyle name="Comma 2 2 25 2 4" xfId="7345" xr:uid="{00000000-0005-0000-0000-0000AE1C0000}"/>
    <cellStyle name="Comma 2 2 25 2 5" xfId="7346" xr:uid="{00000000-0005-0000-0000-0000AF1C0000}"/>
    <cellStyle name="Comma 2 2 25 2 6" xfId="7347" xr:uid="{00000000-0005-0000-0000-0000B01C0000}"/>
    <cellStyle name="Comma 2 2 25 3" xfId="7348" xr:uid="{00000000-0005-0000-0000-0000B11C0000}"/>
    <cellStyle name="Comma 2 2 25 3 2" xfId="7349" xr:uid="{00000000-0005-0000-0000-0000B21C0000}"/>
    <cellStyle name="Comma 2 2 25 3 2 2" xfId="7350" xr:uid="{00000000-0005-0000-0000-0000B31C0000}"/>
    <cellStyle name="Comma 2 2 25 3 2 3" xfId="7351" xr:uid="{00000000-0005-0000-0000-0000B41C0000}"/>
    <cellStyle name="Comma 2 2 25 3 3" xfId="7352" xr:uid="{00000000-0005-0000-0000-0000B51C0000}"/>
    <cellStyle name="Comma 2 2 25 3 4" xfId="7353" xr:uid="{00000000-0005-0000-0000-0000B61C0000}"/>
    <cellStyle name="Comma 2 2 25 3 5" xfId="7354" xr:uid="{00000000-0005-0000-0000-0000B71C0000}"/>
    <cellStyle name="Comma 2 2 25 3 6" xfId="7355" xr:uid="{00000000-0005-0000-0000-0000B81C0000}"/>
    <cellStyle name="Comma 2 2 25 4" xfId="7356" xr:uid="{00000000-0005-0000-0000-0000B91C0000}"/>
    <cellStyle name="Comma 2 2 25 4 2" xfId="7357" xr:uid="{00000000-0005-0000-0000-0000BA1C0000}"/>
    <cellStyle name="Comma 2 2 25 4 2 2" xfId="7358" xr:uid="{00000000-0005-0000-0000-0000BB1C0000}"/>
    <cellStyle name="Comma 2 2 25 4 3" xfId="7359" xr:uid="{00000000-0005-0000-0000-0000BC1C0000}"/>
    <cellStyle name="Comma 2 2 25 4 4" xfId="7360" xr:uid="{00000000-0005-0000-0000-0000BD1C0000}"/>
    <cellStyle name="Comma 2 2 25 4 5" xfId="7361" xr:uid="{00000000-0005-0000-0000-0000BE1C0000}"/>
    <cellStyle name="Comma 2 2 25 5" xfId="7362" xr:uid="{00000000-0005-0000-0000-0000BF1C0000}"/>
    <cellStyle name="Comma 2 2 25 5 2" xfId="7363" xr:uid="{00000000-0005-0000-0000-0000C01C0000}"/>
    <cellStyle name="Comma 2 2 25 5 3" xfId="7364" xr:uid="{00000000-0005-0000-0000-0000C11C0000}"/>
    <cellStyle name="Comma 2 2 25 5 4" xfId="7365" xr:uid="{00000000-0005-0000-0000-0000C21C0000}"/>
    <cellStyle name="Comma 2 2 25 6" xfId="7366" xr:uid="{00000000-0005-0000-0000-0000C31C0000}"/>
    <cellStyle name="Comma 2 2 25 6 2" xfId="7367" xr:uid="{00000000-0005-0000-0000-0000C41C0000}"/>
    <cellStyle name="Comma 2 2 25 7" xfId="7368" xr:uid="{00000000-0005-0000-0000-0000C51C0000}"/>
    <cellStyle name="Comma 2 2 25 8" xfId="7369" xr:uid="{00000000-0005-0000-0000-0000C61C0000}"/>
    <cellStyle name="Comma 2 2 25 9" xfId="7370" xr:uid="{00000000-0005-0000-0000-0000C71C0000}"/>
    <cellStyle name="Comma 2 2 26" xfId="7371" xr:uid="{00000000-0005-0000-0000-0000C81C0000}"/>
    <cellStyle name="Comma 2 2 26 10" xfId="7372" xr:uid="{00000000-0005-0000-0000-0000C91C0000}"/>
    <cellStyle name="Comma 2 2 26 2" xfId="7373" xr:uid="{00000000-0005-0000-0000-0000CA1C0000}"/>
    <cellStyle name="Comma 2 2 26 2 2" xfId="7374" xr:uid="{00000000-0005-0000-0000-0000CB1C0000}"/>
    <cellStyle name="Comma 2 2 26 2 2 2" xfId="7375" xr:uid="{00000000-0005-0000-0000-0000CC1C0000}"/>
    <cellStyle name="Comma 2 2 26 2 2 3" xfId="7376" xr:uid="{00000000-0005-0000-0000-0000CD1C0000}"/>
    <cellStyle name="Comma 2 2 26 2 3" xfId="7377" xr:uid="{00000000-0005-0000-0000-0000CE1C0000}"/>
    <cellStyle name="Comma 2 2 26 2 4" xfId="7378" xr:uid="{00000000-0005-0000-0000-0000CF1C0000}"/>
    <cellStyle name="Comma 2 2 26 2 5" xfId="7379" xr:uid="{00000000-0005-0000-0000-0000D01C0000}"/>
    <cellStyle name="Comma 2 2 26 2 6" xfId="7380" xr:uid="{00000000-0005-0000-0000-0000D11C0000}"/>
    <cellStyle name="Comma 2 2 26 3" xfId="7381" xr:uid="{00000000-0005-0000-0000-0000D21C0000}"/>
    <cellStyle name="Comma 2 2 26 3 2" xfId="7382" xr:uid="{00000000-0005-0000-0000-0000D31C0000}"/>
    <cellStyle name="Comma 2 2 26 3 2 2" xfId="7383" xr:uid="{00000000-0005-0000-0000-0000D41C0000}"/>
    <cellStyle name="Comma 2 2 26 3 2 3" xfId="7384" xr:uid="{00000000-0005-0000-0000-0000D51C0000}"/>
    <cellStyle name="Comma 2 2 26 3 3" xfId="7385" xr:uid="{00000000-0005-0000-0000-0000D61C0000}"/>
    <cellStyle name="Comma 2 2 26 3 4" xfId="7386" xr:uid="{00000000-0005-0000-0000-0000D71C0000}"/>
    <cellStyle name="Comma 2 2 26 3 5" xfId="7387" xr:uid="{00000000-0005-0000-0000-0000D81C0000}"/>
    <cellStyle name="Comma 2 2 26 3 6" xfId="7388" xr:uid="{00000000-0005-0000-0000-0000D91C0000}"/>
    <cellStyle name="Comma 2 2 26 4" xfId="7389" xr:uid="{00000000-0005-0000-0000-0000DA1C0000}"/>
    <cellStyle name="Comma 2 2 26 4 2" xfId="7390" xr:uid="{00000000-0005-0000-0000-0000DB1C0000}"/>
    <cellStyle name="Comma 2 2 26 4 2 2" xfId="7391" xr:uid="{00000000-0005-0000-0000-0000DC1C0000}"/>
    <cellStyle name="Comma 2 2 26 4 3" xfId="7392" xr:uid="{00000000-0005-0000-0000-0000DD1C0000}"/>
    <cellStyle name="Comma 2 2 26 4 4" xfId="7393" xr:uid="{00000000-0005-0000-0000-0000DE1C0000}"/>
    <cellStyle name="Comma 2 2 26 4 5" xfId="7394" xr:uid="{00000000-0005-0000-0000-0000DF1C0000}"/>
    <cellStyle name="Comma 2 2 26 5" xfId="7395" xr:uid="{00000000-0005-0000-0000-0000E01C0000}"/>
    <cellStyle name="Comma 2 2 26 5 2" xfId="7396" xr:uid="{00000000-0005-0000-0000-0000E11C0000}"/>
    <cellStyle name="Comma 2 2 26 5 3" xfId="7397" xr:uid="{00000000-0005-0000-0000-0000E21C0000}"/>
    <cellStyle name="Comma 2 2 26 5 4" xfId="7398" xr:uid="{00000000-0005-0000-0000-0000E31C0000}"/>
    <cellStyle name="Comma 2 2 26 6" xfId="7399" xr:uid="{00000000-0005-0000-0000-0000E41C0000}"/>
    <cellStyle name="Comma 2 2 26 6 2" xfId="7400" xr:uid="{00000000-0005-0000-0000-0000E51C0000}"/>
    <cellStyle name="Comma 2 2 26 7" xfId="7401" xr:uid="{00000000-0005-0000-0000-0000E61C0000}"/>
    <cellStyle name="Comma 2 2 26 8" xfId="7402" xr:uid="{00000000-0005-0000-0000-0000E71C0000}"/>
    <cellStyle name="Comma 2 2 26 9" xfId="7403" xr:uid="{00000000-0005-0000-0000-0000E81C0000}"/>
    <cellStyle name="Comma 2 2 27" xfId="7404" xr:uid="{00000000-0005-0000-0000-0000E91C0000}"/>
    <cellStyle name="Comma 2 2 27 10" xfId="7405" xr:uid="{00000000-0005-0000-0000-0000EA1C0000}"/>
    <cellStyle name="Comma 2 2 27 2" xfId="7406" xr:uid="{00000000-0005-0000-0000-0000EB1C0000}"/>
    <cellStyle name="Comma 2 2 27 2 2" xfId="7407" xr:uid="{00000000-0005-0000-0000-0000EC1C0000}"/>
    <cellStyle name="Comma 2 2 27 2 2 2" xfId="7408" xr:uid="{00000000-0005-0000-0000-0000ED1C0000}"/>
    <cellStyle name="Comma 2 2 27 2 2 3" xfId="7409" xr:uid="{00000000-0005-0000-0000-0000EE1C0000}"/>
    <cellStyle name="Comma 2 2 27 2 3" xfId="7410" xr:uid="{00000000-0005-0000-0000-0000EF1C0000}"/>
    <cellStyle name="Comma 2 2 27 2 4" xfId="7411" xr:uid="{00000000-0005-0000-0000-0000F01C0000}"/>
    <cellStyle name="Comma 2 2 27 2 5" xfId="7412" xr:uid="{00000000-0005-0000-0000-0000F11C0000}"/>
    <cellStyle name="Comma 2 2 27 2 6" xfId="7413" xr:uid="{00000000-0005-0000-0000-0000F21C0000}"/>
    <cellStyle name="Comma 2 2 27 3" xfId="7414" xr:uid="{00000000-0005-0000-0000-0000F31C0000}"/>
    <cellStyle name="Comma 2 2 27 3 2" xfId="7415" xr:uid="{00000000-0005-0000-0000-0000F41C0000}"/>
    <cellStyle name="Comma 2 2 27 3 2 2" xfId="7416" xr:uid="{00000000-0005-0000-0000-0000F51C0000}"/>
    <cellStyle name="Comma 2 2 27 3 2 3" xfId="7417" xr:uid="{00000000-0005-0000-0000-0000F61C0000}"/>
    <cellStyle name="Comma 2 2 27 3 3" xfId="7418" xr:uid="{00000000-0005-0000-0000-0000F71C0000}"/>
    <cellStyle name="Comma 2 2 27 3 4" xfId="7419" xr:uid="{00000000-0005-0000-0000-0000F81C0000}"/>
    <cellStyle name="Comma 2 2 27 3 5" xfId="7420" xr:uid="{00000000-0005-0000-0000-0000F91C0000}"/>
    <cellStyle name="Comma 2 2 27 3 6" xfId="7421" xr:uid="{00000000-0005-0000-0000-0000FA1C0000}"/>
    <cellStyle name="Comma 2 2 27 4" xfId="7422" xr:uid="{00000000-0005-0000-0000-0000FB1C0000}"/>
    <cellStyle name="Comma 2 2 27 4 2" xfId="7423" xr:uid="{00000000-0005-0000-0000-0000FC1C0000}"/>
    <cellStyle name="Comma 2 2 27 4 2 2" xfId="7424" xr:uid="{00000000-0005-0000-0000-0000FD1C0000}"/>
    <cellStyle name="Comma 2 2 27 4 3" xfId="7425" xr:uid="{00000000-0005-0000-0000-0000FE1C0000}"/>
    <cellStyle name="Comma 2 2 27 4 4" xfId="7426" xr:uid="{00000000-0005-0000-0000-0000FF1C0000}"/>
    <cellStyle name="Comma 2 2 27 4 5" xfId="7427" xr:uid="{00000000-0005-0000-0000-0000001D0000}"/>
    <cellStyle name="Comma 2 2 27 5" xfId="7428" xr:uid="{00000000-0005-0000-0000-0000011D0000}"/>
    <cellStyle name="Comma 2 2 27 5 2" xfId="7429" xr:uid="{00000000-0005-0000-0000-0000021D0000}"/>
    <cellStyle name="Comma 2 2 27 5 3" xfId="7430" xr:uid="{00000000-0005-0000-0000-0000031D0000}"/>
    <cellStyle name="Comma 2 2 27 5 4" xfId="7431" xr:uid="{00000000-0005-0000-0000-0000041D0000}"/>
    <cellStyle name="Comma 2 2 27 6" xfId="7432" xr:uid="{00000000-0005-0000-0000-0000051D0000}"/>
    <cellStyle name="Comma 2 2 27 6 2" xfId="7433" xr:uid="{00000000-0005-0000-0000-0000061D0000}"/>
    <cellStyle name="Comma 2 2 27 7" xfId="7434" xr:uid="{00000000-0005-0000-0000-0000071D0000}"/>
    <cellStyle name="Comma 2 2 27 8" xfId="7435" xr:uid="{00000000-0005-0000-0000-0000081D0000}"/>
    <cellStyle name="Comma 2 2 27 9" xfId="7436" xr:uid="{00000000-0005-0000-0000-0000091D0000}"/>
    <cellStyle name="Comma 2 2 28" xfId="7437" xr:uid="{00000000-0005-0000-0000-00000A1D0000}"/>
    <cellStyle name="Comma 2 2 28 10" xfId="7438" xr:uid="{00000000-0005-0000-0000-00000B1D0000}"/>
    <cellStyle name="Comma 2 2 28 2" xfId="7439" xr:uid="{00000000-0005-0000-0000-00000C1D0000}"/>
    <cellStyle name="Comma 2 2 28 2 2" xfId="7440" xr:uid="{00000000-0005-0000-0000-00000D1D0000}"/>
    <cellStyle name="Comma 2 2 28 2 2 2" xfId="7441" xr:uid="{00000000-0005-0000-0000-00000E1D0000}"/>
    <cellStyle name="Comma 2 2 28 2 2 3" xfId="7442" xr:uid="{00000000-0005-0000-0000-00000F1D0000}"/>
    <cellStyle name="Comma 2 2 28 2 3" xfId="7443" xr:uid="{00000000-0005-0000-0000-0000101D0000}"/>
    <cellStyle name="Comma 2 2 28 2 4" xfId="7444" xr:uid="{00000000-0005-0000-0000-0000111D0000}"/>
    <cellStyle name="Comma 2 2 28 2 5" xfId="7445" xr:uid="{00000000-0005-0000-0000-0000121D0000}"/>
    <cellStyle name="Comma 2 2 28 2 6" xfId="7446" xr:uid="{00000000-0005-0000-0000-0000131D0000}"/>
    <cellStyle name="Comma 2 2 28 3" xfId="7447" xr:uid="{00000000-0005-0000-0000-0000141D0000}"/>
    <cellStyle name="Comma 2 2 28 3 2" xfId="7448" xr:uid="{00000000-0005-0000-0000-0000151D0000}"/>
    <cellStyle name="Comma 2 2 28 3 2 2" xfId="7449" xr:uid="{00000000-0005-0000-0000-0000161D0000}"/>
    <cellStyle name="Comma 2 2 28 3 2 3" xfId="7450" xr:uid="{00000000-0005-0000-0000-0000171D0000}"/>
    <cellStyle name="Comma 2 2 28 3 3" xfId="7451" xr:uid="{00000000-0005-0000-0000-0000181D0000}"/>
    <cellStyle name="Comma 2 2 28 3 4" xfId="7452" xr:uid="{00000000-0005-0000-0000-0000191D0000}"/>
    <cellStyle name="Comma 2 2 28 3 5" xfId="7453" xr:uid="{00000000-0005-0000-0000-00001A1D0000}"/>
    <cellStyle name="Comma 2 2 28 3 6" xfId="7454" xr:uid="{00000000-0005-0000-0000-00001B1D0000}"/>
    <cellStyle name="Comma 2 2 28 4" xfId="7455" xr:uid="{00000000-0005-0000-0000-00001C1D0000}"/>
    <cellStyle name="Comma 2 2 28 4 2" xfId="7456" xr:uid="{00000000-0005-0000-0000-00001D1D0000}"/>
    <cellStyle name="Comma 2 2 28 4 2 2" xfId="7457" xr:uid="{00000000-0005-0000-0000-00001E1D0000}"/>
    <cellStyle name="Comma 2 2 28 4 3" xfId="7458" xr:uid="{00000000-0005-0000-0000-00001F1D0000}"/>
    <cellStyle name="Comma 2 2 28 4 4" xfId="7459" xr:uid="{00000000-0005-0000-0000-0000201D0000}"/>
    <cellStyle name="Comma 2 2 28 4 5" xfId="7460" xr:uid="{00000000-0005-0000-0000-0000211D0000}"/>
    <cellStyle name="Comma 2 2 28 5" xfId="7461" xr:uid="{00000000-0005-0000-0000-0000221D0000}"/>
    <cellStyle name="Comma 2 2 28 5 2" xfId="7462" xr:uid="{00000000-0005-0000-0000-0000231D0000}"/>
    <cellStyle name="Comma 2 2 28 5 3" xfId="7463" xr:uid="{00000000-0005-0000-0000-0000241D0000}"/>
    <cellStyle name="Comma 2 2 28 5 4" xfId="7464" xr:uid="{00000000-0005-0000-0000-0000251D0000}"/>
    <cellStyle name="Comma 2 2 28 6" xfId="7465" xr:uid="{00000000-0005-0000-0000-0000261D0000}"/>
    <cellStyle name="Comma 2 2 28 6 2" xfId="7466" xr:uid="{00000000-0005-0000-0000-0000271D0000}"/>
    <cellStyle name="Comma 2 2 28 7" xfId="7467" xr:uid="{00000000-0005-0000-0000-0000281D0000}"/>
    <cellStyle name="Comma 2 2 28 8" xfId="7468" xr:uid="{00000000-0005-0000-0000-0000291D0000}"/>
    <cellStyle name="Comma 2 2 28 9" xfId="7469" xr:uid="{00000000-0005-0000-0000-00002A1D0000}"/>
    <cellStyle name="Comma 2 2 29" xfId="7470" xr:uid="{00000000-0005-0000-0000-00002B1D0000}"/>
    <cellStyle name="Comma 2 2 29 2" xfId="7471" xr:uid="{00000000-0005-0000-0000-00002C1D0000}"/>
    <cellStyle name="Comma 2 2 29 2 2" xfId="7472" xr:uid="{00000000-0005-0000-0000-00002D1D0000}"/>
    <cellStyle name="Comma 2 2 29 2 2 2" xfId="7473" xr:uid="{00000000-0005-0000-0000-00002E1D0000}"/>
    <cellStyle name="Comma 2 2 29 2 2 3" xfId="7474" xr:uid="{00000000-0005-0000-0000-00002F1D0000}"/>
    <cellStyle name="Comma 2 2 29 2 3" xfId="7475" xr:uid="{00000000-0005-0000-0000-0000301D0000}"/>
    <cellStyle name="Comma 2 2 29 2 4" xfId="7476" xr:uid="{00000000-0005-0000-0000-0000311D0000}"/>
    <cellStyle name="Comma 2 2 29 2 5" xfId="7477" xr:uid="{00000000-0005-0000-0000-0000321D0000}"/>
    <cellStyle name="Comma 2 2 29 2 6" xfId="7478" xr:uid="{00000000-0005-0000-0000-0000331D0000}"/>
    <cellStyle name="Comma 2 2 29 3" xfId="7479" xr:uid="{00000000-0005-0000-0000-0000341D0000}"/>
    <cellStyle name="Comma 2 2 29 3 2" xfId="7480" xr:uid="{00000000-0005-0000-0000-0000351D0000}"/>
    <cellStyle name="Comma 2 2 29 3 2 2" xfId="7481" xr:uid="{00000000-0005-0000-0000-0000361D0000}"/>
    <cellStyle name="Comma 2 2 29 3 3" xfId="7482" xr:uid="{00000000-0005-0000-0000-0000371D0000}"/>
    <cellStyle name="Comma 2 2 29 3 4" xfId="7483" xr:uid="{00000000-0005-0000-0000-0000381D0000}"/>
    <cellStyle name="Comma 2 2 29 3 5" xfId="7484" xr:uid="{00000000-0005-0000-0000-0000391D0000}"/>
    <cellStyle name="Comma 2 2 29 4" xfId="7485" xr:uid="{00000000-0005-0000-0000-00003A1D0000}"/>
    <cellStyle name="Comma 2 2 29 4 2" xfId="7486" xr:uid="{00000000-0005-0000-0000-00003B1D0000}"/>
    <cellStyle name="Comma 2 2 29 4 3" xfId="7487" xr:uid="{00000000-0005-0000-0000-00003C1D0000}"/>
    <cellStyle name="Comma 2 2 29 4 4" xfId="7488" xr:uid="{00000000-0005-0000-0000-00003D1D0000}"/>
    <cellStyle name="Comma 2 2 29 5" xfId="7489" xr:uid="{00000000-0005-0000-0000-00003E1D0000}"/>
    <cellStyle name="Comma 2 2 29 5 2" xfId="7490" xr:uid="{00000000-0005-0000-0000-00003F1D0000}"/>
    <cellStyle name="Comma 2 2 29 6" xfId="7491" xr:uid="{00000000-0005-0000-0000-0000401D0000}"/>
    <cellStyle name="Comma 2 2 29 7" xfId="7492" xr:uid="{00000000-0005-0000-0000-0000411D0000}"/>
    <cellStyle name="Comma 2 2 29 8" xfId="7493" xr:uid="{00000000-0005-0000-0000-0000421D0000}"/>
    <cellStyle name="Comma 2 2 29 9" xfId="7494" xr:uid="{00000000-0005-0000-0000-0000431D0000}"/>
    <cellStyle name="Comma 2 2 3" xfId="7495" xr:uid="{00000000-0005-0000-0000-0000441D0000}"/>
    <cellStyle name="Comma 2 2 3 10" xfId="7496" xr:uid="{00000000-0005-0000-0000-0000451D0000}"/>
    <cellStyle name="Comma 2 2 3 10 10" xfId="7497" xr:uid="{00000000-0005-0000-0000-0000461D0000}"/>
    <cellStyle name="Comma 2 2 3 10 2" xfId="7498" xr:uid="{00000000-0005-0000-0000-0000471D0000}"/>
    <cellStyle name="Comma 2 2 3 10 2 2" xfId="7499" xr:uid="{00000000-0005-0000-0000-0000481D0000}"/>
    <cellStyle name="Comma 2 2 3 10 2 2 2" xfId="7500" xr:uid="{00000000-0005-0000-0000-0000491D0000}"/>
    <cellStyle name="Comma 2 2 3 10 2 2 3" xfId="7501" xr:uid="{00000000-0005-0000-0000-00004A1D0000}"/>
    <cellStyle name="Comma 2 2 3 10 2 3" xfId="7502" xr:uid="{00000000-0005-0000-0000-00004B1D0000}"/>
    <cellStyle name="Comma 2 2 3 10 2 4" xfId="7503" xr:uid="{00000000-0005-0000-0000-00004C1D0000}"/>
    <cellStyle name="Comma 2 2 3 10 2 5" xfId="7504" xr:uid="{00000000-0005-0000-0000-00004D1D0000}"/>
    <cellStyle name="Comma 2 2 3 10 2 6" xfId="7505" xr:uid="{00000000-0005-0000-0000-00004E1D0000}"/>
    <cellStyle name="Comma 2 2 3 10 3" xfId="7506" xr:uid="{00000000-0005-0000-0000-00004F1D0000}"/>
    <cellStyle name="Comma 2 2 3 10 3 2" xfId="7507" xr:uid="{00000000-0005-0000-0000-0000501D0000}"/>
    <cellStyle name="Comma 2 2 3 10 3 2 2" xfId="7508" xr:uid="{00000000-0005-0000-0000-0000511D0000}"/>
    <cellStyle name="Comma 2 2 3 10 3 2 3" xfId="7509" xr:uid="{00000000-0005-0000-0000-0000521D0000}"/>
    <cellStyle name="Comma 2 2 3 10 3 3" xfId="7510" xr:uid="{00000000-0005-0000-0000-0000531D0000}"/>
    <cellStyle name="Comma 2 2 3 10 3 4" xfId="7511" xr:uid="{00000000-0005-0000-0000-0000541D0000}"/>
    <cellStyle name="Comma 2 2 3 10 3 5" xfId="7512" xr:uid="{00000000-0005-0000-0000-0000551D0000}"/>
    <cellStyle name="Comma 2 2 3 10 3 6" xfId="7513" xr:uid="{00000000-0005-0000-0000-0000561D0000}"/>
    <cellStyle name="Comma 2 2 3 10 4" xfId="7514" xr:uid="{00000000-0005-0000-0000-0000571D0000}"/>
    <cellStyle name="Comma 2 2 3 10 4 2" xfId="7515" xr:uid="{00000000-0005-0000-0000-0000581D0000}"/>
    <cellStyle name="Comma 2 2 3 10 4 2 2" xfId="7516" xr:uid="{00000000-0005-0000-0000-0000591D0000}"/>
    <cellStyle name="Comma 2 2 3 10 4 3" xfId="7517" xr:uid="{00000000-0005-0000-0000-00005A1D0000}"/>
    <cellStyle name="Comma 2 2 3 10 4 4" xfId="7518" xr:uid="{00000000-0005-0000-0000-00005B1D0000}"/>
    <cellStyle name="Comma 2 2 3 10 4 5" xfId="7519" xr:uid="{00000000-0005-0000-0000-00005C1D0000}"/>
    <cellStyle name="Comma 2 2 3 10 5" xfId="7520" xr:uid="{00000000-0005-0000-0000-00005D1D0000}"/>
    <cellStyle name="Comma 2 2 3 10 5 2" xfId="7521" xr:uid="{00000000-0005-0000-0000-00005E1D0000}"/>
    <cellStyle name="Comma 2 2 3 10 5 3" xfId="7522" xr:uid="{00000000-0005-0000-0000-00005F1D0000}"/>
    <cellStyle name="Comma 2 2 3 10 5 4" xfId="7523" xr:uid="{00000000-0005-0000-0000-0000601D0000}"/>
    <cellStyle name="Comma 2 2 3 10 6" xfId="7524" xr:uid="{00000000-0005-0000-0000-0000611D0000}"/>
    <cellStyle name="Comma 2 2 3 10 6 2" xfId="7525" xr:uid="{00000000-0005-0000-0000-0000621D0000}"/>
    <cellStyle name="Comma 2 2 3 10 7" xfId="7526" xr:uid="{00000000-0005-0000-0000-0000631D0000}"/>
    <cellStyle name="Comma 2 2 3 10 8" xfId="7527" xr:uid="{00000000-0005-0000-0000-0000641D0000}"/>
    <cellStyle name="Comma 2 2 3 10 9" xfId="7528" xr:uid="{00000000-0005-0000-0000-0000651D0000}"/>
    <cellStyle name="Comma 2 2 3 11" xfId="7529" xr:uid="{00000000-0005-0000-0000-0000661D0000}"/>
    <cellStyle name="Comma 2 2 3 11 10" xfId="7530" xr:uid="{00000000-0005-0000-0000-0000671D0000}"/>
    <cellStyle name="Comma 2 2 3 11 2" xfId="7531" xr:uid="{00000000-0005-0000-0000-0000681D0000}"/>
    <cellStyle name="Comma 2 2 3 11 2 2" xfId="7532" xr:uid="{00000000-0005-0000-0000-0000691D0000}"/>
    <cellStyle name="Comma 2 2 3 11 2 2 2" xfId="7533" xr:uid="{00000000-0005-0000-0000-00006A1D0000}"/>
    <cellStyle name="Comma 2 2 3 11 2 2 3" xfId="7534" xr:uid="{00000000-0005-0000-0000-00006B1D0000}"/>
    <cellStyle name="Comma 2 2 3 11 2 3" xfId="7535" xr:uid="{00000000-0005-0000-0000-00006C1D0000}"/>
    <cellStyle name="Comma 2 2 3 11 2 4" xfId="7536" xr:uid="{00000000-0005-0000-0000-00006D1D0000}"/>
    <cellStyle name="Comma 2 2 3 11 2 5" xfId="7537" xr:uid="{00000000-0005-0000-0000-00006E1D0000}"/>
    <cellStyle name="Comma 2 2 3 11 2 6" xfId="7538" xr:uid="{00000000-0005-0000-0000-00006F1D0000}"/>
    <cellStyle name="Comma 2 2 3 11 3" xfId="7539" xr:uid="{00000000-0005-0000-0000-0000701D0000}"/>
    <cellStyle name="Comma 2 2 3 11 3 2" xfId="7540" xr:uid="{00000000-0005-0000-0000-0000711D0000}"/>
    <cellStyle name="Comma 2 2 3 11 3 2 2" xfId="7541" xr:uid="{00000000-0005-0000-0000-0000721D0000}"/>
    <cellStyle name="Comma 2 2 3 11 3 2 3" xfId="7542" xr:uid="{00000000-0005-0000-0000-0000731D0000}"/>
    <cellStyle name="Comma 2 2 3 11 3 3" xfId="7543" xr:uid="{00000000-0005-0000-0000-0000741D0000}"/>
    <cellStyle name="Comma 2 2 3 11 3 4" xfId="7544" xr:uid="{00000000-0005-0000-0000-0000751D0000}"/>
    <cellStyle name="Comma 2 2 3 11 3 5" xfId="7545" xr:uid="{00000000-0005-0000-0000-0000761D0000}"/>
    <cellStyle name="Comma 2 2 3 11 3 6" xfId="7546" xr:uid="{00000000-0005-0000-0000-0000771D0000}"/>
    <cellStyle name="Comma 2 2 3 11 4" xfId="7547" xr:uid="{00000000-0005-0000-0000-0000781D0000}"/>
    <cellStyle name="Comma 2 2 3 11 4 2" xfId="7548" xr:uid="{00000000-0005-0000-0000-0000791D0000}"/>
    <cellStyle name="Comma 2 2 3 11 4 2 2" xfId="7549" xr:uid="{00000000-0005-0000-0000-00007A1D0000}"/>
    <cellStyle name="Comma 2 2 3 11 4 3" xfId="7550" xr:uid="{00000000-0005-0000-0000-00007B1D0000}"/>
    <cellStyle name="Comma 2 2 3 11 4 4" xfId="7551" xr:uid="{00000000-0005-0000-0000-00007C1D0000}"/>
    <cellStyle name="Comma 2 2 3 11 4 5" xfId="7552" xr:uid="{00000000-0005-0000-0000-00007D1D0000}"/>
    <cellStyle name="Comma 2 2 3 11 5" xfId="7553" xr:uid="{00000000-0005-0000-0000-00007E1D0000}"/>
    <cellStyle name="Comma 2 2 3 11 5 2" xfId="7554" xr:uid="{00000000-0005-0000-0000-00007F1D0000}"/>
    <cellStyle name="Comma 2 2 3 11 5 3" xfId="7555" xr:uid="{00000000-0005-0000-0000-0000801D0000}"/>
    <cellStyle name="Comma 2 2 3 11 5 4" xfId="7556" xr:uid="{00000000-0005-0000-0000-0000811D0000}"/>
    <cellStyle name="Comma 2 2 3 11 6" xfId="7557" xr:uid="{00000000-0005-0000-0000-0000821D0000}"/>
    <cellStyle name="Comma 2 2 3 11 6 2" xfId="7558" xr:uid="{00000000-0005-0000-0000-0000831D0000}"/>
    <cellStyle name="Comma 2 2 3 11 7" xfId="7559" xr:uid="{00000000-0005-0000-0000-0000841D0000}"/>
    <cellStyle name="Comma 2 2 3 11 8" xfId="7560" xr:uid="{00000000-0005-0000-0000-0000851D0000}"/>
    <cellStyle name="Comma 2 2 3 11 9" xfId="7561" xr:uid="{00000000-0005-0000-0000-0000861D0000}"/>
    <cellStyle name="Comma 2 2 3 12" xfId="7562" xr:uid="{00000000-0005-0000-0000-0000871D0000}"/>
    <cellStyle name="Comma 2 2 3 12 10" xfId="7563" xr:uid="{00000000-0005-0000-0000-0000881D0000}"/>
    <cellStyle name="Comma 2 2 3 12 2" xfId="7564" xr:uid="{00000000-0005-0000-0000-0000891D0000}"/>
    <cellStyle name="Comma 2 2 3 12 2 2" xfId="7565" xr:uid="{00000000-0005-0000-0000-00008A1D0000}"/>
    <cellStyle name="Comma 2 2 3 12 2 2 2" xfId="7566" xr:uid="{00000000-0005-0000-0000-00008B1D0000}"/>
    <cellStyle name="Comma 2 2 3 12 2 2 3" xfId="7567" xr:uid="{00000000-0005-0000-0000-00008C1D0000}"/>
    <cellStyle name="Comma 2 2 3 12 2 3" xfId="7568" xr:uid="{00000000-0005-0000-0000-00008D1D0000}"/>
    <cellStyle name="Comma 2 2 3 12 2 4" xfId="7569" xr:uid="{00000000-0005-0000-0000-00008E1D0000}"/>
    <cellStyle name="Comma 2 2 3 12 2 5" xfId="7570" xr:uid="{00000000-0005-0000-0000-00008F1D0000}"/>
    <cellStyle name="Comma 2 2 3 12 2 6" xfId="7571" xr:uid="{00000000-0005-0000-0000-0000901D0000}"/>
    <cellStyle name="Comma 2 2 3 12 3" xfId="7572" xr:uid="{00000000-0005-0000-0000-0000911D0000}"/>
    <cellStyle name="Comma 2 2 3 12 3 2" xfId="7573" xr:uid="{00000000-0005-0000-0000-0000921D0000}"/>
    <cellStyle name="Comma 2 2 3 12 3 2 2" xfId="7574" xr:uid="{00000000-0005-0000-0000-0000931D0000}"/>
    <cellStyle name="Comma 2 2 3 12 3 2 3" xfId="7575" xr:uid="{00000000-0005-0000-0000-0000941D0000}"/>
    <cellStyle name="Comma 2 2 3 12 3 3" xfId="7576" xr:uid="{00000000-0005-0000-0000-0000951D0000}"/>
    <cellStyle name="Comma 2 2 3 12 3 4" xfId="7577" xr:uid="{00000000-0005-0000-0000-0000961D0000}"/>
    <cellStyle name="Comma 2 2 3 12 3 5" xfId="7578" xr:uid="{00000000-0005-0000-0000-0000971D0000}"/>
    <cellStyle name="Comma 2 2 3 12 3 6" xfId="7579" xr:uid="{00000000-0005-0000-0000-0000981D0000}"/>
    <cellStyle name="Comma 2 2 3 12 4" xfId="7580" xr:uid="{00000000-0005-0000-0000-0000991D0000}"/>
    <cellStyle name="Comma 2 2 3 12 4 2" xfId="7581" xr:uid="{00000000-0005-0000-0000-00009A1D0000}"/>
    <cellStyle name="Comma 2 2 3 12 4 2 2" xfId="7582" xr:uid="{00000000-0005-0000-0000-00009B1D0000}"/>
    <cellStyle name="Comma 2 2 3 12 4 3" xfId="7583" xr:uid="{00000000-0005-0000-0000-00009C1D0000}"/>
    <cellStyle name="Comma 2 2 3 12 4 4" xfId="7584" xr:uid="{00000000-0005-0000-0000-00009D1D0000}"/>
    <cellStyle name="Comma 2 2 3 12 4 5" xfId="7585" xr:uid="{00000000-0005-0000-0000-00009E1D0000}"/>
    <cellStyle name="Comma 2 2 3 12 5" xfId="7586" xr:uid="{00000000-0005-0000-0000-00009F1D0000}"/>
    <cellStyle name="Comma 2 2 3 12 5 2" xfId="7587" xr:uid="{00000000-0005-0000-0000-0000A01D0000}"/>
    <cellStyle name="Comma 2 2 3 12 5 3" xfId="7588" xr:uid="{00000000-0005-0000-0000-0000A11D0000}"/>
    <cellStyle name="Comma 2 2 3 12 5 4" xfId="7589" xr:uid="{00000000-0005-0000-0000-0000A21D0000}"/>
    <cellStyle name="Comma 2 2 3 12 6" xfId="7590" xr:uid="{00000000-0005-0000-0000-0000A31D0000}"/>
    <cellStyle name="Comma 2 2 3 12 6 2" xfId="7591" xr:uid="{00000000-0005-0000-0000-0000A41D0000}"/>
    <cellStyle name="Comma 2 2 3 12 7" xfId="7592" xr:uid="{00000000-0005-0000-0000-0000A51D0000}"/>
    <cellStyle name="Comma 2 2 3 12 8" xfId="7593" xr:uid="{00000000-0005-0000-0000-0000A61D0000}"/>
    <cellStyle name="Comma 2 2 3 12 9" xfId="7594" xr:uid="{00000000-0005-0000-0000-0000A71D0000}"/>
    <cellStyle name="Comma 2 2 3 13" xfId="7595" xr:uid="{00000000-0005-0000-0000-0000A81D0000}"/>
    <cellStyle name="Comma 2 2 3 13 2" xfId="7596" xr:uid="{00000000-0005-0000-0000-0000A91D0000}"/>
    <cellStyle name="Comma 2 2 3 13 2 2" xfId="7597" xr:uid="{00000000-0005-0000-0000-0000AA1D0000}"/>
    <cellStyle name="Comma 2 2 3 13 2 2 2" xfId="7598" xr:uid="{00000000-0005-0000-0000-0000AB1D0000}"/>
    <cellStyle name="Comma 2 2 3 13 2 2 3" xfId="7599" xr:uid="{00000000-0005-0000-0000-0000AC1D0000}"/>
    <cellStyle name="Comma 2 2 3 13 2 3" xfId="7600" xr:uid="{00000000-0005-0000-0000-0000AD1D0000}"/>
    <cellStyle name="Comma 2 2 3 13 2 4" xfId="7601" xr:uid="{00000000-0005-0000-0000-0000AE1D0000}"/>
    <cellStyle name="Comma 2 2 3 13 2 5" xfId="7602" xr:uid="{00000000-0005-0000-0000-0000AF1D0000}"/>
    <cellStyle name="Comma 2 2 3 13 2 6" xfId="7603" xr:uid="{00000000-0005-0000-0000-0000B01D0000}"/>
    <cellStyle name="Comma 2 2 3 13 3" xfId="7604" xr:uid="{00000000-0005-0000-0000-0000B11D0000}"/>
    <cellStyle name="Comma 2 2 3 13 3 2" xfId="7605" xr:uid="{00000000-0005-0000-0000-0000B21D0000}"/>
    <cellStyle name="Comma 2 2 3 13 3 2 2" xfId="7606" xr:uid="{00000000-0005-0000-0000-0000B31D0000}"/>
    <cellStyle name="Comma 2 2 3 13 3 3" xfId="7607" xr:uid="{00000000-0005-0000-0000-0000B41D0000}"/>
    <cellStyle name="Comma 2 2 3 13 3 4" xfId="7608" xr:uid="{00000000-0005-0000-0000-0000B51D0000}"/>
    <cellStyle name="Comma 2 2 3 13 3 5" xfId="7609" xr:uid="{00000000-0005-0000-0000-0000B61D0000}"/>
    <cellStyle name="Comma 2 2 3 13 4" xfId="7610" xr:uid="{00000000-0005-0000-0000-0000B71D0000}"/>
    <cellStyle name="Comma 2 2 3 13 4 2" xfId="7611" xr:uid="{00000000-0005-0000-0000-0000B81D0000}"/>
    <cellStyle name="Comma 2 2 3 13 4 3" xfId="7612" xr:uid="{00000000-0005-0000-0000-0000B91D0000}"/>
    <cellStyle name="Comma 2 2 3 13 4 4" xfId="7613" xr:uid="{00000000-0005-0000-0000-0000BA1D0000}"/>
    <cellStyle name="Comma 2 2 3 13 5" xfId="7614" xr:uid="{00000000-0005-0000-0000-0000BB1D0000}"/>
    <cellStyle name="Comma 2 2 3 13 5 2" xfId="7615" xr:uid="{00000000-0005-0000-0000-0000BC1D0000}"/>
    <cellStyle name="Comma 2 2 3 13 6" xfId="7616" xr:uid="{00000000-0005-0000-0000-0000BD1D0000}"/>
    <cellStyle name="Comma 2 2 3 13 7" xfId="7617" xr:uid="{00000000-0005-0000-0000-0000BE1D0000}"/>
    <cellStyle name="Comma 2 2 3 13 8" xfId="7618" xr:uid="{00000000-0005-0000-0000-0000BF1D0000}"/>
    <cellStyle name="Comma 2 2 3 13 9" xfId="7619" xr:uid="{00000000-0005-0000-0000-0000C01D0000}"/>
    <cellStyle name="Comma 2 2 3 14" xfId="7620" xr:uid="{00000000-0005-0000-0000-0000C11D0000}"/>
    <cellStyle name="Comma 2 2 3 14 2" xfId="7621" xr:uid="{00000000-0005-0000-0000-0000C21D0000}"/>
    <cellStyle name="Comma 2 2 3 14 2 2" xfId="7622" xr:uid="{00000000-0005-0000-0000-0000C31D0000}"/>
    <cellStyle name="Comma 2 2 3 14 2 2 2" xfId="7623" xr:uid="{00000000-0005-0000-0000-0000C41D0000}"/>
    <cellStyle name="Comma 2 2 3 14 2 2 3" xfId="7624" xr:uid="{00000000-0005-0000-0000-0000C51D0000}"/>
    <cellStyle name="Comma 2 2 3 14 2 3" xfId="7625" xr:uid="{00000000-0005-0000-0000-0000C61D0000}"/>
    <cellStyle name="Comma 2 2 3 14 2 4" xfId="7626" xr:uid="{00000000-0005-0000-0000-0000C71D0000}"/>
    <cellStyle name="Comma 2 2 3 14 2 5" xfId="7627" xr:uid="{00000000-0005-0000-0000-0000C81D0000}"/>
    <cellStyle name="Comma 2 2 3 14 2 6" xfId="7628" xr:uid="{00000000-0005-0000-0000-0000C91D0000}"/>
    <cellStyle name="Comma 2 2 3 14 3" xfId="7629" xr:uid="{00000000-0005-0000-0000-0000CA1D0000}"/>
    <cellStyle name="Comma 2 2 3 14 3 2" xfId="7630" xr:uid="{00000000-0005-0000-0000-0000CB1D0000}"/>
    <cellStyle name="Comma 2 2 3 14 3 2 2" xfId="7631" xr:uid="{00000000-0005-0000-0000-0000CC1D0000}"/>
    <cellStyle name="Comma 2 2 3 14 3 3" xfId="7632" xr:uid="{00000000-0005-0000-0000-0000CD1D0000}"/>
    <cellStyle name="Comma 2 2 3 14 3 4" xfId="7633" xr:uid="{00000000-0005-0000-0000-0000CE1D0000}"/>
    <cellStyle name="Comma 2 2 3 14 3 5" xfId="7634" xr:uid="{00000000-0005-0000-0000-0000CF1D0000}"/>
    <cellStyle name="Comma 2 2 3 14 4" xfId="7635" xr:uid="{00000000-0005-0000-0000-0000D01D0000}"/>
    <cellStyle name="Comma 2 2 3 14 4 2" xfId="7636" xr:uid="{00000000-0005-0000-0000-0000D11D0000}"/>
    <cellStyle name="Comma 2 2 3 14 4 3" xfId="7637" xr:uid="{00000000-0005-0000-0000-0000D21D0000}"/>
    <cellStyle name="Comma 2 2 3 14 4 4" xfId="7638" xr:uid="{00000000-0005-0000-0000-0000D31D0000}"/>
    <cellStyle name="Comma 2 2 3 14 5" xfId="7639" xr:uid="{00000000-0005-0000-0000-0000D41D0000}"/>
    <cellStyle name="Comma 2 2 3 14 5 2" xfId="7640" xr:uid="{00000000-0005-0000-0000-0000D51D0000}"/>
    <cellStyle name="Comma 2 2 3 14 6" xfId="7641" xr:uid="{00000000-0005-0000-0000-0000D61D0000}"/>
    <cellStyle name="Comma 2 2 3 14 7" xfId="7642" xr:uid="{00000000-0005-0000-0000-0000D71D0000}"/>
    <cellStyle name="Comma 2 2 3 14 8" xfId="7643" xr:uid="{00000000-0005-0000-0000-0000D81D0000}"/>
    <cellStyle name="Comma 2 2 3 14 9" xfId="7644" xr:uid="{00000000-0005-0000-0000-0000D91D0000}"/>
    <cellStyle name="Comma 2 2 3 15" xfId="7645" xr:uid="{00000000-0005-0000-0000-0000DA1D0000}"/>
    <cellStyle name="Comma 2 2 3 15 2" xfId="7646" xr:uid="{00000000-0005-0000-0000-0000DB1D0000}"/>
    <cellStyle name="Comma 2 2 3 15 2 2" xfId="7647" xr:uid="{00000000-0005-0000-0000-0000DC1D0000}"/>
    <cellStyle name="Comma 2 2 3 15 2 3" xfId="7648" xr:uid="{00000000-0005-0000-0000-0000DD1D0000}"/>
    <cellStyle name="Comma 2 2 3 15 3" xfId="7649" xr:uid="{00000000-0005-0000-0000-0000DE1D0000}"/>
    <cellStyle name="Comma 2 2 3 15 4" xfId="7650" xr:uid="{00000000-0005-0000-0000-0000DF1D0000}"/>
    <cellStyle name="Comma 2 2 3 15 5" xfId="7651" xr:uid="{00000000-0005-0000-0000-0000E01D0000}"/>
    <cellStyle name="Comma 2 2 3 15 6" xfId="7652" xr:uid="{00000000-0005-0000-0000-0000E11D0000}"/>
    <cellStyle name="Comma 2 2 3 16" xfId="7653" xr:uid="{00000000-0005-0000-0000-0000E21D0000}"/>
    <cellStyle name="Comma 2 2 3 16 2" xfId="7654" xr:uid="{00000000-0005-0000-0000-0000E31D0000}"/>
    <cellStyle name="Comma 2 2 3 16 2 2" xfId="7655" xr:uid="{00000000-0005-0000-0000-0000E41D0000}"/>
    <cellStyle name="Comma 2 2 3 16 3" xfId="7656" xr:uid="{00000000-0005-0000-0000-0000E51D0000}"/>
    <cellStyle name="Comma 2 2 3 16 4" xfId="7657" xr:uid="{00000000-0005-0000-0000-0000E61D0000}"/>
    <cellStyle name="Comma 2 2 3 16 5" xfId="7658" xr:uid="{00000000-0005-0000-0000-0000E71D0000}"/>
    <cellStyle name="Comma 2 2 3 17" xfId="7659" xr:uid="{00000000-0005-0000-0000-0000E81D0000}"/>
    <cellStyle name="Comma 2 2 3 17 2" xfId="7660" xr:uid="{00000000-0005-0000-0000-0000E91D0000}"/>
    <cellStyle name="Comma 2 2 3 17 2 2" xfId="7661" xr:uid="{00000000-0005-0000-0000-0000EA1D0000}"/>
    <cellStyle name="Comma 2 2 3 17 3" xfId="7662" xr:uid="{00000000-0005-0000-0000-0000EB1D0000}"/>
    <cellStyle name="Comma 2 2 3 17 4" xfId="7663" xr:uid="{00000000-0005-0000-0000-0000EC1D0000}"/>
    <cellStyle name="Comma 2 2 3 17 5" xfId="7664" xr:uid="{00000000-0005-0000-0000-0000ED1D0000}"/>
    <cellStyle name="Comma 2 2 3 18" xfId="7665" xr:uid="{00000000-0005-0000-0000-0000EE1D0000}"/>
    <cellStyle name="Comma 2 2 3 18 2" xfId="7666" xr:uid="{00000000-0005-0000-0000-0000EF1D0000}"/>
    <cellStyle name="Comma 2 2 3 19" xfId="7667" xr:uid="{00000000-0005-0000-0000-0000F01D0000}"/>
    <cellStyle name="Comma 2 2 3 2" xfId="7668" xr:uid="{00000000-0005-0000-0000-0000F11D0000}"/>
    <cellStyle name="Comma 2 2 3 2 10" xfId="7669" xr:uid="{00000000-0005-0000-0000-0000F21D0000}"/>
    <cellStyle name="Comma 2 2 3 2 11" xfId="7670" xr:uid="{00000000-0005-0000-0000-0000F31D0000}"/>
    <cellStyle name="Comma 2 2 3 2 2" xfId="7671" xr:uid="{00000000-0005-0000-0000-0000F41D0000}"/>
    <cellStyle name="Comma 2 2 3 2 2 2" xfId="7672" xr:uid="{00000000-0005-0000-0000-0000F51D0000}"/>
    <cellStyle name="Comma 2 2 3 2 2 2 2" xfId="7673" xr:uid="{00000000-0005-0000-0000-0000F61D0000}"/>
    <cellStyle name="Comma 2 2 3 2 2 2 2 2" xfId="7674" xr:uid="{00000000-0005-0000-0000-0000F71D0000}"/>
    <cellStyle name="Comma 2 2 3 2 2 2 2 3" xfId="7675" xr:uid="{00000000-0005-0000-0000-0000F81D0000}"/>
    <cellStyle name="Comma 2 2 3 2 2 2 3" xfId="7676" xr:uid="{00000000-0005-0000-0000-0000F91D0000}"/>
    <cellStyle name="Comma 2 2 3 2 2 2 4" xfId="7677" xr:uid="{00000000-0005-0000-0000-0000FA1D0000}"/>
    <cellStyle name="Comma 2 2 3 2 2 2 5" xfId="7678" xr:uid="{00000000-0005-0000-0000-0000FB1D0000}"/>
    <cellStyle name="Comma 2 2 3 2 2 2 6" xfId="7679" xr:uid="{00000000-0005-0000-0000-0000FC1D0000}"/>
    <cellStyle name="Comma 2 2 3 2 2 3" xfId="7680" xr:uid="{00000000-0005-0000-0000-0000FD1D0000}"/>
    <cellStyle name="Comma 2 2 3 2 2 3 2" xfId="7681" xr:uid="{00000000-0005-0000-0000-0000FE1D0000}"/>
    <cellStyle name="Comma 2 2 3 2 2 3 2 2" xfId="7682" xr:uid="{00000000-0005-0000-0000-0000FF1D0000}"/>
    <cellStyle name="Comma 2 2 3 2 2 3 3" xfId="7683" xr:uid="{00000000-0005-0000-0000-0000001E0000}"/>
    <cellStyle name="Comma 2 2 3 2 2 3 4" xfId="7684" xr:uid="{00000000-0005-0000-0000-0000011E0000}"/>
    <cellStyle name="Comma 2 2 3 2 2 3 5" xfId="7685" xr:uid="{00000000-0005-0000-0000-0000021E0000}"/>
    <cellStyle name="Comma 2 2 3 2 2 4" xfId="7686" xr:uid="{00000000-0005-0000-0000-0000031E0000}"/>
    <cellStyle name="Comma 2 2 3 2 2 4 2" xfId="7687" xr:uid="{00000000-0005-0000-0000-0000041E0000}"/>
    <cellStyle name="Comma 2 2 3 2 2 4 3" xfId="7688" xr:uid="{00000000-0005-0000-0000-0000051E0000}"/>
    <cellStyle name="Comma 2 2 3 2 2 4 4" xfId="7689" xr:uid="{00000000-0005-0000-0000-0000061E0000}"/>
    <cellStyle name="Comma 2 2 3 2 2 5" xfId="7690" xr:uid="{00000000-0005-0000-0000-0000071E0000}"/>
    <cellStyle name="Comma 2 2 3 2 2 5 2" xfId="7691" xr:uid="{00000000-0005-0000-0000-0000081E0000}"/>
    <cellStyle name="Comma 2 2 3 2 2 6" xfId="7692" xr:uid="{00000000-0005-0000-0000-0000091E0000}"/>
    <cellStyle name="Comma 2 2 3 2 2 7" xfId="7693" xr:uid="{00000000-0005-0000-0000-00000A1E0000}"/>
    <cellStyle name="Comma 2 2 3 2 2 8" xfId="7694" xr:uid="{00000000-0005-0000-0000-00000B1E0000}"/>
    <cellStyle name="Comma 2 2 3 2 2 9" xfId="7695" xr:uid="{00000000-0005-0000-0000-00000C1E0000}"/>
    <cellStyle name="Comma 2 2 3 2 3" xfId="7696" xr:uid="{00000000-0005-0000-0000-00000D1E0000}"/>
    <cellStyle name="Comma 2 2 3 2 3 2" xfId="7697" xr:uid="{00000000-0005-0000-0000-00000E1E0000}"/>
    <cellStyle name="Comma 2 2 3 2 3 2 2" xfId="7698" xr:uid="{00000000-0005-0000-0000-00000F1E0000}"/>
    <cellStyle name="Comma 2 2 3 2 3 2 2 2" xfId="7699" xr:uid="{00000000-0005-0000-0000-0000101E0000}"/>
    <cellStyle name="Comma 2 2 3 2 3 2 2 3" xfId="7700" xr:uid="{00000000-0005-0000-0000-0000111E0000}"/>
    <cellStyle name="Comma 2 2 3 2 3 2 3" xfId="7701" xr:uid="{00000000-0005-0000-0000-0000121E0000}"/>
    <cellStyle name="Comma 2 2 3 2 3 2 4" xfId="7702" xr:uid="{00000000-0005-0000-0000-0000131E0000}"/>
    <cellStyle name="Comma 2 2 3 2 3 2 5" xfId="7703" xr:uid="{00000000-0005-0000-0000-0000141E0000}"/>
    <cellStyle name="Comma 2 2 3 2 3 2 6" xfId="7704" xr:uid="{00000000-0005-0000-0000-0000151E0000}"/>
    <cellStyle name="Comma 2 2 3 2 3 3" xfId="7705" xr:uid="{00000000-0005-0000-0000-0000161E0000}"/>
    <cellStyle name="Comma 2 2 3 2 3 3 2" xfId="7706" xr:uid="{00000000-0005-0000-0000-0000171E0000}"/>
    <cellStyle name="Comma 2 2 3 2 3 3 2 2" xfId="7707" xr:uid="{00000000-0005-0000-0000-0000181E0000}"/>
    <cellStyle name="Comma 2 2 3 2 3 3 3" xfId="7708" xr:uid="{00000000-0005-0000-0000-0000191E0000}"/>
    <cellStyle name="Comma 2 2 3 2 3 3 4" xfId="7709" xr:uid="{00000000-0005-0000-0000-00001A1E0000}"/>
    <cellStyle name="Comma 2 2 3 2 3 3 5" xfId="7710" xr:uid="{00000000-0005-0000-0000-00001B1E0000}"/>
    <cellStyle name="Comma 2 2 3 2 3 4" xfId="7711" xr:uid="{00000000-0005-0000-0000-00001C1E0000}"/>
    <cellStyle name="Comma 2 2 3 2 3 4 2" xfId="7712" xr:uid="{00000000-0005-0000-0000-00001D1E0000}"/>
    <cellStyle name="Comma 2 2 3 2 3 4 3" xfId="7713" xr:uid="{00000000-0005-0000-0000-00001E1E0000}"/>
    <cellStyle name="Comma 2 2 3 2 3 4 4" xfId="7714" xr:uid="{00000000-0005-0000-0000-00001F1E0000}"/>
    <cellStyle name="Comma 2 2 3 2 3 5" xfId="7715" xr:uid="{00000000-0005-0000-0000-0000201E0000}"/>
    <cellStyle name="Comma 2 2 3 2 3 5 2" xfId="7716" xr:uid="{00000000-0005-0000-0000-0000211E0000}"/>
    <cellStyle name="Comma 2 2 3 2 3 6" xfId="7717" xr:uid="{00000000-0005-0000-0000-0000221E0000}"/>
    <cellStyle name="Comma 2 2 3 2 3 7" xfId="7718" xr:uid="{00000000-0005-0000-0000-0000231E0000}"/>
    <cellStyle name="Comma 2 2 3 2 3 8" xfId="7719" xr:uid="{00000000-0005-0000-0000-0000241E0000}"/>
    <cellStyle name="Comma 2 2 3 2 3 9" xfId="7720" xr:uid="{00000000-0005-0000-0000-0000251E0000}"/>
    <cellStyle name="Comma 2 2 3 2 4" xfId="7721" xr:uid="{00000000-0005-0000-0000-0000261E0000}"/>
    <cellStyle name="Comma 2 2 3 2 4 2" xfId="7722" xr:uid="{00000000-0005-0000-0000-0000271E0000}"/>
    <cellStyle name="Comma 2 2 3 2 4 2 2" xfId="7723" xr:uid="{00000000-0005-0000-0000-0000281E0000}"/>
    <cellStyle name="Comma 2 2 3 2 4 2 3" xfId="7724" xr:uid="{00000000-0005-0000-0000-0000291E0000}"/>
    <cellStyle name="Comma 2 2 3 2 4 3" xfId="7725" xr:uid="{00000000-0005-0000-0000-00002A1E0000}"/>
    <cellStyle name="Comma 2 2 3 2 4 4" xfId="7726" xr:uid="{00000000-0005-0000-0000-00002B1E0000}"/>
    <cellStyle name="Comma 2 2 3 2 4 5" xfId="7727" xr:uid="{00000000-0005-0000-0000-00002C1E0000}"/>
    <cellStyle name="Comma 2 2 3 2 4 6" xfId="7728" xr:uid="{00000000-0005-0000-0000-00002D1E0000}"/>
    <cellStyle name="Comma 2 2 3 2 5" xfId="7729" xr:uid="{00000000-0005-0000-0000-00002E1E0000}"/>
    <cellStyle name="Comma 2 2 3 2 5 2" xfId="7730" xr:uid="{00000000-0005-0000-0000-00002F1E0000}"/>
    <cellStyle name="Comma 2 2 3 2 5 2 2" xfId="7731" xr:uid="{00000000-0005-0000-0000-0000301E0000}"/>
    <cellStyle name="Comma 2 2 3 2 5 3" xfId="7732" xr:uid="{00000000-0005-0000-0000-0000311E0000}"/>
    <cellStyle name="Comma 2 2 3 2 5 4" xfId="7733" xr:uid="{00000000-0005-0000-0000-0000321E0000}"/>
    <cellStyle name="Comma 2 2 3 2 5 5" xfId="7734" xr:uid="{00000000-0005-0000-0000-0000331E0000}"/>
    <cellStyle name="Comma 2 2 3 2 6" xfId="7735" xr:uid="{00000000-0005-0000-0000-0000341E0000}"/>
    <cellStyle name="Comma 2 2 3 2 6 2" xfId="7736" xr:uid="{00000000-0005-0000-0000-0000351E0000}"/>
    <cellStyle name="Comma 2 2 3 2 6 3" xfId="7737" xr:uid="{00000000-0005-0000-0000-0000361E0000}"/>
    <cellStyle name="Comma 2 2 3 2 6 4" xfId="7738" xr:uid="{00000000-0005-0000-0000-0000371E0000}"/>
    <cellStyle name="Comma 2 2 3 2 7" xfId="7739" xr:uid="{00000000-0005-0000-0000-0000381E0000}"/>
    <cellStyle name="Comma 2 2 3 2 7 2" xfId="7740" xr:uid="{00000000-0005-0000-0000-0000391E0000}"/>
    <cellStyle name="Comma 2 2 3 2 8" xfId="7741" xr:uid="{00000000-0005-0000-0000-00003A1E0000}"/>
    <cellStyle name="Comma 2 2 3 2 9" xfId="7742" xr:uid="{00000000-0005-0000-0000-00003B1E0000}"/>
    <cellStyle name="Comma 2 2 3 20" xfId="7743" xr:uid="{00000000-0005-0000-0000-00003C1E0000}"/>
    <cellStyle name="Comma 2 2 3 21" xfId="7744" xr:uid="{00000000-0005-0000-0000-00003D1E0000}"/>
    <cellStyle name="Comma 2 2 3 22" xfId="7745" xr:uid="{00000000-0005-0000-0000-00003E1E0000}"/>
    <cellStyle name="Comma 2 2 3 3" xfId="7746" xr:uid="{00000000-0005-0000-0000-00003F1E0000}"/>
    <cellStyle name="Comma 2 2 3 3 10" xfId="7747" xr:uid="{00000000-0005-0000-0000-0000401E0000}"/>
    <cellStyle name="Comma 2 2 3 3 11" xfId="7748" xr:uid="{00000000-0005-0000-0000-0000411E0000}"/>
    <cellStyle name="Comma 2 2 3 3 2" xfId="7749" xr:uid="{00000000-0005-0000-0000-0000421E0000}"/>
    <cellStyle name="Comma 2 2 3 3 2 2" xfId="7750" xr:uid="{00000000-0005-0000-0000-0000431E0000}"/>
    <cellStyle name="Comma 2 2 3 3 2 2 2" xfId="7751" xr:uid="{00000000-0005-0000-0000-0000441E0000}"/>
    <cellStyle name="Comma 2 2 3 3 2 2 2 2" xfId="7752" xr:uid="{00000000-0005-0000-0000-0000451E0000}"/>
    <cellStyle name="Comma 2 2 3 3 2 2 2 3" xfId="7753" xr:uid="{00000000-0005-0000-0000-0000461E0000}"/>
    <cellStyle name="Comma 2 2 3 3 2 2 3" xfId="7754" xr:uid="{00000000-0005-0000-0000-0000471E0000}"/>
    <cellStyle name="Comma 2 2 3 3 2 2 4" xfId="7755" xr:uid="{00000000-0005-0000-0000-0000481E0000}"/>
    <cellStyle name="Comma 2 2 3 3 2 2 5" xfId="7756" xr:uid="{00000000-0005-0000-0000-0000491E0000}"/>
    <cellStyle name="Comma 2 2 3 3 2 2 6" xfId="7757" xr:uid="{00000000-0005-0000-0000-00004A1E0000}"/>
    <cellStyle name="Comma 2 2 3 3 2 3" xfId="7758" xr:uid="{00000000-0005-0000-0000-00004B1E0000}"/>
    <cellStyle name="Comma 2 2 3 3 2 3 2" xfId="7759" xr:uid="{00000000-0005-0000-0000-00004C1E0000}"/>
    <cellStyle name="Comma 2 2 3 3 2 3 2 2" xfId="7760" xr:uid="{00000000-0005-0000-0000-00004D1E0000}"/>
    <cellStyle name="Comma 2 2 3 3 2 3 3" xfId="7761" xr:uid="{00000000-0005-0000-0000-00004E1E0000}"/>
    <cellStyle name="Comma 2 2 3 3 2 3 4" xfId="7762" xr:uid="{00000000-0005-0000-0000-00004F1E0000}"/>
    <cellStyle name="Comma 2 2 3 3 2 3 5" xfId="7763" xr:uid="{00000000-0005-0000-0000-0000501E0000}"/>
    <cellStyle name="Comma 2 2 3 3 2 4" xfId="7764" xr:uid="{00000000-0005-0000-0000-0000511E0000}"/>
    <cellStyle name="Comma 2 2 3 3 2 4 2" xfId="7765" xr:uid="{00000000-0005-0000-0000-0000521E0000}"/>
    <cellStyle name="Comma 2 2 3 3 2 4 3" xfId="7766" xr:uid="{00000000-0005-0000-0000-0000531E0000}"/>
    <cellStyle name="Comma 2 2 3 3 2 4 4" xfId="7767" xr:uid="{00000000-0005-0000-0000-0000541E0000}"/>
    <cellStyle name="Comma 2 2 3 3 2 5" xfId="7768" xr:uid="{00000000-0005-0000-0000-0000551E0000}"/>
    <cellStyle name="Comma 2 2 3 3 2 5 2" xfId="7769" xr:uid="{00000000-0005-0000-0000-0000561E0000}"/>
    <cellStyle name="Comma 2 2 3 3 2 6" xfId="7770" xr:uid="{00000000-0005-0000-0000-0000571E0000}"/>
    <cellStyle name="Comma 2 2 3 3 2 7" xfId="7771" xr:uid="{00000000-0005-0000-0000-0000581E0000}"/>
    <cellStyle name="Comma 2 2 3 3 2 8" xfId="7772" xr:uid="{00000000-0005-0000-0000-0000591E0000}"/>
    <cellStyle name="Comma 2 2 3 3 2 9" xfId="7773" xr:uid="{00000000-0005-0000-0000-00005A1E0000}"/>
    <cellStyle name="Comma 2 2 3 3 3" xfId="7774" xr:uid="{00000000-0005-0000-0000-00005B1E0000}"/>
    <cellStyle name="Comma 2 2 3 3 3 2" xfId="7775" xr:uid="{00000000-0005-0000-0000-00005C1E0000}"/>
    <cellStyle name="Comma 2 2 3 3 3 2 2" xfId="7776" xr:uid="{00000000-0005-0000-0000-00005D1E0000}"/>
    <cellStyle name="Comma 2 2 3 3 3 2 2 2" xfId="7777" xr:uid="{00000000-0005-0000-0000-00005E1E0000}"/>
    <cellStyle name="Comma 2 2 3 3 3 2 2 3" xfId="7778" xr:uid="{00000000-0005-0000-0000-00005F1E0000}"/>
    <cellStyle name="Comma 2 2 3 3 3 2 3" xfId="7779" xr:uid="{00000000-0005-0000-0000-0000601E0000}"/>
    <cellStyle name="Comma 2 2 3 3 3 2 4" xfId="7780" xr:uid="{00000000-0005-0000-0000-0000611E0000}"/>
    <cellStyle name="Comma 2 2 3 3 3 2 5" xfId="7781" xr:uid="{00000000-0005-0000-0000-0000621E0000}"/>
    <cellStyle name="Comma 2 2 3 3 3 2 6" xfId="7782" xr:uid="{00000000-0005-0000-0000-0000631E0000}"/>
    <cellStyle name="Comma 2 2 3 3 3 3" xfId="7783" xr:uid="{00000000-0005-0000-0000-0000641E0000}"/>
    <cellStyle name="Comma 2 2 3 3 3 3 2" xfId="7784" xr:uid="{00000000-0005-0000-0000-0000651E0000}"/>
    <cellStyle name="Comma 2 2 3 3 3 3 2 2" xfId="7785" xr:uid="{00000000-0005-0000-0000-0000661E0000}"/>
    <cellStyle name="Comma 2 2 3 3 3 3 3" xfId="7786" xr:uid="{00000000-0005-0000-0000-0000671E0000}"/>
    <cellStyle name="Comma 2 2 3 3 3 3 4" xfId="7787" xr:uid="{00000000-0005-0000-0000-0000681E0000}"/>
    <cellStyle name="Comma 2 2 3 3 3 3 5" xfId="7788" xr:uid="{00000000-0005-0000-0000-0000691E0000}"/>
    <cellStyle name="Comma 2 2 3 3 3 4" xfId="7789" xr:uid="{00000000-0005-0000-0000-00006A1E0000}"/>
    <cellStyle name="Comma 2 2 3 3 3 4 2" xfId="7790" xr:uid="{00000000-0005-0000-0000-00006B1E0000}"/>
    <cellStyle name="Comma 2 2 3 3 3 4 3" xfId="7791" xr:uid="{00000000-0005-0000-0000-00006C1E0000}"/>
    <cellStyle name="Comma 2 2 3 3 3 4 4" xfId="7792" xr:uid="{00000000-0005-0000-0000-00006D1E0000}"/>
    <cellStyle name="Comma 2 2 3 3 3 5" xfId="7793" xr:uid="{00000000-0005-0000-0000-00006E1E0000}"/>
    <cellStyle name="Comma 2 2 3 3 3 5 2" xfId="7794" xr:uid="{00000000-0005-0000-0000-00006F1E0000}"/>
    <cellStyle name="Comma 2 2 3 3 3 6" xfId="7795" xr:uid="{00000000-0005-0000-0000-0000701E0000}"/>
    <cellStyle name="Comma 2 2 3 3 3 7" xfId="7796" xr:uid="{00000000-0005-0000-0000-0000711E0000}"/>
    <cellStyle name="Comma 2 2 3 3 3 8" xfId="7797" xr:uid="{00000000-0005-0000-0000-0000721E0000}"/>
    <cellStyle name="Comma 2 2 3 3 3 9" xfId="7798" xr:uid="{00000000-0005-0000-0000-0000731E0000}"/>
    <cellStyle name="Comma 2 2 3 3 4" xfId="7799" xr:uid="{00000000-0005-0000-0000-0000741E0000}"/>
    <cellStyle name="Comma 2 2 3 3 4 2" xfId="7800" xr:uid="{00000000-0005-0000-0000-0000751E0000}"/>
    <cellStyle name="Comma 2 2 3 3 4 2 2" xfId="7801" xr:uid="{00000000-0005-0000-0000-0000761E0000}"/>
    <cellStyle name="Comma 2 2 3 3 4 2 3" xfId="7802" xr:uid="{00000000-0005-0000-0000-0000771E0000}"/>
    <cellStyle name="Comma 2 2 3 3 4 3" xfId="7803" xr:uid="{00000000-0005-0000-0000-0000781E0000}"/>
    <cellStyle name="Comma 2 2 3 3 4 4" xfId="7804" xr:uid="{00000000-0005-0000-0000-0000791E0000}"/>
    <cellStyle name="Comma 2 2 3 3 4 5" xfId="7805" xr:uid="{00000000-0005-0000-0000-00007A1E0000}"/>
    <cellStyle name="Comma 2 2 3 3 4 6" xfId="7806" xr:uid="{00000000-0005-0000-0000-00007B1E0000}"/>
    <cellStyle name="Comma 2 2 3 3 5" xfId="7807" xr:uid="{00000000-0005-0000-0000-00007C1E0000}"/>
    <cellStyle name="Comma 2 2 3 3 5 2" xfId="7808" xr:uid="{00000000-0005-0000-0000-00007D1E0000}"/>
    <cellStyle name="Comma 2 2 3 3 5 2 2" xfId="7809" xr:uid="{00000000-0005-0000-0000-00007E1E0000}"/>
    <cellStyle name="Comma 2 2 3 3 5 3" xfId="7810" xr:uid="{00000000-0005-0000-0000-00007F1E0000}"/>
    <cellStyle name="Comma 2 2 3 3 5 4" xfId="7811" xr:uid="{00000000-0005-0000-0000-0000801E0000}"/>
    <cellStyle name="Comma 2 2 3 3 5 5" xfId="7812" xr:uid="{00000000-0005-0000-0000-0000811E0000}"/>
    <cellStyle name="Comma 2 2 3 3 6" xfId="7813" xr:uid="{00000000-0005-0000-0000-0000821E0000}"/>
    <cellStyle name="Comma 2 2 3 3 6 2" xfId="7814" xr:uid="{00000000-0005-0000-0000-0000831E0000}"/>
    <cellStyle name="Comma 2 2 3 3 6 3" xfId="7815" xr:uid="{00000000-0005-0000-0000-0000841E0000}"/>
    <cellStyle name="Comma 2 2 3 3 6 4" xfId="7816" xr:uid="{00000000-0005-0000-0000-0000851E0000}"/>
    <cellStyle name="Comma 2 2 3 3 7" xfId="7817" xr:uid="{00000000-0005-0000-0000-0000861E0000}"/>
    <cellStyle name="Comma 2 2 3 3 7 2" xfId="7818" xr:uid="{00000000-0005-0000-0000-0000871E0000}"/>
    <cellStyle name="Comma 2 2 3 3 8" xfId="7819" xr:uid="{00000000-0005-0000-0000-0000881E0000}"/>
    <cellStyle name="Comma 2 2 3 3 9" xfId="7820" xr:uid="{00000000-0005-0000-0000-0000891E0000}"/>
    <cellStyle name="Comma 2 2 3 4" xfId="7821" xr:uid="{00000000-0005-0000-0000-00008A1E0000}"/>
    <cellStyle name="Comma 2 2 3 4 10" xfId="7822" xr:uid="{00000000-0005-0000-0000-00008B1E0000}"/>
    <cellStyle name="Comma 2 2 3 4 11" xfId="7823" xr:uid="{00000000-0005-0000-0000-00008C1E0000}"/>
    <cellStyle name="Comma 2 2 3 4 2" xfId="7824" xr:uid="{00000000-0005-0000-0000-00008D1E0000}"/>
    <cellStyle name="Comma 2 2 3 4 2 2" xfId="7825" xr:uid="{00000000-0005-0000-0000-00008E1E0000}"/>
    <cellStyle name="Comma 2 2 3 4 2 2 2" xfId="7826" xr:uid="{00000000-0005-0000-0000-00008F1E0000}"/>
    <cellStyle name="Comma 2 2 3 4 2 2 2 2" xfId="7827" xr:uid="{00000000-0005-0000-0000-0000901E0000}"/>
    <cellStyle name="Comma 2 2 3 4 2 2 2 3" xfId="7828" xr:uid="{00000000-0005-0000-0000-0000911E0000}"/>
    <cellStyle name="Comma 2 2 3 4 2 2 3" xfId="7829" xr:uid="{00000000-0005-0000-0000-0000921E0000}"/>
    <cellStyle name="Comma 2 2 3 4 2 2 4" xfId="7830" xr:uid="{00000000-0005-0000-0000-0000931E0000}"/>
    <cellStyle name="Comma 2 2 3 4 2 2 5" xfId="7831" xr:uid="{00000000-0005-0000-0000-0000941E0000}"/>
    <cellStyle name="Comma 2 2 3 4 2 2 6" xfId="7832" xr:uid="{00000000-0005-0000-0000-0000951E0000}"/>
    <cellStyle name="Comma 2 2 3 4 2 3" xfId="7833" xr:uid="{00000000-0005-0000-0000-0000961E0000}"/>
    <cellStyle name="Comma 2 2 3 4 2 3 2" xfId="7834" xr:uid="{00000000-0005-0000-0000-0000971E0000}"/>
    <cellStyle name="Comma 2 2 3 4 2 3 2 2" xfId="7835" xr:uid="{00000000-0005-0000-0000-0000981E0000}"/>
    <cellStyle name="Comma 2 2 3 4 2 3 3" xfId="7836" xr:uid="{00000000-0005-0000-0000-0000991E0000}"/>
    <cellStyle name="Comma 2 2 3 4 2 3 4" xfId="7837" xr:uid="{00000000-0005-0000-0000-00009A1E0000}"/>
    <cellStyle name="Comma 2 2 3 4 2 3 5" xfId="7838" xr:uid="{00000000-0005-0000-0000-00009B1E0000}"/>
    <cellStyle name="Comma 2 2 3 4 2 4" xfId="7839" xr:uid="{00000000-0005-0000-0000-00009C1E0000}"/>
    <cellStyle name="Comma 2 2 3 4 2 4 2" xfId="7840" xr:uid="{00000000-0005-0000-0000-00009D1E0000}"/>
    <cellStyle name="Comma 2 2 3 4 2 4 3" xfId="7841" xr:uid="{00000000-0005-0000-0000-00009E1E0000}"/>
    <cellStyle name="Comma 2 2 3 4 2 4 4" xfId="7842" xr:uid="{00000000-0005-0000-0000-00009F1E0000}"/>
    <cellStyle name="Comma 2 2 3 4 2 5" xfId="7843" xr:uid="{00000000-0005-0000-0000-0000A01E0000}"/>
    <cellStyle name="Comma 2 2 3 4 2 5 2" xfId="7844" xr:uid="{00000000-0005-0000-0000-0000A11E0000}"/>
    <cellStyle name="Comma 2 2 3 4 2 6" xfId="7845" xr:uid="{00000000-0005-0000-0000-0000A21E0000}"/>
    <cellStyle name="Comma 2 2 3 4 2 7" xfId="7846" xr:uid="{00000000-0005-0000-0000-0000A31E0000}"/>
    <cellStyle name="Comma 2 2 3 4 2 8" xfId="7847" xr:uid="{00000000-0005-0000-0000-0000A41E0000}"/>
    <cellStyle name="Comma 2 2 3 4 2 9" xfId="7848" xr:uid="{00000000-0005-0000-0000-0000A51E0000}"/>
    <cellStyle name="Comma 2 2 3 4 3" xfId="7849" xr:uid="{00000000-0005-0000-0000-0000A61E0000}"/>
    <cellStyle name="Comma 2 2 3 4 3 2" xfId="7850" xr:uid="{00000000-0005-0000-0000-0000A71E0000}"/>
    <cellStyle name="Comma 2 2 3 4 3 2 2" xfId="7851" xr:uid="{00000000-0005-0000-0000-0000A81E0000}"/>
    <cellStyle name="Comma 2 2 3 4 3 2 2 2" xfId="7852" xr:uid="{00000000-0005-0000-0000-0000A91E0000}"/>
    <cellStyle name="Comma 2 2 3 4 3 2 2 3" xfId="7853" xr:uid="{00000000-0005-0000-0000-0000AA1E0000}"/>
    <cellStyle name="Comma 2 2 3 4 3 2 3" xfId="7854" xr:uid="{00000000-0005-0000-0000-0000AB1E0000}"/>
    <cellStyle name="Comma 2 2 3 4 3 2 4" xfId="7855" xr:uid="{00000000-0005-0000-0000-0000AC1E0000}"/>
    <cellStyle name="Comma 2 2 3 4 3 2 5" xfId="7856" xr:uid="{00000000-0005-0000-0000-0000AD1E0000}"/>
    <cellStyle name="Comma 2 2 3 4 3 2 6" xfId="7857" xr:uid="{00000000-0005-0000-0000-0000AE1E0000}"/>
    <cellStyle name="Comma 2 2 3 4 3 3" xfId="7858" xr:uid="{00000000-0005-0000-0000-0000AF1E0000}"/>
    <cellStyle name="Comma 2 2 3 4 3 3 2" xfId="7859" xr:uid="{00000000-0005-0000-0000-0000B01E0000}"/>
    <cellStyle name="Comma 2 2 3 4 3 3 2 2" xfId="7860" xr:uid="{00000000-0005-0000-0000-0000B11E0000}"/>
    <cellStyle name="Comma 2 2 3 4 3 3 3" xfId="7861" xr:uid="{00000000-0005-0000-0000-0000B21E0000}"/>
    <cellStyle name="Comma 2 2 3 4 3 3 4" xfId="7862" xr:uid="{00000000-0005-0000-0000-0000B31E0000}"/>
    <cellStyle name="Comma 2 2 3 4 3 3 5" xfId="7863" xr:uid="{00000000-0005-0000-0000-0000B41E0000}"/>
    <cellStyle name="Comma 2 2 3 4 3 4" xfId="7864" xr:uid="{00000000-0005-0000-0000-0000B51E0000}"/>
    <cellStyle name="Comma 2 2 3 4 3 4 2" xfId="7865" xr:uid="{00000000-0005-0000-0000-0000B61E0000}"/>
    <cellStyle name="Comma 2 2 3 4 3 4 3" xfId="7866" xr:uid="{00000000-0005-0000-0000-0000B71E0000}"/>
    <cellStyle name="Comma 2 2 3 4 3 4 4" xfId="7867" xr:uid="{00000000-0005-0000-0000-0000B81E0000}"/>
    <cellStyle name="Comma 2 2 3 4 3 5" xfId="7868" xr:uid="{00000000-0005-0000-0000-0000B91E0000}"/>
    <cellStyle name="Comma 2 2 3 4 3 5 2" xfId="7869" xr:uid="{00000000-0005-0000-0000-0000BA1E0000}"/>
    <cellStyle name="Comma 2 2 3 4 3 6" xfId="7870" xr:uid="{00000000-0005-0000-0000-0000BB1E0000}"/>
    <cellStyle name="Comma 2 2 3 4 3 7" xfId="7871" xr:uid="{00000000-0005-0000-0000-0000BC1E0000}"/>
    <cellStyle name="Comma 2 2 3 4 3 8" xfId="7872" xr:uid="{00000000-0005-0000-0000-0000BD1E0000}"/>
    <cellStyle name="Comma 2 2 3 4 3 9" xfId="7873" xr:uid="{00000000-0005-0000-0000-0000BE1E0000}"/>
    <cellStyle name="Comma 2 2 3 4 4" xfId="7874" xr:uid="{00000000-0005-0000-0000-0000BF1E0000}"/>
    <cellStyle name="Comma 2 2 3 4 4 2" xfId="7875" xr:uid="{00000000-0005-0000-0000-0000C01E0000}"/>
    <cellStyle name="Comma 2 2 3 4 4 2 2" xfId="7876" xr:uid="{00000000-0005-0000-0000-0000C11E0000}"/>
    <cellStyle name="Comma 2 2 3 4 4 2 3" xfId="7877" xr:uid="{00000000-0005-0000-0000-0000C21E0000}"/>
    <cellStyle name="Comma 2 2 3 4 4 3" xfId="7878" xr:uid="{00000000-0005-0000-0000-0000C31E0000}"/>
    <cellStyle name="Comma 2 2 3 4 4 4" xfId="7879" xr:uid="{00000000-0005-0000-0000-0000C41E0000}"/>
    <cellStyle name="Comma 2 2 3 4 4 5" xfId="7880" xr:uid="{00000000-0005-0000-0000-0000C51E0000}"/>
    <cellStyle name="Comma 2 2 3 4 4 6" xfId="7881" xr:uid="{00000000-0005-0000-0000-0000C61E0000}"/>
    <cellStyle name="Comma 2 2 3 4 5" xfId="7882" xr:uid="{00000000-0005-0000-0000-0000C71E0000}"/>
    <cellStyle name="Comma 2 2 3 4 5 2" xfId="7883" xr:uid="{00000000-0005-0000-0000-0000C81E0000}"/>
    <cellStyle name="Comma 2 2 3 4 5 2 2" xfId="7884" xr:uid="{00000000-0005-0000-0000-0000C91E0000}"/>
    <cellStyle name="Comma 2 2 3 4 5 3" xfId="7885" xr:uid="{00000000-0005-0000-0000-0000CA1E0000}"/>
    <cellStyle name="Comma 2 2 3 4 5 4" xfId="7886" xr:uid="{00000000-0005-0000-0000-0000CB1E0000}"/>
    <cellStyle name="Comma 2 2 3 4 5 5" xfId="7887" xr:uid="{00000000-0005-0000-0000-0000CC1E0000}"/>
    <cellStyle name="Comma 2 2 3 4 6" xfId="7888" xr:uid="{00000000-0005-0000-0000-0000CD1E0000}"/>
    <cellStyle name="Comma 2 2 3 4 6 2" xfId="7889" xr:uid="{00000000-0005-0000-0000-0000CE1E0000}"/>
    <cellStyle name="Comma 2 2 3 4 6 3" xfId="7890" xr:uid="{00000000-0005-0000-0000-0000CF1E0000}"/>
    <cellStyle name="Comma 2 2 3 4 6 4" xfId="7891" xr:uid="{00000000-0005-0000-0000-0000D01E0000}"/>
    <cellStyle name="Comma 2 2 3 4 7" xfId="7892" xr:uid="{00000000-0005-0000-0000-0000D11E0000}"/>
    <cellStyle name="Comma 2 2 3 4 7 2" xfId="7893" xr:uid="{00000000-0005-0000-0000-0000D21E0000}"/>
    <cellStyle name="Comma 2 2 3 4 8" xfId="7894" xr:uid="{00000000-0005-0000-0000-0000D31E0000}"/>
    <cellStyle name="Comma 2 2 3 4 9" xfId="7895" xr:uid="{00000000-0005-0000-0000-0000D41E0000}"/>
    <cellStyle name="Comma 2 2 3 5" xfId="7896" xr:uid="{00000000-0005-0000-0000-0000D51E0000}"/>
    <cellStyle name="Comma 2 2 3 5 10" xfId="7897" xr:uid="{00000000-0005-0000-0000-0000D61E0000}"/>
    <cellStyle name="Comma 2 2 3 5 11" xfId="7898" xr:uid="{00000000-0005-0000-0000-0000D71E0000}"/>
    <cellStyle name="Comma 2 2 3 5 2" xfId="7899" xr:uid="{00000000-0005-0000-0000-0000D81E0000}"/>
    <cellStyle name="Comma 2 2 3 5 2 2" xfId="7900" xr:uid="{00000000-0005-0000-0000-0000D91E0000}"/>
    <cellStyle name="Comma 2 2 3 5 2 2 2" xfId="7901" xr:uid="{00000000-0005-0000-0000-0000DA1E0000}"/>
    <cellStyle name="Comma 2 2 3 5 2 2 2 2" xfId="7902" xr:uid="{00000000-0005-0000-0000-0000DB1E0000}"/>
    <cellStyle name="Comma 2 2 3 5 2 2 2 3" xfId="7903" xr:uid="{00000000-0005-0000-0000-0000DC1E0000}"/>
    <cellStyle name="Comma 2 2 3 5 2 2 3" xfId="7904" xr:uid="{00000000-0005-0000-0000-0000DD1E0000}"/>
    <cellStyle name="Comma 2 2 3 5 2 2 4" xfId="7905" xr:uid="{00000000-0005-0000-0000-0000DE1E0000}"/>
    <cellStyle name="Comma 2 2 3 5 2 2 5" xfId="7906" xr:uid="{00000000-0005-0000-0000-0000DF1E0000}"/>
    <cellStyle name="Comma 2 2 3 5 2 2 6" xfId="7907" xr:uid="{00000000-0005-0000-0000-0000E01E0000}"/>
    <cellStyle name="Comma 2 2 3 5 2 3" xfId="7908" xr:uid="{00000000-0005-0000-0000-0000E11E0000}"/>
    <cellStyle name="Comma 2 2 3 5 2 3 2" xfId="7909" xr:uid="{00000000-0005-0000-0000-0000E21E0000}"/>
    <cellStyle name="Comma 2 2 3 5 2 3 2 2" xfId="7910" xr:uid="{00000000-0005-0000-0000-0000E31E0000}"/>
    <cellStyle name="Comma 2 2 3 5 2 3 3" xfId="7911" xr:uid="{00000000-0005-0000-0000-0000E41E0000}"/>
    <cellStyle name="Comma 2 2 3 5 2 3 4" xfId="7912" xr:uid="{00000000-0005-0000-0000-0000E51E0000}"/>
    <cellStyle name="Comma 2 2 3 5 2 3 5" xfId="7913" xr:uid="{00000000-0005-0000-0000-0000E61E0000}"/>
    <cellStyle name="Comma 2 2 3 5 2 4" xfId="7914" xr:uid="{00000000-0005-0000-0000-0000E71E0000}"/>
    <cellStyle name="Comma 2 2 3 5 2 4 2" xfId="7915" xr:uid="{00000000-0005-0000-0000-0000E81E0000}"/>
    <cellStyle name="Comma 2 2 3 5 2 4 3" xfId="7916" xr:uid="{00000000-0005-0000-0000-0000E91E0000}"/>
    <cellStyle name="Comma 2 2 3 5 2 4 4" xfId="7917" xr:uid="{00000000-0005-0000-0000-0000EA1E0000}"/>
    <cellStyle name="Comma 2 2 3 5 2 5" xfId="7918" xr:uid="{00000000-0005-0000-0000-0000EB1E0000}"/>
    <cellStyle name="Comma 2 2 3 5 2 5 2" xfId="7919" xr:uid="{00000000-0005-0000-0000-0000EC1E0000}"/>
    <cellStyle name="Comma 2 2 3 5 2 6" xfId="7920" xr:uid="{00000000-0005-0000-0000-0000ED1E0000}"/>
    <cellStyle name="Comma 2 2 3 5 2 7" xfId="7921" xr:uid="{00000000-0005-0000-0000-0000EE1E0000}"/>
    <cellStyle name="Comma 2 2 3 5 2 8" xfId="7922" xr:uid="{00000000-0005-0000-0000-0000EF1E0000}"/>
    <cellStyle name="Comma 2 2 3 5 2 9" xfId="7923" xr:uid="{00000000-0005-0000-0000-0000F01E0000}"/>
    <cellStyle name="Comma 2 2 3 5 3" xfId="7924" xr:uid="{00000000-0005-0000-0000-0000F11E0000}"/>
    <cellStyle name="Comma 2 2 3 5 3 2" xfId="7925" xr:uid="{00000000-0005-0000-0000-0000F21E0000}"/>
    <cellStyle name="Comma 2 2 3 5 3 2 2" xfId="7926" xr:uid="{00000000-0005-0000-0000-0000F31E0000}"/>
    <cellStyle name="Comma 2 2 3 5 3 2 2 2" xfId="7927" xr:uid="{00000000-0005-0000-0000-0000F41E0000}"/>
    <cellStyle name="Comma 2 2 3 5 3 2 2 3" xfId="7928" xr:uid="{00000000-0005-0000-0000-0000F51E0000}"/>
    <cellStyle name="Comma 2 2 3 5 3 2 3" xfId="7929" xr:uid="{00000000-0005-0000-0000-0000F61E0000}"/>
    <cellStyle name="Comma 2 2 3 5 3 2 4" xfId="7930" xr:uid="{00000000-0005-0000-0000-0000F71E0000}"/>
    <cellStyle name="Comma 2 2 3 5 3 2 5" xfId="7931" xr:uid="{00000000-0005-0000-0000-0000F81E0000}"/>
    <cellStyle name="Comma 2 2 3 5 3 2 6" xfId="7932" xr:uid="{00000000-0005-0000-0000-0000F91E0000}"/>
    <cellStyle name="Comma 2 2 3 5 3 3" xfId="7933" xr:uid="{00000000-0005-0000-0000-0000FA1E0000}"/>
    <cellStyle name="Comma 2 2 3 5 3 3 2" xfId="7934" xr:uid="{00000000-0005-0000-0000-0000FB1E0000}"/>
    <cellStyle name="Comma 2 2 3 5 3 3 2 2" xfId="7935" xr:uid="{00000000-0005-0000-0000-0000FC1E0000}"/>
    <cellStyle name="Comma 2 2 3 5 3 3 3" xfId="7936" xr:uid="{00000000-0005-0000-0000-0000FD1E0000}"/>
    <cellStyle name="Comma 2 2 3 5 3 3 4" xfId="7937" xr:uid="{00000000-0005-0000-0000-0000FE1E0000}"/>
    <cellStyle name="Comma 2 2 3 5 3 3 5" xfId="7938" xr:uid="{00000000-0005-0000-0000-0000FF1E0000}"/>
    <cellStyle name="Comma 2 2 3 5 3 4" xfId="7939" xr:uid="{00000000-0005-0000-0000-0000001F0000}"/>
    <cellStyle name="Comma 2 2 3 5 3 4 2" xfId="7940" xr:uid="{00000000-0005-0000-0000-0000011F0000}"/>
    <cellStyle name="Comma 2 2 3 5 3 4 3" xfId="7941" xr:uid="{00000000-0005-0000-0000-0000021F0000}"/>
    <cellStyle name="Comma 2 2 3 5 3 4 4" xfId="7942" xr:uid="{00000000-0005-0000-0000-0000031F0000}"/>
    <cellStyle name="Comma 2 2 3 5 3 5" xfId="7943" xr:uid="{00000000-0005-0000-0000-0000041F0000}"/>
    <cellStyle name="Comma 2 2 3 5 3 5 2" xfId="7944" xr:uid="{00000000-0005-0000-0000-0000051F0000}"/>
    <cellStyle name="Comma 2 2 3 5 3 6" xfId="7945" xr:uid="{00000000-0005-0000-0000-0000061F0000}"/>
    <cellStyle name="Comma 2 2 3 5 3 7" xfId="7946" xr:uid="{00000000-0005-0000-0000-0000071F0000}"/>
    <cellStyle name="Comma 2 2 3 5 3 8" xfId="7947" xr:uid="{00000000-0005-0000-0000-0000081F0000}"/>
    <cellStyle name="Comma 2 2 3 5 3 9" xfId="7948" xr:uid="{00000000-0005-0000-0000-0000091F0000}"/>
    <cellStyle name="Comma 2 2 3 5 4" xfId="7949" xr:uid="{00000000-0005-0000-0000-00000A1F0000}"/>
    <cellStyle name="Comma 2 2 3 5 4 2" xfId="7950" xr:uid="{00000000-0005-0000-0000-00000B1F0000}"/>
    <cellStyle name="Comma 2 2 3 5 4 2 2" xfId="7951" xr:uid="{00000000-0005-0000-0000-00000C1F0000}"/>
    <cellStyle name="Comma 2 2 3 5 4 2 3" xfId="7952" xr:uid="{00000000-0005-0000-0000-00000D1F0000}"/>
    <cellStyle name="Comma 2 2 3 5 4 3" xfId="7953" xr:uid="{00000000-0005-0000-0000-00000E1F0000}"/>
    <cellStyle name="Comma 2 2 3 5 4 4" xfId="7954" xr:uid="{00000000-0005-0000-0000-00000F1F0000}"/>
    <cellStyle name="Comma 2 2 3 5 4 5" xfId="7955" xr:uid="{00000000-0005-0000-0000-0000101F0000}"/>
    <cellStyle name="Comma 2 2 3 5 4 6" xfId="7956" xr:uid="{00000000-0005-0000-0000-0000111F0000}"/>
    <cellStyle name="Comma 2 2 3 5 5" xfId="7957" xr:uid="{00000000-0005-0000-0000-0000121F0000}"/>
    <cellStyle name="Comma 2 2 3 5 5 2" xfId="7958" xr:uid="{00000000-0005-0000-0000-0000131F0000}"/>
    <cellStyle name="Comma 2 2 3 5 5 2 2" xfId="7959" xr:uid="{00000000-0005-0000-0000-0000141F0000}"/>
    <cellStyle name="Comma 2 2 3 5 5 3" xfId="7960" xr:uid="{00000000-0005-0000-0000-0000151F0000}"/>
    <cellStyle name="Comma 2 2 3 5 5 4" xfId="7961" xr:uid="{00000000-0005-0000-0000-0000161F0000}"/>
    <cellStyle name="Comma 2 2 3 5 5 5" xfId="7962" xr:uid="{00000000-0005-0000-0000-0000171F0000}"/>
    <cellStyle name="Comma 2 2 3 5 6" xfId="7963" xr:uid="{00000000-0005-0000-0000-0000181F0000}"/>
    <cellStyle name="Comma 2 2 3 5 6 2" xfId="7964" xr:uid="{00000000-0005-0000-0000-0000191F0000}"/>
    <cellStyle name="Comma 2 2 3 5 6 3" xfId="7965" xr:uid="{00000000-0005-0000-0000-00001A1F0000}"/>
    <cellStyle name="Comma 2 2 3 5 6 4" xfId="7966" xr:uid="{00000000-0005-0000-0000-00001B1F0000}"/>
    <cellStyle name="Comma 2 2 3 5 7" xfId="7967" xr:uid="{00000000-0005-0000-0000-00001C1F0000}"/>
    <cellStyle name="Comma 2 2 3 5 7 2" xfId="7968" xr:uid="{00000000-0005-0000-0000-00001D1F0000}"/>
    <cellStyle name="Comma 2 2 3 5 8" xfId="7969" xr:uid="{00000000-0005-0000-0000-00001E1F0000}"/>
    <cellStyle name="Comma 2 2 3 5 9" xfId="7970" xr:uid="{00000000-0005-0000-0000-00001F1F0000}"/>
    <cellStyle name="Comma 2 2 3 6" xfId="7971" xr:uid="{00000000-0005-0000-0000-0000201F0000}"/>
    <cellStyle name="Comma 2 2 3 6 10" xfId="7972" xr:uid="{00000000-0005-0000-0000-0000211F0000}"/>
    <cellStyle name="Comma 2 2 3 6 11" xfId="7973" xr:uid="{00000000-0005-0000-0000-0000221F0000}"/>
    <cellStyle name="Comma 2 2 3 6 2" xfId="7974" xr:uid="{00000000-0005-0000-0000-0000231F0000}"/>
    <cellStyle name="Comma 2 2 3 6 2 2" xfId="7975" xr:uid="{00000000-0005-0000-0000-0000241F0000}"/>
    <cellStyle name="Comma 2 2 3 6 2 2 2" xfId="7976" xr:uid="{00000000-0005-0000-0000-0000251F0000}"/>
    <cellStyle name="Comma 2 2 3 6 2 2 2 2" xfId="7977" xr:uid="{00000000-0005-0000-0000-0000261F0000}"/>
    <cellStyle name="Comma 2 2 3 6 2 2 2 3" xfId="7978" xr:uid="{00000000-0005-0000-0000-0000271F0000}"/>
    <cellStyle name="Comma 2 2 3 6 2 2 3" xfId="7979" xr:uid="{00000000-0005-0000-0000-0000281F0000}"/>
    <cellStyle name="Comma 2 2 3 6 2 2 4" xfId="7980" xr:uid="{00000000-0005-0000-0000-0000291F0000}"/>
    <cellStyle name="Comma 2 2 3 6 2 2 5" xfId="7981" xr:uid="{00000000-0005-0000-0000-00002A1F0000}"/>
    <cellStyle name="Comma 2 2 3 6 2 2 6" xfId="7982" xr:uid="{00000000-0005-0000-0000-00002B1F0000}"/>
    <cellStyle name="Comma 2 2 3 6 2 3" xfId="7983" xr:uid="{00000000-0005-0000-0000-00002C1F0000}"/>
    <cellStyle name="Comma 2 2 3 6 2 3 2" xfId="7984" xr:uid="{00000000-0005-0000-0000-00002D1F0000}"/>
    <cellStyle name="Comma 2 2 3 6 2 3 2 2" xfId="7985" xr:uid="{00000000-0005-0000-0000-00002E1F0000}"/>
    <cellStyle name="Comma 2 2 3 6 2 3 3" xfId="7986" xr:uid="{00000000-0005-0000-0000-00002F1F0000}"/>
    <cellStyle name="Comma 2 2 3 6 2 3 4" xfId="7987" xr:uid="{00000000-0005-0000-0000-0000301F0000}"/>
    <cellStyle name="Comma 2 2 3 6 2 3 5" xfId="7988" xr:uid="{00000000-0005-0000-0000-0000311F0000}"/>
    <cellStyle name="Comma 2 2 3 6 2 4" xfId="7989" xr:uid="{00000000-0005-0000-0000-0000321F0000}"/>
    <cellStyle name="Comma 2 2 3 6 2 4 2" xfId="7990" xr:uid="{00000000-0005-0000-0000-0000331F0000}"/>
    <cellStyle name="Comma 2 2 3 6 2 4 3" xfId="7991" xr:uid="{00000000-0005-0000-0000-0000341F0000}"/>
    <cellStyle name="Comma 2 2 3 6 2 4 4" xfId="7992" xr:uid="{00000000-0005-0000-0000-0000351F0000}"/>
    <cellStyle name="Comma 2 2 3 6 2 5" xfId="7993" xr:uid="{00000000-0005-0000-0000-0000361F0000}"/>
    <cellStyle name="Comma 2 2 3 6 2 5 2" xfId="7994" xr:uid="{00000000-0005-0000-0000-0000371F0000}"/>
    <cellStyle name="Comma 2 2 3 6 2 6" xfId="7995" xr:uid="{00000000-0005-0000-0000-0000381F0000}"/>
    <cellStyle name="Comma 2 2 3 6 2 7" xfId="7996" xr:uid="{00000000-0005-0000-0000-0000391F0000}"/>
    <cellStyle name="Comma 2 2 3 6 2 8" xfId="7997" xr:uid="{00000000-0005-0000-0000-00003A1F0000}"/>
    <cellStyle name="Comma 2 2 3 6 2 9" xfId="7998" xr:uid="{00000000-0005-0000-0000-00003B1F0000}"/>
    <cellStyle name="Comma 2 2 3 6 3" xfId="7999" xr:uid="{00000000-0005-0000-0000-00003C1F0000}"/>
    <cellStyle name="Comma 2 2 3 6 3 2" xfId="8000" xr:uid="{00000000-0005-0000-0000-00003D1F0000}"/>
    <cellStyle name="Comma 2 2 3 6 3 2 2" xfId="8001" xr:uid="{00000000-0005-0000-0000-00003E1F0000}"/>
    <cellStyle name="Comma 2 2 3 6 3 2 2 2" xfId="8002" xr:uid="{00000000-0005-0000-0000-00003F1F0000}"/>
    <cellStyle name="Comma 2 2 3 6 3 2 2 3" xfId="8003" xr:uid="{00000000-0005-0000-0000-0000401F0000}"/>
    <cellStyle name="Comma 2 2 3 6 3 2 3" xfId="8004" xr:uid="{00000000-0005-0000-0000-0000411F0000}"/>
    <cellStyle name="Comma 2 2 3 6 3 2 4" xfId="8005" xr:uid="{00000000-0005-0000-0000-0000421F0000}"/>
    <cellStyle name="Comma 2 2 3 6 3 2 5" xfId="8006" xr:uid="{00000000-0005-0000-0000-0000431F0000}"/>
    <cellStyle name="Comma 2 2 3 6 3 2 6" xfId="8007" xr:uid="{00000000-0005-0000-0000-0000441F0000}"/>
    <cellStyle name="Comma 2 2 3 6 3 3" xfId="8008" xr:uid="{00000000-0005-0000-0000-0000451F0000}"/>
    <cellStyle name="Comma 2 2 3 6 3 3 2" xfId="8009" xr:uid="{00000000-0005-0000-0000-0000461F0000}"/>
    <cellStyle name="Comma 2 2 3 6 3 3 2 2" xfId="8010" xr:uid="{00000000-0005-0000-0000-0000471F0000}"/>
    <cellStyle name="Comma 2 2 3 6 3 3 3" xfId="8011" xr:uid="{00000000-0005-0000-0000-0000481F0000}"/>
    <cellStyle name="Comma 2 2 3 6 3 3 4" xfId="8012" xr:uid="{00000000-0005-0000-0000-0000491F0000}"/>
    <cellStyle name="Comma 2 2 3 6 3 3 5" xfId="8013" xr:uid="{00000000-0005-0000-0000-00004A1F0000}"/>
    <cellStyle name="Comma 2 2 3 6 3 4" xfId="8014" xr:uid="{00000000-0005-0000-0000-00004B1F0000}"/>
    <cellStyle name="Comma 2 2 3 6 3 4 2" xfId="8015" xr:uid="{00000000-0005-0000-0000-00004C1F0000}"/>
    <cellStyle name="Comma 2 2 3 6 3 4 3" xfId="8016" xr:uid="{00000000-0005-0000-0000-00004D1F0000}"/>
    <cellStyle name="Comma 2 2 3 6 3 4 4" xfId="8017" xr:uid="{00000000-0005-0000-0000-00004E1F0000}"/>
    <cellStyle name="Comma 2 2 3 6 3 5" xfId="8018" xr:uid="{00000000-0005-0000-0000-00004F1F0000}"/>
    <cellStyle name="Comma 2 2 3 6 3 5 2" xfId="8019" xr:uid="{00000000-0005-0000-0000-0000501F0000}"/>
    <cellStyle name="Comma 2 2 3 6 3 6" xfId="8020" xr:uid="{00000000-0005-0000-0000-0000511F0000}"/>
    <cellStyle name="Comma 2 2 3 6 3 7" xfId="8021" xr:uid="{00000000-0005-0000-0000-0000521F0000}"/>
    <cellStyle name="Comma 2 2 3 6 3 8" xfId="8022" xr:uid="{00000000-0005-0000-0000-0000531F0000}"/>
    <cellStyle name="Comma 2 2 3 6 3 9" xfId="8023" xr:uid="{00000000-0005-0000-0000-0000541F0000}"/>
    <cellStyle name="Comma 2 2 3 6 4" xfId="8024" xr:uid="{00000000-0005-0000-0000-0000551F0000}"/>
    <cellStyle name="Comma 2 2 3 6 4 2" xfId="8025" xr:uid="{00000000-0005-0000-0000-0000561F0000}"/>
    <cellStyle name="Comma 2 2 3 6 4 2 2" xfId="8026" xr:uid="{00000000-0005-0000-0000-0000571F0000}"/>
    <cellStyle name="Comma 2 2 3 6 4 2 3" xfId="8027" xr:uid="{00000000-0005-0000-0000-0000581F0000}"/>
    <cellStyle name="Comma 2 2 3 6 4 3" xfId="8028" xr:uid="{00000000-0005-0000-0000-0000591F0000}"/>
    <cellStyle name="Comma 2 2 3 6 4 4" xfId="8029" xr:uid="{00000000-0005-0000-0000-00005A1F0000}"/>
    <cellStyle name="Comma 2 2 3 6 4 5" xfId="8030" xr:uid="{00000000-0005-0000-0000-00005B1F0000}"/>
    <cellStyle name="Comma 2 2 3 6 4 6" xfId="8031" xr:uid="{00000000-0005-0000-0000-00005C1F0000}"/>
    <cellStyle name="Comma 2 2 3 6 5" xfId="8032" xr:uid="{00000000-0005-0000-0000-00005D1F0000}"/>
    <cellStyle name="Comma 2 2 3 6 5 2" xfId="8033" xr:uid="{00000000-0005-0000-0000-00005E1F0000}"/>
    <cellStyle name="Comma 2 2 3 6 5 2 2" xfId="8034" xr:uid="{00000000-0005-0000-0000-00005F1F0000}"/>
    <cellStyle name="Comma 2 2 3 6 5 3" xfId="8035" xr:uid="{00000000-0005-0000-0000-0000601F0000}"/>
    <cellStyle name="Comma 2 2 3 6 5 4" xfId="8036" xr:uid="{00000000-0005-0000-0000-0000611F0000}"/>
    <cellStyle name="Comma 2 2 3 6 5 5" xfId="8037" xr:uid="{00000000-0005-0000-0000-0000621F0000}"/>
    <cellStyle name="Comma 2 2 3 6 6" xfId="8038" xr:uid="{00000000-0005-0000-0000-0000631F0000}"/>
    <cellStyle name="Comma 2 2 3 6 6 2" xfId="8039" xr:uid="{00000000-0005-0000-0000-0000641F0000}"/>
    <cellStyle name="Comma 2 2 3 6 6 3" xfId="8040" xr:uid="{00000000-0005-0000-0000-0000651F0000}"/>
    <cellStyle name="Comma 2 2 3 6 6 4" xfId="8041" xr:uid="{00000000-0005-0000-0000-0000661F0000}"/>
    <cellStyle name="Comma 2 2 3 6 7" xfId="8042" xr:uid="{00000000-0005-0000-0000-0000671F0000}"/>
    <cellStyle name="Comma 2 2 3 6 7 2" xfId="8043" xr:uid="{00000000-0005-0000-0000-0000681F0000}"/>
    <cellStyle name="Comma 2 2 3 6 8" xfId="8044" xr:uid="{00000000-0005-0000-0000-0000691F0000}"/>
    <cellStyle name="Comma 2 2 3 6 9" xfId="8045" xr:uid="{00000000-0005-0000-0000-00006A1F0000}"/>
    <cellStyle name="Comma 2 2 3 7" xfId="8046" xr:uid="{00000000-0005-0000-0000-00006B1F0000}"/>
    <cellStyle name="Comma 2 2 3 7 10" xfId="8047" xr:uid="{00000000-0005-0000-0000-00006C1F0000}"/>
    <cellStyle name="Comma 2 2 3 7 11" xfId="8048" xr:uid="{00000000-0005-0000-0000-00006D1F0000}"/>
    <cellStyle name="Comma 2 2 3 7 2" xfId="8049" xr:uid="{00000000-0005-0000-0000-00006E1F0000}"/>
    <cellStyle name="Comma 2 2 3 7 2 2" xfId="8050" xr:uid="{00000000-0005-0000-0000-00006F1F0000}"/>
    <cellStyle name="Comma 2 2 3 7 2 2 2" xfId="8051" xr:uid="{00000000-0005-0000-0000-0000701F0000}"/>
    <cellStyle name="Comma 2 2 3 7 2 2 2 2" xfId="8052" xr:uid="{00000000-0005-0000-0000-0000711F0000}"/>
    <cellStyle name="Comma 2 2 3 7 2 2 2 3" xfId="8053" xr:uid="{00000000-0005-0000-0000-0000721F0000}"/>
    <cellStyle name="Comma 2 2 3 7 2 2 3" xfId="8054" xr:uid="{00000000-0005-0000-0000-0000731F0000}"/>
    <cellStyle name="Comma 2 2 3 7 2 2 4" xfId="8055" xr:uid="{00000000-0005-0000-0000-0000741F0000}"/>
    <cellStyle name="Comma 2 2 3 7 2 2 5" xfId="8056" xr:uid="{00000000-0005-0000-0000-0000751F0000}"/>
    <cellStyle name="Comma 2 2 3 7 2 2 6" xfId="8057" xr:uid="{00000000-0005-0000-0000-0000761F0000}"/>
    <cellStyle name="Comma 2 2 3 7 2 3" xfId="8058" xr:uid="{00000000-0005-0000-0000-0000771F0000}"/>
    <cellStyle name="Comma 2 2 3 7 2 3 2" xfId="8059" xr:uid="{00000000-0005-0000-0000-0000781F0000}"/>
    <cellStyle name="Comma 2 2 3 7 2 3 2 2" xfId="8060" xr:uid="{00000000-0005-0000-0000-0000791F0000}"/>
    <cellStyle name="Comma 2 2 3 7 2 3 3" xfId="8061" xr:uid="{00000000-0005-0000-0000-00007A1F0000}"/>
    <cellStyle name="Comma 2 2 3 7 2 3 4" xfId="8062" xr:uid="{00000000-0005-0000-0000-00007B1F0000}"/>
    <cellStyle name="Comma 2 2 3 7 2 3 5" xfId="8063" xr:uid="{00000000-0005-0000-0000-00007C1F0000}"/>
    <cellStyle name="Comma 2 2 3 7 2 4" xfId="8064" xr:uid="{00000000-0005-0000-0000-00007D1F0000}"/>
    <cellStyle name="Comma 2 2 3 7 2 4 2" xfId="8065" xr:uid="{00000000-0005-0000-0000-00007E1F0000}"/>
    <cellStyle name="Comma 2 2 3 7 2 4 3" xfId="8066" xr:uid="{00000000-0005-0000-0000-00007F1F0000}"/>
    <cellStyle name="Comma 2 2 3 7 2 4 4" xfId="8067" xr:uid="{00000000-0005-0000-0000-0000801F0000}"/>
    <cellStyle name="Comma 2 2 3 7 2 5" xfId="8068" xr:uid="{00000000-0005-0000-0000-0000811F0000}"/>
    <cellStyle name="Comma 2 2 3 7 2 5 2" xfId="8069" xr:uid="{00000000-0005-0000-0000-0000821F0000}"/>
    <cellStyle name="Comma 2 2 3 7 2 6" xfId="8070" xr:uid="{00000000-0005-0000-0000-0000831F0000}"/>
    <cellStyle name="Comma 2 2 3 7 2 7" xfId="8071" xr:uid="{00000000-0005-0000-0000-0000841F0000}"/>
    <cellStyle name="Comma 2 2 3 7 2 8" xfId="8072" xr:uid="{00000000-0005-0000-0000-0000851F0000}"/>
    <cellStyle name="Comma 2 2 3 7 2 9" xfId="8073" xr:uid="{00000000-0005-0000-0000-0000861F0000}"/>
    <cellStyle name="Comma 2 2 3 7 3" xfId="8074" xr:uid="{00000000-0005-0000-0000-0000871F0000}"/>
    <cellStyle name="Comma 2 2 3 7 3 2" xfId="8075" xr:uid="{00000000-0005-0000-0000-0000881F0000}"/>
    <cellStyle name="Comma 2 2 3 7 3 2 2" xfId="8076" xr:uid="{00000000-0005-0000-0000-0000891F0000}"/>
    <cellStyle name="Comma 2 2 3 7 3 2 2 2" xfId="8077" xr:uid="{00000000-0005-0000-0000-00008A1F0000}"/>
    <cellStyle name="Comma 2 2 3 7 3 2 2 3" xfId="8078" xr:uid="{00000000-0005-0000-0000-00008B1F0000}"/>
    <cellStyle name="Comma 2 2 3 7 3 2 3" xfId="8079" xr:uid="{00000000-0005-0000-0000-00008C1F0000}"/>
    <cellStyle name="Comma 2 2 3 7 3 2 4" xfId="8080" xr:uid="{00000000-0005-0000-0000-00008D1F0000}"/>
    <cellStyle name="Comma 2 2 3 7 3 2 5" xfId="8081" xr:uid="{00000000-0005-0000-0000-00008E1F0000}"/>
    <cellStyle name="Comma 2 2 3 7 3 2 6" xfId="8082" xr:uid="{00000000-0005-0000-0000-00008F1F0000}"/>
    <cellStyle name="Comma 2 2 3 7 3 3" xfId="8083" xr:uid="{00000000-0005-0000-0000-0000901F0000}"/>
    <cellStyle name="Comma 2 2 3 7 3 3 2" xfId="8084" xr:uid="{00000000-0005-0000-0000-0000911F0000}"/>
    <cellStyle name="Comma 2 2 3 7 3 3 2 2" xfId="8085" xr:uid="{00000000-0005-0000-0000-0000921F0000}"/>
    <cellStyle name="Comma 2 2 3 7 3 3 3" xfId="8086" xr:uid="{00000000-0005-0000-0000-0000931F0000}"/>
    <cellStyle name="Comma 2 2 3 7 3 3 4" xfId="8087" xr:uid="{00000000-0005-0000-0000-0000941F0000}"/>
    <cellStyle name="Comma 2 2 3 7 3 3 5" xfId="8088" xr:uid="{00000000-0005-0000-0000-0000951F0000}"/>
    <cellStyle name="Comma 2 2 3 7 3 4" xfId="8089" xr:uid="{00000000-0005-0000-0000-0000961F0000}"/>
    <cellStyle name="Comma 2 2 3 7 3 4 2" xfId="8090" xr:uid="{00000000-0005-0000-0000-0000971F0000}"/>
    <cellStyle name="Comma 2 2 3 7 3 4 3" xfId="8091" xr:uid="{00000000-0005-0000-0000-0000981F0000}"/>
    <cellStyle name="Comma 2 2 3 7 3 4 4" xfId="8092" xr:uid="{00000000-0005-0000-0000-0000991F0000}"/>
    <cellStyle name="Comma 2 2 3 7 3 5" xfId="8093" xr:uid="{00000000-0005-0000-0000-00009A1F0000}"/>
    <cellStyle name="Comma 2 2 3 7 3 5 2" xfId="8094" xr:uid="{00000000-0005-0000-0000-00009B1F0000}"/>
    <cellStyle name="Comma 2 2 3 7 3 6" xfId="8095" xr:uid="{00000000-0005-0000-0000-00009C1F0000}"/>
    <cellStyle name="Comma 2 2 3 7 3 7" xfId="8096" xr:uid="{00000000-0005-0000-0000-00009D1F0000}"/>
    <cellStyle name="Comma 2 2 3 7 3 8" xfId="8097" xr:uid="{00000000-0005-0000-0000-00009E1F0000}"/>
    <cellStyle name="Comma 2 2 3 7 3 9" xfId="8098" xr:uid="{00000000-0005-0000-0000-00009F1F0000}"/>
    <cellStyle name="Comma 2 2 3 7 4" xfId="8099" xr:uid="{00000000-0005-0000-0000-0000A01F0000}"/>
    <cellStyle name="Comma 2 2 3 7 4 2" xfId="8100" xr:uid="{00000000-0005-0000-0000-0000A11F0000}"/>
    <cellStyle name="Comma 2 2 3 7 4 2 2" xfId="8101" xr:uid="{00000000-0005-0000-0000-0000A21F0000}"/>
    <cellStyle name="Comma 2 2 3 7 4 2 3" xfId="8102" xr:uid="{00000000-0005-0000-0000-0000A31F0000}"/>
    <cellStyle name="Comma 2 2 3 7 4 3" xfId="8103" xr:uid="{00000000-0005-0000-0000-0000A41F0000}"/>
    <cellStyle name="Comma 2 2 3 7 4 4" xfId="8104" xr:uid="{00000000-0005-0000-0000-0000A51F0000}"/>
    <cellStyle name="Comma 2 2 3 7 4 5" xfId="8105" xr:uid="{00000000-0005-0000-0000-0000A61F0000}"/>
    <cellStyle name="Comma 2 2 3 7 4 6" xfId="8106" xr:uid="{00000000-0005-0000-0000-0000A71F0000}"/>
    <cellStyle name="Comma 2 2 3 7 5" xfId="8107" xr:uid="{00000000-0005-0000-0000-0000A81F0000}"/>
    <cellStyle name="Comma 2 2 3 7 5 2" xfId="8108" xr:uid="{00000000-0005-0000-0000-0000A91F0000}"/>
    <cellStyle name="Comma 2 2 3 7 5 2 2" xfId="8109" xr:uid="{00000000-0005-0000-0000-0000AA1F0000}"/>
    <cellStyle name="Comma 2 2 3 7 5 3" xfId="8110" xr:uid="{00000000-0005-0000-0000-0000AB1F0000}"/>
    <cellStyle name="Comma 2 2 3 7 5 4" xfId="8111" xr:uid="{00000000-0005-0000-0000-0000AC1F0000}"/>
    <cellStyle name="Comma 2 2 3 7 5 5" xfId="8112" xr:uid="{00000000-0005-0000-0000-0000AD1F0000}"/>
    <cellStyle name="Comma 2 2 3 7 6" xfId="8113" xr:uid="{00000000-0005-0000-0000-0000AE1F0000}"/>
    <cellStyle name="Comma 2 2 3 7 6 2" xfId="8114" xr:uid="{00000000-0005-0000-0000-0000AF1F0000}"/>
    <cellStyle name="Comma 2 2 3 7 6 3" xfId="8115" xr:uid="{00000000-0005-0000-0000-0000B01F0000}"/>
    <cellStyle name="Comma 2 2 3 7 6 4" xfId="8116" xr:uid="{00000000-0005-0000-0000-0000B11F0000}"/>
    <cellStyle name="Comma 2 2 3 7 7" xfId="8117" xr:uid="{00000000-0005-0000-0000-0000B21F0000}"/>
    <cellStyle name="Comma 2 2 3 7 7 2" xfId="8118" xr:uid="{00000000-0005-0000-0000-0000B31F0000}"/>
    <cellStyle name="Comma 2 2 3 7 8" xfId="8119" xr:uid="{00000000-0005-0000-0000-0000B41F0000}"/>
    <cellStyle name="Comma 2 2 3 7 9" xfId="8120" xr:uid="{00000000-0005-0000-0000-0000B51F0000}"/>
    <cellStyle name="Comma 2 2 3 8" xfId="8121" xr:uid="{00000000-0005-0000-0000-0000B61F0000}"/>
    <cellStyle name="Comma 2 2 3 8 10" xfId="8122" xr:uid="{00000000-0005-0000-0000-0000B71F0000}"/>
    <cellStyle name="Comma 2 2 3 8 2" xfId="8123" xr:uid="{00000000-0005-0000-0000-0000B81F0000}"/>
    <cellStyle name="Comma 2 2 3 8 2 2" xfId="8124" xr:uid="{00000000-0005-0000-0000-0000B91F0000}"/>
    <cellStyle name="Comma 2 2 3 8 2 2 2" xfId="8125" xr:uid="{00000000-0005-0000-0000-0000BA1F0000}"/>
    <cellStyle name="Comma 2 2 3 8 2 2 3" xfId="8126" xr:uid="{00000000-0005-0000-0000-0000BB1F0000}"/>
    <cellStyle name="Comma 2 2 3 8 2 3" xfId="8127" xr:uid="{00000000-0005-0000-0000-0000BC1F0000}"/>
    <cellStyle name="Comma 2 2 3 8 2 4" xfId="8128" xr:uid="{00000000-0005-0000-0000-0000BD1F0000}"/>
    <cellStyle name="Comma 2 2 3 8 2 5" xfId="8129" xr:uid="{00000000-0005-0000-0000-0000BE1F0000}"/>
    <cellStyle name="Comma 2 2 3 8 2 6" xfId="8130" xr:uid="{00000000-0005-0000-0000-0000BF1F0000}"/>
    <cellStyle name="Comma 2 2 3 8 3" xfId="8131" xr:uid="{00000000-0005-0000-0000-0000C01F0000}"/>
    <cellStyle name="Comma 2 2 3 8 3 2" xfId="8132" xr:uid="{00000000-0005-0000-0000-0000C11F0000}"/>
    <cellStyle name="Comma 2 2 3 8 3 2 2" xfId="8133" xr:uid="{00000000-0005-0000-0000-0000C21F0000}"/>
    <cellStyle name="Comma 2 2 3 8 3 2 3" xfId="8134" xr:uid="{00000000-0005-0000-0000-0000C31F0000}"/>
    <cellStyle name="Comma 2 2 3 8 3 3" xfId="8135" xr:uid="{00000000-0005-0000-0000-0000C41F0000}"/>
    <cellStyle name="Comma 2 2 3 8 3 4" xfId="8136" xr:uid="{00000000-0005-0000-0000-0000C51F0000}"/>
    <cellStyle name="Comma 2 2 3 8 3 5" xfId="8137" xr:uid="{00000000-0005-0000-0000-0000C61F0000}"/>
    <cellStyle name="Comma 2 2 3 8 3 6" xfId="8138" xr:uid="{00000000-0005-0000-0000-0000C71F0000}"/>
    <cellStyle name="Comma 2 2 3 8 4" xfId="8139" xr:uid="{00000000-0005-0000-0000-0000C81F0000}"/>
    <cellStyle name="Comma 2 2 3 8 4 2" xfId="8140" xr:uid="{00000000-0005-0000-0000-0000C91F0000}"/>
    <cellStyle name="Comma 2 2 3 8 4 2 2" xfId="8141" xr:uid="{00000000-0005-0000-0000-0000CA1F0000}"/>
    <cellStyle name="Comma 2 2 3 8 4 3" xfId="8142" xr:uid="{00000000-0005-0000-0000-0000CB1F0000}"/>
    <cellStyle name="Comma 2 2 3 8 4 4" xfId="8143" xr:uid="{00000000-0005-0000-0000-0000CC1F0000}"/>
    <cellStyle name="Comma 2 2 3 8 4 5" xfId="8144" xr:uid="{00000000-0005-0000-0000-0000CD1F0000}"/>
    <cellStyle name="Comma 2 2 3 8 5" xfId="8145" xr:uid="{00000000-0005-0000-0000-0000CE1F0000}"/>
    <cellStyle name="Comma 2 2 3 8 5 2" xfId="8146" xr:uid="{00000000-0005-0000-0000-0000CF1F0000}"/>
    <cellStyle name="Comma 2 2 3 8 5 3" xfId="8147" xr:uid="{00000000-0005-0000-0000-0000D01F0000}"/>
    <cellStyle name="Comma 2 2 3 8 5 4" xfId="8148" xr:uid="{00000000-0005-0000-0000-0000D11F0000}"/>
    <cellStyle name="Comma 2 2 3 8 6" xfId="8149" xr:uid="{00000000-0005-0000-0000-0000D21F0000}"/>
    <cellStyle name="Comma 2 2 3 8 6 2" xfId="8150" xr:uid="{00000000-0005-0000-0000-0000D31F0000}"/>
    <cellStyle name="Comma 2 2 3 8 7" xfId="8151" xr:uid="{00000000-0005-0000-0000-0000D41F0000}"/>
    <cellStyle name="Comma 2 2 3 8 8" xfId="8152" xr:uid="{00000000-0005-0000-0000-0000D51F0000}"/>
    <cellStyle name="Comma 2 2 3 8 9" xfId="8153" xr:uid="{00000000-0005-0000-0000-0000D61F0000}"/>
    <cellStyle name="Comma 2 2 3 9" xfId="8154" xr:uid="{00000000-0005-0000-0000-0000D71F0000}"/>
    <cellStyle name="Comma 2 2 3 9 10" xfId="8155" xr:uid="{00000000-0005-0000-0000-0000D81F0000}"/>
    <cellStyle name="Comma 2 2 3 9 2" xfId="8156" xr:uid="{00000000-0005-0000-0000-0000D91F0000}"/>
    <cellStyle name="Comma 2 2 3 9 2 2" xfId="8157" xr:uid="{00000000-0005-0000-0000-0000DA1F0000}"/>
    <cellStyle name="Comma 2 2 3 9 2 2 2" xfId="8158" xr:uid="{00000000-0005-0000-0000-0000DB1F0000}"/>
    <cellStyle name="Comma 2 2 3 9 2 2 3" xfId="8159" xr:uid="{00000000-0005-0000-0000-0000DC1F0000}"/>
    <cellStyle name="Comma 2 2 3 9 2 3" xfId="8160" xr:uid="{00000000-0005-0000-0000-0000DD1F0000}"/>
    <cellStyle name="Comma 2 2 3 9 2 4" xfId="8161" xr:uid="{00000000-0005-0000-0000-0000DE1F0000}"/>
    <cellStyle name="Comma 2 2 3 9 2 5" xfId="8162" xr:uid="{00000000-0005-0000-0000-0000DF1F0000}"/>
    <cellStyle name="Comma 2 2 3 9 2 6" xfId="8163" xr:uid="{00000000-0005-0000-0000-0000E01F0000}"/>
    <cellStyle name="Comma 2 2 3 9 3" xfId="8164" xr:uid="{00000000-0005-0000-0000-0000E11F0000}"/>
    <cellStyle name="Comma 2 2 3 9 3 2" xfId="8165" xr:uid="{00000000-0005-0000-0000-0000E21F0000}"/>
    <cellStyle name="Comma 2 2 3 9 3 2 2" xfId="8166" xr:uid="{00000000-0005-0000-0000-0000E31F0000}"/>
    <cellStyle name="Comma 2 2 3 9 3 2 3" xfId="8167" xr:uid="{00000000-0005-0000-0000-0000E41F0000}"/>
    <cellStyle name="Comma 2 2 3 9 3 3" xfId="8168" xr:uid="{00000000-0005-0000-0000-0000E51F0000}"/>
    <cellStyle name="Comma 2 2 3 9 3 4" xfId="8169" xr:uid="{00000000-0005-0000-0000-0000E61F0000}"/>
    <cellStyle name="Comma 2 2 3 9 3 5" xfId="8170" xr:uid="{00000000-0005-0000-0000-0000E71F0000}"/>
    <cellStyle name="Comma 2 2 3 9 3 6" xfId="8171" xr:uid="{00000000-0005-0000-0000-0000E81F0000}"/>
    <cellStyle name="Comma 2 2 3 9 4" xfId="8172" xr:uid="{00000000-0005-0000-0000-0000E91F0000}"/>
    <cellStyle name="Comma 2 2 3 9 4 2" xfId="8173" xr:uid="{00000000-0005-0000-0000-0000EA1F0000}"/>
    <cellStyle name="Comma 2 2 3 9 4 2 2" xfId="8174" xr:uid="{00000000-0005-0000-0000-0000EB1F0000}"/>
    <cellStyle name="Comma 2 2 3 9 4 3" xfId="8175" xr:uid="{00000000-0005-0000-0000-0000EC1F0000}"/>
    <cellStyle name="Comma 2 2 3 9 4 4" xfId="8176" xr:uid="{00000000-0005-0000-0000-0000ED1F0000}"/>
    <cellStyle name="Comma 2 2 3 9 4 5" xfId="8177" xr:uid="{00000000-0005-0000-0000-0000EE1F0000}"/>
    <cellStyle name="Comma 2 2 3 9 5" xfId="8178" xr:uid="{00000000-0005-0000-0000-0000EF1F0000}"/>
    <cellStyle name="Comma 2 2 3 9 5 2" xfId="8179" xr:uid="{00000000-0005-0000-0000-0000F01F0000}"/>
    <cellStyle name="Comma 2 2 3 9 5 3" xfId="8180" xr:uid="{00000000-0005-0000-0000-0000F11F0000}"/>
    <cellStyle name="Comma 2 2 3 9 5 4" xfId="8181" xr:uid="{00000000-0005-0000-0000-0000F21F0000}"/>
    <cellStyle name="Comma 2 2 3 9 6" xfId="8182" xr:uid="{00000000-0005-0000-0000-0000F31F0000}"/>
    <cellStyle name="Comma 2 2 3 9 6 2" xfId="8183" xr:uid="{00000000-0005-0000-0000-0000F41F0000}"/>
    <cellStyle name="Comma 2 2 3 9 7" xfId="8184" xr:uid="{00000000-0005-0000-0000-0000F51F0000}"/>
    <cellStyle name="Comma 2 2 3 9 8" xfId="8185" xr:uid="{00000000-0005-0000-0000-0000F61F0000}"/>
    <cellStyle name="Comma 2 2 3 9 9" xfId="8186" xr:uid="{00000000-0005-0000-0000-0000F71F0000}"/>
    <cellStyle name="Comma 2 2 30" xfId="8187" xr:uid="{00000000-0005-0000-0000-0000F81F0000}"/>
    <cellStyle name="Comma 2 2 30 2" xfId="8188" xr:uid="{00000000-0005-0000-0000-0000F91F0000}"/>
    <cellStyle name="Comma 2 2 30 2 2" xfId="8189" xr:uid="{00000000-0005-0000-0000-0000FA1F0000}"/>
    <cellStyle name="Comma 2 2 30 2 2 2" xfId="8190" xr:uid="{00000000-0005-0000-0000-0000FB1F0000}"/>
    <cellStyle name="Comma 2 2 30 2 2 3" xfId="8191" xr:uid="{00000000-0005-0000-0000-0000FC1F0000}"/>
    <cellStyle name="Comma 2 2 30 2 3" xfId="8192" xr:uid="{00000000-0005-0000-0000-0000FD1F0000}"/>
    <cellStyle name="Comma 2 2 30 2 4" xfId="8193" xr:uid="{00000000-0005-0000-0000-0000FE1F0000}"/>
    <cellStyle name="Comma 2 2 30 2 5" xfId="8194" xr:uid="{00000000-0005-0000-0000-0000FF1F0000}"/>
    <cellStyle name="Comma 2 2 30 2 6" xfId="8195" xr:uid="{00000000-0005-0000-0000-000000200000}"/>
    <cellStyle name="Comma 2 2 30 3" xfId="8196" xr:uid="{00000000-0005-0000-0000-000001200000}"/>
    <cellStyle name="Comma 2 2 30 3 2" xfId="8197" xr:uid="{00000000-0005-0000-0000-000002200000}"/>
    <cellStyle name="Comma 2 2 30 3 2 2" xfId="8198" xr:uid="{00000000-0005-0000-0000-000003200000}"/>
    <cellStyle name="Comma 2 2 30 3 3" xfId="8199" xr:uid="{00000000-0005-0000-0000-000004200000}"/>
    <cellStyle name="Comma 2 2 30 3 4" xfId="8200" xr:uid="{00000000-0005-0000-0000-000005200000}"/>
    <cellStyle name="Comma 2 2 30 3 5" xfId="8201" xr:uid="{00000000-0005-0000-0000-000006200000}"/>
    <cellStyle name="Comma 2 2 30 4" xfId="8202" xr:uid="{00000000-0005-0000-0000-000007200000}"/>
    <cellStyle name="Comma 2 2 30 4 2" xfId="8203" xr:uid="{00000000-0005-0000-0000-000008200000}"/>
    <cellStyle name="Comma 2 2 30 4 3" xfId="8204" xr:uid="{00000000-0005-0000-0000-000009200000}"/>
    <cellStyle name="Comma 2 2 30 4 4" xfId="8205" xr:uid="{00000000-0005-0000-0000-00000A200000}"/>
    <cellStyle name="Comma 2 2 30 5" xfId="8206" xr:uid="{00000000-0005-0000-0000-00000B200000}"/>
    <cellStyle name="Comma 2 2 30 5 2" xfId="8207" xr:uid="{00000000-0005-0000-0000-00000C200000}"/>
    <cellStyle name="Comma 2 2 30 6" xfId="8208" xr:uid="{00000000-0005-0000-0000-00000D200000}"/>
    <cellStyle name="Comma 2 2 30 7" xfId="8209" xr:uid="{00000000-0005-0000-0000-00000E200000}"/>
    <cellStyle name="Comma 2 2 30 8" xfId="8210" xr:uid="{00000000-0005-0000-0000-00000F200000}"/>
    <cellStyle name="Comma 2 2 30 9" xfId="8211" xr:uid="{00000000-0005-0000-0000-000010200000}"/>
    <cellStyle name="Comma 2 2 31" xfId="8212" xr:uid="{00000000-0005-0000-0000-000011200000}"/>
    <cellStyle name="Comma 2 2 31 2" xfId="8213" xr:uid="{00000000-0005-0000-0000-000012200000}"/>
    <cellStyle name="Comma 2 2 31 2 2" xfId="8214" xr:uid="{00000000-0005-0000-0000-000013200000}"/>
    <cellStyle name="Comma 2 2 31 2 3" xfId="8215" xr:uid="{00000000-0005-0000-0000-000014200000}"/>
    <cellStyle name="Comma 2 2 31 3" xfId="8216" xr:uid="{00000000-0005-0000-0000-000015200000}"/>
    <cellStyle name="Comma 2 2 31 4" xfId="8217" xr:uid="{00000000-0005-0000-0000-000016200000}"/>
    <cellStyle name="Comma 2 2 31 5" xfId="8218" xr:uid="{00000000-0005-0000-0000-000017200000}"/>
    <cellStyle name="Comma 2 2 31 6" xfId="8219" xr:uid="{00000000-0005-0000-0000-000018200000}"/>
    <cellStyle name="Comma 2 2 32" xfId="8220" xr:uid="{00000000-0005-0000-0000-000019200000}"/>
    <cellStyle name="Comma 2 2 32 2" xfId="8221" xr:uid="{00000000-0005-0000-0000-00001A200000}"/>
    <cellStyle name="Comma 2 2 32 2 2" xfId="8222" xr:uid="{00000000-0005-0000-0000-00001B200000}"/>
    <cellStyle name="Comma 2 2 32 3" xfId="8223" xr:uid="{00000000-0005-0000-0000-00001C200000}"/>
    <cellStyle name="Comma 2 2 32 4" xfId="8224" xr:uid="{00000000-0005-0000-0000-00001D200000}"/>
    <cellStyle name="Comma 2 2 32 5" xfId="8225" xr:uid="{00000000-0005-0000-0000-00001E200000}"/>
    <cellStyle name="Comma 2 2 32 6" xfId="8226" xr:uid="{00000000-0005-0000-0000-00001F200000}"/>
    <cellStyle name="Comma 2 2 33" xfId="8227" xr:uid="{00000000-0005-0000-0000-000020200000}"/>
    <cellStyle name="Comma 2 2 33 2" xfId="8228" xr:uid="{00000000-0005-0000-0000-000021200000}"/>
    <cellStyle name="Comma 2 2 33 2 2" xfId="8229" xr:uid="{00000000-0005-0000-0000-000022200000}"/>
    <cellStyle name="Comma 2 2 33 3" xfId="8230" xr:uid="{00000000-0005-0000-0000-000023200000}"/>
    <cellStyle name="Comma 2 2 33 4" xfId="8231" xr:uid="{00000000-0005-0000-0000-000024200000}"/>
    <cellStyle name="Comma 2 2 33 5" xfId="8232" xr:uid="{00000000-0005-0000-0000-000025200000}"/>
    <cellStyle name="Comma 2 2 33 6" xfId="8233" xr:uid="{00000000-0005-0000-0000-000026200000}"/>
    <cellStyle name="Comma 2 2 34" xfId="8234" xr:uid="{00000000-0005-0000-0000-000027200000}"/>
    <cellStyle name="Comma 2 2 34 2" xfId="8235" xr:uid="{00000000-0005-0000-0000-000028200000}"/>
    <cellStyle name="Comma 2 2 34 3" xfId="8236" xr:uid="{00000000-0005-0000-0000-000029200000}"/>
    <cellStyle name="Comma 2 2 34 4" xfId="8237" xr:uid="{00000000-0005-0000-0000-00002A200000}"/>
    <cellStyle name="Comma 2 2 35" xfId="8238" xr:uid="{00000000-0005-0000-0000-00002B200000}"/>
    <cellStyle name="Comma 2 2 35 2" xfId="8239" xr:uid="{00000000-0005-0000-0000-00002C200000}"/>
    <cellStyle name="Comma 2 2 35 3" xfId="8240" xr:uid="{00000000-0005-0000-0000-00002D200000}"/>
    <cellStyle name="Comma 2 2 36" xfId="8241" xr:uid="{00000000-0005-0000-0000-00002E200000}"/>
    <cellStyle name="Comma 2 2 36 2" xfId="8242" xr:uid="{00000000-0005-0000-0000-00002F200000}"/>
    <cellStyle name="Comma 2 2 36 3" xfId="8243" xr:uid="{00000000-0005-0000-0000-000030200000}"/>
    <cellStyle name="Comma 2 2 37" xfId="8244" xr:uid="{00000000-0005-0000-0000-000031200000}"/>
    <cellStyle name="Comma 2 2 38" xfId="8245" xr:uid="{00000000-0005-0000-0000-000032200000}"/>
    <cellStyle name="Comma 2 2 39" xfId="8246" xr:uid="{00000000-0005-0000-0000-000033200000}"/>
    <cellStyle name="Comma 2 2 4" xfId="8247" xr:uid="{00000000-0005-0000-0000-000034200000}"/>
    <cellStyle name="Comma 2 2 4 10" xfId="8248" xr:uid="{00000000-0005-0000-0000-000035200000}"/>
    <cellStyle name="Comma 2 2 4 11" xfId="8249" xr:uid="{00000000-0005-0000-0000-000036200000}"/>
    <cellStyle name="Comma 2 2 4 2" xfId="8250" xr:uid="{00000000-0005-0000-0000-000037200000}"/>
    <cellStyle name="Comma 2 2 4 2 2" xfId="8251" xr:uid="{00000000-0005-0000-0000-000038200000}"/>
    <cellStyle name="Comma 2 2 4 2 2 2" xfId="8252" xr:uid="{00000000-0005-0000-0000-000039200000}"/>
    <cellStyle name="Comma 2 2 4 2 2 2 2" xfId="8253" xr:uid="{00000000-0005-0000-0000-00003A200000}"/>
    <cellStyle name="Comma 2 2 4 2 2 2 3" xfId="8254" xr:uid="{00000000-0005-0000-0000-00003B200000}"/>
    <cellStyle name="Comma 2 2 4 2 2 3" xfId="8255" xr:uid="{00000000-0005-0000-0000-00003C200000}"/>
    <cellStyle name="Comma 2 2 4 2 2 4" xfId="8256" xr:uid="{00000000-0005-0000-0000-00003D200000}"/>
    <cellStyle name="Comma 2 2 4 2 2 5" xfId="8257" xr:uid="{00000000-0005-0000-0000-00003E200000}"/>
    <cellStyle name="Comma 2 2 4 2 2 6" xfId="8258" xr:uid="{00000000-0005-0000-0000-00003F200000}"/>
    <cellStyle name="Comma 2 2 4 2 3" xfId="8259" xr:uid="{00000000-0005-0000-0000-000040200000}"/>
    <cellStyle name="Comma 2 2 4 2 3 2" xfId="8260" xr:uid="{00000000-0005-0000-0000-000041200000}"/>
    <cellStyle name="Comma 2 2 4 2 3 2 2" xfId="8261" xr:uid="{00000000-0005-0000-0000-000042200000}"/>
    <cellStyle name="Comma 2 2 4 2 3 3" xfId="8262" xr:uid="{00000000-0005-0000-0000-000043200000}"/>
    <cellStyle name="Comma 2 2 4 2 3 4" xfId="8263" xr:uid="{00000000-0005-0000-0000-000044200000}"/>
    <cellStyle name="Comma 2 2 4 2 3 5" xfId="8264" xr:uid="{00000000-0005-0000-0000-000045200000}"/>
    <cellStyle name="Comma 2 2 4 2 4" xfId="8265" xr:uid="{00000000-0005-0000-0000-000046200000}"/>
    <cellStyle name="Comma 2 2 4 2 4 2" xfId="8266" xr:uid="{00000000-0005-0000-0000-000047200000}"/>
    <cellStyle name="Comma 2 2 4 2 4 3" xfId="8267" xr:uid="{00000000-0005-0000-0000-000048200000}"/>
    <cellStyle name="Comma 2 2 4 2 4 4" xfId="8268" xr:uid="{00000000-0005-0000-0000-000049200000}"/>
    <cellStyle name="Comma 2 2 4 2 5" xfId="8269" xr:uid="{00000000-0005-0000-0000-00004A200000}"/>
    <cellStyle name="Comma 2 2 4 2 5 2" xfId="8270" xr:uid="{00000000-0005-0000-0000-00004B200000}"/>
    <cellStyle name="Comma 2 2 4 2 6" xfId="8271" xr:uid="{00000000-0005-0000-0000-00004C200000}"/>
    <cellStyle name="Comma 2 2 4 2 7" xfId="8272" xr:uid="{00000000-0005-0000-0000-00004D200000}"/>
    <cellStyle name="Comma 2 2 4 2 8" xfId="8273" xr:uid="{00000000-0005-0000-0000-00004E200000}"/>
    <cellStyle name="Comma 2 2 4 2 9" xfId="8274" xr:uid="{00000000-0005-0000-0000-00004F200000}"/>
    <cellStyle name="Comma 2 2 4 3" xfId="8275" xr:uid="{00000000-0005-0000-0000-000050200000}"/>
    <cellStyle name="Comma 2 2 4 3 2" xfId="8276" xr:uid="{00000000-0005-0000-0000-000051200000}"/>
    <cellStyle name="Comma 2 2 4 3 2 2" xfId="8277" xr:uid="{00000000-0005-0000-0000-000052200000}"/>
    <cellStyle name="Comma 2 2 4 3 2 2 2" xfId="8278" xr:uid="{00000000-0005-0000-0000-000053200000}"/>
    <cellStyle name="Comma 2 2 4 3 2 2 3" xfId="8279" xr:uid="{00000000-0005-0000-0000-000054200000}"/>
    <cellStyle name="Comma 2 2 4 3 2 3" xfId="8280" xr:uid="{00000000-0005-0000-0000-000055200000}"/>
    <cellStyle name="Comma 2 2 4 3 2 4" xfId="8281" xr:uid="{00000000-0005-0000-0000-000056200000}"/>
    <cellStyle name="Comma 2 2 4 3 2 5" xfId="8282" xr:uid="{00000000-0005-0000-0000-000057200000}"/>
    <cellStyle name="Comma 2 2 4 3 2 6" xfId="8283" xr:uid="{00000000-0005-0000-0000-000058200000}"/>
    <cellStyle name="Comma 2 2 4 3 3" xfId="8284" xr:uid="{00000000-0005-0000-0000-000059200000}"/>
    <cellStyle name="Comma 2 2 4 3 3 2" xfId="8285" xr:uid="{00000000-0005-0000-0000-00005A200000}"/>
    <cellStyle name="Comma 2 2 4 3 3 2 2" xfId="8286" xr:uid="{00000000-0005-0000-0000-00005B200000}"/>
    <cellStyle name="Comma 2 2 4 3 3 3" xfId="8287" xr:uid="{00000000-0005-0000-0000-00005C200000}"/>
    <cellStyle name="Comma 2 2 4 3 3 4" xfId="8288" xr:uid="{00000000-0005-0000-0000-00005D200000}"/>
    <cellStyle name="Comma 2 2 4 3 3 5" xfId="8289" xr:uid="{00000000-0005-0000-0000-00005E200000}"/>
    <cellStyle name="Comma 2 2 4 3 4" xfId="8290" xr:uid="{00000000-0005-0000-0000-00005F200000}"/>
    <cellStyle name="Comma 2 2 4 3 4 2" xfId="8291" xr:uid="{00000000-0005-0000-0000-000060200000}"/>
    <cellStyle name="Comma 2 2 4 3 4 3" xfId="8292" xr:uid="{00000000-0005-0000-0000-000061200000}"/>
    <cellStyle name="Comma 2 2 4 3 4 4" xfId="8293" xr:uid="{00000000-0005-0000-0000-000062200000}"/>
    <cellStyle name="Comma 2 2 4 3 5" xfId="8294" xr:uid="{00000000-0005-0000-0000-000063200000}"/>
    <cellStyle name="Comma 2 2 4 3 5 2" xfId="8295" xr:uid="{00000000-0005-0000-0000-000064200000}"/>
    <cellStyle name="Comma 2 2 4 3 6" xfId="8296" xr:uid="{00000000-0005-0000-0000-000065200000}"/>
    <cellStyle name="Comma 2 2 4 3 7" xfId="8297" xr:uid="{00000000-0005-0000-0000-000066200000}"/>
    <cellStyle name="Comma 2 2 4 3 8" xfId="8298" xr:uid="{00000000-0005-0000-0000-000067200000}"/>
    <cellStyle name="Comma 2 2 4 3 9" xfId="8299" xr:uid="{00000000-0005-0000-0000-000068200000}"/>
    <cellStyle name="Comma 2 2 4 4" xfId="8300" xr:uid="{00000000-0005-0000-0000-000069200000}"/>
    <cellStyle name="Comma 2 2 4 4 2" xfId="8301" xr:uid="{00000000-0005-0000-0000-00006A200000}"/>
    <cellStyle name="Comma 2 2 4 4 2 2" xfId="8302" xr:uid="{00000000-0005-0000-0000-00006B200000}"/>
    <cellStyle name="Comma 2 2 4 4 2 3" xfId="8303" xr:uid="{00000000-0005-0000-0000-00006C200000}"/>
    <cellStyle name="Comma 2 2 4 4 3" xfId="8304" xr:uid="{00000000-0005-0000-0000-00006D200000}"/>
    <cellStyle name="Comma 2 2 4 4 4" xfId="8305" xr:uid="{00000000-0005-0000-0000-00006E200000}"/>
    <cellStyle name="Comma 2 2 4 4 5" xfId="8306" xr:uid="{00000000-0005-0000-0000-00006F200000}"/>
    <cellStyle name="Comma 2 2 4 4 6" xfId="8307" xr:uid="{00000000-0005-0000-0000-000070200000}"/>
    <cellStyle name="Comma 2 2 4 5" xfId="8308" xr:uid="{00000000-0005-0000-0000-000071200000}"/>
    <cellStyle name="Comma 2 2 4 5 2" xfId="8309" xr:uid="{00000000-0005-0000-0000-000072200000}"/>
    <cellStyle name="Comma 2 2 4 5 2 2" xfId="8310" xr:uid="{00000000-0005-0000-0000-000073200000}"/>
    <cellStyle name="Comma 2 2 4 5 3" xfId="8311" xr:uid="{00000000-0005-0000-0000-000074200000}"/>
    <cellStyle name="Comma 2 2 4 5 4" xfId="8312" xr:uid="{00000000-0005-0000-0000-000075200000}"/>
    <cellStyle name="Comma 2 2 4 5 5" xfId="8313" xr:uid="{00000000-0005-0000-0000-000076200000}"/>
    <cellStyle name="Comma 2 2 4 6" xfId="8314" xr:uid="{00000000-0005-0000-0000-000077200000}"/>
    <cellStyle name="Comma 2 2 4 6 2" xfId="8315" xr:uid="{00000000-0005-0000-0000-000078200000}"/>
    <cellStyle name="Comma 2 2 4 6 3" xfId="8316" xr:uid="{00000000-0005-0000-0000-000079200000}"/>
    <cellStyle name="Comma 2 2 4 6 4" xfId="8317" xr:uid="{00000000-0005-0000-0000-00007A200000}"/>
    <cellStyle name="Comma 2 2 4 7" xfId="8318" xr:uid="{00000000-0005-0000-0000-00007B200000}"/>
    <cellStyle name="Comma 2 2 4 7 2" xfId="8319" xr:uid="{00000000-0005-0000-0000-00007C200000}"/>
    <cellStyle name="Comma 2 2 4 8" xfId="8320" xr:uid="{00000000-0005-0000-0000-00007D200000}"/>
    <cellStyle name="Comma 2 2 4 9" xfId="8321" xr:uid="{00000000-0005-0000-0000-00007E200000}"/>
    <cellStyle name="Comma 2 2 40" xfId="8322" xr:uid="{00000000-0005-0000-0000-00007F200000}"/>
    <cellStyle name="Comma 2 2 41" xfId="8323" xr:uid="{00000000-0005-0000-0000-000080200000}"/>
    <cellStyle name="Comma 2 2 42" xfId="8324" xr:uid="{00000000-0005-0000-0000-000081200000}"/>
    <cellStyle name="Comma 2 2 43" xfId="8325" xr:uid="{00000000-0005-0000-0000-000082200000}"/>
    <cellStyle name="Comma 2 2 44" xfId="8326" xr:uid="{00000000-0005-0000-0000-000083200000}"/>
    <cellStyle name="Comma 2 2 45" xfId="8327" xr:uid="{00000000-0005-0000-0000-000084200000}"/>
    <cellStyle name="Comma 2 2 46" xfId="8328" xr:uid="{00000000-0005-0000-0000-000085200000}"/>
    <cellStyle name="Comma 2 2 47" xfId="8329" xr:uid="{00000000-0005-0000-0000-000086200000}"/>
    <cellStyle name="Comma 2 2 48" xfId="8330" xr:uid="{00000000-0005-0000-0000-000087200000}"/>
    <cellStyle name="Comma 2 2 49" xfId="8331" xr:uid="{00000000-0005-0000-0000-000088200000}"/>
    <cellStyle name="Comma 2 2 5" xfId="8332" xr:uid="{00000000-0005-0000-0000-000089200000}"/>
    <cellStyle name="Comma 2 2 5 10" xfId="8333" xr:uid="{00000000-0005-0000-0000-00008A200000}"/>
    <cellStyle name="Comma 2 2 5 11" xfId="8334" xr:uid="{00000000-0005-0000-0000-00008B200000}"/>
    <cellStyle name="Comma 2 2 5 2" xfId="8335" xr:uid="{00000000-0005-0000-0000-00008C200000}"/>
    <cellStyle name="Comma 2 2 5 2 2" xfId="8336" xr:uid="{00000000-0005-0000-0000-00008D200000}"/>
    <cellStyle name="Comma 2 2 5 2 2 2" xfId="8337" xr:uid="{00000000-0005-0000-0000-00008E200000}"/>
    <cellStyle name="Comma 2 2 5 2 2 2 2" xfId="8338" xr:uid="{00000000-0005-0000-0000-00008F200000}"/>
    <cellStyle name="Comma 2 2 5 2 2 2 3" xfId="8339" xr:uid="{00000000-0005-0000-0000-000090200000}"/>
    <cellStyle name="Comma 2 2 5 2 2 3" xfId="8340" xr:uid="{00000000-0005-0000-0000-000091200000}"/>
    <cellStyle name="Comma 2 2 5 2 2 4" xfId="8341" xr:uid="{00000000-0005-0000-0000-000092200000}"/>
    <cellStyle name="Comma 2 2 5 2 2 5" xfId="8342" xr:uid="{00000000-0005-0000-0000-000093200000}"/>
    <cellStyle name="Comma 2 2 5 2 2 6" xfId="8343" xr:uid="{00000000-0005-0000-0000-000094200000}"/>
    <cellStyle name="Comma 2 2 5 2 3" xfId="8344" xr:uid="{00000000-0005-0000-0000-000095200000}"/>
    <cellStyle name="Comma 2 2 5 2 3 2" xfId="8345" xr:uid="{00000000-0005-0000-0000-000096200000}"/>
    <cellStyle name="Comma 2 2 5 2 3 2 2" xfId="8346" xr:uid="{00000000-0005-0000-0000-000097200000}"/>
    <cellStyle name="Comma 2 2 5 2 3 3" xfId="8347" xr:uid="{00000000-0005-0000-0000-000098200000}"/>
    <cellStyle name="Comma 2 2 5 2 3 4" xfId="8348" xr:uid="{00000000-0005-0000-0000-000099200000}"/>
    <cellStyle name="Comma 2 2 5 2 3 5" xfId="8349" xr:uid="{00000000-0005-0000-0000-00009A200000}"/>
    <cellStyle name="Comma 2 2 5 2 4" xfId="8350" xr:uid="{00000000-0005-0000-0000-00009B200000}"/>
    <cellStyle name="Comma 2 2 5 2 4 2" xfId="8351" xr:uid="{00000000-0005-0000-0000-00009C200000}"/>
    <cellStyle name="Comma 2 2 5 2 4 3" xfId="8352" xr:uid="{00000000-0005-0000-0000-00009D200000}"/>
    <cellStyle name="Comma 2 2 5 2 4 4" xfId="8353" xr:uid="{00000000-0005-0000-0000-00009E200000}"/>
    <cellStyle name="Comma 2 2 5 2 5" xfId="8354" xr:uid="{00000000-0005-0000-0000-00009F200000}"/>
    <cellStyle name="Comma 2 2 5 2 5 2" xfId="8355" xr:uid="{00000000-0005-0000-0000-0000A0200000}"/>
    <cellStyle name="Comma 2 2 5 2 6" xfId="8356" xr:uid="{00000000-0005-0000-0000-0000A1200000}"/>
    <cellStyle name="Comma 2 2 5 2 7" xfId="8357" xr:uid="{00000000-0005-0000-0000-0000A2200000}"/>
    <cellStyle name="Comma 2 2 5 2 8" xfId="8358" xr:uid="{00000000-0005-0000-0000-0000A3200000}"/>
    <cellStyle name="Comma 2 2 5 2 9" xfId="8359" xr:uid="{00000000-0005-0000-0000-0000A4200000}"/>
    <cellStyle name="Comma 2 2 5 3" xfId="8360" xr:uid="{00000000-0005-0000-0000-0000A5200000}"/>
    <cellStyle name="Comma 2 2 5 3 2" xfId="8361" xr:uid="{00000000-0005-0000-0000-0000A6200000}"/>
    <cellStyle name="Comma 2 2 5 3 2 2" xfId="8362" xr:uid="{00000000-0005-0000-0000-0000A7200000}"/>
    <cellStyle name="Comma 2 2 5 3 2 2 2" xfId="8363" xr:uid="{00000000-0005-0000-0000-0000A8200000}"/>
    <cellStyle name="Comma 2 2 5 3 2 2 3" xfId="8364" xr:uid="{00000000-0005-0000-0000-0000A9200000}"/>
    <cellStyle name="Comma 2 2 5 3 2 3" xfId="8365" xr:uid="{00000000-0005-0000-0000-0000AA200000}"/>
    <cellStyle name="Comma 2 2 5 3 2 4" xfId="8366" xr:uid="{00000000-0005-0000-0000-0000AB200000}"/>
    <cellStyle name="Comma 2 2 5 3 2 5" xfId="8367" xr:uid="{00000000-0005-0000-0000-0000AC200000}"/>
    <cellStyle name="Comma 2 2 5 3 2 6" xfId="8368" xr:uid="{00000000-0005-0000-0000-0000AD200000}"/>
    <cellStyle name="Comma 2 2 5 3 3" xfId="8369" xr:uid="{00000000-0005-0000-0000-0000AE200000}"/>
    <cellStyle name="Comma 2 2 5 3 3 2" xfId="8370" xr:uid="{00000000-0005-0000-0000-0000AF200000}"/>
    <cellStyle name="Comma 2 2 5 3 3 2 2" xfId="8371" xr:uid="{00000000-0005-0000-0000-0000B0200000}"/>
    <cellStyle name="Comma 2 2 5 3 3 3" xfId="8372" xr:uid="{00000000-0005-0000-0000-0000B1200000}"/>
    <cellStyle name="Comma 2 2 5 3 3 4" xfId="8373" xr:uid="{00000000-0005-0000-0000-0000B2200000}"/>
    <cellStyle name="Comma 2 2 5 3 3 5" xfId="8374" xr:uid="{00000000-0005-0000-0000-0000B3200000}"/>
    <cellStyle name="Comma 2 2 5 3 4" xfId="8375" xr:uid="{00000000-0005-0000-0000-0000B4200000}"/>
    <cellStyle name="Comma 2 2 5 3 4 2" xfId="8376" xr:uid="{00000000-0005-0000-0000-0000B5200000}"/>
    <cellStyle name="Comma 2 2 5 3 4 3" xfId="8377" xr:uid="{00000000-0005-0000-0000-0000B6200000}"/>
    <cellStyle name="Comma 2 2 5 3 4 4" xfId="8378" xr:uid="{00000000-0005-0000-0000-0000B7200000}"/>
    <cellStyle name="Comma 2 2 5 3 5" xfId="8379" xr:uid="{00000000-0005-0000-0000-0000B8200000}"/>
    <cellStyle name="Comma 2 2 5 3 5 2" xfId="8380" xr:uid="{00000000-0005-0000-0000-0000B9200000}"/>
    <cellStyle name="Comma 2 2 5 3 6" xfId="8381" xr:uid="{00000000-0005-0000-0000-0000BA200000}"/>
    <cellStyle name="Comma 2 2 5 3 7" xfId="8382" xr:uid="{00000000-0005-0000-0000-0000BB200000}"/>
    <cellStyle name="Comma 2 2 5 3 8" xfId="8383" xr:uid="{00000000-0005-0000-0000-0000BC200000}"/>
    <cellStyle name="Comma 2 2 5 3 9" xfId="8384" xr:uid="{00000000-0005-0000-0000-0000BD200000}"/>
    <cellStyle name="Comma 2 2 5 4" xfId="8385" xr:uid="{00000000-0005-0000-0000-0000BE200000}"/>
    <cellStyle name="Comma 2 2 5 4 2" xfId="8386" xr:uid="{00000000-0005-0000-0000-0000BF200000}"/>
    <cellStyle name="Comma 2 2 5 4 2 2" xfId="8387" xr:uid="{00000000-0005-0000-0000-0000C0200000}"/>
    <cellStyle name="Comma 2 2 5 4 2 3" xfId="8388" xr:uid="{00000000-0005-0000-0000-0000C1200000}"/>
    <cellStyle name="Comma 2 2 5 4 3" xfId="8389" xr:uid="{00000000-0005-0000-0000-0000C2200000}"/>
    <cellStyle name="Comma 2 2 5 4 4" xfId="8390" xr:uid="{00000000-0005-0000-0000-0000C3200000}"/>
    <cellStyle name="Comma 2 2 5 4 5" xfId="8391" xr:uid="{00000000-0005-0000-0000-0000C4200000}"/>
    <cellStyle name="Comma 2 2 5 4 6" xfId="8392" xr:uid="{00000000-0005-0000-0000-0000C5200000}"/>
    <cellStyle name="Comma 2 2 5 5" xfId="8393" xr:uid="{00000000-0005-0000-0000-0000C6200000}"/>
    <cellStyle name="Comma 2 2 5 5 2" xfId="8394" xr:uid="{00000000-0005-0000-0000-0000C7200000}"/>
    <cellStyle name="Comma 2 2 5 5 2 2" xfId="8395" xr:uid="{00000000-0005-0000-0000-0000C8200000}"/>
    <cellStyle name="Comma 2 2 5 5 3" xfId="8396" xr:uid="{00000000-0005-0000-0000-0000C9200000}"/>
    <cellStyle name="Comma 2 2 5 5 4" xfId="8397" xr:uid="{00000000-0005-0000-0000-0000CA200000}"/>
    <cellStyle name="Comma 2 2 5 5 5" xfId="8398" xr:uid="{00000000-0005-0000-0000-0000CB200000}"/>
    <cellStyle name="Comma 2 2 5 6" xfId="8399" xr:uid="{00000000-0005-0000-0000-0000CC200000}"/>
    <cellStyle name="Comma 2 2 5 6 2" xfId="8400" xr:uid="{00000000-0005-0000-0000-0000CD200000}"/>
    <cellStyle name="Comma 2 2 5 6 3" xfId="8401" xr:uid="{00000000-0005-0000-0000-0000CE200000}"/>
    <cellStyle name="Comma 2 2 5 6 4" xfId="8402" xr:uid="{00000000-0005-0000-0000-0000CF200000}"/>
    <cellStyle name="Comma 2 2 5 7" xfId="8403" xr:uid="{00000000-0005-0000-0000-0000D0200000}"/>
    <cellStyle name="Comma 2 2 5 7 2" xfId="8404" xr:uid="{00000000-0005-0000-0000-0000D1200000}"/>
    <cellStyle name="Comma 2 2 5 8" xfId="8405" xr:uid="{00000000-0005-0000-0000-0000D2200000}"/>
    <cellStyle name="Comma 2 2 5 9" xfId="8406" xr:uid="{00000000-0005-0000-0000-0000D3200000}"/>
    <cellStyle name="Comma 2 2 50" xfId="8407" xr:uid="{00000000-0005-0000-0000-0000D4200000}"/>
    <cellStyle name="Comma 2 2 51" xfId="8408" xr:uid="{00000000-0005-0000-0000-0000D5200000}"/>
    <cellStyle name="Comma 2 2 52" xfId="8409" xr:uid="{00000000-0005-0000-0000-0000D6200000}"/>
    <cellStyle name="Comma 2 2 53" xfId="8410" xr:uid="{00000000-0005-0000-0000-0000D7200000}"/>
    <cellStyle name="Comma 2 2 54" xfId="8411" xr:uid="{00000000-0005-0000-0000-0000D8200000}"/>
    <cellStyle name="Comma 2 2 55" xfId="8412" xr:uid="{00000000-0005-0000-0000-0000D9200000}"/>
    <cellStyle name="Comma 2 2 6" xfId="8413" xr:uid="{00000000-0005-0000-0000-0000DA200000}"/>
    <cellStyle name="Comma 2 2 6 10" xfId="8414" xr:uid="{00000000-0005-0000-0000-0000DB200000}"/>
    <cellStyle name="Comma 2 2 6 11" xfId="8415" xr:uid="{00000000-0005-0000-0000-0000DC200000}"/>
    <cellStyle name="Comma 2 2 6 2" xfId="8416" xr:uid="{00000000-0005-0000-0000-0000DD200000}"/>
    <cellStyle name="Comma 2 2 6 2 2" xfId="8417" xr:uid="{00000000-0005-0000-0000-0000DE200000}"/>
    <cellStyle name="Comma 2 2 6 2 2 2" xfId="8418" xr:uid="{00000000-0005-0000-0000-0000DF200000}"/>
    <cellStyle name="Comma 2 2 6 2 2 2 2" xfId="8419" xr:uid="{00000000-0005-0000-0000-0000E0200000}"/>
    <cellStyle name="Comma 2 2 6 2 2 2 3" xfId="8420" xr:uid="{00000000-0005-0000-0000-0000E1200000}"/>
    <cellStyle name="Comma 2 2 6 2 2 3" xfId="8421" xr:uid="{00000000-0005-0000-0000-0000E2200000}"/>
    <cellStyle name="Comma 2 2 6 2 2 4" xfId="8422" xr:uid="{00000000-0005-0000-0000-0000E3200000}"/>
    <cellStyle name="Comma 2 2 6 2 2 5" xfId="8423" xr:uid="{00000000-0005-0000-0000-0000E4200000}"/>
    <cellStyle name="Comma 2 2 6 2 2 6" xfId="8424" xr:uid="{00000000-0005-0000-0000-0000E5200000}"/>
    <cellStyle name="Comma 2 2 6 2 3" xfId="8425" xr:uid="{00000000-0005-0000-0000-0000E6200000}"/>
    <cellStyle name="Comma 2 2 6 2 3 2" xfId="8426" xr:uid="{00000000-0005-0000-0000-0000E7200000}"/>
    <cellStyle name="Comma 2 2 6 2 3 2 2" xfId="8427" xr:uid="{00000000-0005-0000-0000-0000E8200000}"/>
    <cellStyle name="Comma 2 2 6 2 3 3" xfId="8428" xr:uid="{00000000-0005-0000-0000-0000E9200000}"/>
    <cellStyle name="Comma 2 2 6 2 3 4" xfId="8429" xr:uid="{00000000-0005-0000-0000-0000EA200000}"/>
    <cellStyle name="Comma 2 2 6 2 3 5" xfId="8430" xr:uid="{00000000-0005-0000-0000-0000EB200000}"/>
    <cellStyle name="Comma 2 2 6 2 4" xfId="8431" xr:uid="{00000000-0005-0000-0000-0000EC200000}"/>
    <cellStyle name="Comma 2 2 6 2 4 2" xfId="8432" xr:uid="{00000000-0005-0000-0000-0000ED200000}"/>
    <cellStyle name="Comma 2 2 6 2 4 3" xfId="8433" xr:uid="{00000000-0005-0000-0000-0000EE200000}"/>
    <cellStyle name="Comma 2 2 6 2 4 4" xfId="8434" xr:uid="{00000000-0005-0000-0000-0000EF200000}"/>
    <cellStyle name="Comma 2 2 6 2 5" xfId="8435" xr:uid="{00000000-0005-0000-0000-0000F0200000}"/>
    <cellStyle name="Comma 2 2 6 2 5 2" xfId="8436" xr:uid="{00000000-0005-0000-0000-0000F1200000}"/>
    <cellStyle name="Comma 2 2 6 2 6" xfId="8437" xr:uid="{00000000-0005-0000-0000-0000F2200000}"/>
    <cellStyle name="Comma 2 2 6 2 7" xfId="8438" xr:uid="{00000000-0005-0000-0000-0000F3200000}"/>
    <cellStyle name="Comma 2 2 6 2 8" xfId="8439" xr:uid="{00000000-0005-0000-0000-0000F4200000}"/>
    <cellStyle name="Comma 2 2 6 2 9" xfId="8440" xr:uid="{00000000-0005-0000-0000-0000F5200000}"/>
    <cellStyle name="Comma 2 2 6 3" xfId="8441" xr:uid="{00000000-0005-0000-0000-0000F6200000}"/>
    <cellStyle name="Comma 2 2 6 3 2" xfId="8442" xr:uid="{00000000-0005-0000-0000-0000F7200000}"/>
    <cellStyle name="Comma 2 2 6 3 2 2" xfId="8443" xr:uid="{00000000-0005-0000-0000-0000F8200000}"/>
    <cellStyle name="Comma 2 2 6 3 2 2 2" xfId="8444" xr:uid="{00000000-0005-0000-0000-0000F9200000}"/>
    <cellStyle name="Comma 2 2 6 3 2 2 3" xfId="8445" xr:uid="{00000000-0005-0000-0000-0000FA200000}"/>
    <cellStyle name="Comma 2 2 6 3 2 3" xfId="8446" xr:uid="{00000000-0005-0000-0000-0000FB200000}"/>
    <cellStyle name="Comma 2 2 6 3 2 4" xfId="8447" xr:uid="{00000000-0005-0000-0000-0000FC200000}"/>
    <cellStyle name="Comma 2 2 6 3 2 5" xfId="8448" xr:uid="{00000000-0005-0000-0000-0000FD200000}"/>
    <cellStyle name="Comma 2 2 6 3 2 6" xfId="8449" xr:uid="{00000000-0005-0000-0000-0000FE200000}"/>
    <cellStyle name="Comma 2 2 6 3 3" xfId="8450" xr:uid="{00000000-0005-0000-0000-0000FF200000}"/>
    <cellStyle name="Comma 2 2 6 3 3 2" xfId="8451" xr:uid="{00000000-0005-0000-0000-000000210000}"/>
    <cellStyle name="Comma 2 2 6 3 3 2 2" xfId="8452" xr:uid="{00000000-0005-0000-0000-000001210000}"/>
    <cellStyle name="Comma 2 2 6 3 3 3" xfId="8453" xr:uid="{00000000-0005-0000-0000-000002210000}"/>
    <cellStyle name="Comma 2 2 6 3 3 4" xfId="8454" xr:uid="{00000000-0005-0000-0000-000003210000}"/>
    <cellStyle name="Comma 2 2 6 3 3 5" xfId="8455" xr:uid="{00000000-0005-0000-0000-000004210000}"/>
    <cellStyle name="Comma 2 2 6 3 4" xfId="8456" xr:uid="{00000000-0005-0000-0000-000005210000}"/>
    <cellStyle name="Comma 2 2 6 3 4 2" xfId="8457" xr:uid="{00000000-0005-0000-0000-000006210000}"/>
    <cellStyle name="Comma 2 2 6 3 4 3" xfId="8458" xr:uid="{00000000-0005-0000-0000-000007210000}"/>
    <cellStyle name="Comma 2 2 6 3 4 4" xfId="8459" xr:uid="{00000000-0005-0000-0000-000008210000}"/>
    <cellStyle name="Comma 2 2 6 3 5" xfId="8460" xr:uid="{00000000-0005-0000-0000-000009210000}"/>
    <cellStyle name="Comma 2 2 6 3 5 2" xfId="8461" xr:uid="{00000000-0005-0000-0000-00000A210000}"/>
    <cellStyle name="Comma 2 2 6 3 6" xfId="8462" xr:uid="{00000000-0005-0000-0000-00000B210000}"/>
    <cellStyle name="Comma 2 2 6 3 7" xfId="8463" xr:uid="{00000000-0005-0000-0000-00000C210000}"/>
    <cellStyle name="Comma 2 2 6 3 8" xfId="8464" xr:uid="{00000000-0005-0000-0000-00000D210000}"/>
    <cellStyle name="Comma 2 2 6 3 9" xfId="8465" xr:uid="{00000000-0005-0000-0000-00000E210000}"/>
    <cellStyle name="Comma 2 2 6 4" xfId="8466" xr:uid="{00000000-0005-0000-0000-00000F210000}"/>
    <cellStyle name="Comma 2 2 6 4 2" xfId="8467" xr:uid="{00000000-0005-0000-0000-000010210000}"/>
    <cellStyle name="Comma 2 2 6 4 2 2" xfId="8468" xr:uid="{00000000-0005-0000-0000-000011210000}"/>
    <cellStyle name="Comma 2 2 6 4 2 3" xfId="8469" xr:uid="{00000000-0005-0000-0000-000012210000}"/>
    <cellStyle name="Comma 2 2 6 4 3" xfId="8470" xr:uid="{00000000-0005-0000-0000-000013210000}"/>
    <cellStyle name="Comma 2 2 6 4 4" xfId="8471" xr:uid="{00000000-0005-0000-0000-000014210000}"/>
    <cellStyle name="Comma 2 2 6 4 5" xfId="8472" xr:uid="{00000000-0005-0000-0000-000015210000}"/>
    <cellStyle name="Comma 2 2 6 4 6" xfId="8473" xr:uid="{00000000-0005-0000-0000-000016210000}"/>
    <cellStyle name="Comma 2 2 6 5" xfId="8474" xr:uid="{00000000-0005-0000-0000-000017210000}"/>
    <cellStyle name="Comma 2 2 6 5 2" xfId="8475" xr:uid="{00000000-0005-0000-0000-000018210000}"/>
    <cellStyle name="Comma 2 2 6 5 2 2" xfId="8476" xr:uid="{00000000-0005-0000-0000-000019210000}"/>
    <cellStyle name="Comma 2 2 6 5 3" xfId="8477" xr:uid="{00000000-0005-0000-0000-00001A210000}"/>
    <cellStyle name="Comma 2 2 6 5 4" xfId="8478" xr:uid="{00000000-0005-0000-0000-00001B210000}"/>
    <cellStyle name="Comma 2 2 6 5 5" xfId="8479" xr:uid="{00000000-0005-0000-0000-00001C210000}"/>
    <cellStyle name="Comma 2 2 6 6" xfId="8480" xr:uid="{00000000-0005-0000-0000-00001D210000}"/>
    <cellStyle name="Comma 2 2 6 6 2" xfId="8481" xr:uid="{00000000-0005-0000-0000-00001E210000}"/>
    <cellStyle name="Comma 2 2 6 6 3" xfId="8482" xr:uid="{00000000-0005-0000-0000-00001F210000}"/>
    <cellStyle name="Comma 2 2 6 6 4" xfId="8483" xr:uid="{00000000-0005-0000-0000-000020210000}"/>
    <cellStyle name="Comma 2 2 6 7" xfId="8484" xr:uid="{00000000-0005-0000-0000-000021210000}"/>
    <cellStyle name="Comma 2 2 6 7 2" xfId="8485" xr:uid="{00000000-0005-0000-0000-000022210000}"/>
    <cellStyle name="Comma 2 2 6 8" xfId="8486" xr:uid="{00000000-0005-0000-0000-000023210000}"/>
    <cellStyle name="Comma 2 2 6 9" xfId="8487" xr:uid="{00000000-0005-0000-0000-000024210000}"/>
    <cellStyle name="Comma 2 2 7" xfId="8488" xr:uid="{00000000-0005-0000-0000-000025210000}"/>
    <cellStyle name="Comma 2 2 7 10" xfId="8489" xr:uid="{00000000-0005-0000-0000-000026210000}"/>
    <cellStyle name="Comma 2 2 7 11" xfId="8490" xr:uid="{00000000-0005-0000-0000-000027210000}"/>
    <cellStyle name="Comma 2 2 7 2" xfId="8491" xr:uid="{00000000-0005-0000-0000-000028210000}"/>
    <cellStyle name="Comma 2 2 7 2 2" xfId="8492" xr:uid="{00000000-0005-0000-0000-000029210000}"/>
    <cellStyle name="Comma 2 2 7 2 2 2" xfId="8493" xr:uid="{00000000-0005-0000-0000-00002A210000}"/>
    <cellStyle name="Comma 2 2 7 2 2 2 2" xfId="8494" xr:uid="{00000000-0005-0000-0000-00002B210000}"/>
    <cellStyle name="Comma 2 2 7 2 2 2 3" xfId="8495" xr:uid="{00000000-0005-0000-0000-00002C210000}"/>
    <cellStyle name="Comma 2 2 7 2 2 3" xfId="8496" xr:uid="{00000000-0005-0000-0000-00002D210000}"/>
    <cellStyle name="Comma 2 2 7 2 2 4" xfId="8497" xr:uid="{00000000-0005-0000-0000-00002E210000}"/>
    <cellStyle name="Comma 2 2 7 2 2 5" xfId="8498" xr:uid="{00000000-0005-0000-0000-00002F210000}"/>
    <cellStyle name="Comma 2 2 7 2 2 6" xfId="8499" xr:uid="{00000000-0005-0000-0000-000030210000}"/>
    <cellStyle name="Comma 2 2 7 2 3" xfId="8500" xr:uid="{00000000-0005-0000-0000-000031210000}"/>
    <cellStyle name="Comma 2 2 7 2 3 2" xfId="8501" xr:uid="{00000000-0005-0000-0000-000032210000}"/>
    <cellStyle name="Comma 2 2 7 2 3 2 2" xfId="8502" xr:uid="{00000000-0005-0000-0000-000033210000}"/>
    <cellStyle name="Comma 2 2 7 2 3 3" xfId="8503" xr:uid="{00000000-0005-0000-0000-000034210000}"/>
    <cellStyle name="Comma 2 2 7 2 3 4" xfId="8504" xr:uid="{00000000-0005-0000-0000-000035210000}"/>
    <cellStyle name="Comma 2 2 7 2 3 5" xfId="8505" xr:uid="{00000000-0005-0000-0000-000036210000}"/>
    <cellStyle name="Comma 2 2 7 2 4" xfId="8506" xr:uid="{00000000-0005-0000-0000-000037210000}"/>
    <cellStyle name="Comma 2 2 7 2 4 2" xfId="8507" xr:uid="{00000000-0005-0000-0000-000038210000}"/>
    <cellStyle name="Comma 2 2 7 2 4 3" xfId="8508" xr:uid="{00000000-0005-0000-0000-000039210000}"/>
    <cellStyle name="Comma 2 2 7 2 4 4" xfId="8509" xr:uid="{00000000-0005-0000-0000-00003A210000}"/>
    <cellStyle name="Comma 2 2 7 2 5" xfId="8510" xr:uid="{00000000-0005-0000-0000-00003B210000}"/>
    <cellStyle name="Comma 2 2 7 2 5 2" xfId="8511" xr:uid="{00000000-0005-0000-0000-00003C210000}"/>
    <cellStyle name="Comma 2 2 7 2 6" xfId="8512" xr:uid="{00000000-0005-0000-0000-00003D210000}"/>
    <cellStyle name="Comma 2 2 7 2 7" xfId="8513" xr:uid="{00000000-0005-0000-0000-00003E210000}"/>
    <cellStyle name="Comma 2 2 7 2 8" xfId="8514" xr:uid="{00000000-0005-0000-0000-00003F210000}"/>
    <cellStyle name="Comma 2 2 7 2 9" xfId="8515" xr:uid="{00000000-0005-0000-0000-000040210000}"/>
    <cellStyle name="Comma 2 2 7 3" xfId="8516" xr:uid="{00000000-0005-0000-0000-000041210000}"/>
    <cellStyle name="Comma 2 2 7 3 2" xfId="8517" xr:uid="{00000000-0005-0000-0000-000042210000}"/>
    <cellStyle name="Comma 2 2 7 3 2 2" xfId="8518" xr:uid="{00000000-0005-0000-0000-000043210000}"/>
    <cellStyle name="Comma 2 2 7 3 2 2 2" xfId="8519" xr:uid="{00000000-0005-0000-0000-000044210000}"/>
    <cellStyle name="Comma 2 2 7 3 2 2 3" xfId="8520" xr:uid="{00000000-0005-0000-0000-000045210000}"/>
    <cellStyle name="Comma 2 2 7 3 2 3" xfId="8521" xr:uid="{00000000-0005-0000-0000-000046210000}"/>
    <cellStyle name="Comma 2 2 7 3 2 4" xfId="8522" xr:uid="{00000000-0005-0000-0000-000047210000}"/>
    <cellStyle name="Comma 2 2 7 3 2 5" xfId="8523" xr:uid="{00000000-0005-0000-0000-000048210000}"/>
    <cellStyle name="Comma 2 2 7 3 2 6" xfId="8524" xr:uid="{00000000-0005-0000-0000-000049210000}"/>
    <cellStyle name="Comma 2 2 7 3 3" xfId="8525" xr:uid="{00000000-0005-0000-0000-00004A210000}"/>
    <cellStyle name="Comma 2 2 7 3 3 2" xfId="8526" xr:uid="{00000000-0005-0000-0000-00004B210000}"/>
    <cellStyle name="Comma 2 2 7 3 3 2 2" xfId="8527" xr:uid="{00000000-0005-0000-0000-00004C210000}"/>
    <cellStyle name="Comma 2 2 7 3 3 3" xfId="8528" xr:uid="{00000000-0005-0000-0000-00004D210000}"/>
    <cellStyle name="Comma 2 2 7 3 3 4" xfId="8529" xr:uid="{00000000-0005-0000-0000-00004E210000}"/>
    <cellStyle name="Comma 2 2 7 3 3 5" xfId="8530" xr:uid="{00000000-0005-0000-0000-00004F210000}"/>
    <cellStyle name="Comma 2 2 7 3 4" xfId="8531" xr:uid="{00000000-0005-0000-0000-000050210000}"/>
    <cellStyle name="Comma 2 2 7 3 4 2" xfId="8532" xr:uid="{00000000-0005-0000-0000-000051210000}"/>
    <cellStyle name="Comma 2 2 7 3 4 3" xfId="8533" xr:uid="{00000000-0005-0000-0000-000052210000}"/>
    <cellStyle name="Comma 2 2 7 3 4 4" xfId="8534" xr:uid="{00000000-0005-0000-0000-000053210000}"/>
    <cellStyle name="Comma 2 2 7 3 5" xfId="8535" xr:uid="{00000000-0005-0000-0000-000054210000}"/>
    <cellStyle name="Comma 2 2 7 3 5 2" xfId="8536" xr:uid="{00000000-0005-0000-0000-000055210000}"/>
    <cellStyle name="Comma 2 2 7 3 6" xfId="8537" xr:uid="{00000000-0005-0000-0000-000056210000}"/>
    <cellStyle name="Comma 2 2 7 3 7" xfId="8538" xr:uid="{00000000-0005-0000-0000-000057210000}"/>
    <cellStyle name="Comma 2 2 7 3 8" xfId="8539" xr:uid="{00000000-0005-0000-0000-000058210000}"/>
    <cellStyle name="Comma 2 2 7 3 9" xfId="8540" xr:uid="{00000000-0005-0000-0000-000059210000}"/>
    <cellStyle name="Comma 2 2 7 4" xfId="8541" xr:uid="{00000000-0005-0000-0000-00005A210000}"/>
    <cellStyle name="Comma 2 2 7 4 2" xfId="8542" xr:uid="{00000000-0005-0000-0000-00005B210000}"/>
    <cellStyle name="Comma 2 2 7 4 2 2" xfId="8543" xr:uid="{00000000-0005-0000-0000-00005C210000}"/>
    <cellStyle name="Comma 2 2 7 4 2 3" xfId="8544" xr:uid="{00000000-0005-0000-0000-00005D210000}"/>
    <cellStyle name="Comma 2 2 7 4 3" xfId="8545" xr:uid="{00000000-0005-0000-0000-00005E210000}"/>
    <cellStyle name="Comma 2 2 7 4 4" xfId="8546" xr:uid="{00000000-0005-0000-0000-00005F210000}"/>
    <cellStyle name="Comma 2 2 7 4 5" xfId="8547" xr:uid="{00000000-0005-0000-0000-000060210000}"/>
    <cellStyle name="Comma 2 2 7 4 6" xfId="8548" xr:uid="{00000000-0005-0000-0000-000061210000}"/>
    <cellStyle name="Comma 2 2 7 5" xfId="8549" xr:uid="{00000000-0005-0000-0000-000062210000}"/>
    <cellStyle name="Comma 2 2 7 5 2" xfId="8550" xr:uid="{00000000-0005-0000-0000-000063210000}"/>
    <cellStyle name="Comma 2 2 7 5 2 2" xfId="8551" xr:uid="{00000000-0005-0000-0000-000064210000}"/>
    <cellStyle name="Comma 2 2 7 5 3" xfId="8552" xr:uid="{00000000-0005-0000-0000-000065210000}"/>
    <cellStyle name="Comma 2 2 7 5 4" xfId="8553" xr:uid="{00000000-0005-0000-0000-000066210000}"/>
    <cellStyle name="Comma 2 2 7 5 5" xfId="8554" xr:uid="{00000000-0005-0000-0000-000067210000}"/>
    <cellStyle name="Comma 2 2 7 6" xfId="8555" xr:uid="{00000000-0005-0000-0000-000068210000}"/>
    <cellStyle name="Comma 2 2 7 6 2" xfId="8556" xr:uid="{00000000-0005-0000-0000-000069210000}"/>
    <cellStyle name="Comma 2 2 7 6 3" xfId="8557" xr:uid="{00000000-0005-0000-0000-00006A210000}"/>
    <cellStyle name="Comma 2 2 7 6 4" xfId="8558" xr:uid="{00000000-0005-0000-0000-00006B210000}"/>
    <cellStyle name="Comma 2 2 7 7" xfId="8559" xr:uid="{00000000-0005-0000-0000-00006C210000}"/>
    <cellStyle name="Comma 2 2 7 7 2" xfId="8560" xr:uid="{00000000-0005-0000-0000-00006D210000}"/>
    <cellStyle name="Comma 2 2 7 8" xfId="8561" xr:uid="{00000000-0005-0000-0000-00006E210000}"/>
    <cellStyle name="Comma 2 2 7 9" xfId="8562" xr:uid="{00000000-0005-0000-0000-00006F210000}"/>
    <cellStyle name="Comma 2 2 8" xfId="8563" xr:uid="{00000000-0005-0000-0000-000070210000}"/>
    <cellStyle name="Comma 2 2 8 10" xfId="8564" xr:uid="{00000000-0005-0000-0000-000071210000}"/>
    <cellStyle name="Comma 2 2 8 11" xfId="8565" xr:uid="{00000000-0005-0000-0000-000072210000}"/>
    <cellStyle name="Comma 2 2 8 2" xfId="8566" xr:uid="{00000000-0005-0000-0000-000073210000}"/>
    <cellStyle name="Comma 2 2 8 2 2" xfId="8567" xr:uid="{00000000-0005-0000-0000-000074210000}"/>
    <cellStyle name="Comma 2 2 8 2 2 2" xfId="8568" xr:uid="{00000000-0005-0000-0000-000075210000}"/>
    <cellStyle name="Comma 2 2 8 2 2 2 2" xfId="8569" xr:uid="{00000000-0005-0000-0000-000076210000}"/>
    <cellStyle name="Comma 2 2 8 2 2 2 3" xfId="8570" xr:uid="{00000000-0005-0000-0000-000077210000}"/>
    <cellStyle name="Comma 2 2 8 2 2 3" xfId="8571" xr:uid="{00000000-0005-0000-0000-000078210000}"/>
    <cellStyle name="Comma 2 2 8 2 2 4" xfId="8572" xr:uid="{00000000-0005-0000-0000-000079210000}"/>
    <cellStyle name="Comma 2 2 8 2 2 5" xfId="8573" xr:uid="{00000000-0005-0000-0000-00007A210000}"/>
    <cellStyle name="Comma 2 2 8 2 2 6" xfId="8574" xr:uid="{00000000-0005-0000-0000-00007B210000}"/>
    <cellStyle name="Comma 2 2 8 2 3" xfId="8575" xr:uid="{00000000-0005-0000-0000-00007C210000}"/>
    <cellStyle name="Comma 2 2 8 2 3 2" xfId="8576" xr:uid="{00000000-0005-0000-0000-00007D210000}"/>
    <cellStyle name="Comma 2 2 8 2 3 2 2" xfId="8577" xr:uid="{00000000-0005-0000-0000-00007E210000}"/>
    <cellStyle name="Comma 2 2 8 2 3 3" xfId="8578" xr:uid="{00000000-0005-0000-0000-00007F210000}"/>
    <cellStyle name="Comma 2 2 8 2 3 4" xfId="8579" xr:uid="{00000000-0005-0000-0000-000080210000}"/>
    <cellStyle name="Comma 2 2 8 2 3 5" xfId="8580" xr:uid="{00000000-0005-0000-0000-000081210000}"/>
    <cellStyle name="Comma 2 2 8 2 4" xfId="8581" xr:uid="{00000000-0005-0000-0000-000082210000}"/>
    <cellStyle name="Comma 2 2 8 2 4 2" xfId="8582" xr:uid="{00000000-0005-0000-0000-000083210000}"/>
    <cellStyle name="Comma 2 2 8 2 4 3" xfId="8583" xr:uid="{00000000-0005-0000-0000-000084210000}"/>
    <cellStyle name="Comma 2 2 8 2 4 4" xfId="8584" xr:uid="{00000000-0005-0000-0000-000085210000}"/>
    <cellStyle name="Comma 2 2 8 2 5" xfId="8585" xr:uid="{00000000-0005-0000-0000-000086210000}"/>
    <cellStyle name="Comma 2 2 8 2 5 2" xfId="8586" xr:uid="{00000000-0005-0000-0000-000087210000}"/>
    <cellStyle name="Comma 2 2 8 2 6" xfId="8587" xr:uid="{00000000-0005-0000-0000-000088210000}"/>
    <cellStyle name="Comma 2 2 8 2 7" xfId="8588" xr:uid="{00000000-0005-0000-0000-000089210000}"/>
    <cellStyle name="Comma 2 2 8 2 8" xfId="8589" xr:uid="{00000000-0005-0000-0000-00008A210000}"/>
    <cellStyle name="Comma 2 2 8 2 9" xfId="8590" xr:uid="{00000000-0005-0000-0000-00008B210000}"/>
    <cellStyle name="Comma 2 2 8 3" xfId="8591" xr:uid="{00000000-0005-0000-0000-00008C210000}"/>
    <cellStyle name="Comma 2 2 8 3 2" xfId="8592" xr:uid="{00000000-0005-0000-0000-00008D210000}"/>
    <cellStyle name="Comma 2 2 8 3 2 2" xfId="8593" xr:uid="{00000000-0005-0000-0000-00008E210000}"/>
    <cellStyle name="Comma 2 2 8 3 2 2 2" xfId="8594" xr:uid="{00000000-0005-0000-0000-00008F210000}"/>
    <cellStyle name="Comma 2 2 8 3 2 2 3" xfId="8595" xr:uid="{00000000-0005-0000-0000-000090210000}"/>
    <cellStyle name="Comma 2 2 8 3 2 3" xfId="8596" xr:uid="{00000000-0005-0000-0000-000091210000}"/>
    <cellStyle name="Comma 2 2 8 3 2 4" xfId="8597" xr:uid="{00000000-0005-0000-0000-000092210000}"/>
    <cellStyle name="Comma 2 2 8 3 2 5" xfId="8598" xr:uid="{00000000-0005-0000-0000-000093210000}"/>
    <cellStyle name="Comma 2 2 8 3 2 6" xfId="8599" xr:uid="{00000000-0005-0000-0000-000094210000}"/>
    <cellStyle name="Comma 2 2 8 3 3" xfId="8600" xr:uid="{00000000-0005-0000-0000-000095210000}"/>
    <cellStyle name="Comma 2 2 8 3 3 2" xfId="8601" xr:uid="{00000000-0005-0000-0000-000096210000}"/>
    <cellStyle name="Comma 2 2 8 3 3 2 2" xfId="8602" xr:uid="{00000000-0005-0000-0000-000097210000}"/>
    <cellStyle name="Comma 2 2 8 3 3 3" xfId="8603" xr:uid="{00000000-0005-0000-0000-000098210000}"/>
    <cellStyle name="Comma 2 2 8 3 3 4" xfId="8604" xr:uid="{00000000-0005-0000-0000-000099210000}"/>
    <cellStyle name="Comma 2 2 8 3 3 5" xfId="8605" xr:uid="{00000000-0005-0000-0000-00009A210000}"/>
    <cellStyle name="Comma 2 2 8 3 4" xfId="8606" xr:uid="{00000000-0005-0000-0000-00009B210000}"/>
    <cellStyle name="Comma 2 2 8 3 4 2" xfId="8607" xr:uid="{00000000-0005-0000-0000-00009C210000}"/>
    <cellStyle name="Comma 2 2 8 3 4 3" xfId="8608" xr:uid="{00000000-0005-0000-0000-00009D210000}"/>
    <cellStyle name="Comma 2 2 8 3 4 4" xfId="8609" xr:uid="{00000000-0005-0000-0000-00009E210000}"/>
    <cellStyle name="Comma 2 2 8 3 5" xfId="8610" xr:uid="{00000000-0005-0000-0000-00009F210000}"/>
    <cellStyle name="Comma 2 2 8 3 5 2" xfId="8611" xr:uid="{00000000-0005-0000-0000-0000A0210000}"/>
    <cellStyle name="Comma 2 2 8 3 6" xfId="8612" xr:uid="{00000000-0005-0000-0000-0000A1210000}"/>
    <cellStyle name="Comma 2 2 8 3 7" xfId="8613" xr:uid="{00000000-0005-0000-0000-0000A2210000}"/>
    <cellStyle name="Comma 2 2 8 3 8" xfId="8614" xr:uid="{00000000-0005-0000-0000-0000A3210000}"/>
    <cellStyle name="Comma 2 2 8 3 9" xfId="8615" xr:uid="{00000000-0005-0000-0000-0000A4210000}"/>
    <cellStyle name="Comma 2 2 8 4" xfId="8616" xr:uid="{00000000-0005-0000-0000-0000A5210000}"/>
    <cellStyle name="Comma 2 2 8 4 2" xfId="8617" xr:uid="{00000000-0005-0000-0000-0000A6210000}"/>
    <cellStyle name="Comma 2 2 8 4 2 2" xfId="8618" xr:uid="{00000000-0005-0000-0000-0000A7210000}"/>
    <cellStyle name="Comma 2 2 8 4 2 3" xfId="8619" xr:uid="{00000000-0005-0000-0000-0000A8210000}"/>
    <cellStyle name="Comma 2 2 8 4 3" xfId="8620" xr:uid="{00000000-0005-0000-0000-0000A9210000}"/>
    <cellStyle name="Comma 2 2 8 4 4" xfId="8621" xr:uid="{00000000-0005-0000-0000-0000AA210000}"/>
    <cellStyle name="Comma 2 2 8 4 5" xfId="8622" xr:uid="{00000000-0005-0000-0000-0000AB210000}"/>
    <cellStyle name="Comma 2 2 8 4 6" xfId="8623" xr:uid="{00000000-0005-0000-0000-0000AC210000}"/>
    <cellStyle name="Comma 2 2 8 5" xfId="8624" xr:uid="{00000000-0005-0000-0000-0000AD210000}"/>
    <cellStyle name="Comma 2 2 8 5 2" xfId="8625" xr:uid="{00000000-0005-0000-0000-0000AE210000}"/>
    <cellStyle name="Comma 2 2 8 5 2 2" xfId="8626" xr:uid="{00000000-0005-0000-0000-0000AF210000}"/>
    <cellStyle name="Comma 2 2 8 5 3" xfId="8627" xr:uid="{00000000-0005-0000-0000-0000B0210000}"/>
    <cellStyle name="Comma 2 2 8 5 4" xfId="8628" xr:uid="{00000000-0005-0000-0000-0000B1210000}"/>
    <cellStyle name="Comma 2 2 8 5 5" xfId="8629" xr:uid="{00000000-0005-0000-0000-0000B2210000}"/>
    <cellStyle name="Comma 2 2 8 6" xfId="8630" xr:uid="{00000000-0005-0000-0000-0000B3210000}"/>
    <cellStyle name="Comma 2 2 8 6 2" xfId="8631" xr:uid="{00000000-0005-0000-0000-0000B4210000}"/>
    <cellStyle name="Comma 2 2 8 6 3" xfId="8632" xr:uid="{00000000-0005-0000-0000-0000B5210000}"/>
    <cellStyle name="Comma 2 2 8 6 4" xfId="8633" xr:uid="{00000000-0005-0000-0000-0000B6210000}"/>
    <cellStyle name="Comma 2 2 8 7" xfId="8634" xr:uid="{00000000-0005-0000-0000-0000B7210000}"/>
    <cellStyle name="Comma 2 2 8 7 2" xfId="8635" xr:uid="{00000000-0005-0000-0000-0000B8210000}"/>
    <cellStyle name="Comma 2 2 8 8" xfId="8636" xr:uid="{00000000-0005-0000-0000-0000B9210000}"/>
    <cellStyle name="Comma 2 2 8 9" xfId="8637" xr:uid="{00000000-0005-0000-0000-0000BA210000}"/>
    <cellStyle name="Comma 2 2 9" xfId="8638" xr:uid="{00000000-0005-0000-0000-0000BB210000}"/>
    <cellStyle name="Comma 2 2 9 10" xfId="8639" xr:uid="{00000000-0005-0000-0000-0000BC210000}"/>
    <cellStyle name="Comma 2 2 9 11" xfId="8640" xr:uid="{00000000-0005-0000-0000-0000BD210000}"/>
    <cellStyle name="Comma 2 2 9 2" xfId="8641" xr:uid="{00000000-0005-0000-0000-0000BE210000}"/>
    <cellStyle name="Comma 2 2 9 2 2" xfId="8642" xr:uid="{00000000-0005-0000-0000-0000BF210000}"/>
    <cellStyle name="Comma 2 2 9 2 2 2" xfId="8643" xr:uid="{00000000-0005-0000-0000-0000C0210000}"/>
    <cellStyle name="Comma 2 2 9 2 2 2 2" xfId="8644" xr:uid="{00000000-0005-0000-0000-0000C1210000}"/>
    <cellStyle name="Comma 2 2 9 2 2 2 3" xfId="8645" xr:uid="{00000000-0005-0000-0000-0000C2210000}"/>
    <cellStyle name="Comma 2 2 9 2 2 3" xfId="8646" xr:uid="{00000000-0005-0000-0000-0000C3210000}"/>
    <cellStyle name="Comma 2 2 9 2 2 4" xfId="8647" xr:uid="{00000000-0005-0000-0000-0000C4210000}"/>
    <cellStyle name="Comma 2 2 9 2 2 5" xfId="8648" xr:uid="{00000000-0005-0000-0000-0000C5210000}"/>
    <cellStyle name="Comma 2 2 9 2 2 6" xfId="8649" xr:uid="{00000000-0005-0000-0000-0000C6210000}"/>
    <cellStyle name="Comma 2 2 9 2 3" xfId="8650" xr:uid="{00000000-0005-0000-0000-0000C7210000}"/>
    <cellStyle name="Comma 2 2 9 2 3 2" xfId="8651" xr:uid="{00000000-0005-0000-0000-0000C8210000}"/>
    <cellStyle name="Comma 2 2 9 2 3 2 2" xfId="8652" xr:uid="{00000000-0005-0000-0000-0000C9210000}"/>
    <cellStyle name="Comma 2 2 9 2 3 3" xfId="8653" xr:uid="{00000000-0005-0000-0000-0000CA210000}"/>
    <cellStyle name="Comma 2 2 9 2 3 4" xfId="8654" xr:uid="{00000000-0005-0000-0000-0000CB210000}"/>
    <cellStyle name="Comma 2 2 9 2 3 5" xfId="8655" xr:uid="{00000000-0005-0000-0000-0000CC210000}"/>
    <cellStyle name="Comma 2 2 9 2 4" xfId="8656" xr:uid="{00000000-0005-0000-0000-0000CD210000}"/>
    <cellStyle name="Comma 2 2 9 2 4 2" xfId="8657" xr:uid="{00000000-0005-0000-0000-0000CE210000}"/>
    <cellStyle name="Comma 2 2 9 2 4 3" xfId="8658" xr:uid="{00000000-0005-0000-0000-0000CF210000}"/>
    <cellStyle name="Comma 2 2 9 2 4 4" xfId="8659" xr:uid="{00000000-0005-0000-0000-0000D0210000}"/>
    <cellStyle name="Comma 2 2 9 2 5" xfId="8660" xr:uid="{00000000-0005-0000-0000-0000D1210000}"/>
    <cellStyle name="Comma 2 2 9 2 5 2" xfId="8661" xr:uid="{00000000-0005-0000-0000-0000D2210000}"/>
    <cellStyle name="Comma 2 2 9 2 6" xfId="8662" xr:uid="{00000000-0005-0000-0000-0000D3210000}"/>
    <cellStyle name="Comma 2 2 9 2 7" xfId="8663" xr:uid="{00000000-0005-0000-0000-0000D4210000}"/>
    <cellStyle name="Comma 2 2 9 2 8" xfId="8664" xr:uid="{00000000-0005-0000-0000-0000D5210000}"/>
    <cellStyle name="Comma 2 2 9 2 9" xfId="8665" xr:uid="{00000000-0005-0000-0000-0000D6210000}"/>
    <cellStyle name="Comma 2 2 9 3" xfId="8666" xr:uid="{00000000-0005-0000-0000-0000D7210000}"/>
    <cellStyle name="Comma 2 2 9 3 2" xfId="8667" xr:uid="{00000000-0005-0000-0000-0000D8210000}"/>
    <cellStyle name="Comma 2 2 9 3 2 2" xfId="8668" xr:uid="{00000000-0005-0000-0000-0000D9210000}"/>
    <cellStyle name="Comma 2 2 9 3 2 2 2" xfId="8669" xr:uid="{00000000-0005-0000-0000-0000DA210000}"/>
    <cellStyle name="Comma 2 2 9 3 2 2 3" xfId="8670" xr:uid="{00000000-0005-0000-0000-0000DB210000}"/>
    <cellStyle name="Comma 2 2 9 3 2 3" xfId="8671" xr:uid="{00000000-0005-0000-0000-0000DC210000}"/>
    <cellStyle name="Comma 2 2 9 3 2 4" xfId="8672" xr:uid="{00000000-0005-0000-0000-0000DD210000}"/>
    <cellStyle name="Comma 2 2 9 3 2 5" xfId="8673" xr:uid="{00000000-0005-0000-0000-0000DE210000}"/>
    <cellStyle name="Comma 2 2 9 3 2 6" xfId="8674" xr:uid="{00000000-0005-0000-0000-0000DF210000}"/>
    <cellStyle name="Comma 2 2 9 3 3" xfId="8675" xr:uid="{00000000-0005-0000-0000-0000E0210000}"/>
    <cellStyle name="Comma 2 2 9 3 3 2" xfId="8676" xr:uid="{00000000-0005-0000-0000-0000E1210000}"/>
    <cellStyle name="Comma 2 2 9 3 3 2 2" xfId="8677" xr:uid="{00000000-0005-0000-0000-0000E2210000}"/>
    <cellStyle name="Comma 2 2 9 3 3 3" xfId="8678" xr:uid="{00000000-0005-0000-0000-0000E3210000}"/>
    <cellStyle name="Comma 2 2 9 3 3 4" xfId="8679" xr:uid="{00000000-0005-0000-0000-0000E4210000}"/>
    <cellStyle name="Comma 2 2 9 3 3 5" xfId="8680" xr:uid="{00000000-0005-0000-0000-0000E5210000}"/>
    <cellStyle name="Comma 2 2 9 3 4" xfId="8681" xr:uid="{00000000-0005-0000-0000-0000E6210000}"/>
    <cellStyle name="Comma 2 2 9 3 4 2" xfId="8682" xr:uid="{00000000-0005-0000-0000-0000E7210000}"/>
    <cellStyle name="Comma 2 2 9 3 4 3" xfId="8683" xr:uid="{00000000-0005-0000-0000-0000E8210000}"/>
    <cellStyle name="Comma 2 2 9 3 4 4" xfId="8684" xr:uid="{00000000-0005-0000-0000-0000E9210000}"/>
    <cellStyle name="Comma 2 2 9 3 5" xfId="8685" xr:uid="{00000000-0005-0000-0000-0000EA210000}"/>
    <cellStyle name="Comma 2 2 9 3 5 2" xfId="8686" xr:uid="{00000000-0005-0000-0000-0000EB210000}"/>
    <cellStyle name="Comma 2 2 9 3 6" xfId="8687" xr:uid="{00000000-0005-0000-0000-0000EC210000}"/>
    <cellStyle name="Comma 2 2 9 3 7" xfId="8688" xr:uid="{00000000-0005-0000-0000-0000ED210000}"/>
    <cellStyle name="Comma 2 2 9 3 8" xfId="8689" xr:uid="{00000000-0005-0000-0000-0000EE210000}"/>
    <cellStyle name="Comma 2 2 9 3 9" xfId="8690" xr:uid="{00000000-0005-0000-0000-0000EF210000}"/>
    <cellStyle name="Comma 2 2 9 4" xfId="8691" xr:uid="{00000000-0005-0000-0000-0000F0210000}"/>
    <cellStyle name="Comma 2 2 9 4 2" xfId="8692" xr:uid="{00000000-0005-0000-0000-0000F1210000}"/>
    <cellStyle name="Comma 2 2 9 4 2 2" xfId="8693" xr:uid="{00000000-0005-0000-0000-0000F2210000}"/>
    <cellStyle name="Comma 2 2 9 4 2 3" xfId="8694" xr:uid="{00000000-0005-0000-0000-0000F3210000}"/>
    <cellStyle name="Comma 2 2 9 4 3" xfId="8695" xr:uid="{00000000-0005-0000-0000-0000F4210000}"/>
    <cellStyle name="Comma 2 2 9 4 4" xfId="8696" xr:uid="{00000000-0005-0000-0000-0000F5210000}"/>
    <cellStyle name="Comma 2 2 9 4 5" xfId="8697" xr:uid="{00000000-0005-0000-0000-0000F6210000}"/>
    <cellStyle name="Comma 2 2 9 4 6" xfId="8698" xr:uid="{00000000-0005-0000-0000-0000F7210000}"/>
    <cellStyle name="Comma 2 2 9 5" xfId="8699" xr:uid="{00000000-0005-0000-0000-0000F8210000}"/>
    <cellStyle name="Comma 2 2 9 5 2" xfId="8700" xr:uid="{00000000-0005-0000-0000-0000F9210000}"/>
    <cellStyle name="Comma 2 2 9 5 2 2" xfId="8701" xr:uid="{00000000-0005-0000-0000-0000FA210000}"/>
    <cellStyle name="Comma 2 2 9 5 3" xfId="8702" xr:uid="{00000000-0005-0000-0000-0000FB210000}"/>
    <cellStyle name="Comma 2 2 9 5 4" xfId="8703" xr:uid="{00000000-0005-0000-0000-0000FC210000}"/>
    <cellStyle name="Comma 2 2 9 5 5" xfId="8704" xr:uid="{00000000-0005-0000-0000-0000FD210000}"/>
    <cellStyle name="Comma 2 2 9 6" xfId="8705" xr:uid="{00000000-0005-0000-0000-0000FE210000}"/>
    <cellStyle name="Comma 2 2 9 6 2" xfId="8706" xr:uid="{00000000-0005-0000-0000-0000FF210000}"/>
    <cellStyle name="Comma 2 2 9 6 3" xfId="8707" xr:uid="{00000000-0005-0000-0000-000000220000}"/>
    <cellStyle name="Comma 2 2 9 6 4" xfId="8708" xr:uid="{00000000-0005-0000-0000-000001220000}"/>
    <cellStyle name="Comma 2 2 9 7" xfId="8709" xr:uid="{00000000-0005-0000-0000-000002220000}"/>
    <cellStyle name="Comma 2 2 9 7 2" xfId="8710" xr:uid="{00000000-0005-0000-0000-000003220000}"/>
    <cellStyle name="Comma 2 2 9 8" xfId="8711" xr:uid="{00000000-0005-0000-0000-000004220000}"/>
    <cellStyle name="Comma 2 2 9 9" xfId="8712" xr:uid="{00000000-0005-0000-0000-000005220000}"/>
    <cellStyle name="Comma 2 20" xfId="8713" xr:uid="{00000000-0005-0000-0000-000006220000}"/>
    <cellStyle name="Comma 2 20 10" xfId="8714" xr:uid="{00000000-0005-0000-0000-000007220000}"/>
    <cellStyle name="Comma 2 20 2" xfId="8715" xr:uid="{00000000-0005-0000-0000-000008220000}"/>
    <cellStyle name="Comma 2 20 2 2" xfId="8716" xr:uid="{00000000-0005-0000-0000-000009220000}"/>
    <cellStyle name="Comma 2 20 2 2 2" xfId="8717" xr:uid="{00000000-0005-0000-0000-00000A220000}"/>
    <cellStyle name="Comma 2 20 2 2 3" xfId="8718" xr:uid="{00000000-0005-0000-0000-00000B220000}"/>
    <cellStyle name="Comma 2 20 2 3" xfId="8719" xr:uid="{00000000-0005-0000-0000-00000C220000}"/>
    <cellStyle name="Comma 2 20 2 4" xfId="8720" xr:uid="{00000000-0005-0000-0000-00000D220000}"/>
    <cellStyle name="Comma 2 20 2 5" xfId="8721" xr:uid="{00000000-0005-0000-0000-00000E220000}"/>
    <cellStyle name="Comma 2 20 2 6" xfId="8722" xr:uid="{00000000-0005-0000-0000-00000F220000}"/>
    <cellStyle name="Comma 2 20 3" xfId="8723" xr:uid="{00000000-0005-0000-0000-000010220000}"/>
    <cellStyle name="Comma 2 20 3 2" xfId="8724" xr:uid="{00000000-0005-0000-0000-000011220000}"/>
    <cellStyle name="Comma 2 20 3 2 2" xfId="8725" xr:uid="{00000000-0005-0000-0000-000012220000}"/>
    <cellStyle name="Comma 2 20 3 2 3" xfId="8726" xr:uid="{00000000-0005-0000-0000-000013220000}"/>
    <cellStyle name="Comma 2 20 3 3" xfId="8727" xr:uid="{00000000-0005-0000-0000-000014220000}"/>
    <cellStyle name="Comma 2 20 3 4" xfId="8728" xr:uid="{00000000-0005-0000-0000-000015220000}"/>
    <cellStyle name="Comma 2 20 3 5" xfId="8729" xr:uid="{00000000-0005-0000-0000-000016220000}"/>
    <cellStyle name="Comma 2 20 3 6" xfId="8730" xr:uid="{00000000-0005-0000-0000-000017220000}"/>
    <cellStyle name="Comma 2 20 4" xfId="8731" xr:uid="{00000000-0005-0000-0000-000018220000}"/>
    <cellStyle name="Comma 2 20 4 2" xfId="8732" xr:uid="{00000000-0005-0000-0000-000019220000}"/>
    <cellStyle name="Comma 2 20 4 2 2" xfId="8733" xr:uid="{00000000-0005-0000-0000-00001A220000}"/>
    <cellStyle name="Comma 2 20 4 3" xfId="8734" xr:uid="{00000000-0005-0000-0000-00001B220000}"/>
    <cellStyle name="Comma 2 20 4 4" xfId="8735" xr:uid="{00000000-0005-0000-0000-00001C220000}"/>
    <cellStyle name="Comma 2 20 4 5" xfId="8736" xr:uid="{00000000-0005-0000-0000-00001D220000}"/>
    <cellStyle name="Comma 2 20 4 6" xfId="8737" xr:uid="{00000000-0005-0000-0000-00001E220000}"/>
    <cellStyle name="Comma 2 20 5" xfId="8738" xr:uid="{00000000-0005-0000-0000-00001F220000}"/>
    <cellStyle name="Comma 2 20 5 2" xfId="8739" xr:uid="{00000000-0005-0000-0000-000020220000}"/>
    <cellStyle name="Comma 2 20 5 3" xfId="8740" xr:uid="{00000000-0005-0000-0000-000021220000}"/>
    <cellStyle name="Comma 2 20 5 4" xfId="8741" xr:uid="{00000000-0005-0000-0000-000022220000}"/>
    <cellStyle name="Comma 2 20 5 5" xfId="8742" xr:uid="{00000000-0005-0000-0000-000023220000}"/>
    <cellStyle name="Comma 2 20 6" xfId="8743" xr:uid="{00000000-0005-0000-0000-000024220000}"/>
    <cellStyle name="Comma 2 20 6 2" xfId="8744" xr:uid="{00000000-0005-0000-0000-000025220000}"/>
    <cellStyle name="Comma 2 20 6 3" xfId="8745" xr:uid="{00000000-0005-0000-0000-000026220000}"/>
    <cellStyle name="Comma 2 20 7" xfId="8746" xr:uid="{00000000-0005-0000-0000-000027220000}"/>
    <cellStyle name="Comma 2 20 7 2" xfId="8747" xr:uid="{00000000-0005-0000-0000-000028220000}"/>
    <cellStyle name="Comma 2 20 8" xfId="8748" xr:uid="{00000000-0005-0000-0000-000029220000}"/>
    <cellStyle name="Comma 2 20 9" xfId="8749" xr:uid="{00000000-0005-0000-0000-00002A220000}"/>
    <cellStyle name="Comma 2 21" xfId="8750" xr:uid="{00000000-0005-0000-0000-00002B220000}"/>
    <cellStyle name="Comma 2 21 10" xfId="8751" xr:uid="{00000000-0005-0000-0000-00002C220000}"/>
    <cellStyle name="Comma 2 21 2" xfId="8752" xr:uid="{00000000-0005-0000-0000-00002D220000}"/>
    <cellStyle name="Comma 2 21 2 2" xfId="8753" xr:uid="{00000000-0005-0000-0000-00002E220000}"/>
    <cellStyle name="Comma 2 21 2 2 2" xfId="8754" xr:uid="{00000000-0005-0000-0000-00002F220000}"/>
    <cellStyle name="Comma 2 21 2 2 3" xfId="8755" xr:uid="{00000000-0005-0000-0000-000030220000}"/>
    <cellStyle name="Comma 2 21 2 3" xfId="8756" xr:uid="{00000000-0005-0000-0000-000031220000}"/>
    <cellStyle name="Comma 2 21 2 4" xfId="8757" xr:uid="{00000000-0005-0000-0000-000032220000}"/>
    <cellStyle name="Comma 2 21 2 5" xfId="8758" xr:uid="{00000000-0005-0000-0000-000033220000}"/>
    <cellStyle name="Comma 2 21 2 6" xfId="8759" xr:uid="{00000000-0005-0000-0000-000034220000}"/>
    <cellStyle name="Comma 2 21 3" xfId="8760" xr:uid="{00000000-0005-0000-0000-000035220000}"/>
    <cellStyle name="Comma 2 21 3 2" xfId="8761" xr:uid="{00000000-0005-0000-0000-000036220000}"/>
    <cellStyle name="Comma 2 21 3 2 2" xfId="8762" xr:uid="{00000000-0005-0000-0000-000037220000}"/>
    <cellStyle name="Comma 2 21 3 2 3" xfId="8763" xr:uid="{00000000-0005-0000-0000-000038220000}"/>
    <cellStyle name="Comma 2 21 3 3" xfId="8764" xr:uid="{00000000-0005-0000-0000-000039220000}"/>
    <cellStyle name="Comma 2 21 3 4" xfId="8765" xr:uid="{00000000-0005-0000-0000-00003A220000}"/>
    <cellStyle name="Comma 2 21 3 5" xfId="8766" xr:uid="{00000000-0005-0000-0000-00003B220000}"/>
    <cellStyle name="Comma 2 21 3 6" xfId="8767" xr:uid="{00000000-0005-0000-0000-00003C220000}"/>
    <cellStyle name="Comma 2 21 4" xfId="8768" xr:uid="{00000000-0005-0000-0000-00003D220000}"/>
    <cellStyle name="Comma 2 21 4 2" xfId="8769" xr:uid="{00000000-0005-0000-0000-00003E220000}"/>
    <cellStyle name="Comma 2 21 4 2 2" xfId="8770" xr:uid="{00000000-0005-0000-0000-00003F220000}"/>
    <cellStyle name="Comma 2 21 4 3" xfId="8771" xr:uid="{00000000-0005-0000-0000-000040220000}"/>
    <cellStyle name="Comma 2 21 4 4" xfId="8772" xr:uid="{00000000-0005-0000-0000-000041220000}"/>
    <cellStyle name="Comma 2 21 4 5" xfId="8773" xr:uid="{00000000-0005-0000-0000-000042220000}"/>
    <cellStyle name="Comma 2 21 4 6" xfId="8774" xr:uid="{00000000-0005-0000-0000-000043220000}"/>
    <cellStyle name="Comma 2 21 5" xfId="8775" xr:uid="{00000000-0005-0000-0000-000044220000}"/>
    <cellStyle name="Comma 2 21 5 2" xfId="8776" xr:uid="{00000000-0005-0000-0000-000045220000}"/>
    <cellStyle name="Comma 2 21 5 3" xfId="8777" xr:uid="{00000000-0005-0000-0000-000046220000}"/>
    <cellStyle name="Comma 2 21 5 4" xfId="8778" xr:uid="{00000000-0005-0000-0000-000047220000}"/>
    <cellStyle name="Comma 2 21 5 5" xfId="8779" xr:uid="{00000000-0005-0000-0000-000048220000}"/>
    <cellStyle name="Comma 2 21 6" xfId="8780" xr:uid="{00000000-0005-0000-0000-000049220000}"/>
    <cellStyle name="Comma 2 21 6 2" xfId="8781" xr:uid="{00000000-0005-0000-0000-00004A220000}"/>
    <cellStyle name="Comma 2 21 6 3" xfId="8782" xr:uid="{00000000-0005-0000-0000-00004B220000}"/>
    <cellStyle name="Comma 2 21 7" xfId="8783" xr:uid="{00000000-0005-0000-0000-00004C220000}"/>
    <cellStyle name="Comma 2 21 7 2" xfId="8784" xr:uid="{00000000-0005-0000-0000-00004D220000}"/>
    <cellStyle name="Comma 2 21 8" xfId="8785" xr:uid="{00000000-0005-0000-0000-00004E220000}"/>
    <cellStyle name="Comma 2 21 9" xfId="8786" xr:uid="{00000000-0005-0000-0000-00004F220000}"/>
    <cellStyle name="Comma 2 22" xfId="8787" xr:uid="{00000000-0005-0000-0000-000050220000}"/>
    <cellStyle name="Comma 2 22 10" xfId="8788" xr:uid="{00000000-0005-0000-0000-000051220000}"/>
    <cellStyle name="Comma 2 22 2" xfId="8789" xr:uid="{00000000-0005-0000-0000-000052220000}"/>
    <cellStyle name="Comma 2 22 2 2" xfId="8790" xr:uid="{00000000-0005-0000-0000-000053220000}"/>
    <cellStyle name="Comma 2 22 2 2 2" xfId="8791" xr:uid="{00000000-0005-0000-0000-000054220000}"/>
    <cellStyle name="Comma 2 22 2 2 3" xfId="8792" xr:uid="{00000000-0005-0000-0000-000055220000}"/>
    <cellStyle name="Comma 2 22 2 3" xfId="8793" xr:uid="{00000000-0005-0000-0000-000056220000}"/>
    <cellStyle name="Comma 2 22 2 4" xfId="8794" xr:uid="{00000000-0005-0000-0000-000057220000}"/>
    <cellStyle name="Comma 2 22 2 5" xfId="8795" xr:uid="{00000000-0005-0000-0000-000058220000}"/>
    <cellStyle name="Comma 2 22 2 6" xfId="8796" xr:uid="{00000000-0005-0000-0000-000059220000}"/>
    <cellStyle name="Comma 2 22 3" xfId="8797" xr:uid="{00000000-0005-0000-0000-00005A220000}"/>
    <cellStyle name="Comma 2 22 3 2" xfId="8798" xr:uid="{00000000-0005-0000-0000-00005B220000}"/>
    <cellStyle name="Comma 2 22 3 2 2" xfId="8799" xr:uid="{00000000-0005-0000-0000-00005C220000}"/>
    <cellStyle name="Comma 2 22 3 2 3" xfId="8800" xr:uid="{00000000-0005-0000-0000-00005D220000}"/>
    <cellStyle name="Comma 2 22 3 3" xfId="8801" xr:uid="{00000000-0005-0000-0000-00005E220000}"/>
    <cellStyle name="Comma 2 22 3 4" xfId="8802" xr:uid="{00000000-0005-0000-0000-00005F220000}"/>
    <cellStyle name="Comma 2 22 3 5" xfId="8803" xr:uid="{00000000-0005-0000-0000-000060220000}"/>
    <cellStyle name="Comma 2 22 3 6" xfId="8804" xr:uid="{00000000-0005-0000-0000-000061220000}"/>
    <cellStyle name="Comma 2 22 4" xfId="8805" xr:uid="{00000000-0005-0000-0000-000062220000}"/>
    <cellStyle name="Comma 2 22 4 2" xfId="8806" xr:uid="{00000000-0005-0000-0000-000063220000}"/>
    <cellStyle name="Comma 2 22 4 2 2" xfId="8807" xr:uid="{00000000-0005-0000-0000-000064220000}"/>
    <cellStyle name="Comma 2 22 4 3" xfId="8808" xr:uid="{00000000-0005-0000-0000-000065220000}"/>
    <cellStyle name="Comma 2 22 4 4" xfId="8809" xr:uid="{00000000-0005-0000-0000-000066220000}"/>
    <cellStyle name="Comma 2 22 4 5" xfId="8810" xr:uid="{00000000-0005-0000-0000-000067220000}"/>
    <cellStyle name="Comma 2 22 4 6" xfId="8811" xr:uid="{00000000-0005-0000-0000-000068220000}"/>
    <cellStyle name="Comma 2 22 5" xfId="8812" xr:uid="{00000000-0005-0000-0000-000069220000}"/>
    <cellStyle name="Comma 2 22 5 2" xfId="8813" xr:uid="{00000000-0005-0000-0000-00006A220000}"/>
    <cellStyle name="Comma 2 22 5 3" xfId="8814" xr:uid="{00000000-0005-0000-0000-00006B220000}"/>
    <cellStyle name="Comma 2 22 5 4" xfId="8815" xr:uid="{00000000-0005-0000-0000-00006C220000}"/>
    <cellStyle name="Comma 2 22 5 5" xfId="8816" xr:uid="{00000000-0005-0000-0000-00006D220000}"/>
    <cellStyle name="Comma 2 22 6" xfId="8817" xr:uid="{00000000-0005-0000-0000-00006E220000}"/>
    <cellStyle name="Comma 2 22 6 2" xfId="8818" xr:uid="{00000000-0005-0000-0000-00006F220000}"/>
    <cellStyle name="Comma 2 22 6 3" xfId="8819" xr:uid="{00000000-0005-0000-0000-000070220000}"/>
    <cellStyle name="Comma 2 22 7" xfId="8820" xr:uid="{00000000-0005-0000-0000-000071220000}"/>
    <cellStyle name="Comma 2 22 7 2" xfId="8821" xr:uid="{00000000-0005-0000-0000-000072220000}"/>
    <cellStyle name="Comma 2 22 8" xfId="8822" xr:uid="{00000000-0005-0000-0000-000073220000}"/>
    <cellStyle name="Comma 2 22 9" xfId="8823" xr:uid="{00000000-0005-0000-0000-000074220000}"/>
    <cellStyle name="Comma 2 23" xfId="8824" xr:uid="{00000000-0005-0000-0000-000075220000}"/>
    <cellStyle name="Comma 2 23 10" xfId="8825" xr:uid="{00000000-0005-0000-0000-000076220000}"/>
    <cellStyle name="Comma 2 23 2" xfId="8826" xr:uid="{00000000-0005-0000-0000-000077220000}"/>
    <cellStyle name="Comma 2 23 2 2" xfId="8827" xr:uid="{00000000-0005-0000-0000-000078220000}"/>
    <cellStyle name="Comma 2 23 2 2 2" xfId="8828" xr:uid="{00000000-0005-0000-0000-000079220000}"/>
    <cellStyle name="Comma 2 23 2 2 3" xfId="8829" xr:uid="{00000000-0005-0000-0000-00007A220000}"/>
    <cellStyle name="Comma 2 23 2 3" xfId="8830" xr:uid="{00000000-0005-0000-0000-00007B220000}"/>
    <cellStyle name="Comma 2 23 2 4" xfId="8831" xr:uid="{00000000-0005-0000-0000-00007C220000}"/>
    <cellStyle name="Comma 2 23 2 5" xfId="8832" xr:uid="{00000000-0005-0000-0000-00007D220000}"/>
    <cellStyle name="Comma 2 23 2 6" xfId="8833" xr:uid="{00000000-0005-0000-0000-00007E220000}"/>
    <cellStyle name="Comma 2 23 3" xfId="8834" xr:uid="{00000000-0005-0000-0000-00007F220000}"/>
    <cellStyle name="Comma 2 23 3 2" xfId="8835" xr:uid="{00000000-0005-0000-0000-000080220000}"/>
    <cellStyle name="Comma 2 23 3 2 2" xfId="8836" xr:uid="{00000000-0005-0000-0000-000081220000}"/>
    <cellStyle name="Comma 2 23 3 2 3" xfId="8837" xr:uid="{00000000-0005-0000-0000-000082220000}"/>
    <cellStyle name="Comma 2 23 3 3" xfId="8838" xr:uid="{00000000-0005-0000-0000-000083220000}"/>
    <cellStyle name="Comma 2 23 3 4" xfId="8839" xr:uid="{00000000-0005-0000-0000-000084220000}"/>
    <cellStyle name="Comma 2 23 3 5" xfId="8840" xr:uid="{00000000-0005-0000-0000-000085220000}"/>
    <cellStyle name="Comma 2 23 3 6" xfId="8841" xr:uid="{00000000-0005-0000-0000-000086220000}"/>
    <cellStyle name="Comma 2 23 4" xfId="8842" xr:uid="{00000000-0005-0000-0000-000087220000}"/>
    <cellStyle name="Comma 2 23 4 2" xfId="8843" xr:uid="{00000000-0005-0000-0000-000088220000}"/>
    <cellStyle name="Comma 2 23 4 2 2" xfId="8844" xr:uid="{00000000-0005-0000-0000-000089220000}"/>
    <cellStyle name="Comma 2 23 4 3" xfId="8845" xr:uid="{00000000-0005-0000-0000-00008A220000}"/>
    <cellStyle name="Comma 2 23 4 4" xfId="8846" xr:uid="{00000000-0005-0000-0000-00008B220000}"/>
    <cellStyle name="Comma 2 23 4 5" xfId="8847" xr:uid="{00000000-0005-0000-0000-00008C220000}"/>
    <cellStyle name="Comma 2 23 4 6" xfId="8848" xr:uid="{00000000-0005-0000-0000-00008D220000}"/>
    <cellStyle name="Comma 2 23 5" xfId="8849" xr:uid="{00000000-0005-0000-0000-00008E220000}"/>
    <cellStyle name="Comma 2 23 5 2" xfId="8850" xr:uid="{00000000-0005-0000-0000-00008F220000}"/>
    <cellStyle name="Comma 2 23 5 3" xfId="8851" xr:uid="{00000000-0005-0000-0000-000090220000}"/>
    <cellStyle name="Comma 2 23 5 4" xfId="8852" xr:uid="{00000000-0005-0000-0000-000091220000}"/>
    <cellStyle name="Comma 2 23 5 5" xfId="8853" xr:uid="{00000000-0005-0000-0000-000092220000}"/>
    <cellStyle name="Comma 2 23 6" xfId="8854" xr:uid="{00000000-0005-0000-0000-000093220000}"/>
    <cellStyle name="Comma 2 23 6 2" xfId="8855" xr:uid="{00000000-0005-0000-0000-000094220000}"/>
    <cellStyle name="Comma 2 23 6 3" xfId="8856" xr:uid="{00000000-0005-0000-0000-000095220000}"/>
    <cellStyle name="Comma 2 23 7" xfId="8857" xr:uid="{00000000-0005-0000-0000-000096220000}"/>
    <cellStyle name="Comma 2 23 7 2" xfId="8858" xr:uid="{00000000-0005-0000-0000-000097220000}"/>
    <cellStyle name="Comma 2 23 8" xfId="8859" xr:uid="{00000000-0005-0000-0000-000098220000}"/>
    <cellStyle name="Comma 2 23 9" xfId="8860" xr:uid="{00000000-0005-0000-0000-000099220000}"/>
    <cellStyle name="Comma 2 24" xfId="8861" xr:uid="{00000000-0005-0000-0000-00009A220000}"/>
    <cellStyle name="Comma 2 24 10" xfId="8862" xr:uid="{00000000-0005-0000-0000-00009B220000}"/>
    <cellStyle name="Comma 2 24 2" xfId="8863" xr:uid="{00000000-0005-0000-0000-00009C220000}"/>
    <cellStyle name="Comma 2 24 2 2" xfId="8864" xr:uid="{00000000-0005-0000-0000-00009D220000}"/>
    <cellStyle name="Comma 2 24 2 2 2" xfId="8865" xr:uid="{00000000-0005-0000-0000-00009E220000}"/>
    <cellStyle name="Comma 2 24 2 2 3" xfId="8866" xr:uid="{00000000-0005-0000-0000-00009F220000}"/>
    <cellStyle name="Comma 2 24 2 3" xfId="8867" xr:uid="{00000000-0005-0000-0000-0000A0220000}"/>
    <cellStyle name="Comma 2 24 2 4" xfId="8868" xr:uid="{00000000-0005-0000-0000-0000A1220000}"/>
    <cellStyle name="Comma 2 24 2 5" xfId="8869" xr:uid="{00000000-0005-0000-0000-0000A2220000}"/>
    <cellStyle name="Comma 2 24 2 6" xfId="8870" xr:uid="{00000000-0005-0000-0000-0000A3220000}"/>
    <cellStyle name="Comma 2 24 3" xfId="8871" xr:uid="{00000000-0005-0000-0000-0000A4220000}"/>
    <cellStyle name="Comma 2 24 3 2" xfId="8872" xr:uid="{00000000-0005-0000-0000-0000A5220000}"/>
    <cellStyle name="Comma 2 24 3 2 2" xfId="8873" xr:uid="{00000000-0005-0000-0000-0000A6220000}"/>
    <cellStyle name="Comma 2 24 3 2 3" xfId="8874" xr:uid="{00000000-0005-0000-0000-0000A7220000}"/>
    <cellStyle name="Comma 2 24 3 3" xfId="8875" xr:uid="{00000000-0005-0000-0000-0000A8220000}"/>
    <cellStyle name="Comma 2 24 3 4" xfId="8876" xr:uid="{00000000-0005-0000-0000-0000A9220000}"/>
    <cellStyle name="Comma 2 24 3 5" xfId="8877" xr:uid="{00000000-0005-0000-0000-0000AA220000}"/>
    <cellStyle name="Comma 2 24 3 6" xfId="8878" xr:uid="{00000000-0005-0000-0000-0000AB220000}"/>
    <cellStyle name="Comma 2 24 4" xfId="8879" xr:uid="{00000000-0005-0000-0000-0000AC220000}"/>
    <cellStyle name="Comma 2 24 4 2" xfId="8880" xr:uid="{00000000-0005-0000-0000-0000AD220000}"/>
    <cellStyle name="Comma 2 24 4 2 2" xfId="8881" xr:uid="{00000000-0005-0000-0000-0000AE220000}"/>
    <cellStyle name="Comma 2 24 4 3" xfId="8882" xr:uid="{00000000-0005-0000-0000-0000AF220000}"/>
    <cellStyle name="Comma 2 24 4 4" xfId="8883" xr:uid="{00000000-0005-0000-0000-0000B0220000}"/>
    <cellStyle name="Comma 2 24 4 5" xfId="8884" xr:uid="{00000000-0005-0000-0000-0000B1220000}"/>
    <cellStyle name="Comma 2 24 4 6" xfId="8885" xr:uid="{00000000-0005-0000-0000-0000B2220000}"/>
    <cellStyle name="Comma 2 24 5" xfId="8886" xr:uid="{00000000-0005-0000-0000-0000B3220000}"/>
    <cellStyle name="Comma 2 24 5 2" xfId="8887" xr:uid="{00000000-0005-0000-0000-0000B4220000}"/>
    <cellStyle name="Comma 2 24 5 3" xfId="8888" xr:uid="{00000000-0005-0000-0000-0000B5220000}"/>
    <cellStyle name="Comma 2 24 5 4" xfId="8889" xr:uid="{00000000-0005-0000-0000-0000B6220000}"/>
    <cellStyle name="Comma 2 24 5 5" xfId="8890" xr:uid="{00000000-0005-0000-0000-0000B7220000}"/>
    <cellStyle name="Comma 2 24 6" xfId="8891" xr:uid="{00000000-0005-0000-0000-0000B8220000}"/>
    <cellStyle name="Comma 2 24 6 2" xfId="8892" xr:uid="{00000000-0005-0000-0000-0000B9220000}"/>
    <cellStyle name="Comma 2 24 6 3" xfId="8893" xr:uid="{00000000-0005-0000-0000-0000BA220000}"/>
    <cellStyle name="Comma 2 24 7" xfId="8894" xr:uid="{00000000-0005-0000-0000-0000BB220000}"/>
    <cellStyle name="Comma 2 24 7 2" xfId="8895" xr:uid="{00000000-0005-0000-0000-0000BC220000}"/>
    <cellStyle name="Comma 2 24 8" xfId="8896" xr:uid="{00000000-0005-0000-0000-0000BD220000}"/>
    <cellStyle name="Comma 2 24 9" xfId="8897" xr:uid="{00000000-0005-0000-0000-0000BE220000}"/>
    <cellStyle name="Comma 2 25" xfId="8898" xr:uid="{00000000-0005-0000-0000-0000BF220000}"/>
    <cellStyle name="Comma 2 25 10" xfId="8899" xr:uid="{00000000-0005-0000-0000-0000C0220000}"/>
    <cellStyle name="Comma 2 25 2" xfId="8900" xr:uid="{00000000-0005-0000-0000-0000C1220000}"/>
    <cellStyle name="Comma 2 25 2 2" xfId="8901" xr:uid="{00000000-0005-0000-0000-0000C2220000}"/>
    <cellStyle name="Comma 2 25 2 2 2" xfId="8902" xr:uid="{00000000-0005-0000-0000-0000C3220000}"/>
    <cellStyle name="Comma 2 25 2 2 3" xfId="8903" xr:uid="{00000000-0005-0000-0000-0000C4220000}"/>
    <cellStyle name="Comma 2 25 2 3" xfId="8904" xr:uid="{00000000-0005-0000-0000-0000C5220000}"/>
    <cellStyle name="Comma 2 25 2 4" xfId="8905" xr:uid="{00000000-0005-0000-0000-0000C6220000}"/>
    <cellStyle name="Comma 2 25 2 5" xfId="8906" xr:uid="{00000000-0005-0000-0000-0000C7220000}"/>
    <cellStyle name="Comma 2 25 2 6" xfId="8907" xr:uid="{00000000-0005-0000-0000-0000C8220000}"/>
    <cellStyle name="Comma 2 25 3" xfId="8908" xr:uid="{00000000-0005-0000-0000-0000C9220000}"/>
    <cellStyle name="Comma 2 25 3 2" xfId="8909" xr:uid="{00000000-0005-0000-0000-0000CA220000}"/>
    <cellStyle name="Comma 2 25 3 2 2" xfId="8910" xr:uid="{00000000-0005-0000-0000-0000CB220000}"/>
    <cellStyle name="Comma 2 25 3 2 3" xfId="8911" xr:uid="{00000000-0005-0000-0000-0000CC220000}"/>
    <cellStyle name="Comma 2 25 3 3" xfId="8912" xr:uid="{00000000-0005-0000-0000-0000CD220000}"/>
    <cellStyle name="Comma 2 25 3 4" xfId="8913" xr:uid="{00000000-0005-0000-0000-0000CE220000}"/>
    <cellStyle name="Comma 2 25 3 5" xfId="8914" xr:uid="{00000000-0005-0000-0000-0000CF220000}"/>
    <cellStyle name="Comma 2 25 3 6" xfId="8915" xr:uid="{00000000-0005-0000-0000-0000D0220000}"/>
    <cellStyle name="Comma 2 25 4" xfId="8916" xr:uid="{00000000-0005-0000-0000-0000D1220000}"/>
    <cellStyle name="Comma 2 25 4 2" xfId="8917" xr:uid="{00000000-0005-0000-0000-0000D2220000}"/>
    <cellStyle name="Comma 2 25 4 2 2" xfId="8918" xr:uid="{00000000-0005-0000-0000-0000D3220000}"/>
    <cellStyle name="Comma 2 25 4 3" xfId="8919" xr:uid="{00000000-0005-0000-0000-0000D4220000}"/>
    <cellStyle name="Comma 2 25 4 4" xfId="8920" xr:uid="{00000000-0005-0000-0000-0000D5220000}"/>
    <cellStyle name="Comma 2 25 4 5" xfId="8921" xr:uid="{00000000-0005-0000-0000-0000D6220000}"/>
    <cellStyle name="Comma 2 25 4 6" xfId="8922" xr:uid="{00000000-0005-0000-0000-0000D7220000}"/>
    <cellStyle name="Comma 2 25 5" xfId="8923" xr:uid="{00000000-0005-0000-0000-0000D8220000}"/>
    <cellStyle name="Comma 2 25 5 2" xfId="8924" xr:uid="{00000000-0005-0000-0000-0000D9220000}"/>
    <cellStyle name="Comma 2 25 5 3" xfId="8925" xr:uid="{00000000-0005-0000-0000-0000DA220000}"/>
    <cellStyle name="Comma 2 25 5 4" xfId="8926" xr:uid="{00000000-0005-0000-0000-0000DB220000}"/>
    <cellStyle name="Comma 2 25 5 5" xfId="8927" xr:uid="{00000000-0005-0000-0000-0000DC220000}"/>
    <cellStyle name="Comma 2 25 6" xfId="8928" xr:uid="{00000000-0005-0000-0000-0000DD220000}"/>
    <cellStyle name="Comma 2 25 6 2" xfId="8929" xr:uid="{00000000-0005-0000-0000-0000DE220000}"/>
    <cellStyle name="Comma 2 25 6 3" xfId="8930" xr:uid="{00000000-0005-0000-0000-0000DF220000}"/>
    <cellStyle name="Comma 2 25 7" xfId="8931" xr:uid="{00000000-0005-0000-0000-0000E0220000}"/>
    <cellStyle name="Comma 2 25 7 2" xfId="8932" xr:uid="{00000000-0005-0000-0000-0000E1220000}"/>
    <cellStyle name="Comma 2 25 8" xfId="8933" xr:uid="{00000000-0005-0000-0000-0000E2220000}"/>
    <cellStyle name="Comma 2 25 9" xfId="8934" xr:uid="{00000000-0005-0000-0000-0000E3220000}"/>
    <cellStyle name="Comma 2 26" xfId="8935" xr:uid="{00000000-0005-0000-0000-0000E4220000}"/>
    <cellStyle name="Comma 2 26 10" xfId="8936" xr:uid="{00000000-0005-0000-0000-0000E5220000}"/>
    <cellStyle name="Comma 2 26 2" xfId="8937" xr:uid="{00000000-0005-0000-0000-0000E6220000}"/>
    <cellStyle name="Comma 2 26 2 2" xfId="8938" xr:uid="{00000000-0005-0000-0000-0000E7220000}"/>
    <cellStyle name="Comma 2 26 2 2 2" xfId="8939" xr:uid="{00000000-0005-0000-0000-0000E8220000}"/>
    <cellStyle name="Comma 2 26 2 2 3" xfId="8940" xr:uid="{00000000-0005-0000-0000-0000E9220000}"/>
    <cellStyle name="Comma 2 26 2 3" xfId="8941" xr:uid="{00000000-0005-0000-0000-0000EA220000}"/>
    <cellStyle name="Comma 2 26 2 4" xfId="8942" xr:uid="{00000000-0005-0000-0000-0000EB220000}"/>
    <cellStyle name="Comma 2 26 2 5" xfId="8943" xr:uid="{00000000-0005-0000-0000-0000EC220000}"/>
    <cellStyle name="Comma 2 26 2 6" xfId="8944" xr:uid="{00000000-0005-0000-0000-0000ED220000}"/>
    <cellStyle name="Comma 2 26 3" xfId="8945" xr:uid="{00000000-0005-0000-0000-0000EE220000}"/>
    <cellStyle name="Comma 2 26 3 2" xfId="8946" xr:uid="{00000000-0005-0000-0000-0000EF220000}"/>
    <cellStyle name="Comma 2 26 3 2 2" xfId="8947" xr:uid="{00000000-0005-0000-0000-0000F0220000}"/>
    <cellStyle name="Comma 2 26 3 2 3" xfId="8948" xr:uid="{00000000-0005-0000-0000-0000F1220000}"/>
    <cellStyle name="Comma 2 26 3 3" xfId="8949" xr:uid="{00000000-0005-0000-0000-0000F2220000}"/>
    <cellStyle name="Comma 2 26 3 4" xfId="8950" xr:uid="{00000000-0005-0000-0000-0000F3220000}"/>
    <cellStyle name="Comma 2 26 3 5" xfId="8951" xr:uid="{00000000-0005-0000-0000-0000F4220000}"/>
    <cellStyle name="Comma 2 26 3 6" xfId="8952" xr:uid="{00000000-0005-0000-0000-0000F5220000}"/>
    <cellStyle name="Comma 2 26 4" xfId="8953" xr:uid="{00000000-0005-0000-0000-0000F6220000}"/>
    <cellStyle name="Comma 2 26 4 2" xfId="8954" xr:uid="{00000000-0005-0000-0000-0000F7220000}"/>
    <cellStyle name="Comma 2 26 4 2 2" xfId="8955" xr:uid="{00000000-0005-0000-0000-0000F8220000}"/>
    <cellStyle name="Comma 2 26 4 3" xfId="8956" xr:uid="{00000000-0005-0000-0000-0000F9220000}"/>
    <cellStyle name="Comma 2 26 4 4" xfId="8957" xr:uid="{00000000-0005-0000-0000-0000FA220000}"/>
    <cellStyle name="Comma 2 26 4 5" xfId="8958" xr:uid="{00000000-0005-0000-0000-0000FB220000}"/>
    <cellStyle name="Comma 2 26 4 6" xfId="8959" xr:uid="{00000000-0005-0000-0000-0000FC220000}"/>
    <cellStyle name="Comma 2 26 5" xfId="8960" xr:uid="{00000000-0005-0000-0000-0000FD220000}"/>
    <cellStyle name="Comma 2 26 5 2" xfId="8961" xr:uid="{00000000-0005-0000-0000-0000FE220000}"/>
    <cellStyle name="Comma 2 26 5 3" xfId="8962" xr:uid="{00000000-0005-0000-0000-0000FF220000}"/>
    <cellStyle name="Comma 2 26 5 4" xfId="8963" xr:uid="{00000000-0005-0000-0000-000000230000}"/>
    <cellStyle name="Comma 2 26 5 5" xfId="8964" xr:uid="{00000000-0005-0000-0000-000001230000}"/>
    <cellStyle name="Comma 2 26 6" xfId="8965" xr:uid="{00000000-0005-0000-0000-000002230000}"/>
    <cellStyle name="Comma 2 26 6 2" xfId="8966" xr:uid="{00000000-0005-0000-0000-000003230000}"/>
    <cellStyle name="Comma 2 26 6 3" xfId="8967" xr:uid="{00000000-0005-0000-0000-000004230000}"/>
    <cellStyle name="Comma 2 26 7" xfId="8968" xr:uid="{00000000-0005-0000-0000-000005230000}"/>
    <cellStyle name="Comma 2 26 7 2" xfId="8969" xr:uid="{00000000-0005-0000-0000-000006230000}"/>
    <cellStyle name="Comma 2 26 8" xfId="8970" xr:uid="{00000000-0005-0000-0000-000007230000}"/>
    <cellStyle name="Comma 2 26 9" xfId="8971" xr:uid="{00000000-0005-0000-0000-000008230000}"/>
    <cellStyle name="Comma 2 27" xfId="8972" xr:uid="{00000000-0005-0000-0000-000009230000}"/>
    <cellStyle name="Comma 2 27 10" xfId="8973" xr:uid="{00000000-0005-0000-0000-00000A230000}"/>
    <cellStyle name="Comma 2 27 2" xfId="8974" xr:uid="{00000000-0005-0000-0000-00000B230000}"/>
    <cellStyle name="Comma 2 27 2 2" xfId="8975" xr:uid="{00000000-0005-0000-0000-00000C230000}"/>
    <cellStyle name="Comma 2 27 2 2 2" xfId="8976" xr:uid="{00000000-0005-0000-0000-00000D230000}"/>
    <cellStyle name="Comma 2 27 2 2 3" xfId="8977" xr:uid="{00000000-0005-0000-0000-00000E230000}"/>
    <cellStyle name="Comma 2 27 2 3" xfId="8978" xr:uid="{00000000-0005-0000-0000-00000F230000}"/>
    <cellStyle name="Comma 2 27 2 4" xfId="8979" xr:uid="{00000000-0005-0000-0000-000010230000}"/>
    <cellStyle name="Comma 2 27 2 5" xfId="8980" xr:uid="{00000000-0005-0000-0000-000011230000}"/>
    <cellStyle name="Comma 2 27 2 6" xfId="8981" xr:uid="{00000000-0005-0000-0000-000012230000}"/>
    <cellStyle name="Comma 2 27 3" xfId="8982" xr:uid="{00000000-0005-0000-0000-000013230000}"/>
    <cellStyle name="Comma 2 27 3 2" xfId="8983" xr:uid="{00000000-0005-0000-0000-000014230000}"/>
    <cellStyle name="Comma 2 27 3 2 2" xfId="8984" xr:uid="{00000000-0005-0000-0000-000015230000}"/>
    <cellStyle name="Comma 2 27 3 2 3" xfId="8985" xr:uid="{00000000-0005-0000-0000-000016230000}"/>
    <cellStyle name="Comma 2 27 3 3" xfId="8986" xr:uid="{00000000-0005-0000-0000-000017230000}"/>
    <cellStyle name="Comma 2 27 3 4" xfId="8987" xr:uid="{00000000-0005-0000-0000-000018230000}"/>
    <cellStyle name="Comma 2 27 3 5" xfId="8988" xr:uid="{00000000-0005-0000-0000-000019230000}"/>
    <cellStyle name="Comma 2 27 3 6" xfId="8989" xr:uid="{00000000-0005-0000-0000-00001A230000}"/>
    <cellStyle name="Comma 2 27 4" xfId="8990" xr:uid="{00000000-0005-0000-0000-00001B230000}"/>
    <cellStyle name="Comma 2 27 4 2" xfId="8991" xr:uid="{00000000-0005-0000-0000-00001C230000}"/>
    <cellStyle name="Comma 2 27 4 2 2" xfId="8992" xr:uid="{00000000-0005-0000-0000-00001D230000}"/>
    <cellStyle name="Comma 2 27 4 3" xfId="8993" xr:uid="{00000000-0005-0000-0000-00001E230000}"/>
    <cellStyle name="Comma 2 27 4 4" xfId="8994" xr:uid="{00000000-0005-0000-0000-00001F230000}"/>
    <cellStyle name="Comma 2 27 4 5" xfId="8995" xr:uid="{00000000-0005-0000-0000-000020230000}"/>
    <cellStyle name="Comma 2 27 4 6" xfId="8996" xr:uid="{00000000-0005-0000-0000-000021230000}"/>
    <cellStyle name="Comma 2 27 5" xfId="8997" xr:uid="{00000000-0005-0000-0000-000022230000}"/>
    <cellStyle name="Comma 2 27 5 2" xfId="8998" xr:uid="{00000000-0005-0000-0000-000023230000}"/>
    <cellStyle name="Comma 2 27 5 3" xfId="8999" xr:uid="{00000000-0005-0000-0000-000024230000}"/>
    <cellStyle name="Comma 2 27 5 4" xfId="9000" xr:uid="{00000000-0005-0000-0000-000025230000}"/>
    <cellStyle name="Comma 2 27 5 5" xfId="9001" xr:uid="{00000000-0005-0000-0000-000026230000}"/>
    <cellStyle name="Comma 2 27 6" xfId="9002" xr:uid="{00000000-0005-0000-0000-000027230000}"/>
    <cellStyle name="Comma 2 27 6 2" xfId="9003" xr:uid="{00000000-0005-0000-0000-000028230000}"/>
    <cellStyle name="Comma 2 27 6 3" xfId="9004" xr:uid="{00000000-0005-0000-0000-000029230000}"/>
    <cellStyle name="Comma 2 27 7" xfId="9005" xr:uid="{00000000-0005-0000-0000-00002A230000}"/>
    <cellStyle name="Comma 2 27 7 2" xfId="9006" xr:uid="{00000000-0005-0000-0000-00002B230000}"/>
    <cellStyle name="Comma 2 27 8" xfId="9007" xr:uid="{00000000-0005-0000-0000-00002C230000}"/>
    <cellStyle name="Comma 2 27 9" xfId="9008" xr:uid="{00000000-0005-0000-0000-00002D230000}"/>
    <cellStyle name="Comma 2 28" xfId="9009" xr:uid="{00000000-0005-0000-0000-00002E230000}"/>
    <cellStyle name="Comma 2 28 10" xfId="9010" xr:uid="{00000000-0005-0000-0000-00002F230000}"/>
    <cellStyle name="Comma 2 28 2" xfId="9011" xr:uid="{00000000-0005-0000-0000-000030230000}"/>
    <cellStyle name="Comma 2 28 2 2" xfId="9012" xr:uid="{00000000-0005-0000-0000-000031230000}"/>
    <cellStyle name="Comma 2 28 2 2 2" xfId="9013" xr:uid="{00000000-0005-0000-0000-000032230000}"/>
    <cellStyle name="Comma 2 28 2 2 3" xfId="9014" xr:uid="{00000000-0005-0000-0000-000033230000}"/>
    <cellStyle name="Comma 2 28 2 3" xfId="9015" xr:uid="{00000000-0005-0000-0000-000034230000}"/>
    <cellStyle name="Comma 2 28 2 4" xfId="9016" xr:uid="{00000000-0005-0000-0000-000035230000}"/>
    <cellStyle name="Comma 2 28 2 5" xfId="9017" xr:uid="{00000000-0005-0000-0000-000036230000}"/>
    <cellStyle name="Comma 2 28 2 6" xfId="9018" xr:uid="{00000000-0005-0000-0000-000037230000}"/>
    <cellStyle name="Comma 2 28 3" xfId="9019" xr:uid="{00000000-0005-0000-0000-000038230000}"/>
    <cellStyle name="Comma 2 28 3 2" xfId="9020" xr:uid="{00000000-0005-0000-0000-000039230000}"/>
    <cellStyle name="Comma 2 28 3 2 2" xfId="9021" xr:uid="{00000000-0005-0000-0000-00003A230000}"/>
    <cellStyle name="Comma 2 28 3 2 3" xfId="9022" xr:uid="{00000000-0005-0000-0000-00003B230000}"/>
    <cellStyle name="Comma 2 28 3 3" xfId="9023" xr:uid="{00000000-0005-0000-0000-00003C230000}"/>
    <cellStyle name="Comma 2 28 3 4" xfId="9024" xr:uid="{00000000-0005-0000-0000-00003D230000}"/>
    <cellStyle name="Comma 2 28 3 5" xfId="9025" xr:uid="{00000000-0005-0000-0000-00003E230000}"/>
    <cellStyle name="Comma 2 28 3 6" xfId="9026" xr:uid="{00000000-0005-0000-0000-00003F230000}"/>
    <cellStyle name="Comma 2 28 4" xfId="9027" xr:uid="{00000000-0005-0000-0000-000040230000}"/>
    <cellStyle name="Comma 2 28 4 2" xfId="9028" xr:uid="{00000000-0005-0000-0000-000041230000}"/>
    <cellStyle name="Comma 2 28 4 2 2" xfId="9029" xr:uid="{00000000-0005-0000-0000-000042230000}"/>
    <cellStyle name="Comma 2 28 4 3" xfId="9030" xr:uid="{00000000-0005-0000-0000-000043230000}"/>
    <cellStyle name="Comma 2 28 4 4" xfId="9031" xr:uid="{00000000-0005-0000-0000-000044230000}"/>
    <cellStyle name="Comma 2 28 4 5" xfId="9032" xr:uid="{00000000-0005-0000-0000-000045230000}"/>
    <cellStyle name="Comma 2 28 4 6" xfId="9033" xr:uid="{00000000-0005-0000-0000-000046230000}"/>
    <cellStyle name="Comma 2 28 5" xfId="9034" xr:uid="{00000000-0005-0000-0000-000047230000}"/>
    <cellStyle name="Comma 2 28 5 2" xfId="9035" xr:uid="{00000000-0005-0000-0000-000048230000}"/>
    <cellStyle name="Comma 2 28 5 3" xfId="9036" xr:uid="{00000000-0005-0000-0000-000049230000}"/>
    <cellStyle name="Comma 2 28 5 4" xfId="9037" xr:uid="{00000000-0005-0000-0000-00004A230000}"/>
    <cellStyle name="Comma 2 28 5 5" xfId="9038" xr:uid="{00000000-0005-0000-0000-00004B230000}"/>
    <cellStyle name="Comma 2 28 6" xfId="9039" xr:uid="{00000000-0005-0000-0000-00004C230000}"/>
    <cellStyle name="Comma 2 28 6 2" xfId="9040" xr:uid="{00000000-0005-0000-0000-00004D230000}"/>
    <cellStyle name="Comma 2 28 6 3" xfId="9041" xr:uid="{00000000-0005-0000-0000-00004E230000}"/>
    <cellStyle name="Comma 2 28 7" xfId="9042" xr:uid="{00000000-0005-0000-0000-00004F230000}"/>
    <cellStyle name="Comma 2 28 7 2" xfId="9043" xr:uid="{00000000-0005-0000-0000-000050230000}"/>
    <cellStyle name="Comma 2 28 8" xfId="9044" xr:uid="{00000000-0005-0000-0000-000051230000}"/>
    <cellStyle name="Comma 2 28 9" xfId="9045" xr:uid="{00000000-0005-0000-0000-000052230000}"/>
    <cellStyle name="Comma 2 29" xfId="9046" xr:uid="{00000000-0005-0000-0000-000053230000}"/>
    <cellStyle name="Comma 2 29 10" xfId="9047" xr:uid="{00000000-0005-0000-0000-000054230000}"/>
    <cellStyle name="Comma 2 29 2" xfId="9048" xr:uid="{00000000-0005-0000-0000-000055230000}"/>
    <cellStyle name="Comma 2 29 2 2" xfId="9049" xr:uid="{00000000-0005-0000-0000-000056230000}"/>
    <cellStyle name="Comma 2 29 2 2 2" xfId="9050" xr:uid="{00000000-0005-0000-0000-000057230000}"/>
    <cellStyle name="Comma 2 29 2 2 3" xfId="9051" xr:uid="{00000000-0005-0000-0000-000058230000}"/>
    <cellStyle name="Comma 2 29 2 3" xfId="9052" xr:uid="{00000000-0005-0000-0000-000059230000}"/>
    <cellStyle name="Comma 2 29 2 4" xfId="9053" xr:uid="{00000000-0005-0000-0000-00005A230000}"/>
    <cellStyle name="Comma 2 29 2 5" xfId="9054" xr:uid="{00000000-0005-0000-0000-00005B230000}"/>
    <cellStyle name="Comma 2 29 2 6" xfId="9055" xr:uid="{00000000-0005-0000-0000-00005C230000}"/>
    <cellStyle name="Comma 2 29 3" xfId="9056" xr:uid="{00000000-0005-0000-0000-00005D230000}"/>
    <cellStyle name="Comma 2 29 3 2" xfId="9057" xr:uid="{00000000-0005-0000-0000-00005E230000}"/>
    <cellStyle name="Comma 2 29 3 2 2" xfId="9058" xr:uid="{00000000-0005-0000-0000-00005F230000}"/>
    <cellStyle name="Comma 2 29 3 2 3" xfId="9059" xr:uid="{00000000-0005-0000-0000-000060230000}"/>
    <cellStyle name="Comma 2 29 3 3" xfId="9060" xr:uid="{00000000-0005-0000-0000-000061230000}"/>
    <cellStyle name="Comma 2 29 3 4" xfId="9061" xr:uid="{00000000-0005-0000-0000-000062230000}"/>
    <cellStyle name="Comma 2 29 3 5" xfId="9062" xr:uid="{00000000-0005-0000-0000-000063230000}"/>
    <cellStyle name="Comma 2 29 3 6" xfId="9063" xr:uid="{00000000-0005-0000-0000-000064230000}"/>
    <cellStyle name="Comma 2 29 4" xfId="9064" xr:uid="{00000000-0005-0000-0000-000065230000}"/>
    <cellStyle name="Comma 2 29 4 2" xfId="9065" xr:uid="{00000000-0005-0000-0000-000066230000}"/>
    <cellStyle name="Comma 2 29 4 2 2" xfId="9066" xr:uid="{00000000-0005-0000-0000-000067230000}"/>
    <cellStyle name="Comma 2 29 4 3" xfId="9067" xr:uid="{00000000-0005-0000-0000-000068230000}"/>
    <cellStyle name="Comma 2 29 4 4" xfId="9068" xr:uid="{00000000-0005-0000-0000-000069230000}"/>
    <cellStyle name="Comma 2 29 4 5" xfId="9069" xr:uid="{00000000-0005-0000-0000-00006A230000}"/>
    <cellStyle name="Comma 2 29 4 6" xfId="9070" xr:uid="{00000000-0005-0000-0000-00006B230000}"/>
    <cellStyle name="Comma 2 29 5" xfId="9071" xr:uid="{00000000-0005-0000-0000-00006C230000}"/>
    <cellStyle name="Comma 2 29 5 2" xfId="9072" xr:uid="{00000000-0005-0000-0000-00006D230000}"/>
    <cellStyle name="Comma 2 29 5 3" xfId="9073" xr:uid="{00000000-0005-0000-0000-00006E230000}"/>
    <cellStyle name="Comma 2 29 5 4" xfId="9074" xr:uid="{00000000-0005-0000-0000-00006F230000}"/>
    <cellStyle name="Comma 2 29 5 5" xfId="9075" xr:uid="{00000000-0005-0000-0000-000070230000}"/>
    <cellStyle name="Comma 2 29 6" xfId="9076" xr:uid="{00000000-0005-0000-0000-000071230000}"/>
    <cellStyle name="Comma 2 29 6 2" xfId="9077" xr:uid="{00000000-0005-0000-0000-000072230000}"/>
    <cellStyle name="Comma 2 29 6 3" xfId="9078" xr:uid="{00000000-0005-0000-0000-000073230000}"/>
    <cellStyle name="Comma 2 29 7" xfId="9079" xr:uid="{00000000-0005-0000-0000-000074230000}"/>
    <cellStyle name="Comma 2 29 7 2" xfId="9080" xr:uid="{00000000-0005-0000-0000-000075230000}"/>
    <cellStyle name="Comma 2 29 8" xfId="9081" xr:uid="{00000000-0005-0000-0000-000076230000}"/>
    <cellStyle name="Comma 2 29 9" xfId="9082" xr:uid="{00000000-0005-0000-0000-000077230000}"/>
    <cellStyle name="Comma 2 3" xfId="9083" xr:uid="{00000000-0005-0000-0000-000078230000}"/>
    <cellStyle name="Comma 2 3 10" xfId="9084" xr:uid="{00000000-0005-0000-0000-000079230000}"/>
    <cellStyle name="Comma 2 3 10 10" xfId="9085" xr:uid="{00000000-0005-0000-0000-00007A230000}"/>
    <cellStyle name="Comma 2 3 10 2" xfId="9086" xr:uid="{00000000-0005-0000-0000-00007B230000}"/>
    <cellStyle name="Comma 2 3 10 2 2" xfId="9087" xr:uid="{00000000-0005-0000-0000-00007C230000}"/>
    <cellStyle name="Comma 2 3 10 2 2 2" xfId="9088" xr:uid="{00000000-0005-0000-0000-00007D230000}"/>
    <cellStyle name="Comma 2 3 10 2 2 3" xfId="9089" xr:uid="{00000000-0005-0000-0000-00007E230000}"/>
    <cellStyle name="Comma 2 3 10 2 3" xfId="9090" xr:uid="{00000000-0005-0000-0000-00007F230000}"/>
    <cellStyle name="Comma 2 3 10 2 4" xfId="9091" xr:uid="{00000000-0005-0000-0000-000080230000}"/>
    <cellStyle name="Comma 2 3 10 2 5" xfId="9092" xr:uid="{00000000-0005-0000-0000-000081230000}"/>
    <cellStyle name="Comma 2 3 10 2 6" xfId="9093" xr:uid="{00000000-0005-0000-0000-000082230000}"/>
    <cellStyle name="Comma 2 3 10 3" xfId="9094" xr:uid="{00000000-0005-0000-0000-000083230000}"/>
    <cellStyle name="Comma 2 3 10 3 2" xfId="9095" xr:uid="{00000000-0005-0000-0000-000084230000}"/>
    <cellStyle name="Comma 2 3 10 3 2 2" xfId="9096" xr:uid="{00000000-0005-0000-0000-000085230000}"/>
    <cellStyle name="Comma 2 3 10 3 2 3" xfId="9097" xr:uid="{00000000-0005-0000-0000-000086230000}"/>
    <cellStyle name="Comma 2 3 10 3 3" xfId="9098" xr:uid="{00000000-0005-0000-0000-000087230000}"/>
    <cellStyle name="Comma 2 3 10 3 4" xfId="9099" xr:uid="{00000000-0005-0000-0000-000088230000}"/>
    <cellStyle name="Comma 2 3 10 3 5" xfId="9100" xr:uid="{00000000-0005-0000-0000-000089230000}"/>
    <cellStyle name="Comma 2 3 10 3 6" xfId="9101" xr:uid="{00000000-0005-0000-0000-00008A230000}"/>
    <cellStyle name="Comma 2 3 10 4" xfId="9102" xr:uid="{00000000-0005-0000-0000-00008B230000}"/>
    <cellStyle name="Comma 2 3 10 4 2" xfId="9103" xr:uid="{00000000-0005-0000-0000-00008C230000}"/>
    <cellStyle name="Comma 2 3 10 4 2 2" xfId="9104" xr:uid="{00000000-0005-0000-0000-00008D230000}"/>
    <cellStyle name="Comma 2 3 10 4 3" xfId="9105" xr:uid="{00000000-0005-0000-0000-00008E230000}"/>
    <cellStyle name="Comma 2 3 10 4 4" xfId="9106" xr:uid="{00000000-0005-0000-0000-00008F230000}"/>
    <cellStyle name="Comma 2 3 10 4 5" xfId="9107" xr:uid="{00000000-0005-0000-0000-000090230000}"/>
    <cellStyle name="Comma 2 3 10 5" xfId="9108" xr:uid="{00000000-0005-0000-0000-000091230000}"/>
    <cellStyle name="Comma 2 3 10 5 2" xfId="9109" xr:uid="{00000000-0005-0000-0000-000092230000}"/>
    <cellStyle name="Comma 2 3 10 5 3" xfId="9110" xr:uid="{00000000-0005-0000-0000-000093230000}"/>
    <cellStyle name="Comma 2 3 10 5 4" xfId="9111" xr:uid="{00000000-0005-0000-0000-000094230000}"/>
    <cellStyle name="Comma 2 3 10 6" xfId="9112" xr:uid="{00000000-0005-0000-0000-000095230000}"/>
    <cellStyle name="Comma 2 3 10 6 2" xfId="9113" xr:uid="{00000000-0005-0000-0000-000096230000}"/>
    <cellStyle name="Comma 2 3 10 7" xfId="9114" xr:uid="{00000000-0005-0000-0000-000097230000}"/>
    <cellStyle name="Comma 2 3 10 8" xfId="9115" xr:uid="{00000000-0005-0000-0000-000098230000}"/>
    <cellStyle name="Comma 2 3 10 9" xfId="9116" xr:uid="{00000000-0005-0000-0000-000099230000}"/>
    <cellStyle name="Comma 2 3 11" xfId="9117" xr:uid="{00000000-0005-0000-0000-00009A230000}"/>
    <cellStyle name="Comma 2 3 11 10" xfId="9118" xr:uid="{00000000-0005-0000-0000-00009B230000}"/>
    <cellStyle name="Comma 2 3 11 2" xfId="9119" xr:uid="{00000000-0005-0000-0000-00009C230000}"/>
    <cellStyle name="Comma 2 3 11 2 2" xfId="9120" xr:uid="{00000000-0005-0000-0000-00009D230000}"/>
    <cellStyle name="Comma 2 3 11 2 2 2" xfId="9121" xr:uid="{00000000-0005-0000-0000-00009E230000}"/>
    <cellStyle name="Comma 2 3 11 2 2 3" xfId="9122" xr:uid="{00000000-0005-0000-0000-00009F230000}"/>
    <cellStyle name="Comma 2 3 11 2 3" xfId="9123" xr:uid="{00000000-0005-0000-0000-0000A0230000}"/>
    <cellStyle name="Comma 2 3 11 2 4" xfId="9124" xr:uid="{00000000-0005-0000-0000-0000A1230000}"/>
    <cellStyle name="Comma 2 3 11 2 5" xfId="9125" xr:uid="{00000000-0005-0000-0000-0000A2230000}"/>
    <cellStyle name="Comma 2 3 11 2 6" xfId="9126" xr:uid="{00000000-0005-0000-0000-0000A3230000}"/>
    <cellStyle name="Comma 2 3 11 3" xfId="9127" xr:uid="{00000000-0005-0000-0000-0000A4230000}"/>
    <cellStyle name="Comma 2 3 11 3 2" xfId="9128" xr:uid="{00000000-0005-0000-0000-0000A5230000}"/>
    <cellStyle name="Comma 2 3 11 3 2 2" xfId="9129" xr:uid="{00000000-0005-0000-0000-0000A6230000}"/>
    <cellStyle name="Comma 2 3 11 3 2 3" xfId="9130" xr:uid="{00000000-0005-0000-0000-0000A7230000}"/>
    <cellStyle name="Comma 2 3 11 3 3" xfId="9131" xr:uid="{00000000-0005-0000-0000-0000A8230000}"/>
    <cellStyle name="Comma 2 3 11 3 4" xfId="9132" xr:uid="{00000000-0005-0000-0000-0000A9230000}"/>
    <cellStyle name="Comma 2 3 11 3 5" xfId="9133" xr:uid="{00000000-0005-0000-0000-0000AA230000}"/>
    <cellStyle name="Comma 2 3 11 3 6" xfId="9134" xr:uid="{00000000-0005-0000-0000-0000AB230000}"/>
    <cellStyle name="Comma 2 3 11 4" xfId="9135" xr:uid="{00000000-0005-0000-0000-0000AC230000}"/>
    <cellStyle name="Comma 2 3 11 4 2" xfId="9136" xr:uid="{00000000-0005-0000-0000-0000AD230000}"/>
    <cellStyle name="Comma 2 3 11 4 2 2" xfId="9137" xr:uid="{00000000-0005-0000-0000-0000AE230000}"/>
    <cellStyle name="Comma 2 3 11 4 3" xfId="9138" xr:uid="{00000000-0005-0000-0000-0000AF230000}"/>
    <cellStyle name="Comma 2 3 11 4 4" xfId="9139" xr:uid="{00000000-0005-0000-0000-0000B0230000}"/>
    <cellStyle name="Comma 2 3 11 4 5" xfId="9140" xr:uid="{00000000-0005-0000-0000-0000B1230000}"/>
    <cellStyle name="Comma 2 3 11 5" xfId="9141" xr:uid="{00000000-0005-0000-0000-0000B2230000}"/>
    <cellStyle name="Comma 2 3 11 5 2" xfId="9142" xr:uid="{00000000-0005-0000-0000-0000B3230000}"/>
    <cellStyle name="Comma 2 3 11 5 3" xfId="9143" xr:uid="{00000000-0005-0000-0000-0000B4230000}"/>
    <cellStyle name="Comma 2 3 11 5 4" xfId="9144" xr:uid="{00000000-0005-0000-0000-0000B5230000}"/>
    <cellStyle name="Comma 2 3 11 6" xfId="9145" xr:uid="{00000000-0005-0000-0000-0000B6230000}"/>
    <cellStyle name="Comma 2 3 11 6 2" xfId="9146" xr:uid="{00000000-0005-0000-0000-0000B7230000}"/>
    <cellStyle name="Comma 2 3 11 7" xfId="9147" xr:uid="{00000000-0005-0000-0000-0000B8230000}"/>
    <cellStyle name="Comma 2 3 11 8" xfId="9148" xr:uid="{00000000-0005-0000-0000-0000B9230000}"/>
    <cellStyle name="Comma 2 3 11 9" xfId="9149" xr:uid="{00000000-0005-0000-0000-0000BA230000}"/>
    <cellStyle name="Comma 2 3 12" xfId="9150" xr:uid="{00000000-0005-0000-0000-0000BB230000}"/>
    <cellStyle name="Comma 2 3 12 10" xfId="9151" xr:uid="{00000000-0005-0000-0000-0000BC230000}"/>
    <cellStyle name="Comma 2 3 12 2" xfId="9152" xr:uid="{00000000-0005-0000-0000-0000BD230000}"/>
    <cellStyle name="Comma 2 3 12 2 2" xfId="9153" xr:uid="{00000000-0005-0000-0000-0000BE230000}"/>
    <cellStyle name="Comma 2 3 12 2 2 2" xfId="9154" xr:uid="{00000000-0005-0000-0000-0000BF230000}"/>
    <cellStyle name="Comma 2 3 12 2 2 3" xfId="9155" xr:uid="{00000000-0005-0000-0000-0000C0230000}"/>
    <cellStyle name="Comma 2 3 12 2 3" xfId="9156" xr:uid="{00000000-0005-0000-0000-0000C1230000}"/>
    <cellStyle name="Comma 2 3 12 2 4" xfId="9157" xr:uid="{00000000-0005-0000-0000-0000C2230000}"/>
    <cellStyle name="Comma 2 3 12 2 5" xfId="9158" xr:uid="{00000000-0005-0000-0000-0000C3230000}"/>
    <cellStyle name="Comma 2 3 12 2 6" xfId="9159" xr:uid="{00000000-0005-0000-0000-0000C4230000}"/>
    <cellStyle name="Comma 2 3 12 3" xfId="9160" xr:uid="{00000000-0005-0000-0000-0000C5230000}"/>
    <cellStyle name="Comma 2 3 12 3 2" xfId="9161" xr:uid="{00000000-0005-0000-0000-0000C6230000}"/>
    <cellStyle name="Comma 2 3 12 3 2 2" xfId="9162" xr:uid="{00000000-0005-0000-0000-0000C7230000}"/>
    <cellStyle name="Comma 2 3 12 3 2 3" xfId="9163" xr:uid="{00000000-0005-0000-0000-0000C8230000}"/>
    <cellStyle name="Comma 2 3 12 3 3" xfId="9164" xr:uid="{00000000-0005-0000-0000-0000C9230000}"/>
    <cellStyle name="Comma 2 3 12 3 4" xfId="9165" xr:uid="{00000000-0005-0000-0000-0000CA230000}"/>
    <cellStyle name="Comma 2 3 12 3 5" xfId="9166" xr:uid="{00000000-0005-0000-0000-0000CB230000}"/>
    <cellStyle name="Comma 2 3 12 3 6" xfId="9167" xr:uid="{00000000-0005-0000-0000-0000CC230000}"/>
    <cellStyle name="Comma 2 3 12 4" xfId="9168" xr:uid="{00000000-0005-0000-0000-0000CD230000}"/>
    <cellStyle name="Comma 2 3 12 4 2" xfId="9169" xr:uid="{00000000-0005-0000-0000-0000CE230000}"/>
    <cellStyle name="Comma 2 3 12 4 2 2" xfId="9170" xr:uid="{00000000-0005-0000-0000-0000CF230000}"/>
    <cellStyle name="Comma 2 3 12 4 3" xfId="9171" xr:uid="{00000000-0005-0000-0000-0000D0230000}"/>
    <cellStyle name="Comma 2 3 12 4 4" xfId="9172" xr:uid="{00000000-0005-0000-0000-0000D1230000}"/>
    <cellStyle name="Comma 2 3 12 4 5" xfId="9173" xr:uid="{00000000-0005-0000-0000-0000D2230000}"/>
    <cellStyle name="Comma 2 3 12 5" xfId="9174" xr:uid="{00000000-0005-0000-0000-0000D3230000}"/>
    <cellStyle name="Comma 2 3 12 5 2" xfId="9175" xr:uid="{00000000-0005-0000-0000-0000D4230000}"/>
    <cellStyle name="Comma 2 3 12 5 3" xfId="9176" xr:uid="{00000000-0005-0000-0000-0000D5230000}"/>
    <cellStyle name="Comma 2 3 12 5 4" xfId="9177" xr:uid="{00000000-0005-0000-0000-0000D6230000}"/>
    <cellStyle name="Comma 2 3 12 6" xfId="9178" xr:uid="{00000000-0005-0000-0000-0000D7230000}"/>
    <cellStyle name="Comma 2 3 12 6 2" xfId="9179" xr:uid="{00000000-0005-0000-0000-0000D8230000}"/>
    <cellStyle name="Comma 2 3 12 7" xfId="9180" xr:uid="{00000000-0005-0000-0000-0000D9230000}"/>
    <cellStyle name="Comma 2 3 12 8" xfId="9181" xr:uid="{00000000-0005-0000-0000-0000DA230000}"/>
    <cellStyle name="Comma 2 3 12 9" xfId="9182" xr:uid="{00000000-0005-0000-0000-0000DB230000}"/>
    <cellStyle name="Comma 2 3 13" xfId="9183" xr:uid="{00000000-0005-0000-0000-0000DC230000}"/>
    <cellStyle name="Comma 2 3 13 10" xfId="9184" xr:uid="{00000000-0005-0000-0000-0000DD230000}"/>
    <cellStyle name="Comma 2 3 13 2" xfId="9185" xr:uid="{00000000-0005-0000-0000-0000DE230000}"/>
    <cellStyle name="Comma 2 3 13 2 2" xfId="9186" xr:uid="{00000000-0005-0000-0000-0000DF230000}"/>
    <cellStyle name="Comma 2 3 13 2 2 2" xfId="9187" xr:uid="{00000000-0005-0000-0000-0000E0230000}"/>
    <cellStyle name="Comma 2 3 13 2 2 3" xfId="9188" xr:uid="{00000000-0005-0000-0000-0000E1230000}"/>
    <cellStyle name="Comma 2 3 13 2 3" xfId="9189" xr:uid="{00000000-0005-0000-0000-0000E2230000}"/>
    <cellStyle name="Comma 2 3 13 2 4" xfId="9190" xr:uid="{00000000-0005-0000-0000-0000E3230000}"/>
    <cellStyle name="Comma 2 3 13 2 5" xfId="9191" xr:uid="{00000000-0005-0000-0000-0000E4230000}"/>
    <cellStyle name="Comma 2 3 13 2 6" xfId="9192" xr:uid="{00000000-0005-0000-0000-0000E5230000}"/>
    <cellStyle name="Comma 2 3 13 3" xfId="9193" xr:uid="{00000000-0005-0000-0000-0000E6230000}"/>
    <cellStyle name="Comma 2 3 13 3 2" xfId="9194" xr:uid="{00000000-0005-0000-0000-0000E7230000}"/>
    <cellStyle name="Comma 2 3 13 3 2 2" xfId="9195" xr:uid="{00000000-0005-0000-0000-0000E8230000}"/>
    <cellStyle name="Comma 2 3 13 3 2 3" xfId="9196" xr:uid="{00000000-0005-0000-0000-0000E9230000}"/>
    <cellStyle name="Comma 2 3 13 3 3" xfId="9197" xr:uid="{00000000-0005-0000-0000-0000EA230000}"/>
    <cellStyle name="Comma 2 3 13 3 4" xfId="9198" xr:uid="{00000000-0005-0000-0000-0000EB230000}"/>
    <cellStyle name="Comma 2 3 13 3 5" xfId="9199" xr:uid="{00000000-0005-0000-0000-0000EC230000}"/>
    <cellStyle name="Comma 2 3 13 3 6" xfId="9200" xr:uid="{00000000-0005-0000-0000-0000ED230000}"/>
    <cellStyle name="Comma 2 3 13 4" xfId="9201" xr:uid="{00000000-0005-0000-0000-0000EE230000}"/>
    <cellStyle name="Comma 2 3 13 4 2" xfId="9202" xr:uid="{00000000-0005-0000-0000-0000EF230000}"/>
    <cellStyle name="Comma 2 3 13 4 2 2" xfId="9203" xr:uid="{00000000-0005-0000-0000-0000F0230000}"/>
    <cellStyle name="Comma 2 3 13 4 3" xfId="9204" xr:uid="{00000000-0005-0000-0000-0000F1230000}"/>
    <cellStyle name="Comma 2 3 13 4 4" xfId="9205" xr:uid="{00000000-0005-0000-0000-0000F2230000}"/>
    <cellStyle name="Comma 2 3 13 4 5" xfId="9206" xr:uid="{00000000-0005-0000-0000-0000F3230000}"/>
    <cellStyle name="Comma 2 3 13 5" xfId="9207" xr:uid="{00000000-0005-0000-0000-0000F4230000}"/>
    <cellStyle name="Comma 2 3 13 5 2" xfId="9208" xr:uid="{00000000-0005-0000-0000-0000F5230000}"/>
    <cellStyle name="Comma 2 3 13 5 3" xfId="9209" xr:uid="{00000000-0005-0000-0000-0000F6230000}"/>
    <cellStyle name="Comma 2 3 13 5 4" xfId="9210" xr:uid="{00000000-0005-0000-0000-0000F7230000}"/>
    <cellStyle name="Comma 2 3 13 6" xfId="9211" xr:uid="{00000000-0005-0000-0000-0000F8230000}"/>
    <cellStyle name="Comma 2 3 13 6 2" xfId="9212" xr:uid="{00000000-0005-0000-0000-0000F9230000}"/>
    <cellStyle name="Comma 2 3 13 7" xfId="9213" xr:uid="{00000000-0005-0000-0000-0000FA230000}"/>
    <cellStyle name="Comma 2 3 13 8" xfId="9214" xr:uid="{00000000-0005-0000-0000-0000FB230000}"/>
    <cellStyle name="Comma 2 3 13 9" xfId="9215" xr:uid="{00000000-0005-0000-0000-0000FC230000}"/>
    <cellStyle name="Comma 2 3 14" xfId="9216" xr:uid="{00000000-0005-0000-0000-0000FD230000}"/>
    <cellStyle name="Comma 2 3 14 10" xfId="9217" xr:uid="{00000000-0005-0000-0000-0000FE230000}"/>
    <cellStyle name="Comma 2 3 14 2" xfId="9218" xr:uid="{00000000-0005-0000-0000-0000FF230000}"/>
    <cellStyle name="Comma 2 3 14 2 2" xfId="9219" xr:uid="{00000000-0005-0000-0000-000000240000}"/>
    <cellStyle name="Comma 2 3 14 2 2 2" xfId="9220" xr:uid="{00000000-0005-0000-0000-000001240000}"/>
    <cellStyle name="Comma 2 3 14 2 2 3" xfId="9221" xr:uid="{00000000-0005-0000-0000-000002240000}"/>
    <cellStyle name="Comma 2 3 14 2 3" xfId="9222" xr:uid="{00000000-0005-0000-0000-000003240000}"/>
    <cellStyle name="Comma 2 3 14 2 4" xfId="9223" xr:uid="{00000000-0005-0000-0000-000004240000}"/>
    <cellStyle name="Comma 2 3 14 2 5" xfId="9224" xr:uid="{00000000-0005-0000-0000-000005240000}"/>
    <cellStyle name="Comma 2 3 14 2 6" xfId="9225" xr:uid="{00000000-0005-0000-0000-000006240000}"/>
    <cellStyle name="Comma 2 3 14 3" xfId="9226" xr:uid="{00000000-0005-0000-0000-000007240000}"/>
    <cellStyle name="Comma 2 3 14 3 2" xfId="9227" xr:uid="{00000000-0005-0000-0000-000008240000}"/>
    <cellStyle name="Comma 2 3 14 3 2 2" xfId="9228" xr:uid="{00000000-0005-0000-0000-000009240000}"/>
    <cellStyle name="Comma 2 3 14 3 2 3" xfId="9229" xr:uid="{00000000-0005-0000-0000-00000A240000}"/>
    <cellStyle name="Comma 2 3 14 3 3" xfId="9230" xr:uid="{00000000-0005-0000-0000-00000B240000}"/>
    <cellStyle name="Comma 2 3 14 3 4" xfId="9231" xr:uid="{00000000-0005-0000-0000-00000C240000}"/>
    <cellStyle name="Comma 2 3 14 3 5" xfId="9232" xr:uid="{00000000-0005-0000-0000-00000D240000}"/>
    <cellStyle name="Comma 2 3 14 3 6" xfId="9233" xr:uid="{00000000-0005-0000-0000-00000E240000}"/>
    <cellStyle name="Comma 2 3 14 4" xfId="9234" xr:uid="{00000000-0005-0000-0000-00000F240000}"/>
    <cellStyle name="Comma 2 3 14 4 2" xfId="9235" xr:uid="{00000000-0005-0000-0000-000010240000}"/>
    <cellStyle name="Comma 2 3 14 4 2 2" xfId="9236" xr:uid="{00000000-0005-0000-0000-000011240000}"/>
    <cellStyle name="Comma 2 3 14 4 3" xfId="9237" xr:uid="{00000000-0005-0000-0000-000012240000}"/>
    <cellStyle name="Comma 2 3 14 4 4" xfId="9238" xr:uid="{00000000-0005-0000-0000-000013240000}"/>
    <cellStyle name="Comma 2 3 14 4 5" xfId="9239" xr:uid="{00000000-0005-0000-0000-000014240000}"/>
    <cellStyle name="Comma 2 3 14 5" xfId="9240" xr:uid="{00000000-0005-0000-0000-000015240000}"/>
    <cellStyle name="Comma 2 3 14 5 2" xfId="9241" xr:uid="{00000000-0005-0000-0000-000016240000}"/>
    <cellStyle name="Comma 2 3 14 5 3" xfId="9242" xr:uid="{00000000-0005-0000-0000-000017240000}"/>
    <cellStyle name="Comma 2 3 14 5 4" xfId="9243" xr:uid="{00000000-0005-0000-0000-000018240000}"/>
    <cellStyle name="Comma 2 3 14 6" xfId="9244" xr:uid="{00000000-0005-0000-0000-000019240000}"/>
    <cellStyle name="Comma 2 3 14 6 2" xfId="9245" xr:uid="{00000000-0005-0000-0000-00001A240000}"/>
    <cellStyle name="Comma 2 3 14 7" xfId="9246" xr:uid="{00000000-0005-0000-0000-00001B240000}"/>
    <cellStyle name="Comma 2 3 14 8" xfId="9247" xr:uid="{00000000-0005-0000-0000-00001C240000}"/>
    <cellStyle name="Comma 2 3 14 9" xfId="9248" xr:uid="{00000000-0005-0000-0000-00001D240000}"/>
    <cellStyle name="Comma 2 3 15" xfId="9249" xr:uid="{00000000-0005-0000-0000-00001E240000}"/>
    <cellStyle name="Comma 2 3 15 10" xfId="9250" xr:uid="{00000000-0005-0000-0000-00001F240000}"/>
    <cellStyle name="Comma 2 3 15 2" xfId="9251" xr:uid="{00000000-0005-0000-0000-000020240000}"/>
    <cellStyle name="Comma 2 3 15 2 2" xfId="9252" xr:uid="{00000000-0005-0000-0000-000021240000}"/>
    <cellStyle name="Comma 2 3 15 2 2 2" xfId="9253" xr:uid="{00000000-0005-0000-0000-000022240000}"/>
    <cellStyle name="Comma 2 3 15 2 2 3" xfId="9254" xr:uid="{00000000-0005-0000-0000-000023240000}"/>
    <cellStyle name="Comma 2 3 15 2 3" xfId="9255" xr:uid="{00000000-0005-0000-0000-000024240000}"/>
    <cellStyle name="Comma 2 3 15 2 4" xfId="9256" xr:uid="{00000000-0005-0000-0000-000025240000}"/>
    <cellStyle name="Comma 2 3 15 2 5" xfId="9257" xr:uid="{00000000-0005-0000-0000-000026240000}"/>
    <cellStyle name="Comma 2 3 15 2 6" xfId="9258" xr:uid="{00000000-0005-0000-0000-000027240000}"/>
    <cellStyle name="Comma 2 3 15 3" xfId="9259" xr:uid="{00000000-0005-0000-0000-000028240000}"/>
    <cellStyle name="Comma 2 3 15 3 2" xfId="9260" xr:uid="{00000000-0005-0000-0000-000029240000}"/>
    <cellStyle name="Comma 2 3 15 3 2 2" xfId="9261" xr:uid="{00000000-0005-0000-0000-00002A240000}"/>
    <cellStyle name="Comma 2 3 15 3 2 3" xfId="9262" xr:uid="{00000000-0005-0000-0000-00002B240000}"/>
    <cellStyle name="Comma 2 3 15 3 3" xfId="9263" xr:uid="{00000000-0005-0000-0000-00002C240000}"/>
    <cellStyle name="Comma 2 3 15 3 4" xfId="9264" xr:uid="{00000000-0005-0000-0000-00002D240000}"/>
    <cellStyle name="Comma 2 3 15 3 5" xfId="9265" xr:uid="{00000000-0005-0000-0000-00002E240000}"/>
    <cellStyle name="Comma 2 3 15 3 6" xfId="9266" xr:uid="{00000000-0005-0000-0000-00002F240000}"/>
    <cellStyle name="Comma 2 3 15 4" xfId="9267" xr:uid="{00000000-0005-0000-0000-000030240000}"/>
    <cellStyle name="Comma 2 3 15 4 2" xfId="9268" xr:uid="{00000000-0005-0000-0000-000031240000}"/>
    <cellStyle name="Comma 2 3 15 4 2 2" xfId="9269" xr:uid="{00000000-0005-0000-0000-000032240000}"/>
    <cellStyle name="Comma 2 3 15 4 3" xfId="9270" xr:uid="{00000000-0005-0000-0000-000033240000}"/>
    <cellStyle name="Comma 2 3 15 4 4" xfId="9271" xr:uid="{00000000-0005-0000-0000-000034240000}"/>
    <cellStyle name="Comma 2 3 15 4 5" xfId="9272" xr:uid="{00000000-0005-0000-0000-000035240000}"/>
    <cellStyle name="Comma 2 3 15 5" xfId="9273" xr:uid="{00000000-0005-0000-0000-000036240000}"/>
    <cellStyle name="Comma 2 3 15 5 2" xfId="9274" xr:uid="{00000000-0005-0000-0000-000037240000}"/>
    <cellStyle name="Comma 2 3 15 5 3" xfId="9275" xr:uid="{00000000-0005-0000-0000-000038240000}"/>
    <cellStyle name="Comma 2 3 15 5 4" xfId="9276" xr:uid="{00000000-0005-0000-0000-000039240000}"/>
    <cellStyle name="Comma 2 3 15 6" xfId="9277" xr:uid="{00000000-0005-0000-0000-00003A240000}"/>
    <cellStyle name="Comma 2 3 15 6 2" xfId="9278" xr:uid="{00000000-0005-0000-0000-00003B240000}"/>
    <cellStyle name="Comma 2 3 15 7" xfId="9279" xr:uid="{00000000-0005-0000-0000-00003C240000}"/>
    <cellStyle name="Comma 2 3 15 8" xfId="9280" xr:uid="{00000000-0005-0000-0000-00003D240000}"/>
    <cellStyle name="Comma 2 3 15 9" xfId="9281" xr:uid="{00000000-0005-0000-0000-00003E240000}"/>
    <cellStyle name="Comma 2 3 16" xfId="9282" xr:uid="{00000000-0005-0000-0000-00003F240000}"/>
    <cellStyle name="Comma 2 3 16 10" xfId="9283" xr:uid="{00000000-0005-0000-0000-000040240000}"/>
    <cellStyle name="Comma 2 3 16 2" xfId="9284" xr:uid="{00000000-0005-0000-0000-000041240000}"/>
    <cellStyle name="Comma 2 3 16 2 2" xfId="9285" xr:uid="{00000000-0005-0000-0000-000042240000}"/>
    <cellStyle name="Comma 2 3 16 2 2 2" xfId="9286" xr:uid="{00000000-0005-0000-0000-000043240000}"/>
    <cellStyle name="Comma 2 3 16 2 2 3" xfId="9287" xr:uid="{00000000-0005-0000-0000-000044240000}"/>
    <cellStyle name="Comma 2 3 16 2 3" xfId="9288" xr:uid="{00000000-0005-0000-0000-000045240000}"/>
    <cellStyle name="Comma 2 3 16 2 4" xfId="9289" xr:uid="{00000000-0005-0000-0000-000046240000}"/>
    <cellStyle name="Comma 2 3 16 2 5" xfId="9290" xr:uid="{00000000-0005-0000-0000-000047240000}"/>
    <cellStyle name="Comma 2 3 16 2 6" xfId="9291" xr:uid="{00000000-0005-0000-0000-000048240000}"/>
    <cellStyle name="Comma 2 3 16 3" xfId="9292" xr:uid="{00000000-0005-0000-0000-000049240000}"/>
    <cellStyle name="Comma 2 3 16 3 2" xfId="9293" xr:uid="{00000000-0005-0000-0000-00004A240000}"/>
    <cellStyle name="Comma 2 3 16 3 2 2" xfId="9294" xr:uid="{00000000-0005-0000-0000-00004B240000}"/>
    <cellStyle name="Comma 2 3 16 3 2 3" xfId="9295" xr:uid="{00000000-0005-0000-0000-00004C240000}"/>
    <cellStyle name="Comma 2 3 16 3 3" xfId="9296" xr:uid="{00000000-0005-0000-0000-00004D240000}"/>
    <cellStyle name="Comma 2 3 16 3 4" xfId="9297" xr:uid="{00000000-0005-0000-0000-00004E240000}"/>
    <cellStyle name="Comma 2 3 16 3 5" xfId="9298" xr:uid="{00000000-0005-0000-0000-00004F240000}"/>
    <cellStyle name="Comma 2 3 16 3 6" xfId="9299" xr:uid="{00000000-0005-0000-0000-000050240000}"/>
    <cellStyle name="Comma 2 3 16 4" xfId="9300" xr:uid="{00000000-0005-0000-0000-000051240000}"/>
    <cellStyle name="Comma 2 3 16 4 2" xfId="9301" xr:uid="{00000000-0005-0000-0000-000052240000}"/>
    <cellStyle name="Comma 2 3 16 4 2 2" xfId="9302" xr:uid="{00000000-0005-0000-0000-000053240000}"/>
    <cellStyle name="Comma 2 3 16 4 3" xfId="9303" xr:uid="{00000000-0005-0000-0000-000054240000}"/>
    <cellStyle name="Comma 2 3 16 4 4" xfId="9304" xr:uid="{00000000-0005-0000-0000-000055240000}"/>
    <cellStyle name="Comma 2 3 16 4 5" xfId="9305" xr:uid="{00000000-0005-0000-0000-000056240000}"/>
    <cellStyle name="Comma 2 3 16 5" xfId="9306" xr:uid="{00000000-0005-0000-0000-000057240000}"/>
    <cellStyle name="Comma 2 3 16 5 2" xfId="9307" xr:uid="{00000000-0005-0000-0000-000058240000}"/>
    <cellStyle name="Comma 2 3 16 5 3" xfId="9308" xr:uid="{00000000-0005-0000-0000-000059240000}"/>
    <cellStyle name="Comma 2 3 16 5 4" xfId="9309" xr:uid="{00000000-0005-0000-0000-00005A240000}"/>
    <cellStyle name="Comma 2 3 16 6" xfId="9310" xr:uid="{00000000-0005-0000-0000-00005B240000}"/>
    <cellStyle name="Comma 2 3 16 6 2" xfId="9311" xr:uid="{00000000-0005-0000-0000-00005C240000}"/>
    <cellStyle name="Comma 2 3 16 7" xfId="9312" xr:uid="{00000000-0005-0000-0000-00005D240000}"/>
    <cellStyle name="Comma 2 3 16 8" xfId="9313" xr:uid="{00000000-0005-0000-0000-00005E240000}"/>
    <cellStyle name="Comma 2 3 16 9" xfId="9314" xr:uid="{00000000-0005-0000-0000-00005F240000}"/>
    <cellStyle name="Comma 2 3 17" xfId="9315" xr:uid="{00000000-0005-0000-0000-000060240000}"/>
    <cellStyle name="Comma 2 3 17 10" xfId="9316" xr:uid="{00000000-0005-0000-0000-000061240000}"/>
    <cellStyle name="Comma 2 3 17 2" xfId="9317" xr:uid="{00000000-0005-0000-0000-000062240000}"/>
    <cellStyle name="Comma 2 3 17 2 2" xfId="9318" xr:uid="{00000000-0005-0000-0000-000063240000}"/>
    <cellStyle name="Comma 2 3 17 2 2 2" xfId="9319" xr:uid="{00000000-0005-0000-0000-000064240000}"/>
    <cellStyle name="Comma 2 3 17 2 2 3" xfId="9320" xr:uid="{00000000-0005-0000-0000-000065240000}"/>
    <cellStyle name="Comma 2 3 17 2 3" xfId="9321" xr:uid="{00000000-0005-0000-0000-000066240000}"/>
    <cellStyle name="Comma 2 3 17 2 4" xfId="9322" xr:uid="{00000000-0005-0000-0000-000067240000}"/>
    <cellStyle name="Comma 2 3 17 2 5" xfId="9323" xr:uid="{00000000-0005-0000-0000-000068240000}"/>
    <cellStyle name="Comma 2 3 17 2 6" xfId="9324" xr:uid="{00000000-0005-0000-0000-000069240000}"/>
    <cellStyle name="Comma 2 3 17 3" xfId="9325" xr:uid="{00000000-0005-0000-0000-00006A240000}"/>
    <cellStyle name="Comma 2 3 17 3 2" xfId="9326" xr:uid="{00000000-0005-0000-0000-00006B240000}"/>
    <cellStyle name="Comma 2 3 17 3 2 2" xfId="9327" xr:uid="{00000000-0005-0000-0000-00006C240000}"/>
    <cellStyle name="Comma 2 3 17 3 2 3" xfId="9328" xr:uid="{00000000-0005-0000-0000-00006D240000}"/>
    <cellStyle name="Comma 2 3 17 3 3" xfId="9329" xr:uid="{00000000-0005-0000-0000-00006E240000}"/>
    <cellStyle name="Comma 2 3 17 3 4" xfId="9330" xr:uid="{00000000-0005-0000-0000-00006F240000}"/>
    <cellStyle name="Comma 2 3 17 3 5" xfId="9331" xr:uid="{00000000-0005-0000-0000-000070240000}"/>
    <cellStyle name="Comma 2 3 17 3 6" xfId="9332" xr:uid="{00000000-0005-0000-0000-000071240000}"/>
    <cellStyle name="Comma 2 3 17 4" xfId="9333" xr:uid="{00000000-0005-0000-0000-000072240000}"/>
    <cellStyle name="Comma 2 3 17 4 2" xfId="9334" xr:uid="{00000000-0005-0000-0000-000073240000}"/>
    <cellStyle name="Comma 2 3 17 4 2 2" xfId="9335" xr:uid="{00000000-0005-0000-0000-000074240000}"/>
    <cellStyle name="Comma 2 3 17 4 3" xfId="9336" xr:uid="{00000000-0005-0000-0000-000075240000}"/>
    <cellStyle name="Comma 2 3 17 4 4" xfId="9337" xr:uid="{00000000-0005-0000-0000-000076240000}"/>
    <cellStyle name="Comma 2 3 17 4 5" xfId="9338" xr:uid="{00000000-0005-0000-0000-000077240000}"/>
    <cellStyle name="Comma 2 3 17 5" xfId="9339" xr:uid="{00000000-0005-0000-0000-000078240000}"/>
    <cellStyle name="Comma 2 3 17 5 2" xfId="9340" xr:uid="{00000000-0005-0000-0000-000079240000}"/>
    <cellStyle name="Comma 2 3 17 5 3" xfId="9341" xr:uid="{00000000-0005-0000-0000-00007A240000}"/>
    <cellStyle name="Comma 2 3 17 5 4" xfId="9342" xr:uid="{00000000-0005-0000-0000-00007B240000}"/>
    <cellStyle name="Comma 2 3 17 6" xfId="9343" xr:uid="{00000000-0005-0000-0000-00007C240000}"/>
    <cellStyle name="Comma 2 3 17 6 2" xfId="9344" xr:uid="{00000000-0005-0000-0000-00007D240000}"/>
    <cellStyle name="Comma 2 3 17 7" xfId="9345" xr:uid="{00000000-0005-0000-0000-00007E240000}"/>
    <cellStyle name="Comma 2 3 17 8" xfId="9346" xr:uid="{00000000-0005-0000-0000-00007F240000}"/>
    <cellStyle name="Comma 2 3 17 9" xfId="9347" xr:uid="{00000000-0005-0000-0000-000080240000}"/>
    <cellStyle name="Comma 2 3 18" xfId="9348" xr:uid="{00000000-0005-0000-0000-000081240000}"/>
    <cellStyle name="Comma 2 3 18 10" xfId="9349" xr:uid="{00000000-0005-0000-0000-000082240000}"/>
    <cellStyle name="Comma 2 3 18 2" xfId="9350" xr:uid="{00000000-0005-0000-0000-000083240000}"/>
    <cellStyle name="Comma 2 3 18 2 2" xfId="9351" xr:uid="{00000000-0005-0000-0000-000084240000}"/>
    <cellStyle name="Comma 2 3 18 2 2 2" xfId="9352" xr:uid="{00000000-0005-0000-0000-000085240000}"/>
    <cellStyle name="Comma 2 3 18 2 2 3" xfId="9353" xr:uid="{00000000-0005-0000-0000-000086240000}"/>
    <cellStyle name="Comma 2 3 18 2 3" xfId="9354" xr:uid="{00000000-0005-0000-0000-000087240000}"/>
    <cellStyle name="Comma 2 3 18 2 4" xfId="9355" xr:uid="{00000000-0005-0000-0000-000088240000}"/>
    <cellStyle name="Comma 2 3 18 2 5" xfId="9356" xr:uid="{00000000-0005-0000-0000-000089240000}"/>
    <cellStyle name="Comma 2 3 18 2 6" xfId="9357" xr:uid="{00000000-0005-0000-0000-00008A240000}"/>
    <cellStyle name="Comma 2 3 18 3" xfId="9358" xr:uid="{00000000-0005-0000-0000-00008B240000}"/>
    <cellStyle name="Comma 2 3 18 3 2" xfId="9359" xr:uid="{00000000-0005-0000-0000-00008C240000}"/>
    <cellStyle name="Comma 2 3 18 3 2 2" xfId="9360" xr:uid="{00000000-0005-0000-0000-00008D240000}"/>
    <cellStyle name="Comma 2 3 18 3 2 3" xfId="9361" xr:uid="{00000000-0005-0000-0000-00008E240000}"/>
    <cellStyle name="Comma 2 3 18 3 3" xfId="9362" xr:uid="{00000000-0005-0000-0000-00008F240000}"/>
    <cellStyle name="Comma 2 3 18 3 4" xfId="9363" xr:uid="{00000000-0005-0000-0000-000090240000}"/>
    <cellStyle name="Comma 2 3 18 3 5" xfId="9364" xr:uid="{00000000-0005-0000-0000-000091240000}"/>
    <cellStyle name="Comma 2 3 18 3 6" xfId="9365" xr:uid="{00000000-0005-0000-0000-000092240000}"/>
    <cellStyle name="Comma 2 3 18 4" xfId="9366" xr:uid="{00000000-0005-0000-0000-000093240000}"/>
    <cellStyle name="Comma 2 3 18 4 2" xfId="9367" xr:uid="{00000000-0005-0000-0000-000094240000}"/>
    <cellStyle name="Comma 2 3 18 4 2 2" xfId="9368" xr:uid="{00000000-0005-0000-0000-000095240000}"/>
    <cellStyle name="Comma 2 3 18 4 3" xfId="9369" xr:uid="{00000000-0005-0000-0000-000096240000}"/>
    <cellStyle name="Comma 2 3 18 4 4" xfId="9370" xr:uid="{00000000-0005-0000-0000-000097240000}"/>
    <cellStyle name="Comma 2 3 18 4 5" xfId="9371" xr:uid="{00000000-0005-0000-0000-000098240000}"/>
    <cellStyle name="Comma 2 3 18 5" xfId="9372" xr:uid="{00000000-0005-0000-0000-000099240000}"/>
    <cellStyle name="Comma 2 3 18 5 2" xfId="9373" xr:uid="{00000000-0005-0000-0000-00009A240000}"/>
    <cellStyle name="Comma 2 3 18 5 3" xfId="9374" xr:uid="{00000000-0005-0000-0000-00009B240000}"/>
    <cellStyle name="Comma 2 3 18 5 4" xfId="9375" xr:uid="{00000000-0005-0000-0000-00009C240000}"/>
    <cellStyle name="Comma 2 3 18 6" xfId="9376" xr:uid="{00000000-0005-0000-0000-00009D240000}"/>
    <cellStyle name="Comma 2 3 18 6 2" xfId="9377" xr:uid="{00000000-0005-0000-0000-00009E240000}"/>
    <cellStyle name="Comma 2 3 18 7" xfId="9378" xr:uid="{00000000-0005-0000-0000-00009F240000}"/>
    <cellStyle name="Comma 2 3 18 8" xfId="9379" xr:uid="{00000000-0005-0000-0000-0000A0240000}"/>
    <cellStyle name="Comma 2 3 18 9" xfId="9380" xr:uid="{00000000-0005-0000-0000-0000A1240000}"/>
    <cellStyle name="Comma 2 3 19" xfId="9381" xr:uid="{00000000-0005-0000-0000-0000A2240000}"/>
    <cellStyle name="Comma 2 3 19 10" xfId="9382" xr:uid="{00000000-0005-0000-0000-0000A3240000}"/>
    <cellStyle name="Comma 2 3 19 2" xfId="9383" xr:uid="{00000000-0005-0000-0000-0000A4240000}"/>
    <cellStyle name="Comma 2 3 19 2 2" xfId="9384" xr:uid="{00000000-0005-0000-0000-0000A5240000}"/>
    <cellStyle name="Comma 2 3 19 2 2 2" xfId="9385" xr:uid="{00000000-0005-0000-0000-0000A6240000}"/>
    <cellStyle name="Comma 2 3 19 2 2 3" xfId="9386" xr:uid="{00000000-0005-0000-0000-0000A7240000}"/>
    <cellStyle name="Comma 2 3 19 2 3" xfId="9387" xr:uid="{00000000-0005-0000-0000-0000A8240000}"/>
    <cellStyle name="Comma 2 3 19 2 4" xfId="9388" xr:uid="{00000000-0005-0000-0000-0000A9240000}"/>
    <cellStyle name="Comma 2 3 19 2 5" xfId="9389" xr:uid="{00000000-0005-0000-0000-0000AA240000}"/>
    <cellStyle name="Comma 2 3 19 2 6" xfId="9390" xr:uid="{00000000-0005-0000-0000-0000AB240000}"/>
    <cellStyle name="Comma 2 3 19 3" xfId="9391" xr:uid="{00000000-0005-0000-0000-0000AC240000}"/>
    <cellStyle name="Comma 2 3 19 3 2" xfId="9392" xr:uid="{00000000-0005-0000-0000-0000AD240000}"/>
    <cellStyle name="Comma 2 3 19 3 2 2" xfId="9393" xr:uid="{00000000-0005-0000-0000-0000AE240000}"/>
    <cellStyle name="Comma 2 3 19 3 2 3" xfId="9394" xr:uid="{00000000-0005-0000-0000-0000AF240000}"/>
    <cellStyle name="Comma 2 3 19 3 3" xfId="9395" xr:uid="{00000000-0005-0000-0000-0000B0240000}"/>
    <cellStyle name="Comma 2 3 19 3 4" xfId="9396" xr:uid="{00000000-0005-0000-0000-0000B1240000}"/>
    <cellStyle name="Comma 2 3 19 3 5" xfId="9397" xr:uid="{00000000-0005-0000-0000-0000B2240000}"/>
    <cellStyle name="Comma 2 3 19 3 6" xfId="9398" xr:uid="{00000000-0005-0000-0000-0000B3240000}"/>
    <cellStyle name="Comma 2 3 19 4" xfId="9399" xr:uid="{00000000-0005-0000-0000-0000B4240000}"/>
    <cellStyle name="Comma 2 3 19 4 2" xfId="9400" xr:uid="{00000000-0005-0000-0000-0000B5240000}"/>
    <cellStyle name="Comma 2 3 19 4 2 2" xfId="9401" xr:uid="{00000000-0005-0000-0000-0000B6240000}"/>
    <cellStyle name="Comma 2 3 19 4 3" xfId="9402" xr:uid="{00000000-0005-0000-0000-0000B7240000}"/>
    <cellStyle name="Comma 2 3 19 4 4" xfId="9403" xr:uid="{00000000-0005-0000-0000-0000B8240000}"/>
    <cellStyle name="Comma 2 3 19 4 5" xfId="9404" xr:uid="{00000000-0005-0000-0000-0000B9240000}"/>
    <cellStyle name="Comma 2 3 19 5" xfId="9405" xr:uid="{00000000-0005-0000-0000-0000BA240000}"/>
    <cellStyle name="Comma 2 3 19 5 2" xfId="9406" xr:uid="{00000000-0005-0000-0000-0000BB240000}"/>
    <cellStyle name="Comma 2 3 19 5 3" xfId="9407" xr:uid="{00000000-0005-0000-0000-0000BC240000}"/>
    <cellStyle name="Comma 2 3 19 5 4" xfId="9408" xr:uid="{00000000-0005-0000-0000-0000BD240000}"/>
    <cellStyle name="Comma 2 3 19 6" xfId="9409" xr:uid="{00000000-0005-0000-0000-0000BE240000}"/>
    <cellStyle name="Comma 2 3 19 6 2" xfId="9410" xr:uid="{00000000-0005-0000-0000-0000BF240000}"/>
    <cellStyle name="Comma 2 3 19 7" xfId="9411" xr:uid="{00000000-0005-0000-0000-0000C0240000}"/>
    <cellStyle name="Comma 2 3 19 8" xfId="9412" xr:uid="{00000000-0005-0000-0000-0000C1240000}"/>
    <cellStyle name="Comma 2 3 19 9" xfId="9413" xr:uid="{00000000-0005-0000-0000-0000C2240000}"/>
    <cellStyle name="Comma 2 3 2" xfId="9414" xr:uid="{00000000-0005-0000-0000-0000C3240000}"/>
    <cellStyle name="Comma 2 3 2 10" xfId="9415" xr:uid="{00000000-0005-0000-0000-0000C4240000}"/>
    <cellStyle name="Comma 2 3 2 10 10" xfId="9416" xr:uid="{00000000-0005-0000-0000-0000C5240000}"/>
    <cellStyle name="Comma 2 3 2 10 2" xfId="9417" xr:uid="{00000000-0005-0000-0000-0000C6240000}"/>
    <cellStyle name="Comma 2 3 2 10 2 2" xfId="9418" xr:uid="{00000000-0005-0000-0000-0000C7240000}"/>
    <cellStyle name="Comma 2 3 2 10 2 2 2" xfId="9419" xr:uid="{00000000-0005-0000-0000-0000C8240000}"/>
    <cellStyle name="Comma 2 3 2 10 2 2 3" xfId="9420" xr:uid="{00000000-0005-0000-0000-0000C9240000}"/>
    <cellStyle name="Comma 2 3 2 10 2 3" xfId="9421" xr:uid="{00000000-0005-0000-0000-0000CA240000}"/>
    <cellStyle name="Comma 2 3 2 10 2 4" xfId="9422" xr:uid="{00000000-0005-0000-0000-0000CB240000}"/>
    <cellStyle name="Comma 2 3 2 10 2 5" xfId="9423" xr:uid="{00000000-0005-0000-0000-0000CC240000}"/>
    <cellStyle name="Comma 2 3 2 10 2 6" xfId="9424" xr:uid="{00000000-0005-0000-0000-0000CD240000}"/>
    <cellStyle name="Comma 2 3 2 10 3" xfId="9425" xr:uid="{00000000-0005-0000-0000-0000CE240000}"/>
    <cellStyle name="Comma 2 3 2 10 3 2" xfId="9426" xr:uid="{00000000-0005-0000-0000-0000CF240000}"/>
    <cellStyle name="Comma 2 3 2 10 3 2 2" xfId="9427" xr:uid="{00000000-0005-0000-0000-0000D0240000}"/>
    <cellStyle name="Comma 2 3 2 10 3 2 3" xfId="9428" xr:uid="{00000000-0005-0000-0000-0000D1240000}"/>
    <cellStyle name="Comma 2 3 2 10 3 3" xfId="9429" xr:uid="{00000000-0005-0000-0000-0000D2240000}"/>
    <cellStyle name="Comma 2 3 2 10 3 4" xfId="9430" xr:uid="{00000000-0005-0000-0000-0000D3240000}"/>
    <cellStyle name="Comma 2 3 2 10 3 5" xfId="9431" xr:uid="{00000000-0005-0000-0000-0000D4240000}"/>
    <cellStyle name="Comma 2 3 2 10 3 6" xfId="9432" xr:uid="{00000000-0005-0000-0000-0000D5240000}"/>
    <cellStyle name="Comma 2 3 2 10 4" xfId="9433" xr:uid="{00000000-0005-0000-0000-0000D6240000}"/>
    <cellStyle name="Comma 2 3 2 10 4 2" xfId="9434" xr:uid="{00000000-0005-0000-0000-0000D7240000}"/>
    <cellStyle name="Comma 2 3 2 10 4 2 2" xfId="9435" xr:uid="{00000000-0005-0000-0000-0000D8240000}"/>
    <cellStyle name="Comma 2 3 2 10 4 3" xfId="9436" xr:uid="{00000000-0005-0000-0000-0000D9240000}"/>
    <cellStyle name="Comma 2 3 2 10 4 4" xfId="9437" xr:uid="{00000000-0005-0000-0000-0000DA240000}"/>
    <cellStyle name="Comma 2 3 2 10 4 5" xfId="9438" xr:uid="{00000000-0005-0000-0000-0000DB240000}"/>
    <cellStyle name="Comma 2 3 2 10 5" xfId="9439" xr:uid="{00000000-0005-0000-0000-0000DC240000}"/>
    <cellStyle name="Comma 2 3 2 10 5 2" xfId="9440" xr:uid="{00000000-0005-0000-0000-0000DD240000}"/>
    <cellStyle name="Comma 2 3 2 10 5 3" xfId="9441" xr:uid="{00000000-0005-0000-0000-0000DE240000}"/>
    <cellStyle name="Comma 2 3 2 10 5 4" xfId="9442" xr:uid="{00000000-0005-0000-0000-0000DF240000}"/>
    <cellStyle name="Comma 2 3 2 10 6" xfId="9443" xr:uid="{00000000-0005-0000-0000-0000E0240000}"/>
    <cellStyle name="Comma 2 3 2 10 6 2" xfId="9444" xr:uid="{00000000-0005-0000-0000-0000E1240000}"/>
    <cellStyle name="Comma 2 3 2 10 7" xfId="9445" xr:uid="{00000000-0005-0000-0000-0000E2240000}"/>
    <cellStyle name="Comma 2 3 2 10 8" xfId="9446" xr:uid="{00000000-0005-0000-0000-0000E3240000}"/>
    <cellStyle name="Comma 2 3 2 10 9" xfId="9447" xr:uid="{00000000-0005-0000-0000-0000E4240000}"/>
    <cellStyle name="Comma 2 3 2 11" xfId="9448" xr:uid="{00000000-0005-0000-0000-0000E5240000}"/>
    <cellStyle name="Comma 2 3 2 11 10" xfId="9449" xr:uid="{00000000-0005-0000-0000-0000E6240000}"/>
    <cellStyle name="Comma 2 3 2 11 2" xfId="9450" xr:uid="{00000000-0005-0000-0000-0000E7240000}"/>
    <cellStyle name="Comma 2 3 2 11 2 2" xfId="9451" xr:uid="{00000000-0005-0000-0000-0000E8240000}"/>
    <cellStyle name="Comma 2 3 2 11 2 2 2" xfId="9452" xr:uid="{00000000-0005-0000-0000-0000E9240000}"/>
    <cellStyle name="Comma 2 3 2 11 2 2 3" xfId="9453" xr:uid="{00000000-0005-0000-0000-0000EA240000}"/>
    <cellStyle name="Comma 2 3 2 11 2 3" xfId="9454" xr:uid="{00000000-0005-0000-0000-0000EB240000}"/>
    <cellStyle name="Comma 2 3 2 11 2 4" xfId="9455" xr:uid="{00000000-0005-0000-0000-0000EC240000}"/>
    <cellStyle name="Comma 2 3 2 11 2 5" xfId="9456" xr:uid="{00000000-0005-0000-0000-0000ED240000}"/>
    <cellStyle name="Comma 2 3 2 11 2 6" xfId="9457" xr:uid="{00000000-0005-0000-0000-0000EE240000}"/>
    <cellStyle name="Comma 2 3 2 11 3" xfId="9458" xr:uid="{00000000-0005-0000-0000-0000EF240000}"/>
    <cellStyle name="Comma 2 3 2 11 3 2" xfId="9459" xr:uid="{00000000-0005-0000-0000-0000F0240000}"/>
    <cellStyle name="Comma 2 3 2 11 3 2 2" xfId="9460" xr:uid="{00000000-0005-0000-0000-0000F1240000}"/>
    <cellStyle name="Comma 2 3 2 11 3 2 3" xfId="9461" xr:uid="{00000000-0005-0000-0000-0000F2240000}"/>
    <cellStyle name="Comma 2 3 2 11 3 3" xfId="9462" xr:uid="{00000000-0005-0000-0000-0000F3240000}"/>
    <cellStyle name="Comma 2 3 2 11 3 4" xfId="9463" xr:uid="{00000000-0005-0000-0000-0000F4240000}"/>
    <cellStyle name="Comma 2 3 2 11 3 5" xfId="9464" xr:uid="{00000000-0005-0000-0000-0000F5240000}"/>
    <cellStyle name="Comma 2 3 2 11 3 6" xfId="9465" xr:uid="{00000000-0005-0000-0000-0000F6240000}"/>
    <cellStyle name="Comma 2 3 2 11 4" xfId="9466" xr:uid="{00000000-0005-0000-0000-0000F7240000}"/>
    <cellStyle name="Comma 2 3 2 11 4 2" xfId="9467" xr:uid="{00000000-0005-0000-0000-0000F8240000}"/>
    <cellStyle name="Comma 2 3 2 11 4 2 2" xfId="9468" xr:uid="{00000000-0005-0000-0000-0000F9240000}"/>
    <cellStyle name="Comma 2 3 2 11 4 3" xfId="9469" xr:uid="{00000000-0005-0000-0000-0000FA240000}"/>
    <cellStyle name="Comma 2 3 2 11 4 4" xfId="9470" xr:uid="{00000000-0005-0000-0000-0000FB240000}"/>
    <cellStyle name="Comma 2 3 2 11 4 5" xfId="9471" xr:uid="{00000000-0005-0000-0000-0000FC240000}"/>
    <cellStyle name="Comma 2 3 2 11 5" xfId="9472" xr:uid="{00000000-0005-0000-0000-0000FD240000}"/>
    <cellStyle name="Comma 2 3 2 11 5 2" xfId="9473" xr:uid="{00000000-0005-0000-0000-0000FE240000}"/>
    <cellStyle name="Comma 2 3 2 11 5 3" xfId="9474" xr:uid="{00000000-0005-0000-0000-0000FF240000}"/>
    <cellStyle name="Comma 2 3 2 11 5 4" xfId="9475" xr:uid="{00000000-0005-0000-0000-000000250000}"/>
    <cellStyle name="Comma 2 3 2 11 6" xfId="9476" xr:uid="{00000000-0005-0000-0000-000001250000}"/>
    <cellStyle name="Comma 2 3 2 11 6 2" xfId="9477" xr:uid="{00000000-0005-0000-0000-000002250000}"/>
    <cellStyle name="Comma 2 3 2 11 7" xfId="9478" xr:uid="{00000000-0005-0000-0000-000003250000}"/>
    <cellStyle name="Comma 2 3 2 11 8" xfId="9479" xr:uid="{00000000-0005-0000-0000-000004250000}"/>
    <cellStyle name="Comma 2 3 2 11 9" xfId="9480" xr:uid="{00000000-0005-0000-0000-000005250000}"/>
    <cellStyle name="Comma 2 3 2 12" xfId="9481" xr:uid="{00000000-0005-0000-0000-000006250000}"/>
    <cellStyle name="Comma 2 3 2 12 10" xfId="9482" xr:uid="{00000000-0005-0000-0000-000007250000}"/>
    <cellStyle name="Comma 2 3 2 12 2" xfId="9483" xr:uid="{00000000-0005-0000-0000-000008250000}"/>
    <cellStyle name="Comma 2 3 2 12 2 2" xfId="9484" xr:uid="{00000000-0005-0000-0000-000009250000}"/>
    <cellStyle name="Comma 2 3 2 12 2 2 2" xfId="9485" xr:uid="{00000000-0005-0000-0000-00000A250000}"/>
    <cellStyle name="Comma 2 3 2 12 2 2 3" xfId="9486" xr:uid="{00000000-0005-0000-0000-00000B250000}"/>
    <cellStyle name="Comma 2 3 2 12 2 3" xfId="9487" xr:uid="{00000000-0005-0000-0000-00000C250000}"/>
    <cellStyle name="Comma 2 3 2 12 2 4" xfId="9488" xr:uid="{00000000-0005-0000-0000-00000D250000}"/>
    <cellStyle name="Comma 2 3 2 12 2 5" xfId="9489" xr:uid="{00000000-0005-0000-0000-00000E250000}"/>
    <cellStyle name="Comma 2 3 2 12 2 6" xfId="9490" xr:uid="{00000000-0005-0000-0000-00000F250000}"/>
    <cellStyle name="Comma 2 3 2 12 3" xfId="9491" xr:uid="{00000000-0005-0000-0000-000010250000}"/>
    <cellStyle name="Comma 2 3 2 12 3 2" xfId="9492" xr:uid="{00000000-0005-0000-0000-000011250000}"/>
    <cellStyle name="Comma 2 3 2 12 3 2 2" xfId="9493" xr:uid="{00000000-0005-0000-0000-000012250000}"/>
    <cellStyle name="Comma 2 3 2 12 3 2 3" xfId="9494" xr:uid="{00000000-0005-0000-0000-000013250000}"/>
    <cellStyle name="Comma 2 3 2 12 3 3" xfId="9495" xr:uid="{00000000-0005-0000-0000-000014250000}"/>
    <cellStyle name="Comma 2 3 2 12 3 4" xfId="9496" xr:uid="{00000000-0005-0000-0000-000015250000}"/>
    <cellStyle name="Comma 2 3 2 12 3 5" xfId="9497" xr:uid="{00000000-0005-0000-0000-000016250000}"/>
    <cellStyle name="Comma 2 3 2 12 3 6" xfId="9498" xr:uid="{00000000-0005-0000-0000-000017250000}"/>
    <cellStyle name="Comma 2 3 2 12 4" xfId="9499" xr:uid="{00000000-0005-0000-0000-000018250000}"/>
    <cellStyle name="Comma 2 3 2 12 4 2" xfId="9500" xr:uid="{00000000-0005-0000-0000-000019250000}"/>
    <cellStyle name="Comma 2 3 2 12 4 2 2" xfId="9501" xr:uid="{00000000-0005-0000-0000-00001A250000}"/>
    <cellStyle name="Comma 2 3 2 12 4 3" xfId="9502" xr:uid="{00000000-0005-0000-0000-00001B250000}"/>
    <cellStyle name="Comma 2 3 2 12 4 4" xfId="9503" xr:uid="{00000000-0005-0000-0000-00001C250000}"/>
    <cellStyle name="Comma 2 3 2 12 4 5" xfId="9504" xr:uid="{00000000-0005-0000-0000-00001D250000}"/>
    <cellStyle name="Comma 2 3 2 12 5" xfId="9505" xr:uid="{00000000-0005-0000-0000-00001E250000}"/>
    <cellStyle name="Comma 2 3 2 12 5 2" xfId="9506" xr:uid="{00000000-0005-0000-0000-00001F250000}"/>
    <cellStyle name="Comma 2 3 2 12 5 3" xfId="9507" xr:uid="{00000000-0005-0000-0000-000020250000}"/>
    <cellStyle name="Comma 2 3 2 12 5 4" xfId="9508" xr:uid="{00000000-0005-0000-0000-000021250000}"/>
    <cellStyle name="Comma 2 3 2 12 6" xfId="9509" xr:uid="{00000000-0005-0000-0000-000022250000}"/>
    <cellStyle name="Comma 2 3 2 12 6 2" xfId="9510" xr:uid="{00000000-0005-0000-0000-000023250000}"/>
    <cellStyle name="Comma 2 3 2 12 7" xfId="9511" xr:uid="{00000000-0005-0000-0000-000024250000}"/>
    <cellStyle name="Comma 2 3 2 12 8" xfId="9512" xr:uid="{00000000-0005-0000-0000-000025250000}"/>
    <cellStyle name="Comma 2 3 2 12 9" xfId="9513" xr:uid="{00000000-0005-0000-0000-000026250000}"/>
    <cellStyle name="Comma 2 3 2 13" xfId="9514" xr:uid="{00000000-0005-0000-0000-000027250000}"/>
    <cellStyle name="Comma 2 3 2 13 2" xfId="9515" xr:uid="{00000000-0005-0000-0000-000028250000}"/>
    <cellStyle name="Comma 2 3 2 13 2 2" xfId="9516" xr:uid="{00000000-0005-0000-0000-000029250000}"/>
    <cellStyle name="Comma 2 3 2 13 2 2 2" xfId="9517" xr:uid="{00000000-0005-0000-0000-00002A250000}"/>
    <cellStyle name="Comma 2 3 2 13 2 2 3" xfId="9518" xr:uid="{00000000-0005-0000-0000-00002B250000}"/>
    <cellStyle name="Comma 2 3 2 13 2 3" xfId="9519" xr:uid="{00000000-0005-0000-0000-00002C250000}"/>
    <cellStyle name="Comma 2 3 2 13 2 4" xfId="9520" xr:uid="{00000000-0005-0000-0000-00002D250000}"/>
    <cellStyle name="Comma 2 3 2 13 2 5" xfId="9521" xr:uid="{00000000-0005-0000-0000-00002E250000}"/>
    <cellStyle name="Comma 2 3 2 13 2 6" xfId="9522" xr:uid="{00000000-0005-0000-0000-00002F250000}"/>
    <cellStyle name="Comma 2 3 2 13 3" xfId="9523" xr:uid="{00000000-0005-0000-0000-000030250000}"/>
    <cellStyle name="Comma 2 3 2 13 3 2" xfId="9524" xr:uid="{00000000-0005-0000-0000-000031250000}"/>
    <cellStyle name="Comma 2 3 2 13 3 2 2" xfId="9525" xr:uid="{00000000-0005-0000-0000-000032250000}"/>
    <cellStyle name="Comma 2 3 2 13 3 3" xfId="9526" xr:uid="{00000000-0005-0000-0000-000033250000}"/>
    <cellStyle name="Comma 2 3 2 13 3 4" xfId="9527" xr:uid="{00000000-0005-0000-0000-000034250000}"/>
    <cellStyle name="Comma 2 3 2 13 3 5" xfId="9528" xr:uid="{00000000-0005-0000-0000-000035250000}"/>
    <cellStyle name="Comma 2 3 2 13 4" xfId="9529" xr:uid="{00000000-0005-0000-0000-000036250000}"/>
    <cellStyle name="Comma 2 3 2 13 4 2" xfId="9530" xr:uid="{00000000-0005-0000-0000-000037250000}"/>
    <cellStyle name="Comma 2 3 2 13 4 3" xfId="9531" xr:uid="{00000000-0005-0000-0000-000038250000}"/>
    <cellStyle name="Comma 2 3 2 13 4 4" xfId="9532" xr:uid="{00000000-0005-0000-0000-000039250000}"/>
    <cellStyle name="Comma 2 3 2 13 5" xfId="9533" xr:uid="{00000000-0005-0000-0000-00003A250000}"/>
    <cellStyle name="Comma 2 3 2 13 5 2" xfId="9534" xr:uid="{00000000-0005-0000-0000-00003B250000}"/>
    <cellStyle name="Comma 2 3 2 13 6" xfId="9535" xr:uid="{00000000-0005-0000-0000-00003C250000}"/>
    <cellStyle name="Comma 2 3 2 13 7" xfId="9536" xr:uid="{00000000-0005-0000-0000-00003D250000}"/>
    <cellStyle name="Comma 2 3 2 13 8" xfId="9537" xr:uid="{00000000-0005-0000-0000-00003E250000}"/>
    <cellStyle name="Comma 2 3 2 13 9" xfId="9538" xr:uid="{00000000-0005-0000-0000-00003F250000}"/>
    <cellStyle name="Comma 2 3 2 14" xfId="9539" xr:uid="{00000000-0005-0000-0000-000040250000}"/>
    <cellStyle name="Comma 2 3 2 14 2" xfId="9540" xr:uid="{00000000-0005-0000-0000-000041250000}"/>
    <cellStyle name="Comma 2 3 2 14 2 2" xfId="9541" xr:uid="{00000000-0005-0000-0000-000042250000}"/>
    <cellStyle name="Comma 2 3 2 14 2 2 2" xfId="9542" xr:uid="{00000000-0005-0000-0000-000043250000}"/>
    <cellStyle name="Comma 2 3 2 14 2 2 3" xfId="9543" xr:uid="{00000000-0005-0000-0000-000044250000}"/>
    <cellStyle name="Comma 2 3 2 14 2 3" xfId="9544" xr:uid="{00000000-0005-0000-0000-000045250000}"/>
    <cellStyle name="Comma 2 3 2 14 2 4" xfId="9545" xr:uid="{00000000-0005-0000-0000-000046250000}"/>
    <cellStyle name="Comma 2 3 2 14 2 5" xfId="9546" xr:uid="{00000000-0005-0000-0000-000047250000}"/>
    <cellStyle name="Comma 2 3 2 14 2 6" xfId="9547" xr:uid="{00000000-0005-0000-0000-000048250000}"/>
    <cellStyle name="Comma 2 3 2 14 3" xfId="9548" xr:uid="{00000000-0005-0000-0000-000049250000}"/>
    <cellStyle name="Comma 2 3 2 14 3 2" xfId="9549" xr:uid="{00000000-0005-0000-0000-00004A250000}"/>
    <cellStyle name="Comma 2 3 2 14 3 2 2" xfId="9550" xr:uid="{00000000-0005-0000-0000-00004B250000}"/>
    <cellStyle name="Comma 2 3 2 14 3 3" xfId="9551" xr:uid="{00000000-0005-0000-0000-00004C250000}"/>
    <cellStyle name="Comma 2 3 2 14 3 4" xfId="9552" xr:uid="{00000000-0005-0000-0000-00004D250000}"/>
    <cellStyle name="Comma 2 3 2 14 3 5" xfId="9553" xr:uid="{00000000-0005-0000-0000-00004E250000}"/>
    <cellStyle name="Comma 2 3 2 14 4" xfId="9554" xr:uid="{00000000-0005-0000-0000-00004F250000}"/>
    <cellStyle name="Comma 2 3 2 14 4 2" xfId="9555" xr:uid="{00000000-0005-0000-0000-000050250000}"/>
    <cellStyle name="Comma 2 3 2 14 4 3" xfId="9556" xr:uid="{00000000-0005-0000-0000-000051250000}"/>
    <cellStyle name="Comma 2 3 2 14 4 4" xfId="9557" xr:uid="{00000000-0005-0000-0000-000052250000}"/>
    <cellStyle name="Comma 2 3 2 14 5" xfId="9558" xr:uid="{00000000-0005-0000-0000-000053250000}"/>
    <cellStyle name="Comma 2 3 2 14 5 2" xfId="9559" xr:uid="{00000000-0005-0000-0000-000054250000}"/>
    <cellStyle name="Comma 2 3 2 14 6" xfId="9560" xr:uid="{00000000-0005-0000-0000-000055250000}"/>
    <cellStyle name="Comma 2 3 2 14 7" xfId="9561" xr:uid="{00000000-0005-0000-0000-000056250000}"/>
    <cellStyle name="Comma 2 3 2 14 8" xfId="9562" xr:uid="{00000000-0005-0000-0000-000057250000}"/>
    <cellStyle name="Comma 2 3 2 14 9" xfId="9563" xr:uid="{00000000-0005-0000-0000-000058250000}"/>
    <cellStyle name="Comma 2 3 2 15" xfId="9564" xr:uid="{00000000-0005-0000-0000-000059250000}"/>
    <cellStyle name="Comma 2 3 2 15 2" xfId="9565" xr:uid="{00000000-0005-0000-0000-00005A250000}"/>
    <cellStyle name="Comma 2 3 2 15 2 2" xfId="9566" xr:uid="{00000000-0005-0000-0000-00005B250000}"/>
    <cellStyle name="Comma 2 3 2 15 2 3" xfId="9567" xr:uid="{00000000-0005-0000-0000-00005C250000}"/>
    <cellStyle name="Comma 2 3 2 15 3" xfId="9568" xr:uid="{00000000-0005-0000-0000-00005D250000}"/>
    <cellStyle name="Comma 2 3 2 15 4" xfId="9569" xr:uid="{00000000-0005-0000-0000-00005E250000}"/>
    <cellStyle name="Comma 2 3 2 15 5" xfId="9570" xr:uid="{00000000-0005-0000-0000-00005F250000}"/>
    <cellStyle name="Comma 2 3 2 15 6" xfId="9571" xr:uid="{00000000-0005-0000-0000-000060250000}"/>
    <cellStyle name="Comma 2 3 2 16" xfId="9572" xr:uid="{00000000-0005-0000-0000-000061250000}"/>
    <cellStyle name="Comma 2 3 2 16 2" xfId="9573" xr:uid="{00000000-0005-0000-0000-000062250000}"/>
    <cellStyle name="Comma 2 3 2 16 2 2" xfId="9574" xr:uid="{00000000-0005-0000-0000-000063250000}"/>
    <cellStyle name="Comma 2 3 2 16 3" xfId="9575" xr:uid="{00000000-0005-0000-0000-000064250000}"/>
    <cellStyle name="Comma 2 3 2 16 4" xfId="9576" xr:uid="{00000000-0005-0000-0000-000065250000}"/>
    <cellStyle name="Comma 2 3 2 16 5" xfId="9577" xr:uid="{00000000-0005-0000-0000-000066250000}"/>
    <cellStyle name="Comma 2 3 2 17" xfId="9578" xr:uid="{00000000-0005-0000-0000-000067250000}"/>
    <cellStyle name="Comma 2 3 2 17 2" xfId="9579" xr:uid="{00000000-0005-0000-0000-000068250000}"/>
    <cellStyle name="Comma 2 3 2 17 2 2" xfId="9580" xr:uid="{00000000-0005-0000-0000-000069250000}"/>
    <cellStyle name="Comma 2 3 2 17 3" xfId="9581" xr:uid="{00000000-0005-0000-0000-00006A250000}"/>
    <cellStyle name="Comma 2 3 2 17 4" xfId="9582" xr:uid="{00000000-0005-0000-0000-00006B250000}"/>
    <cellStyle name="Comma 2 3 2 17 5" xfId="9583" xr:uid="{00000000-0005-0000-0000-00006C250000}"/>
    <cellStyle name="Comma 2 3 2 18" xfId="9584" xr:uid="{00000000-0005-0000-0000-00006D250000}"/>
    <cellStyle name="Comma 2 3 2 18 2" xfId="9585" xr:uid="{00000000-0005-0000-0000-00006E250000}"/>
    <cellStyle name="Comma 2 3 2 19" xfId="9586" xr:uid="{00000000-0005-0000-0000-00006F250000}"/>
    <cellStyle name="Comma 2 3 2 2" xfId="9587" xr:uid="{00000000-0005-0000-0000-000070250000}"/>
    <cellStyle name="Comma 2 3 2 2 10" xfId="9588" xr:uid="{00000000-0005-0000-0000-000071250000}"/>
    <cellStyle name="Comma 2 3 2 2 11" xfId="9589" xr:uid="{00000000-0005-0000-0000-000072250000}"/>
    <cellStyle name="Comma 2 3 2 2 2" xfId="9590" xr:uid="{00000000-0005-0000-0000-000073250000}"/>
    <cellStyle name="Comma 2 3 2 2 2 2" xfId="9591" xr:uid="{00000000-0005-0000-0000-000074250000}"/>
    <cellStyle name="Comma 2 3 2 2 2 2 2" xfId="9592" xr:uid="{00000000-0005-0000-0000-000075250000}"/>
    <cellStyle name="Comma 2 3 2 2 2 2 2 2" xfId="9593" xr:uid="{00000000-0005-0000-0000-000076250000}"/>
    <cellStyle name="Comma 2 3 2 2 2 2 2 3" xfId="9594" xr:uid="{00000000-0005-0000-0000-000077250000}"/>
    <cellStyle name="Comma 2 3 2 2 2 2 3" xfId="9595" xr:uid="{00000000-0005-0000-0000-000078250000}"/>
    <cellStyle name="Comma 2 3 2 2 2 2 4" xfId="9596" xr:uid="{00000000-0005-0000-0000-000079250000}"/>
    <cellStyle name="Comma 2 3 2 2 2 2 5" xfId="9597" xr:uid="{00000000-0005-0000-0000-00007A250000}"/>
    <cellStyle name="Comma 2 3 2 2 2 2 6" xfId="9598" xr:uid="{00000000-0005-0000-0000-00007B250000}"/>
    <cellStyle name="Comma 2 3 2 2 2 3" xfId="9599" xr:uid="{00000000-0005-0000-0000-00007C250000}"/>
    <cellStyle name="Comma 2 3 2 2 2 3 2" xfId="9600" xr:uid="{00000000-0005-0000-0000-00007D250000}"/>
    <cellStyle name="Comma 2 3 2 2 2 3 2 2" xfId="9601" xr:uid="{00000000-0005-0000-0000-00007E250000}"/>
    <cellStyle name="Comma 2 3 2 2 2 3 3" xfId="9602" xr:uid="{00000000-0005-0000-0000-00007F250000}"/>
    <cellStyle name="Comma 2 3 2 2 2 3 4" xfId="9603" xr:uid="{00000000-0005-0000-0000-000080250000}"/>
    <cellStyle name="Comma 2 3 2 2 2 3 5" xfId="9604" xr:uid="{00000000-0005-0000-0000-000081250000}"/>
    <cellStyle name="Comma 2 3 2 2 2 4" xfId="9605" xr:uid="{00000000-0005-0000-0000-000082250000}"/>
    <cellStyle name="Comma 2 3 2 2 2 4 2" xfId="9606" xr:uid="{00000000-0005-0000-0000-000083250000}"/>
    <cellStyle name="Comma 2 3 2 2 2 4 3" xfId="9607" xr:uid="{00000000-0005-0000-0000-000084250000}"/>
    <cellStyle name="Comma 2 3 2 2 2 4 4" xfId="9608" xr:uid="{00000000-0005-0000-0000-000085250000}"/>
    <cellStyle name="Comma 2 3 2 2 2 5" xfId="9609" xr:uid="{00000000-0005-0000-0000-000086250000}"/>
    <cellStyle name="Comma 2 3 2 2 2 5 2" xfId="9610" xr:uid="{00000000-0005-0000-0000-000087250000}"/>
    <cellStyle name="Comma 2 3 2 2 2 6" xfId="9611" xr:uid="{00000000-0005-0000-0000-000088250000}"/>
    <cellStyle name="Comma 2 3 2 2 2 7" xfId="9612" xr:uid="{00000000-0005-0000-0000-000089250000}"/>
    <cellStyle name="Comma 2 3 2 2 2 8" xfId="9613" xr:uid="{00000000-0005-0000-0000-00008A250000}"/>
    <cellStyle name="Comma 2 3 2 2 2 9" xfId="9614" xr:uid="{00000000-0005-0000-0000-00008B250000}"/>
    <cellStyle name="Comma 2 3 2 2 3" xfId="9615" xr:uid="{00000000-0005-0000-0000-00008C250000}"/>
    <cellStyle name="Comma 2 3 2 2 3 2" xfId="9616" xr:uid="{00000000-0005-0000-0000-00008D250000}"/>
    <cellStyle name="Comma 2 3 2 2 3 2 2" xfId="9617" xr:uid="{00000000-0005-0000-0000-00008E250000}"/>
    <cellStyle name="Comma 2 3 2 2 3 2 2 2" xfId="9618" xr:uid="{00000000-0005-0000-0000-00008F250000}"/>
    <cellStyle name="Comma 2 3 2 2 3 2 2 3" xfId="9619" xr:uid="{00000000-0005-0000-0000-000090250000}"/>
    <cellStyle name="Comma 2 3 2 2 3 2 3" xfId="9620" xr:uid="{00000000-0005-0000-0000-000091250000}"/>
    <cellStyle name="Comma 2 3 2 2 3 2 4" xfId="9621" xr:uid="{00000000-0005-0000-0000-000092250000}"/>
    <cellStyle name="Comma 2 3 2 2 3 2 5" xfId="9622" xr:uid="{00000000-0005-0000-0000-000093250000}"/>
    <cellStyle name="Comma 2 3 2 2 3 2 6" xfId="9623" xr:uid="{00000000-0005-0000-0000-000094250000}"/>
    <cellStyle name="Comma 2 3 2 2 3 3" xfId="9624" xr:uid="{00000000-0005-0000-0000-000095250000}"/>
    <cellStyle name="Comma 2 3 2 2 3 3 2" xfId="9625" xr:uid="{00000000-0005-0000-0000-000096250000}"/>
    <cellStyle name="Comma 2 3 2 2 3 3 2 2" xfId="9626" xr:uid="{00000000-0005-0000-0000-000097250000}"/>
    <cellStyle name="Comma 2 3 2 2 3 3 3" xfId="9627" xr:uid="{00000000-0005-0000-0000-000098250000}"/>
    <cellStyle name="Comma 2 3 2 2 3 3 4" xfId="9628" xr:uid="{00000000-0005-0000-0000-000099250000}"/>
    <cellStyle name="Comma 2 3 2 2 3 3 5" xfId="9629" xr:uid="{00000000-0005-0000-0000-00009A250000}"/>
    <cellStyle name="Comma 2 3 2 2 3 4" xfId="9630" xr:uid="{00000000-0005-0000-0000-00009B250000}"/>
    <cellStyle name="Comma 2 3 2 2 3 4 2" xfId="9631" xr:uid="{00000000-0005-0000-0000-00009C250000}"/>
    <cellStyle name="Comma 2 3 2 2 3 4 3" xfId="9632" xr:uid="{00000000-0005-0000-0000-00009D250000}"/>
    <cellStyle name="Comma 2 3 2 2 3 4 4" xfId="9633" xr:uid="{00000000-0005-0000-0000-00009E250000}"/>
    <cellStyle name="Comma 2 3 2 2 3 5" xfId="9634" xr:uid="{00000000-0005-0000-0000-00009F250000}"/>
    <cellStyle name="Comma 2 3 2 2 3 5 2" xfId="9635" xr:uid="{00000000-0005-0000-0000-0000A0250000}"/>
    <cellStyle name="Comma 2 3 2 2 3 6" xfId="9636" xr:uid="{00000000-0005-0000-0000-0000A1250000}"/>
    <cellStyle name="Comma 2 3 2 2 3 7" xfId="9637" xr:uid="{00000000-0005-0000-0000-0000A2250000}"/>
    <cellStyle name="Comma 2 3 2 2 3 8" xfId="9638" xr:uid="{00000000-0005-0000-0000-0000A3250000}"/>
    <cellStyle name="Comma 2 3 2 2 3 9" xfId="9639" xr:uid="{00000000-0005-0000-0000-0000A4250000}"/>
    <cellStyle name="Comma 2 3 2 2 4" xfId="9640" xr:uid="{00000000-0005-0000-0000-0000A5250000}"/>
    <cellStyle name="Comma 2 3 2 2 4 2" xfId="9641" xr:uid="{00000000-0005-0000-0000-0000A6250000}"/>
    <cellStyle name="Comma 2 3 2 2 4 2 2" xfId="9642" xr:uid="{00000000-0005-0000-0000-0000A7250000}"/>
    <cellStyle name="Comma 2 3 2 2 4 2 3" xfId="9643" xr:uid="{00000000-0005-0000-0000-0000A8250000}"/>
    <cellStyle name="Comma 2 3 2 2 4 3" xfId="9644" xr:uid="{00000000-0005-0000-0000-0000A9250000}"/>
    <cellStyle name="Comma 2 3 2 2 4 4" xfId="9645" xr:uid="{00000000-0005-0000-0000-0000AA250000}"/>
    <cellStyle name="Comma 2 3 2 2 4 5" xfId="9646" xr:uid="{00000000-0005-0000-0000-0000AB250000}"/>
    <cellStyle name="Comma 2 3 2 2 4 6" xfId="9647" xr:uid="{00000000-0005-0000-0000-0000AC250000}"/>
    <cellStyle name="Comma 2 3 2 2 5" xfId="9648" xr:uid="{00000000-0005-0000-0000-0000AD250000}"/>
    <cellStyle name="Comma 2 3 2 2 5 2" xfId="9649" xr:uid="{00000000-0005-0000-0000-0000AE250000}"/>
    <cellStyle name="Comma 2 3 2 2 5 2 2" xfId="9650" xr:uid="{00000000-0005-0000-0000-0000AF250000}"/>
    <cellStyle name="Comma 2 3 2 2 5 3" xfId="9651" xr:uid="{00000000-0005-0000-0000-0000B0250000}"/>
    <cellStyle name="Comma 2 3 2 2 5 4" xfId="9652" xr:uid="{00000000-0005-0000-0000-0000B1250000}"/>
    <cellStyle name="Comma 2 3 2 2 5 5" xfId="9653" xr:uid="{00000000-0005-0000-0000-0000B2250000}"/>
    <cellStyle name="Comma 2 3 2 2 6" xfId="9654" xr:uid="{00000000-0005-0000-0000-0000B3250000}"/>
    <cellStyle name="Comma 2 3 2 2 6 2" xfId="9655" xr:uid="{00000000-0005-0000-0000-0000B4250000}"/>
    <cellStyle name="Comma 2 3 2 2 6 3" xfId="9656" xr:uid="{00000000-0005-0000-0000-0000B5250000}"/>
    <cellStyle name="Comma 2 3 2 2 6 4" xfId="9657" xr:uid="{00000000-0005-0000-0000-0000B6250000}"/>
    <cellStyle name="Comma 2 3 2 2 7" xfId="9658" xr:uid="{00000000-0005-0000-0000-0000B7250000}"/>
    <cellStyle name="Comma 2 3 2 2 7 2" xfId="9659" xr:uid="{00000000-0005-0000-0000-0000B8250000}"/>
    <cellStyle name="Comma 2 3 2 2 8" xfId="9660" xr:uid="{00000000-0005-0000-0000-0000B9250000}"/>
    <cellStyle name="Comma 2 3 2 2 9" xfId="9661" xr:uid="{00000000-0005-0000-0000-0000BA250000}"/>
    <cellStyle name="Comma 2 3 2 20" xfId="9662" xr:uid="{00000000-0005-0000-0000-0000BB250000}"/>
    <cellStyle name="Comma 2 3 2 21" xfId="9663" xr:uid="{00000000-0005-0000-0000-0000BC250000}"/>
    <cellStyle name="Comma 2 3 2 22" xfId="9664" xr:uid="{00000000-0005-0000-0000-0000BD250000}"/>
    <cellStyle name="Comma 2 3 2 3" xfId="9665" xr:uid="{00000000-0005-0000-0000-0000BE250000}"/>
    <cellStyle name="Comma 2 3 2 3 10" xfId="9666" xr:uid="{00000000-0005-0000-0000-0000BF250000}"/>
    <cellStyle name="Comma 2 3 2 3 11" xfId="9667" xr:uid="{00000000-0005-0000-0000-0000C0250000}"/>
    <cellStyle name="Comma 2 3 2 3 2" xfId="9668" xr:uid="{00000000-0005-0000-0000-0000C1250000}"/>
    <cellStyle name="Comma 2 3 2 3 2 2" xfId="9669" xr:uid="{00000000-0005-0000-0000-0000C2250000}"/>
    <cellStyle name="Comma 2 3 2 3 2 2 2" xfId="9670" xr:uid="{00000000-0005-0000-0000-0000C3250000}"/>
    <cellStyle name="Comma 2 3 2 3 2 2 2 2" xfId="9671" xr:uid="{00000000-0005-0000-0000-0000C4250000}"/>
    <cellStyle name="Comma 2 3 2 3 2 2 2 3" xfId="9672" xr:uid="{00000000-0005-0000-0000-0000C5250000}"/>
    <cellStyle name="Comma 2 3 2 3 2 2 3" xfId="9673" xr:uid="{00000000-0005-0000-0000-0000C6250000}"/>
    <cellStyle name="Comma 2 3 2 3 2 2 4" xfId="9674" xr:uid="{00000000-0005-0000-0000-0000C7250000}"/>
    <cellStyle name="Comma 2 3 2 3 2 2 5" xfId="9675" xr:uid="{00000000-0005-0000-0000-0000C8250000}"/>
    <cellStyle name="Comma 2 3 2 3 2 2 6" xfId="9676" xr:uid="{00000000-0005-0000-0000-0000C9250000}"/>
    <cellStyle name="Comma 2 3 2 3 2 3" xfId="9677" xr:uid="{00000000-0005-0000-0000-0000CA250000}"/>
    <cellStyle name="Comma 2 3 2 3 2 3 2" xfId="9678" xr:uid="{00000000-0005-0000-0000-0000CB250000}"/>
    <cellStyle name="Comma 2 3 2 3 2 3 2 2" xfId="9679" xr:uid="{00000000-0005-0000-0000-0000CC250000}"/>
    <cellStyle name="Comma 2 3 2 3 2 3 3" xfId="9680" xr:uid="{00000000-0005-0000-0000-0000CD250000}"/>
    <cellStyle name="Comma 2 3 2 3 2 3 4" xfId="9681" xr:uid="{00000000-0005-0000-0000-0000CE250000}"/>
    <cellStyle name="Comma 2 3 2 3 2 3 5" xfId="9682" xr:uid="{00000000-0005-0000-0000-0000CF250000}"/>
    <cellStyle name="Comma 2 3 2 3 2 4" xfId="9683" xr:uid="{00000000-0005-0000-0000-0000D0250000}"/>
    <cellStyle name="Comma 2 3 2 3 2 4 2" xfId="9684" xr:uid="{00000000-0005-0000-0000-0000D1250000}"/>
    <cellStyle name="Comma 2 3 2 3 2 4 3" xfId="9685" xr:uid="{00000000-0005-0000-0000-0000D2250000}"/>
    <cellStyle name="Comma 2 3 2 3 2 4 4" xfId="9686" xr:uid="{00000000-0005-0000-0000-0000D3250000}"/>
    <cellStyle name="Comma 2 3 2 3 2 5" xfId="9687" xr:uid="{00000000-0005-0000-0000-0000D4250000}"/>
    <cellStyle name="Comma 2 3 2 3 2 5 2" xfId="9688" xr:uid="{00000000-0005-0000-0000-0000D5250000}"/>
    <cellStyle name="Comma 2 3 2 3 2 6" xfId="9689" xr:uid="{00000000-0005-0000-0000-0000D6250000}"/>
    <cellStyle name="Comma 2 3 2 3 2 7" xfId="9690" xr:uid="{00000000-0005-0000-0000-0000D7250000}"/>
    <cellStyle name="Comma 2 3 2 3 2 8" xfId="9691" xr:uid="{00000000-0005-0000-0000-0000D8250000}"/>
    <cellStyle name="Comma 2 3 2 3 2 9" xfId="9692" xr:uid="{00000000-0005-0000-0000-0000D9250000}"/>
    <cellStyle name="Comma 2 3 2 3 3" xfId="9693" xr:uid="{00000000-0005-0000-0000-0000DA250000}"/>
    <cellStyle name="Comma 2 3 2 3 3 2" xfId="9694" xr:uid="{00000000-0005-0000-0000-0000DB250000}"/>
    <cellStyle name="Comma 2 3 2 3 3 2 2" xfId="9695" xr:uid="{00000000-0005-0000-0000-0000DC250000}"/>
    <cellStyle name="Comma 2 3 2 3 3 2 2 2" xfId="9696" xr:uid="{00000000-0005-0000-0000-0000DD250000}"/>
    <cellStyle name="Comma 2 3 2 3 3 2 2 3" xfId="9697" xr:uid="{00000000-0005-0000-0000-0000DE250000}"/>
    <cellStyle name="Comma 2 3 2 3 3 2 3" xfId="9698" xr:uid="{00000000-0005-0000-0000-0000DF250000}"/>
    <cellStyle name="Comma 2 3 2 3 3 2 4" xfId="9699" xr:uid="{00000000-0005-0000-0000-0000E0250000}"/>
    <cellStyle name="Comma 2 3 2 3 3 2 5" xfId="9700" xr:uid="{00000000-0005-0000-0000-0000E1250000}"/>
    <cellStyle name="Comma 2 3 2 3 3 2 6" xfId="9701" xr:uid="{00000000-0005-0000-0000-0000E2250000}"/>
    <cellStyle name="Comma 2 3 2 3 3 3" xfId="9702" xr:uid="{00000000-0005-0000-0000-0000E3250000}"/>
    <cellStyle name="Comma 2 3 2 3 3 3 2" xfId="9703" xr:uid="{00000000-0005-0000-0000-0000E4250000}"/>
    <cellStyle name="Comma 2 3 2 3 3 3 2 2" xfId="9704" xr:uid="{00000000-0005-0000-0000-0000E5250000}"/>
    <cellStyle name="Comma 2 3 2 3 3 3 3" xfId="9705" xr:uid="{00000000-0005-0000-0000-0000E6250000}"/>
    <cellStyle name="Comma 2 3 2 3 3 3 4" xfId="9706" xr:uid="{00000000-0005-0000-0000-0000E7250000}"/>
    <cellStyle name="Comma 2 3 2 3 3 3 5" xfId="9707" xr:uid="{00000000-0005-0000-0000-0000E8250000}"/>
    <cellStyle name="Comma 2 3 2 3 3 4" xfId="9708" xr:uid="{00000000-0005-0000-0000-0000E9250000}"/>
    <cellStyle name="Comma 2 3 2 3 3 4 2" xfId="9709" xr:uid="{00000000-0005-0000-0000-0000EA250000}"/>
    <cellStyle name="Comma 2 3 2 3 3 4 3" xfId="9710" xr:uid="{00000000-0005-0000-0000-0000EB250000}"/>
    <cellStyle name="Comma 2 3 2 3 3 4 4" xfId="9711" xr:uid="{00000000-0005-0000-0000-0000EC250000}"/>
    <cellStyle name="Comma 2 3 2 3 3 5" xfId="9712" xr:uid="{00000000-0005-0000-0000-0000ED250000}"/>
    <cellStyle name="Comma 2 3 2 3 3 5 2" xfId="9713" xr:uid="{00000000-0005-0000-0000-0000EE250000}"/>
    <cellStyle name="Comma 2 3 2 3 3 6" xfId="9714" xr:uid="{00000000-0005-0000-0000-0000EF250000}"/>
    <cellStyle name="Comma 2 3 2 3 3 7" xfId="9715" xr:uid="{00000000-0005-0000-0000-0000F0250000}"/>
    <cellStyle name="Comma 2 3 2 3 3 8" xfId="9716" xr:uid="{00000000-0005-0000-0000-0000F1250000}"/>
    <cellStyle name="Comma 2 3 2 3 3 9" xfId="9717" xr:uid="{00000000-0005-0000-0000-0000F2250000}"/>
    <cellStyle name="Comma 2 3 2 3 4" xfId="9718" xr:uid="{00000000-0005-0000-0000-0000F3250000}"/>
    <cellStyle name="Comma 2 3 2 3 4 2" xfId="9719" xr:uid="{00000000-0005-0000-0000-0000F4250000}"/>
    <cellStyle name="Comma 2 3 2 3 4 2 2" xfId="9720" xr:uid="{00000000-0005-0000-0000-0000F5250000}"/>
    <cellStyle name="Comma 2 3 2 3 4 2 3" xfId="9721" xr:uid="{00000000-0005-0000-0000-0000F6250000}"/>
    <cellStyle name="Comma 2 3 2 3 4 3" xfId="9722" xr:uid="{00000000-0005-0000-0000-0000F7250000}"/>
    <cellStyle name="Comma 2 3 2 3 4 4" xfId="9723" xr:uid="{00000000-0005-0000-0000-0000F8250000}"/>
    <cellStyle name="Comma 2 3 2 3 4 5" xfId="9724" xr:uid="{00000000-0005-0000-0000-0000F9250000}"/>
    <cellStyle name="Comma 2 3 2 3 4 6" xfId="9725" xr:uid="{00000000-0005-0000-0000-0000FA250000}"/>
    <cellStyle name="Comma 2 3 2 3 5" xfId="9726" xr:uid="{00000000-0005-0000-0000-0000FB250000}"/>
    <cellStyle name="Comma 2 3 2 3 5 2" xfId="9727" xr:uid="{00000000-0005-0000-0000-0000FC250000}"/>
    <cellStyle name="Comma 2 3 2 3 5 2 2" xfId="9728" xr:uid="{00000000-0005-0000-0000-0000FD250000}"/>
    <cellStyle name="Comma 2 3 2 3 5 3" xfId="9729" xr:uid="{00000000-0005-0000-0000-0000FE250000}"/>
    <cellStyle name="Comma 2 3 2 3 5 4" xfId="9730" xr:uid="{00000000-0005-0000-0000-0000FF250000}"/>
    <cellStyle name="Comma 2 3 2 3 5 5" xfId="9731" xr:uid="{00000000-0005-0000-0000-000000260000}"/>
    <cellStyle name="Comma 2 3 2 3 6" xfId="9732" xr:uid="{00000000-0005-0000-0000-000001260000}"/>
    <cellStyle name="Comma 2 3 2 3 6 2" xfId="9733" xr:uid="{00000000-0005-0000-0000-000002260000}"/>
    <cellStyle name="Comma 2 3 2 3 6 3" xfId="9734" xr:uid="{00000000-0005-0000-0000-000003260000}"/>
    <cellStyle name="Comma 2 3 2 3 6 4" xfId="9735" xr:uid="{00000000-0005-0000-0000-000004260000}"/>
    <cellStyle name="Comma 2 3 2 3 7" xfId="9736" xr:uid="{00000000-0005-0000-0000-000005260000}"/>
    <cellStyle name="Comma 2 3 2 3 7 2" xfId="9737" xr:uid="{00000000-0005-0000-0000-000006260000}"/>
    <cellStyle name="Comma 2 3 2 3 8" xfId="9738" xr:uid="{00000000-0005-0000-0000-000007260000}"/>
    <cellStyle name="Comma 2 3 2 3 9" xfId="9739" xr:uid="{00000000-0005-0000-0000-000008260000}"/>
    <cellStyle name="Comma 2 3 2 4" xfId="9740" xr:uid="{00000000-0005-0000-0000-000009260000}"/>
    <cellStyle name="Comma 2 3 2 4 10" xfId="9741" xr:uid="{00000000-0005-0000-0000-00000A260000}"/>
    <cellStyle name="Comma 2 3 2 4 11" xfId="9742" xr:uid="{00000000-0005-0000-0000-00000B260000}"/>
    <cellStyle name="Comma 2 3 2 4 2" xfId="9743" xr:uid="{00000000-0005-0000-0000-00000C260000}"/>
    <cellStyle name="Comma 2 3 2 4 2 2" xfId="9744" xr:uid="{00000000-0005-0000-0000-00000D260000}"/>
    <cellStyle name="Comma 2 3 2 4 2 2 2" xfId="9745" xr:uid="{00000000-0005-0000-0000-00000E260000}"/>
    <cellStyle name="Comma 2 3 2 4 2 2 2 2" xfId="9746" xr:uid="{00000000-0005-0000-0000-00000F260000}"/>
    <cellStyle name="Comma 2 3 2 4 2 2 2 3" xfId="9747" xr:uid="{00000000-0005-0000-0000-000010260000}"/>
    <cellStyle name="Comma 2 3 2 4 2 2 3" xfId="9748" xr:uid="{00000000-0005-0000-0000-000011260000}"/>
    <cellStyle name="Comma 2 3 2 4 2 2 4" xfId="9749" xr:uid="{00000000-0005-0000-0000-000012260000}"/>
    <cellStyle name="Comma 2 3 2 4 2 2 5" xfId="9750" xr:uid="{00000000-0005-0000-0000-000013260000}"/>
    <cellStyle name="Comma 2 3 2 4 2 2 6" xfId="9751" xr:uid="{00000000-0005-0000-0000-000014260000}"/>
    <cellStyle name="Comma 2 3 2 4 2 3" xfId="9752" xr:uid="{00000000-0005-0000-0000-000015260000}"/>
    <cellStyle name="Comma 2 3 2 4 2 3 2" xfId="9753" xr:uid="{00000000-0005-0000-0000-000016260000}"/>
    <cellStyle name="Comma 2 3 2 4 2 3 2 2" xfId="9754" xr:uid="{00000000-0005-0000-0000-000017260000}"/>
    <cellStyle name="Comma 2 3 2 4 2 3 3" xfId="9755" xr:uid="{00000000-0005-0000-0000-000018260000}"/>
    <cellStyle name="Comma 2 3 2 4 2 3 4" xfId="9756" xr:uid="{00000000-0005-0000-0000-000019260000}"/>
    <cellStyle name="Comma 2 3 2 4 2 3 5" xfId="9757" xr:uid="{00000000-0005-0000-0000-00001A260000}"/>
    <cellStyle name="Comma 2 3 2 4 2 4" xfId="9758" xr:uid="{00000000-0005-0000-0000-00001B260000}"/>
    <cellStyle name="Comma 2 3 2 4 2 4 2" xfId="9759" xr:uid="{00000000-0005-0000-0000-00001C260000}"/>
    <cellStyle name="Comma 2 3 2 4 2 4 3" xfId="9760" xr:uid="{00000000-0005-0000-0000-00001D260000}"/>
    <cellStyle name="Comma 2 3 2 4 2 4 4" xfId="9761" xr:uid="{00000000-0005-0000-0000-00001E260000}"/>
    <cellStyle name="Comma 2 3 2 4 2 5" xfId="9762" xr:uid="{00000000-0005-0000-0000-00001F260000}"/>
    <cellStyle name="Comma 2 3 2 4 2 5 2" xfId="9763" xr:uid="{00000000-0005-0000-0000-000020260000}"/>
    <cellStyle name="Comma 2 3 2 4 2 6" xfId="9764" xr:uid="{00000000-0005-0000-0000-000021260000}"/>
    <cellStyle name="Comma 2 3 2 4 2 7" xfId="9765" xr:uid="{00000000-0005-0000-0000-000022260000}"/>
    <cellStyle name="Comma 2 3 2 4 2 8" xfId="9766" xr:uid="{00000000-0005-0000-0000-000023260000}"/>
    <cellStyle name="Comma 2 3 2 4 2 9" xfId="9767" xr:uid="{00000000-0005-0000-0000-000024260000}"/>
    <cellStyle name="Comma 2 3 2 4 3" xfId="9768" xr:uid="{00000000-0005-0000-0000-000025260000}"/>
    <cellStyle name="Comma 2 3 2 4 3 2" xfId="9769" xr:uid="{00000000-0005-0000-0000-000026260000}"/>
    <cellStyle name="Comma 2 3 2 4 3 2 2" xfId="9770" xr:uid="{00000000-0005-0000-0000-000027260000}"/>
    <cellStyle name="Comma 2 3 2 4 3 2 2 2" xfId="9771" xr:uid="{00000000-0005-0000-0000-000028260000}"/>
    <cellStyle name="Comma 2 3 2 4 3 2 2 3" xfId="9772" xr:uid="{00000000-0005-0000-0000-000029260000}"/>
    <cellStyle name="Comma 2 3 2 4 3 2 3" xfId="9773" xr:uid="{00000000-0005-0000-0000-00002A260000}"/>
    <cellStyle name="Comma 2 3 2 4 3 2 4" xfId="9774" xr:uid="{00000000-0005-0000-0000-00002B260000}"/>
    <cellStyle name="Comma 2 3 2 4 3 2 5" xfId="9775" xr:uid="{00000000-0005-0000-0000-00002C260000}"/>
    <cellStyle name="Comma 2 3 2 4 3 2 6" xfId="9776" xr:uid="{00000000-0005-0000-0000-00002D260000}"/>
    <cellStyle name="Comma 2 3 2 4 3 3" xfId="9777" xr:uid="{00000000-0005-0000-0000-00002E260000}"/>
    <cellStyle name="Comma 2 3 2 4 3 3 2" xfId="9778" xr:uid="{00000000-0005-0000-0000-00002F260000}"/>
    <cellStyle name="Comma 2 3 2 4 3 3 2 2" xfId="9779" xr:uid="{00000000-0005-0000-0000-000030260000}"/>
    <cellStyle name="Comma 2 3 2 4 3 3 3" xfId="9780" xr:uid="{00000000-0005-0000-0000-000031260000}"/>
    <cellStyle name="Comma 2 3 2 4 3 3 4" xfId="9781" xr:uid="{00000000-0005-0000-0000-000032260000}"/>
    <cellStyle name="Comma 2 3 2 4 3 3 5" xfId="9782" xr:uid="{00000000-0005-0000-0000-000033260000}"/>
    <cellStyle name="Comma 2 3 2 4 3 4" xfId="9783" xr:uid="{00000000-0005-0000-0000-000034260000}"/>
    <cellStyle name="Comma 2 3 2 4 3 4 2" xfId="9784" xr:uid="{00000000-0005-0000-0000-000035260000}"/>
    <cellStyle name="Comma 2 3 2 4 3 4 3" xfId="9785" xr:uid="{00000000-0005-0000-0000-000036260000}"/>
    <cellStyle name="Comma 2 3 2 4 3 4 4" xfId="9786" xr:uid="{00000000-0005-0000-0000-000037260000}"/>
    <cellStyle name="Comma 2 3 2 4 3 5" xfId="9787" xr:uid="{00000000-0005-0000-0000-000038260000}"/>
    <cellStyle name="Comma 2 3 2 4 3 5 2" xfId="9788" xr:uid="{00000000-0005-0000-0000-000039260000}"/>
    <cellStyle name="Comma 2 3 2 4 3 6" xfId="9789" xr:uid="{00000000-0005-0000-0000-00003A260000}"/>
    <cellStyle name="Comma 2 3 2 4 3 7" xfId="9790" xr:uid="{00000000-0005-0000-0000-00003B260000}"/>
    <cellStyle name="Comma 2 3 2 4 3 8" xfId="9791" xr:uid="{00000000-0005-0000-0000-00003C260000}"/>
    <cellStyle name="Comma 2 3 2 4 3 9" xfId="9792" xr:uid="{00000000-0005-0000-0000-00003D260000}"/>
    <cellStyle name="Comma 2 3 2 4 4" xfId="9793" xr:uid="{00000000-0005-0000-0000-00003E260000}"/>
    <cellStyle name="Comma 2 3 2 4 4 2" xfId="9794" xr:uid="{00000000-0005-0000-0000-00003F260000}"/>
    <cellStyle name="Comma 2 3 2 4 4 2 2" xfId="9795" xr:uid="{00000000-0005-0000-0000-000040260000}"/>
    <cellStyle name="Comma 2 3 2 4 4 2 3" xfId="9796" xr:uid="{00000000-0005-0000-0000-000041260000}"/>
    <cellStyle name="Comma 2 3 2 4 4 3" xfId="9797" xr:uid="{00000000-0005-0000-0000-000042260000}"/>
    <cellStyle name="Comma 2 3 2 4 4 4" xfId="9798" xr:uid="{00000000-0005-0000-0000-000043260000}"/>
    <cellStyle name="Comma 2 3 2 4 4 5" xfId="9799" xr:uid="{00000000-0005-0000-0000-000044260000}"/>
    <cellStyle name="Comma 2 3 2 4 4 6" xfId="9800" xr:uid="{00000000-0005-0000-0000-000045260000}"/>
    <cellStyle name="Comma 2 3 2 4 5" xfId="9801" xr:uid="{00000000-0005-0000-0000-000046260000}"/>
    <cellStyle name="Comma 2 3 2 4 5 2" xfId="9802" xr:uid="{00000000-0005-0000-0000-000047260000}"/>
    <cellStyle name="Comma 2 3 2 4 5 2 2" xfId="9803" xr:uid="{00000000-0005-0000-0000-000048260000}"/>
    <cellStyle name="Comma 2 3 2 4 5 3" xfId="9804" xr:uid="{00000000-0005-0000-0000-000049260000}"/>
    <cellStyle name="Comma 2 3 2 4 5 4" xfId="9805" xr:uid="{00000000-0005-0000-0000-00004A260000}"/>
    <cellStyle name="Comma 2 3 2 4 5 5" xfId="9806" xr:uid="{00000000-0005-0000-0000-00004B260000}"/>
    <cellStyle name="Comma 2 3 2 4 6" xfId="9807" xr:uid="{00000000-0005-0000-0000-00004C260000}"/>
    <cellStyle name="Comma 2 3 2 4 6 2" xfId="9808" xr:uid="{00000000-0005-0000-0000-00004D260000}"/>
    <cellStyle name="Comma 2 3 2 4 6 3" xfId="9809" xr:uid="{00000000-0005-0000-0000-00004E260000}"/>
    <cellStyle name="Comma 2 3 2 4 6 4" xfId="9810" xr:uid="{00000000-0005-0000-0000-00004F260000}"/>
    <cellStyle name="Comma 2 3 2 4 7" xfId="9811" xr:uid="{00000000-0005-0000-0000-000050260000}"/>
    <cellStyle name="Comma 2 3 2 4 7 2" xfId="9812" xr:uid="{00000000-0005-0000-0000-000051260000}"/>
    <cellStyle name="Comma 2 3 2 4 8" xfId="9813" xr:uid="{00000000-0005-0000-0000-000052260000}"/>
    <cellStyle name="Comma 2 3 2 4 9" xfId="9814" xr:uid="{00000000-0005-0000-0000-000053260000}"/>
    <cellStyle name="Comma 2 3 2 5" xfId="9815" xr:uid="{00000000-0005-0000-0000-000054260000}"/>
    <cellStyle name="Comma 2 3 2 5 10" xfId="9816" xr:uid="{00000000-0005-0000-0000-000055260000}"/>
    <cellStyle name="Comma 2 3 2 5 11" xfId="9817" xr:uid="{00000000-0005-0000-0000-000056260000}"/>
    <cellStyle name="Comma 2 3 2 5 2" xfId="9818" xr:uid="{00000000-0005-0000-0000-000057260000}"/>
    <cellStyle name="Comma 2 3 2 5 2 2" xfId="9819" xr:uid="{00000000-0005-0000-0000-000058260000}"/>
    <cellStyle name="Comma 2 3 2 5 2 2 2" xfId="9820" xr:uid="{00000000-0005-0000-0000-000059260000}"/>
    <cellStyle name="Comma 2 3 2 5 2 2 2 2" xfId="9821" xr:uid="{00000000-0005-0000-0000-00005A260000}"/>
    <cellStyle name="Comma 2 3 2 5 2 2 2 3" xfId="9822" xr:uid="{00000000-0005-0000-0000-00005B260000}"/>
    <cellStyle name="Comma 2 3 2 5 2 2 3" xfId="9823" xr:uid="{00000000-0005-0000-0000-00005C260000}"/>
    <cellStyle name="Comma 2 3 2 5 2 2 4" xfId="9824" xr:uid="{00000000-0005-0000-0000-00005D260000}"/>
    <cellStyle name="Comma 2 3 2 5 2 2 5" xfId="9825" xr:uid="{00000000-0005-0000-0000-00005E260000}"/>
    <cellStyle name="Comma 2 3 2 5 2 2 6" xfId="9826" xr:uid="{00000000-0005-0000-0000-00005F260000}"/>
    <cellStyle name="Comma 2 3 2 5 2 3" xfId="9827" xr:uid="{00000000-0005-0000-0000-000060260000}"/>
    <cellStyle name="Comma 2 3 2 5 2 3 2" xfId="9828" xr:uid="{00000000-0005-0000-0000-000061260000}"/>
    <cellStyle name="Comma 2 3 2 5 2 3 2 2" xfId="9829" xr:uid="{00000000-0005-0000-0000-000062260000}"/>
    <cellStyle name="Comma 2 3 2 5 2 3 3" xfId="9830" xr:uid="{00000000-0005-0000-0000-000063260000}"/>
    <cellStyle name="Comma 2 3 2 5 2 3 4" xfId="9831" xr:uid="{00000000-0005-0000-0000-000064260000}"/>
    <cellStyle name="Comma 2 3 2 5 2 3 5" xfId="9832" xr:uid="{00000000-0005-0000-0000-000065260000}"/>
    <cellStyle name="Comma 2 3 2 5 2 4" xfId="9833" xr:uid="{00000000-0005-0000-0000-000066260000}"/>
    <cellStyle name="Comma 2 3 2 5 2 4 2" xfId="9834" xr:uid="{00000000-0005-0000-0000-000067260000}"/>
    <cellStyle name="Comma 2 3 2 5 2 4 3" xfId="9835" xr:uid="{00000000-0005-0000-0000-000068260000}"/>
    <cellStyle name="Comma 2 3 2 5 2 4 4" xfId="9836" xr:uid="{00000000-0005-0000-0000-000069260000}"/>
    <cellStyle name="Comma 2 3 2 5 2 5" xfId="9837" xr:uid="{00000000-0005-0000-0000-00006A260000}"/>
    <cellStyle name="Comma 2 3 2 5 2 5 2" xfId="9838" xr:uid="{00000000-0005-0000-0000-00006B260000}"/>
    <cellStyle name="Comma 2 3 2 5 2 6" xfId="9839" xr:uid="{00000000-0005-0000-0000-00006C260000}"/>
    <cellStyle name="Comma 2 3 2 5 2 7" xfId="9840" xr:uid="{00000000-0005-0000-0000-00006D260000}"/>
    <cellStyle name="Comma 2 3 2 5 2 8" xfId="9841" xr:uid="{00000000-0005-0000-0000-00006E260000}"/>
    <cellStyle name="Comma 2 3 2 5 2 9" xfId="9842" xr:uid="{00000000-0005-0000-0000-00006F260000}"/>
    <cellStyle name="Comma 2 3 2 5 3" xfId="9843" xr:uid="{00000000-0005-0000-0000-000070260000}"/>
    <cellStyle name="Comma 2 3 2 5 3 2" xfId="9844" xr:uid="{00000000-0005-0000-0000-000071260000}"/>
    <cellStyle name="Comma 2 3 2 5 3 2 2" xfId="9845" xr:uid="{00000000-0005-0000-0000-000072260000}"/>
    <cellStyle name="Comma 2 3 2 5 3 2 2 2" xfId="9846" xr:uid="{00000000-0005-0000-0000-000073260000}"/>
    <cellStyle name="Comma 2 3 2 5 3 2 2 3" xfId="9847" xr:uid="{00000000-0005-0000-0000-000074260000}"/>
    <cellStyle name="Comma 2 3 2 5 3 2 3" xfId="9848" xr:uid="{00000000-0005-0000-0000-000075260000}"/>
    <cellStyle name="Comma 2 3 2 5 3 2 4" xfId="9849" xr:uid="{00000000-0005-0000-0000-000076260000}"/>
    <cellStyle name="Comma 2 3 2 5 3 2 5" xfId="9850" xr:uid="{00000000-0005-0000-0000-000077260000}"/>
    <cellStyle name="Comma 2 3 2 5 3 2 6" xfId="9851" xr:uid="{00000000-0005-0000-0000-000078260000}"/>
    <cellStyle name="Comma 2 3 2 5 3 3" xfId="9852" xr:uid="{00000000-0005-0000-0000-000079260000}"/>
    <cellStyle name="Comma 2 3 2 5 3 3 2" xfId="9853" xr:uid="{00000000-0005-0000-0000-00007A260000}"/>
    <cellStyle name="Comma 2 3 2 5 3 3 2 2" xfId="9854" xr:uid="{00000000-0005-0000-0000-00007B260000}"/>
    <cellStyle name="Comma 2 3 2 5 3 3 3" xfId="9855" xr:uid="{00000000-0005-0000-0000-00007C260000}"/>
    <cellStyle name="Comma 2 3 2 5 3 3 4" xfId="9856" xr:uid="{00000000-0005-0000-0000-00007D260000}"/>
    <cellStyle name="Comma 2 3 2 5 3 3 5" xfId="9857" xr:uid="{00000000-0005-0000-0000-00007E260000}"/>
    <cellStyle name="Comma 2 3 2 5 3 4" xfId="9858" xr:uid="{00000000-0005-0000-0000-00007F260000}"/>
    <cellStyle name="Comma 2 3 2 5 3 4 2" xfId="9859" xr:uid="{00000000-0005-0000-0000-000080260000}"/>
    <cellStyle name="Comma 2 3 2 5 3 4 3" xfId="9860" xr:uid="{00000000-0005-0000-0000-000081260000}"/>
    <cellStyle name="Comma 2 3 2 5 3 4 4" xfId="9861" xr:uid="{00000000-0005-0000-0000-000082260000}"/>
    <cellStyle name="Comma 2 3 2 5 3 5" xfId="9862" xr:uid="{00000000-0005-0000-0000-000083260000}"/>
    <cellStyle name="Comma 2 3 2 5 3 5 2" xfId="9863" xr:uid="{00000000-0005-0000-0000-000084260000}"/>
    <cellStyle name="Comma 2 3 2 5 3 6" xfId="9864" xr:uid="{00000000-0005-0000-0000-000085260000}"/>
    <cellStyle name="Comma 2 3 2 5 3 7" xfId="9865" xr:uid="{00000000-0005-0000-0000-000086260000}"/>
    <cellStyle name="Comma 2 3 2 5 3 8" xfId="9866" xr:uid="{00000000-0005-0000-0000-000087260000}"/>
    <cellStyle name="Comma 2 3 2 5 3 9" xfId="9867" xr:uid="{00000000-0005-0000-0000-000088260000}"/>
    <cellStyle name="Comma 2 3 2 5 4" xfId="9868" xr:uid="{00000000-0005-0000-0000-000089260000}"/>
    <cellStyle name="Comma 2 3 2 5 4 2" xfId="9869" xr:uid="{00000000-0005-0000-0000-00008A260000}"/>
    <cellStyle name="Comma 2 3 2 5 4 2 2" xfId="9870" xr:uid="{00000000-0005-0000-0000-00008B260000}"/>
    <cellStyle name="Comma 2 3 2 5 4 2 3" xfId="9871" xr:uid="{00000000-0005-0000-0000-00008C260000}"/>
    <cellStyle name="Comma 2 3 2 5 4 3" xfId="9872" xr:uid="{00000000-0005-0000-0000-00008D260000}"/>
    <cellStyle name="Comma 2 3 2 5 4 4" xfId="9873" xr:uid="{00000000-0005-0000-0000-00008E260000}"/>
    <cellStyle name="Comma 2 3 2 5 4 5" xfId="9874" xr:uid="{00000000-0005-0000-0000-00008F260000}"/>
    <cellStyle name="Comma 2 3 2 5 4 6" xfId="9875" xr:uid="{00000000-0005-0000-0000-000090260000}"/>
    <cellStyle name="Comma 2 3 2 5 5" xfId="9876" xr:uid="{00000000-0005-0000-0000-000091260000}"/>
    <cellStyle name="Comma 2 3 2 5 5 2" xfId="9877" xr:uid="{00000000-0005-0000-0000-000092260000}"/>
    <cellStyle name="Comma 2 3 2 5 5 2 2" xfId="9878" xr:uid="{00000000-0005-0000-0000-000093260000}"/>
    <cellStyle name="Comma 2 3 2 5 5 3" xfId="9879" xr:uid="{00000000-0005-0000-0000-000094260000}"/>
    <cellStyle name="Comma 2 3 2 5 5 4" xfId="9880" xr:uid="{00000000-0005-0000-0000-000095260000}"/>
    <cellStyle name="Comma 2 3 2 5 5 5" xfId="9881" xr:uid="{00000000-0005-0000-0000-000096260000}"/>
    <cellStyle name="Comma 2 3 2 5 6" xfId="9882" xr:uid="{00000000-0005-0000-0000-000097260000}"/>
    <cellStyle name="Comma 2 3 2 5 6 2" xfId="9883" xr:uid="{00000000-0005-0000-0000-000098260000}"/>
    <cellStyle name="Comma 2 3 2 5 6 3" xfId="9884" xr:uid="{00000000-0005-0000-0000-000099260000}"/>
    <cellStyle name="Comma 2 3 2 5 6 4" xfId="9885" xr:uid="{00000000-0005-0000-0000-00009A260000}"/>
    <cellStyle name="Comma 2 3 2 5 7" xfId="9886" xr:uid="{00000000-0005-0000-0000-00009B260000}"/>
    <cellStyle name="Comma 2 3 2 5 7 2" xfId="9887" xr:uid="{00000000-0005-0000-0000-00009C260000}"/>
    <cellStyle name="Comma 2 3 2 5 8" xfId="9888" xr:uid="{00000000-0005-0000-0000-00009D260000}"/>
    <cellStyle name="Comma 2 3 2 5 9" xfId="9889" xr:uid="{00000000-0005-0000-0000-00009E260000}"/>
    <cellStyle name="Comma 2 3 2 6" xfId="9890" xr:uid="{00000000-0005-0000-0000-00009F260000}"/>
    <cellStyle name="Comma 2 3 2 6 10" xfId="9891" xr:uid="{00000000-0005-0000-0000-0000A0260000}"/>
    <cellStyle name="Comma 2 3 2 6 11" xfId="9892" xr:uid="{00000000-0005-0000-0000-0000A1260000}"/>
    <cellStyle name="Comma 2 3 2 6 2" xfId="9893" xr:uid="{00000000-0005-0000-0000-0000A2260000}"/>
    <cellStyle name="Comma 2 3 2 6 2 2" xfId="9894" xr:uid="{00000000-0005-0000-0000-0000A3260000}"/>
    <cellStyle name="Comma 2 3 2 6 2 2 2" xfId="9895" xr:uid="{00000000-0005-0000-0000-0000A4260000}"/>
    <cellStyle name="Comma 2 3 2 6 2 2 2 2" xfId="9896" xr:uid="{00000000-0005-0000-0000-0000A5260000}"/>
    <cellStyle name="Comma 2 3 2 6 2 2 2 3" xfId="9897" xr:uid="{00000000-0005-0000-0000-0000A6260000}"/>
    <cellStyle name="Comma 2 3 2 6 2 2 3" xfId="9898" xr:uid="{00000000-0005-0000-0000-0000A7260000}"/>
    <cellStyle name="Comma 2 3 2 6 2 2 4" xfId="9899" xr:uid="{00000000-0005-0000-0000-0000A8260000}"/>
    <cellStyle name="Comma 2 3 2 6 2 2 5" xfId="9900" xr:uid="{00000000-0005-0000-0000-0000A9260000}"/>
    <cellStyle name="Comma 2 3 2 6 2 2 6" xfId="9901" xr:uid="{00000000-0005-0000-0000-0000AA260000}"/>
    <cellStyle name="Comma 2 3 2 6 2 3" xfId="9902" xr:uid="{00000000-0005-0000-0000-0000AB260000}"/>
    <cellStyle name="Comma 2 3 2 6 2 3 2" xfId="9903" xr:uid="{00000000-0005-0000-0000-0000AC260000}"/>
    <cellStyle name="Comma 2 3 2 6 2 3 2 2" xfId="9904" xr:uid="{00000000-0005-0000-0000-0000AD260000}"/>
    <cellStyle name="Comma 2 3 2 6 2 3 3" xfId="9905" xr:uid="{00000000-0005-0000-0000-0000AE260000}"/>
    <cellStyle name="Comma 2 3 2 6 2 3 4" xfId="9906" xr:uid="{00000000-0005-0000-0000-0000AF260000}"/>
    <cellStyle name="Comma 2 3 2 6 2 3 5" xfId="9907" xr:uid="{00000000-0005-0000-0000-0000B0260000}"/>
    <cellStyle name="Comma 2 3 2 6 2 4" xfId="9908" xr:uid="{00000000-0005-0000-0000-0000B1260000}"/>
    <cellStyle name="Comma 2 3 2 6 2 4 2" xfId="9909" xr:uid="{00000000-0005-0000-0000-0000B2260000}"/>
    <cellStyle name="Comma 2 3 2 6 2 4 3" xfId="9910" xr:uid="{00000000-0005-0000-0000-0000B3260000}"/>
    <cellStyle name="Comma 2 3 2 6 2 4 4" xfId="9911" xr:uid="{00000000-0005-0000-0000-0000B4260000}"/>
    <cellStyle name="Comma 2 3 2 6 2 5" xfId="9912" xr:uid="{00000000-0005-0000-0000-0000B5260000}"/>
    <cellStyle name="Comma 2 3 2 6 2 5 2" xfId="9913" xr:uid="{00000000-0005-0000-0000-0000B6260000}"/>
    <cellStyle name="Comma 2 3 2 6 2 6" xfId="9914" xr:uid="{00000000-0005-0000-0000-0000B7260000}"/>
    <cellStyle name="Comma 2 3 2 6 2 7" xfId="9915" xr:uid="{00000000-0005-0000-0000-0000B8260000}"/>
    <cellStyle name="Comma 2 3 2 6 2 8" xfId="9916" xr:uid="{00000000-0005-0000-0000-0000B9260000}"/>
    <cellStyle name="Comma 2 3 2 6 2 9" xfId="9917" xr:uid="{00000000-0005-0000-0000-0000BA260000}"/>
    <cellStyle name="Comma 2 3 2 6 3" xfId="9918" xr:uid="{00000000-0005-0000-0000-0000BB260000}"/>
    <cellStyle name="Comma 2 3 2 6 3 2" xfId="9919" xr:uid="{00000000-0005-0000-0000-0000BC260000}"/>
    <cellStyle name="Comma 2 3 2 6 3 2 2" xfId="9920" xr:uid="{00000000-0005-0000-0000-0000BD260000}"/>
    <cellStyle name="Comma 2 3 2 6 3 2 2 2" xfId="9921" xr:uid="{00000000-0005-0000-0000-0000BE260000}"/>
    <cellStyle name="Comma 2 3 2 6 3 2 2 3" xfId="9922" xr:uid="{00000000-0005-0000-0000-0000BF260000}"/>
    <cellStyle name="Comma 2 3 2 6 3 2 3" xfId="9923" xr:uid="{00000000-0005-0000-0000-0000C0260000}"/>
    <cellStyle name="Comma 2 3 2 6 3 2 4" xfId="9924" xr:uid="{00000000-0005-0000-0000-0000C1260000}"/>
    <cellStyle name="Comma 2 3 2 6 3 2 5" xfId="9925" xr:uid="{00000000-0005-0000-0000-0000C2260000}"/>
    <cellStyle name="Comma 2 3 2 6 3 2 6" xfId="9926" xr:uid="{00000000-0005-0000-0000-0000C3260000}"/>
    <cellStyle name="Comma 2 3 2 6 3 3" xfId="9927" xr:uid="{00000000-0005-0000-0000-0000C4260000}"/>
    <cellStyle name="Comma 2 3 2 6 3 3 2" xfId="9928" xr:uid="{00000000-0005-0000-0000-0000C5260000}"/>
    <cellStyle name="Comma 2 3 2 6 3 3 2 2" xfId="9929" xr:uid="{00000000-0005-0000-0000-0000C6260000}"/>
    <cellStyle name="Comma 2 3 2 6 3 3 3" xfId="9930" xr:uid="{00000000-0005-0000-0000-0000C7260000}"/>
    <cellStyle name="Comma 2 3 2 6 3 3 4" xfId="9931" xr:uid="{00000000-0005-0000-0000-0000C8260000}"/>
    <cellStyle name="Comma 2 3 2 6 3 3 5" xfId="9932" xr:uid="{00000000-0005-0000-0000-0000C9260000}"/>
    <cellStyle name="Comma 2 3 2 6 3 4" xfId="9933" xr:uid="{00000000-0005-0000-0000-0000CA260000}"/>
    <cellStyle name="Comma 2 3 2 6 3 4 2" xfId="9934" xr:uid="{00000000-0005-0000-0000-0000CB260000}"/>
    <cellStyle name="Comma 2 3 2 6 3 4 3" xfId="9935" xr:uid="{00000000-0005-0000-0000-0000CC260000}"/>
    <cellStyle name="Comma 2 3 2 6 3 4 4" xfId="9936" xr:uid="{00000000-0005-0000-0000-0000CD260000}"/>
    <cellStyle name="Comma 2 3 2 6 3 5" xfId="9937" xr:uid="{00000000-0005-0000-0000-0000CE260000}"/>
    <cellStyle name="Comma 2 3 2 6 3 5 2" xfId="9938" xr:uid="{00000000-0005-0000-0000-0000CF260000}"/>
    <cellStyle name="Comma 2 3 2 6 3 6" xfId="9939" xr:uid="{00000000-0005-0000-0000-0000D0260000}"/>
    <cellStyle name="Comma 2 3 2 6 3 7" xfId="9940" xr:uid="{00000000-0005-0000-0000-0000D1260000}"/>
    <cellStyle name="Comma 2 3 2 6 3 8" xfId="9941" xr:uid="{00000000-0005-0000-0000-0000D2260000}"/>
    <cellStyle name="Comma 2 3 2 6 3 9" xfId="9942" xr:uid="{00000000-0005-0000-0000-0000D3260000}"/>
    <cellStyle name="Comma 2 3 2 6 4" xfId="9943" xr:uid="{00000000-0005-0000-0000-0000D4260000}"/>
    <cellStyle name="Comma 2 3 2 6 4 2" xfId="9944" xr:uid="{00000000-0005-0000-0000-0000D5260000}"/>
    <cellStyle name="Comma 2 3 2 6 4 2 2" xfId="9945" xr:uid="{00000000-0005-0000-0000-0000D6260000}"/>
    <cellStyle name="Comma 2 3 2 6 4 2 3" xfId="9946" xr:uid="{00000000-0005-0000-0000-0000D7260000}"/>
    <cellStyle name="Comma 2 3 2 6 4 3" xfId="9947" xr:uid="{00000000-0005-0000-0000-0000D8260000}"/>
    <cellStyle name="Comma 2 3 2 6 4 4" xfId="9948" xr:uid="{00000000-0005-0000-0000-0000D9260000}"/>
    <cellStyle name="Comma 2 3 2 6 4 5" xfId="9949" xr:uid="{00000000-0005-0000-0000-0000DA260000}"/>
    <cellStyle name="Comma 2 3 2 6 4 6" xfId="9950" xr:uid="{00000000-0005-0000-0000-0000DB260000}"/>
    <cellStyle name="Comma 2 3 2 6 5" xfId="9951" xr:uid="{00000000-0005-0000-0000-0000DC260000}"/>
    <cellStyle name="Comma 2 3 2 6 5 2" xfId="9952" xr:uid="{00000000-0005-0000-0000-0000DD260000}"/>
    <cellStyle name="Comma 2 3 2 6 5 2 2" xfId="9953" xr:uid="{00000000-0005-0000-0000-0000DE260000}"/>
    <cellStyle name="Comma 2 3 2 6 5 3" xfId="9954" xr:uid="{00000000-0005-0000-0000-0000DF260000}"/>
    <cellStyle name="Comma 2 3 2 6 5 4" xfId="9955" xr:uid="{00000000-0005-0000-0000-0000E0260000}"/>
    <cellStyle name="Comma 2 3 2 6 5 5" xfId="9956" xr:uid="{00000000-0005-0000-0000-0000E1260000}"/>
    <cellStyle name="Comma 2 3 2 6 6" xfId="9957" xr:uid="{00000000-0005-0000-0000-0000E2260000}"/>
    <cellStyle name="Comma 2 3 2 6 6 2" xfId="9958" xr:uid="{00000000-0005-0000-0000-0000E3260000}"/>
    <cellStyle name="Comma 2 3 2 6 6 3" xfId="9959" xr:uid="{00000000-0005-0000-0000-0000E4260000}"/>
    <cellStyle name="Comma 2 3 2 6 6 4" xfId="9960" xr:uid="{00000000-0005-0000-0000-0000E5260000}"/>
    <cellStyle name="Comma 2 3 2 6 7" xfId="9961" xr:uid="{00000000-0005-0000-0000-0000E6260000}"/>
    <cellStyle name="Comma 2 3 2 6 7 2" xfId="9962" xr:uid="{00000000-0005-0000-0000-0000E7260000}"/>
    <cellStyle name="Comma 2 3 2 6 8" xfId="9963" xr:uid="{00000000-0005-0000-0000-0000E8260000}"/>
    <cellStyle name="Comma 2 3 2 6 9" xfId="9964" xr:uid="{00000000-0005-0000-0000-0000E9260000}"/>
    <cellStyle name="Comma 2 3 2 7" xfId="9965" xr:uid="{00000000-0005-0000-0000-0000EA260000}"/>
    <cellStyle name="Comma 2 3 2 7 10" xfId="9966" xr:uid="{00000000-0005-0000-0000-0000EB260000}"/>
    <cellStyle name="Comma 2 3 2 7 11" xfId="9967" xr:uid="{00000000-0005-0000-0000-0000EC260000}"/>
    <cellStyle name="Comma 2 3 2 7 2" xfId="9968" xr:uid="{00000000-0005-0000-0000-0000ED260000}"/>
    <cellStyle name="Comma 2 3 2 7 2 2" xfId="9969" xr:uid="{00000000-0005-0000-0000-0000EE260000}"/>
    <cellStyle name="Comma 2 3 2 7 2 2 2" xfId="9970" xr:uid="{00000000-0005-0000-0000-0000EF260000}"/>
    <cellStyle name="Comma 2 3 2 7 2 2 2 2" xfId="9971" xr:uid="{00000000-0005-0000-0000-0000F0260000}"/>
    <cellStyle name="Comma 2 3 2 7 2 2 2 3" xfId="9972" xr:uid="{00000000-0005-0000-0000-0000F1260000}"/>
    <cellStyle name="Comma 2 3 2 7 2 2 3" xfId="9973" xr:uid="{00000000-0005-0000-0000-0000F2260000}"/>
    <cellStyle name="Comma 2 3 2 7 2 2 4" xfId="9974" xr:uid="{00000000-0005-0000-0000-0000F3260000}"/>
    <cellStyle name="Comma 2 3 2 7 2 2 5" xfId="9975" xr:uid="{00000000-0005-0000-0000-0000F4260000}"/>
    <cellStyle name="Comma 2 3 2 7 2 2 6" xfId="9976" xr:uid="{00000000-0005-0000-0000-0000F5260000}"/>
    <cellStyle name="Comma 2 3 2 7 2 3" xfId="9977" xr:uid="{00000000-0005-0000-0000-0000F6260000}"/>
    <cellStyle name="Comma 2 3 2 7 2 3 2" xfId="9978" xr:uid="{00000000-0005-0000-0000-0000F7260000}"/>
    <cellStyle name="Comma 2 3 2 7 2 3 2 2" xfId="9979" xr:uid="{00000000-0005-0000-0000-0000F8260000}"/>
    <cellStyle name="Comma 2 3 2 7 2 3 3" xfId="9980" xr:uid="{00000000-0005-0000-0000-0000F9260000}"/>
    <cellStyle name="Comma 2 3 2 7 2 3 4" xfId="9981" xr:uid="{00000000-0005-0000-0000-0000FA260000}"/>
    <cellStyle name="Comma 2 3 2 7 2 3 5" xfId="9982" xr:uid="{00000000-0005-0000-0000-0000FB260000}"/>
    <cellStyle name="Comma 2 3 2 7 2 4" xfId="9983" xr:uid="{00000000-0005-0000-0000-0000FC260000}"/>
    <cellStyle name="Comma 2 3 2 7 2 4 2" xfId="9984" xr:uid="{00000000-0005-0000-0000-0000FD260000}"/>
    <cellStyle name="Comma 2 3 2 7 2 4 3" xfId="9985" xr:uid="{00000000-0005-0000-0000-0000FE260000}"/>
    <cellStyle name="Comma 2 3 2 7 2 4 4" xfId="9986" xr:uid="{00000000-0005-0000-0000-0000FF260000}"/>
    <cellStyle name="Comma 2 3 2 7 2 5" xfId="9987" xr:uid="{00000000-0005-0000-0000-000000270000}"/>
    <cellStyle name="Comma 2 3 2 7 2 5 2" xfId="9988" xr:uid="{00000000-0005-0000-0000-000001270000}"/>
    <cellStyle name="Comma 2 3 2 7 2 6" xfId="9989" xr:uid="{00000000-0005-0000-0000-000002270000}"/>
    <cellStyle name="Comma 2 3 2 7 2 7" xfId="9990" xr:uid="{00000000-0005-0000-0000-000003270000}"/>
    <cellStyle name="Comma 2 3 2 7 2 8" xfId="9991" xr:uid="{00000000-0005-0000-0000-000004270000}"/>
    <cellStyle name="Comma 2 3 2 7 2 9" xfId="9992" xr:uid="{00000000-0005-0000-0000-000005270000}"/>
    <cellStyle name="Comma 2 3 2 7 3" xfId="9993" xr:uid="{00000000-0005-0000-0000-000006270000}"/>
    <cellStyle name="Comma 2 3 2 7 3 2" xfId="9994" xr:uid="{00000000-0005-0000-0000-000007270000}"/>
    <cellStyle name="Comma 2 3 2 7 3 2 2" xfId="9995" xr:uid="{00000000-0005-0000-0000-000008270000}"/>
    <cellStyle name="Comma 2 3 2 7 3 2 2 2" xfId="9996" xr:uid="{00000000-0005-0000-0000-000009270000}"/>
    <cellStyle name="Comma 2 3 2 7 3 2 2 3" xfId="9997" xr:uid="{00000000-0005-0000-0000-00000A270000}"/>
    <cellStyle name="Comma 2 3 2 7 3 2 3" xfId="9998" xr:uid="{00000000-0005-0000-0000-00000B270000}"/>
    <cellStyle name="Comma 2 3 2 7 3 2 4" xfId="9999" xr:uid="{00000000-0005-0000-0000-00000C270000}"/>
    <cellStyle name="Comma 2 3 2 7 3 2 5" xfId="10000" xr:uid="{00000000-0005-0000-0000-00000D270000}"/>
    <cellStyle name="Comma 2 3 2 7 3 2 6" xfId="10001" xr:uid="{00000000-0005-0000-0000-00000E270000}"/>
    <cellStyle name="Comma 2 3 2 7 3 3" xfId="10002" xr:uid="{00000000-0005-0000-0000-00000F270000}"/>
    <cellStyle name="Comma 2 3 2 7 3 3 2" xfId="10003" xr:uid="{00000000-0005-0000-0000-000010270000}"/>
    <cellStyle name="Comma 2 3 2 7 3 3 2 2" xfId="10004" xr:uid="{00000000-0005-0000-0000-000011270000}"/>
    <cellStyle name="Comma 2 3 2 7 3 3 3" xfId="10005" xr:uid="{00000000-0005-0000-0000-000012270000}"/>
    <cellStyle name="Comma 2 3 2 7 3 3 4" xfId="10006" xr:uid="{00000000-0005-0000-0000-000013270000}"/>
    <cellStyle name="Comma 2 3 2 7 3 3 5" xfId="10007" xr:uid="{00000000-0005-0000-0000-000014270000}"/>
    <cellStyle name="Comma 2 3 2 7 3 4" xfId="10008" xr:uid="{00000000-0005-0000-0000-000015270000}"/>
    <cellStyle name="Comma 2 3 2 7 3 4 2" xfId="10009" xr:uid="{00000000-0005-0000-0000-000016270000}"/>
    <cellStyle name="Comma 2 3 2 7 3 4 3" xfId="10010" xr:uid="{00000000-0005-0000-0000-000017270000}"/>
    <cellStyle name="Comma 2 3 2 7 3 4 4" xfId="10011" xr:uid="{00000000-0005-0000-0000-000018270000}"/>
    <cellStyle name="Comma 2 3 2 7 3 5" xfId="10012" xr:uid="{00000000-0005-0000-0000-000019270000}"/>
    <cellStyle name="Comma 2 3 2 7 3 5 2" xfId="10013" xr:uid="{00000000-0005-0000-0000-00001A270000}"/>
    <cellStyle name="Comma 2 3 2 7 3 6" xfId="10014" xr:uid="{00000000-0005-0000-0000-00001B270000}"/>
    <cellStyle name="Comma 2 3 2 7 3 7" xfId="10015" xr:uid="{00000000-0005-0000-0000-00001C270000}"/>
    <cellStyle name="Comma 2 3 2 7 3 8" xfId="10016" xr:uid="{00000000-0005-0000-0000-00001D270000}"/>
    <cellStyle name="Comma 2 3 2 7 3 9" xfId="10017" xr:uid="{00000000-0005-0000-0000-00001E270000}"/>
    <cellStyle name="Comma 2 3 2 7 4" xfId="10018" xr:uid="{00000000-0005-0000-0000-00001F270000}"/>
    <cellStyle name="Comma 2 3 2 7 4 2" xfId="10019" xr:uid="{00000000-0005-0000-0000-000020270000}"/>
    <cellStyle name="Comma 2 3 2 7 4 2 2" xfId="10020" xr:uid="{00000000-0005-0000-0000-000021270000}"/>
    <cellStyle name="Comma 2 3 2 7 4 2 3" xfId="10021" xr:uid="{00000000-0005-0000-0000-000022270000}"/>
    <cellStyle name="Comma 2 3 2 7 4 3" xfId="10022" xr:uid="{00000000-0005-0000-0000-000023270000}"/>
    <cellStyle name="Comma 2 3 2 7 4 4" xfId="10023" xr:uid="{00000000-0005-0000-0000-000024270000}"/>
    <cellStyle name="Comma 2 3 2 7 4 5" xfId="10024" xr:uid="{00000000-0005-0000-0000-000025270000}"/>
    <cellStyle name="Comma 2 3 2 7 4 6" xfId="10025" xr:uid="{00000000-0005-0000-0000-000026270000}"/>
    <cellStyle name="Comma 2 3 2 7 5" xfId="10026" xr:uid="{00000000-0005-0000-0000-000027270000}"/>
    <cellStyle name="Comma 2 3 2 7 5 2" xfId="10027" xr:uid="{00000000-0005-0000-0000-000028270000}"/>
    <cellStyle name="Comma 2 3 2 7 5 2 2" xfId="10028" xr:uid="{00000000-0005-0000-0000-000029270000}"/>
    <cellStyle name="Comma 2 3 2 7 5 3" xfId="10029" xr:uid="{00000000-0005-0000-0000-00002A270000}"/>
    <cellStyle name="Comma 2 3 2 7 5 4" xfId="10030" xr:uid="{00000000-0005-0000-0000-00002B270000}"/>
    <cellStyle name="Comma 2 3 2 7 5 5" xfId="10031" xr:uid="{00000000-0005-0000-0000-00002C270000}"/>
    <cellStyle name="Comma 2 3 2 7 6" xfId="10032" xr:uid="{00000000-0005-0000-0000-00002D270000}"/>
    <cellStyle name="Comma 2 3 2 7 6 2" xfId="10033" xr:uid="{00000000-0005-0000-0000-00002E270000}"/>
    <cellStyle name="Comma 2 3 2 7 6 3" xfId="10034" xr:uid="{00000000-0005-0000-0000-00002F270000}"/>
    <cellStyle name="Comma 2 3 2 7 6 4" xfId="10035" xr:uid="{00000000-0005-0000-0000-000030270000}"/>
    <cellStyle name="Comma 2 3 2 7 7" xfId="10036" xr:uid="{00000000-0005-0000-0000-000031270000}"/>
    <cellStyle name="Comma 2 3 2 7 7 2" xfId="10037" xr:uid="{00000000-0005-0000-0000-000032270000}"/>
    <cellStyle name="Comma 2 3 2 7 8" xfId="10038" xr:uid="{00000000-0005-0000-0000-000033270000}"/>
    <cellStyle name="Comma 2 3 2 7 9" xfId="10039" xr:uid="{00000000-0005-0000-0000-000034270000}"/>
    <cellStyle name="Comma 2 3 2 8" xfId="10040" xr:uid="{00000000-0005-0000-0000-000035270000}"/>
    <cellStyle name="Comma 2 3 2 8 10" xfId="10041" xr:uid="{00000000-0005-0000-0000-000036270000}"/>
    <cellStyle name="Comma 2 3 2 8 2" xfId="10042" xr:uid="{00000000-0005-0000-0000-000037270000}"/>
    <cellStyle name="Comma 2 3 2 8 2 2" xfId="10043" xr:uid="{00000000-0005-0000-0000-000038270000}"/>
    <cellStyle name="Comma 2 3 2 8 2 2 2" xfId="10044" xr:uid="{00000000-0005-0000-0000-000039270000}"/>
    <cellStyle name="Comma 2 3 2 8 2 2 3" xfId="10045" xr:uid="{00000000-0005-0000-0000-00003A270000}"/>
    <cellStyle name="Comma 2 3 2 8 2 3" xfId="10046" xr:uid="{00000000-0005-0000-0000-00003B270000}"/>
    <cellStyle name="Comma 2 3 2 8 2 4" xfId="10047" xr:uid="{00000000-0005-0000-0000-00003C270000}"/>
    <cellStyle name="Comma 2 3 2 8 2 5" xfId="10048" xr:uid="{00000000-0005-0000-0000-00003D270000}"/>
    <cellStyle name="Comma 2 3 2 8 2 6" xfId="10049" xr:uid="{00000000-0005-0000-0000-00003E270000}"/>
    <cellStyle name="Comma 2 3 2 8 3" xfId="10050" xr:uid="{00000000-0005-0000-0000-00003F270000}"/>
    <cellStyle name="Comma 2 3 2 8 3 2" xfId="10051" xr:uid="{00000000-0005-0000-0000-000040270000}"/>
    <cellStyle name="Comma 2 3 2 8 3 2 2" xfId="10052" xr:uid="{00000000-0005-0000-0000-000041270000}"/>
    <cellStyle name="Comma 2 3 2 8 3 2 3" xfId="10053" xr:uid="{00000000-0005-0000-0000-000042270000}"/>
    <cellStyle name="Comma 2 3 2 8 3 3" xfId="10054" xr:uid="{00000000-0005-0000-0000-000043270000}"/>
    <cellStyle name="Comma 2 3 2 8 3 4" xfId="10055" xr:uid="{00000000-0005-0000-0000-000044270000}"/>
    <cellStyle name="Comma 2 3 2 8 3 5" xfId="10056" xr:uid="{00000000-0005-0000-0000-000045270000}"/>
    <cellStyle name="Comma 2 3 2 8 3 6" xfId="10057" xr:uid="{00000000-0005-0000-0000-000046270000}"/>
    <cellStyle name="Comma 2 3 2 8 4" xfId="10058" xr:uid="{00000000-0005-0000-0000-000047270000}"/>
    <cellStyle name="Comma 2 3 2 8 4 2" xfId="10059" xr:uid="{00000000-0005-0000-0000-000048270000}"/>
    <cellStyle name="Comma 2 3 2 8 4 2 2" xfId="10060" xr:uid="{00000000-0005-0000-0000-000049270000}"/>
    <cellStyle name="Comma 2 3 2 8 4 3" xfId="10061" xr:uid="{00000000-0005-0000-0000-00004A270000}"/>
    <cellStyle name="Comma 2 3 2 8 4 4" xfId="10062" xr:uid="{00000000-0005-0000-0000-00004B270000}"/>
    <cellStyle name="Comma 2 3 2 8 4 5" xfId="10063" xr:uid="{00000000-0005-0000-0000-00004C270000}"/>
    <cellStyle name="Comma 2 3 2 8 5" xfId="10064" xr:uid="{00000000-0005-0000-0000-00004D270000}"/>
    <cellStyle name="Comma 2 3 2 8 5 2" xfId="10065" xr:uid="{00000000-0005-0000-0000-00004E270000}"/>
    <cellStyle name="Comma 2 3 2 8 5 3" xfId="10066" xr:uid="{00000000-0005-0000-0000-00004F270000}"/>
    <cellStyle name="Comma 2 3 2 8 5 4" xfId="10067" xr:uid="{00000000-0005-0000-0000-000050270000}"/>
    <cellStyle name="Comma 2 3 2 8 6" xfId="10068" xr:uid="{00000000-0005-0000-0000-000051270000}"/>
    <cellStyle name="Comma 2 3 2 8 6 2" xfId="10069" xr:uid="{00000000-0005-0000-0000-000052270000}"/>
    <cellStyle name="Comma 2 3 2 8 7" xfId="10070" xr:uid="{00000000-0005-0000-0000-000053270000}"/>
    <cellStyle name="Comma 2 3 2 8 8" xfId="10071" xr:uid="{00000000-0005-0000-0000-000054270000}"/>
    <cellStyle name="Comma 2 3 2 8 9" xfId="10072" xr:uid="{00000000-0005-0000-0000-000055270000}"/>
    <cellStyle name="Comma 2 3 2 9" xfId="10073" xr:uid="{00000000-0005-0000-0000-000056270000}"/>
    <cellStyle name="Comma 2 3 2 9 10" xfId="10074" xr:uid="{00000000-0005-0000-0000-000057270000}"/>
    <cellStyle name="Comma 2 3 2 9 2" xfId="10075" xr:uid="{00000000-0005-0000-0000-000058270000}"/>
    <cellStyle name="Comma 2 3 2 9 2 2" xfId="10076" xr:uid="{00000000-0005-0000-0000-000059270000}"/>
    <cellStyle name="Comma 2 3 2 9 2 2 2" xfId="10077" xr:uid="{00000000-0005-0000-0000-00005A270000}"/>
    <cellStyle name="Comma 2 3 2 9 2 2 3" xfId="10078" xr:uid="{00000000-0005-0000-0000-00005B270000}"/>
    <cellStyle name="Comma 2 3 2 9 2 3" xfId="10079" xr:uid="{00000000-0005-0000-0000-00005C270000}"/>
    <cellStyle name="Comma 2 3 2 9 2 4" xfId="10080" xr:uid="{00000000-0005-0000-0000-00005D270000}"/>
    <cellStyle name="Comma 2 3 2 9 2 5" xfId="10081" xr:uid="{00000000-0005-0000-0000-00005E270000}"/>
    <cellStyle name="Comma 2 3 2 9 2 6" xfId="10082" xr:uid="{00000000-0005-0000-0000-00005F270000}"/>
    <cellStyle name="Comma 2 3 2 9 3" xfId="10083" xr:uid="{00000000-0005-0000-0000-000060270000}"/>
    <cellStyle name="Comma 2 3 2 9 3 2" xfId="10084" xr:uid="{00000000-0005-0000-0000-000061270000}"/>
    <cellStyle name="Comma 2 3 2 9 3 2 2" xfId="10085" xr:uid="{00000000-0005-0000-0000-000062270000}"/>
    <cellStyle name="Comma 2 3 2 9 3 2 3" xfId="10086" xr:uid="{00000000-0005-0000-0000-000063270000}"/>
    <cellStyle name="Comma 2 3 2 9 3 3" xfId="10087" xr:uid="{00000000-0005-0000-0000-000064270000}"/>
    <cellStyle name="Comma 2 3 2 9 3 4" xfId="10088" xr:uid="{00000000-0005-0000-0000-000065270000}"/>
    <cellStyle name="Comma 2 3 2 9 3 5" xfId="10089" xr:uid="{00000000-0005-0000-0000-000066270000}"/>
    <cellStyle name="Comma 2 3 2 9 3 6" xfId="10090" xr:uid="{00000000-0005-0000-0000-000067270000}"/>
    <cellStyle name="Comma 2 3 2 9 4" xfId="10091" xr:uid="{00000000-0005-0000-0000-000068270000}"/>
    <cellStyle name="Comma 2 3 2 9 4 2" xfId="10092" xr:uid="{00000000-0005-0000-0000-000069270000}"/>
    <cellStyle name="Comma 2 3 2 9 4 2 2" xfId="10093" xr:uid="{00000000-0005-0000-0000-00006A270000}"/>
    <cellStyle name="Comma 2 3 2 9 4 3" xfId="10094" xr:uid="{00000000-0005-0000-0000-00006B270000}"/>
    <cellStyle name="Comma 2 3 2 9 4 4" xfId="10095" xr:uid="{00000000-0005-0000-0000-00006C270000}"/>
    <cellStyle name="Comma 2 3 2 9 4 5" xfId="10096" xr:uid="{00000000-0005-0000-0000-00006D270000}"/>
    <cellStyle name="Comma 2 3 2 9 5" xfId="10097" xr:uid="{00000000-0005-0000-0000-00006E270000}"/>
    <cellStyle name="Comma 2 3 2 9 5 2" xfId="10098" xr:uid="{00000000-0005-0000-0000-00006F270000}"/>
    <cellStyle name="Comma 2 3 2 9 5 3" xfId="10099" xr:uid="{00000000-0005-0000-0000-000070270000}"/>
    <cellStyle name="Comma 2 3 2 9 5 4" xfId="10100" xr:uid="{00000000-0005-0000-0000-000071270000}"/>
    <cellStyle name="Comma 2 3 2 9 6" xfId="10101" xr:uid="{00000000-0005-0000-0000-000072270000}"/>
    <cellStyle name="Comma 2 3 2 9 6 2" xfId="10102" xr:uid="{00000000-0005-0000-0000-000073270000}"/>
    <cellStyle name="Comma 2 3 2 9 7" xfId="10103" xr:uid="{00000000-0005-0000-0000-000074270000}"/>
    <cellStyle name="Comma 2 3 2 9 8" xfId="10104" xr:uid="{00000000-0005-0000-0000-000075270000}"/>
    <cellStyle name="Comma 2 3 2 9 9" xfId="10105" xr:uid="{00000000-0005-0000-0000-000076270000}"/>
    <cellStyle name="Comma 2 3 20" xfId="10106" xr:uid="{00000000-0005-0000-0000-000077270000}"/>
    <cellStyle name="Comma 2 3 20 10" xfId="10107" xr:uid="{00000000-0005-0000-0000-000078270000}"/>
    <cellStyle name="Comma 2 3 20 2" xfId="10108" xr:uid="{00000000-0005-0000-0000-000079270000}"/>
    <cellStyle name="Comma 2 3 20 2 2" xfId="10109" xr:uid="{00000000-0005-0000-0000-00007A270000}"/>
    <cellStyle name="Comma 2 3 20 2 2 2" xfId="10110" xr:uid="{00000000-0005-0000-0000-00007B270000}"/>
    <cellStyle name="Comma 2 3 20 2 2 3" xfId="10111" xr:uid="{00000000-0005-0000-0000-00007C270000}"/>
    <cellStyle name="Comma 2 3 20 2 3" xfId="10112" xr:uid="{00000000-0005-0000-0000-00007D270000}"/>
    <cellStyle name="Comma 2 3 20 2 4" xfId="10113" xr:uid="{00000000-0005-0000-0000-00007E270000}"/>
    <cellStyle name="Comma 2 3 20 2 5" xfId="10114" xr:uid="{00000000-0005-0000-0000-00007F270000}"/>
    <cellStyle name="Comma 2 3 20 2 6" xfId="10115" xr:uid="{00000000-0005-0000-0000-000080270000}"/>
    <cellStyle name="Comma 2 3 20 3" xfId="10116" xr:uid="{00000000-0005-0000-0000-000081270000}"/>
    <cellStyle name="Comma 2 3 20 3 2" xfId="10117" xr:uid="{00000000-0005-0000-0000-000082270000}"/>
    <cellStyle name="Comma 2 3 20 3 2 2" xfId="10118" xr:uid="{00000000-0005-0000-0000-000083270000}"/>
    <cellStyle name="Comma 2 3 20 3 2 3" xfId="10119" xr:uid="{00000000-0005-0000-0000-000084270000}"/>
    <cellStyle name="Comma 2 3 20 3 3" xfId="10120" xr:uid="{00000000-0005-0000-0000-000085270000}"/>
    <cellStyle name="Comma 2 3 20 3 4" xfId="10121" xr:uid="{00000000-0005-0000-0000-000086270000}"/>
    <cellStyle name="Comma 2 3 20 3 5" xfId="10122" xr:uid="{00000000-0005-0000-0000-000087270000}"/>
    <cellStyle name="Comma 2 3 20 3 6" xfId="10123" xr:uid="{00000000-0005-0000-0000-000088270000}"/>
    <cellStyle name="Comma 2 3 20 4" xfId="10124" xr:uid="{00000000-0005-0000-0000-000089270000}"/>
    <cellStyle name="Comma 2 3 20 4 2" xfId="10125" xr:uid="{00000000-0005-0000-0000-00008A270000}"/>
    <cellStyle name="Comma 2 3 20 4 2 2" xfId="10126" xr:uid="{00000000-0005-0000-0000-00008B270000}"/>
    <cellStyle name="Comma 2 3 20 4 3" xfId="10127" xr:uid="{00000000-0005-0000-0000-00008C270000}"/>
    <cellStyle name="Comma 2 3 20 4 4" xfId="10128" xr:uid="{00000000-0005-0000-0000-00008D270000}"/>
    <cellStyle name="Comma 2 3 20 4 5" xfId="10129" xr:uid="{00000000-0005-0000-0000-00008E270000}"/>
    <cellStyle name="Comma 2 3 20 5" xfId="10130" xr:uid="{00000000-0005-0000-0000-00008F270000}"/>
    <cellStyle name="Comma 2 3 20 5 2" xfId="10131" xr:uid="{00000000-0005-0000-0000-000090270000}"/>
    <cellStyle name="Comma 2 3 20 5 3" xfId="10132" xr:uid="{00000000-0005-0000-0000-000091270000}"/>
    <cellStyle name="Comma 2 3 20 5 4" xfId="10133" xr:uid="{00000000-0005-0000-0000-000092270000}"/>
    <cellStyle name="Comma 2 3 20 6" xfId="10134" xr:uid="{00000000-0005-0000-0000-000093270000}"/>
    <cellStyle name="Comma 2 3 20 6 2" xfId="10135" xr:uid="{00000000-0005-0000-0000-000094270000}"/>
    <cellStyle name="Comma 2 3 20 7" xfId="10136" xr:uid="{00000000-0005-0000-0000-000095270000}"/>
    <cellStyle name="Comma 2 3 20 8" xfId="10137" xr:uid="{00000000-0005-0000-0000-000096270000}"/>
    <cellStyle name="Comma 2 3 20 9" xfId="10138" xr:uid="{00000000-0005-0000-0000-000097270000}"/>
    <cellStyle name="Comma 2 3 21" xfId="10139" xr:uid="{00000000-0005-0000-0000-000098270000}"/>
    <cellStyle name="Comma 2 3 21 10" xfId="10140" xr:uid="{00000000-0005-0000-0000-000099270000}"/>
    <cellStyle name="Comma 2 3 21 2" xfId="10141" xr:uid="{00000000-0005-0000-0000-00009A270000}"/>
    <cellStyle name="Comma 2 3 21 2 2" xfId="10142" xr:uid="{00000000-0005-0000-0000-00009B270000}"/>
    <cellStyle name="Comma 2 3 21 2 2 2" xfId="10143" xr:uid="{00000000-0005-0000-0000-00009C270000}"/>
    <cellStyle name="Comma 2 3 21 2 2 3" xfId="10144" xr:uid="{00000000-0005-0000-0000-00009D270000}"/>
    <cellStyle name="Comma 2 3 21 2 3" xfId="10145" xr:uid="{00000000-0005-0000-0000-00009E270000}"/>
    <cellStyle name="Comma 2 3 21 2 4" xfId="10146" xr:uid="{00000000-0005-0000-0000-00009F270000}"/>
    <cellStyle name="Comma 2 3 21 2 5" xfId="10147" xr:uid="{00000000-0005-0000-0000-0000A0270000}"/>
    <cellStyle name="Comma 2 3 21 2 6" xfId="10148" xr:uid="{00000000-0005-0000-0000-0000A1270000}"/>
    <cellStyle name="Comma 2 3 21 3" xfId="10149" xr:uid="{00000000-0005-0000-0000-0000A2270000}"/>
    <cellStyle name="Comma 2 3 21 3 2" xfId="10150" xr:uid="{00000000-0005-0000-0000-0000A3270000}"/>
    <cellStyle name="Comma 2 3 21 3 2 2" xfId="10151" xr:uid="{00000000-0005-0000-0000-0000A4270000}"/>
    <cellStyle name="Comma 2 3 21 3 2 3" xfId="10152" xr:uid="{00000000-0005-0000-0000-0000A5270000}"/>
    <cellStyle name="Comma 2 3 21 3 3" xfId="10153" xr:uid="{00000000-0005-0000-0000-0000A6270000}"/>
    <cellStyle name="Comma 2 3 21 3 4" xfId="10154" xr:uid="{00000000-0005-0000-0000-0000A7270000}"/>
    <cellStyle name="Comma 2 3 21 3 5" xfId="10155" xr:uid="{00000000-0005-0000-0000-0000A8270000}"/>
    <cellStyle name="Comma 2 3 21 3 6" xfId="10156" xr:uid="{00000000-0005-0000-0000-0000A9270000}"/>
    <cellStyle name="Comma 2 3 21 4" xfId="10157" xr:uid="{00000000-0005-0000-0000-0000AA270000}"/>
    <cellStyle name="Comma 2 3 21 4 2" xfId="10158" xr:uid="{00000000-0005-0000-0000-0000AB270000}"/>
    <cellStyle name="Comma 2 3 21 4 2 2" xfId="10159" xr:uid="{00000000-0005-0000-0000-0000AC270000}"/>
    <cellStyle name="Comma 2 3 21 4 3" xfId="10160" xr:uid="{00000000-0005-0000-0000-0000AD270000}"/>
    <cellStyle name="Comma 2 3 21 4 4" xfId="10161" xr:uid="{00000000-0005-0000-0000-0000AE270000}"/>
    <cellStyle name="Comma 2 3 21 4 5" xfId="10162" xr:uid="{00000000-0005-0000-0000-0000AF270000}"/>
    <cellStyle name="Comma 2 3 21 5" xfId="10163" xr:uid="{00000000-0005-0000-0000-0000B0270000}"/>
    <cellStyle name="Comma 2 3 21 5 2" xfId="10164" xr:uid="{00000000-0005-0000-0000-0000B1270000}"/>
    <cellStyle name="Comma 2 3 21 5 3" xfId="10165" xr:uid="{00000000-0005-0000-0000-0000B2270000}"/>
    <cellStyle name="Comma 2 3 21 5 4" xfId="10166" xr:uid="{00000000-0005-0000-0000-0000B3270000}"/>
    <cellStyle name="Comma 2 3 21 6" xfId="10167" xr:uid="{00000000-0005-0000-0000-0000B4270000}"/>
    <cellStyle name="Comma 2 3 21 6 2" xfId="10168" xr:uid="{00000000-0005-0000-0000-0000B5270000}"/>
    <cellStyle name="Comma 2 3 21 7" xfId="10169" xr:uid="{00000000-0005-0000-0000-0000B6270000}"/>
    <cellStyle name="Comma 2 3 21 8" xfId="10170" xr:uid="{00000000-0005-0000-0000-0000B7270000}"/>
    <cellStyle name="Comma 2 3 21 9" xfId="10171" xr:uid="{00000000-0005-0000-0000-0000B8270000}"/>
    <cellStyle name="Comma 2 3 22" xfId="10172" xr:uid="{00000000-0005-0000-0000-0000B9270000}"/>
    <cellStyle name="Comma 2 3 22 10" xfId="10173" xr:uid="{00000000-0005-0000-0000-0000BA270000}"/>
    <cellStyle name="Comma 2 3 22 2" xfId="10174" xr:uid="{00000000-0005-0000-0000-0000BB270000}"/>
    <cellStyle name="Comma 2 3 22 2 2" xfId="10175" xr:uid="{00000000-0005-0000-0000-0000BC270000}"/>
    <cellStyle name="Comma 2 3 22 2 2 2" xfId="10176" xr:uid="{00000000-0005-0000-0000-0000BD270000}"/>
    <cellStyle name="Comma 2 3 22 2 2 3" xfId="10177" xr:uid="{00000000-0005-0000-0000-0000BE270000}"/>
    <cellStyle name="Comma 2 3 22 2 3" xfId="10178" xr:uid="{00000000-0005-0000-0000-0000BF270000}"/>
    <cellStyle name="Comma 2 3 22 2 4" xfId="10179" xr:uid="{00000000-0005-0000-0000-0000C0270000}"/>
    <cellStyle name="Comma 2 3 22 2 5" xfId="10180" xr:uid="{00000000-0005-0000-0000-0000C1270000}"/>
    <cellStyle name="Comma 2 3 22 2 6" xfId="10181" xr:uid="{00000000-0005-0000-0000-0000C2270000}"/>
    <cellStyle name="Comma 2 3 22 3" xfId="10182" xr:uid="{00000000-0005-0000-0000-0000C3270000}"/>
    <cellStyle name="Comma 2 3 22 3 2" xfId="10183" xr:uid="{00000000-0005-0000-0000-0000C4270000}"/>
    <cellStyle name="Comma 2 3 22 3 2 2" xfId="10184" xr:uid="{00000000-0005-0000-0000-0000C5270000}"/>
    <cellStyle name="Comma 2 3 22 3 2 3" xfId="10185" xr:uid="{00000000-0005-0000-0000-0000C6270000}"/>
    <cellStyle name="Comma 2 3 22 3 3" xfId="10186" xr:uid="{00000000-0005-0000-0000-0000C7270000}"/>
    <cellStyle name="Comma 2 3 22 3 4" xfId="10187" xr:uid="{00000000-0005-0000-0000-0000C8270000}"/>
    <cellStyle name="Comma 2 3 22 3 5" xfId="10188" xr:uid="{00000000-0005-0000-0000-0000C9270000}"/>
    <cellStyle name="Comma 2 3 22 3 6" xfId="10189" xr:uid="{00000000-0005-0000-0000-0000CA270000}"/>
    <cellStyle name="Comma 2 3 22 4" xfId="10190" xr:uid="{00000000-0005-0000-0000-0000CB270000}"/>
    <cellStyle name="Comma 2 3 22 4 2" xfId="10191" xr:uid="{00000000-0005-0000-0000-0000CC270000}"/>
    <cellStyle name="Comma 2 3 22 4 2 2" xfId="10192" xr:uid="{00000000-0005-0000-0000-0000CD270000}"/>
    <cellStyle name="Comma 2 3 22 4 3" xfId="10193" xr:uid="{00000000-0005-0000-0000-0000CE270000}"/>
    <cellStyle name="Comma 2 3 22 4 4" xfId="10194" xr:uid="{00000000-0005-0000-0000-0000CF270000}"/>
    <cellStyle name="Comma 2 3 22 4 5" xfId="10195" xr:uid="{00000000-0005-0000-0000-0000D0270000}"/>
    <cellStyle name="Comma 2 3 22 5" xfId="10196" xr:uid="{00000000-0005-0000-0000-0000D1270000}"/>
    <cellStyle name="Comma 2 3 22 5 2" xfId="10197" xr:uid="{00000000-0005-0000-0000-0000D2270000}"/>
    <cellStyle name="Comma 2 3 22 5 3" xfId="10198" xr:uid="{00000000-0005-0000-0000-0000D3270000}"/>
    <cellStyle name="Comma 2 3 22 5 4" xfId="10199" xr:uid="{00000000-0005-0000-0000-0000D4270000}"/>
    <cellStyle name="Comma 2 3 22 6" xfId="10200" xr:uid="{00000000-0005-0000-0000-0000D5270000}"/>
    <cellStyle name="Comma 2 3 22 6 2" xfId="10201" xr:uid="{00000000-0005-0000-0000-0000D6270000}"/>
    <cellStyle name="Comma 2 3 22 7" xfId="10202" xr:uid="{00000000-0005-0000-0000-0000D7270000}"/>
    <cellStyle name="Comma 2 3 22 8" xfId="10203" xr:uid="{00000000-0005-0000-0000-0000D8270000}"/>
    <cellStyle name="Comma 2 3 22 9" xfId="10204" xr:uid="{00000000-0005-0000-0000-0000D9270000}"/>
    <cellStyle name="Comma 2 3 23" xfId="10205" xr:uid="{00000000-0005-0000-0000-0000DA270000}"/>
    <cellStyle name="Comma 2 3 23 10" xfId="10206" xr:uid="{00000000-0005-0000-0000-0000DB270000}"/>
    <cellStyle name="Comma 2 3 23 2" xfId="10207" xr:uid="{00000000-0005-0000-0000-0000DC270000}"/>
    <cellStyle name="Comma 2 3 23 2 2" xfId="10208" xr:uid="{00000000-0005-0000-0000-0000DD270000}"/>
    <cellStyle name="Comma 2 3 23 2 2 2" xfId="10209" xr:uid="{00000000-0005-0000-0000-0000DE270000}"/>
    <cellStyle name="Comma 2 3 23 2 2 3" xfId="10210" xr:uid="{00000000-0005-0000-0000-0000DF270000}"/>
    <cellStyle name="Comma 2 3 23 2 3" xfId="10211" xr:uid="{00000000-0005-0000-0000-0000E0270000}"/>
    <cellStyle name="Comma 2 3 23 2 4" xfId="10212" xr:uid="{00000000-0005-0000-0000-0000E1270000}"/>
    <cellStyle name="Comma 2 3 23 2 5" xfId="10213" xr:uid="{00000000-0005-0000-0000-0000E2270000}"/>
    <cellStyle name="Comma 2 3 23 2 6" xfId="10214" xr:uid="{00000000-0005-0000-0000-0000E3270000}"/>
    <cellStyle name="Comma 2 3 23 3" xfId="10215" xr:uid="{00000000-0005-0000-0000-0000E4270000}"/>
    <cellStyle name="Comma 2 3 23 3 2" xfId="10216" xr:uid="{00000000-0005-0000-0000-0000E5270000}"/>
    <cellStyle name="Comma 2 3 23 3 2 2" xfId="10217" xr:uid="{00000000-0005-0000-0000-0000E6270000}"/>
    <cellStyle name="Comma 2 3 23 3 2 3" xfId="10218" xr:uid="{00000000-0005-0000-0000-0000E7270000}"/>
    <cellStyle name="Comma 2 3 23 3 3" xfId="10219" xr:uid="{00000000-0005-0000-0000-0000E8270000}"/>
    <cellStyle name="Comma 2 3 23 3 4" xfId="10220" xr:uid="{00000000-0005-0000-0000-0000E9270000}"/>
    <cellStyle name="Comma 2 3 23 3 5" xfId="10221" xr:uid="{00000000-0005-0000-0000-0000EA270000}"/>
    <cellStyle name="Comma 2 3 23 3 6" xfId="10222" xr:uid="{00000000-0005-0000-0000-0000EB270000}"/>
    <cellStyle name="Comma 2 3 23 4" xfId="10223" xr:uid="{00000000-0005-0000-0000-0000EC270000}"/>
    <cellStyle name="Comma 2 3 23 4 2" xfId="10224" xr:uid="{00000000-0005-0000-0000-0000ED270000}"/>
    <cellStyle name="Comma 2 3 23 4 2 2" xfId="10225" xr:uid="{00000000-0005-0000-0000-0000EE270000}"/>
    <cellStyle name="Comma 2 3 23 4 3" xfId="10226" xr:uid="{00000000-0005-0000-0000-0000EF270000}"/>
    <cellStyle name="Comma 2 3 23 4 4" xfId="10227" xr:uid="{00000000-0005-0000-0000-0000F0270000}"/>
    <cellStyle name="Comma 2 3 23 4 5" xfId="10228" xr:uid="{00000000-0005-0000-0000-0000F1270000}"/>
    <cellStyle name="Comma 2 3 23 5" xfId="10229" xr:uid="{00000000-0005-0000-0000-0000F2270000}"/>
    <cellStyle name="Comma 2 3 23 5 2" xfId="10230" xr:uid="{00000000-0005-0000-0000-0000F3270000}"/>
    <cellStyle name="Comma 2 3 23 5 3" xfId="10231" xr:uid="{00000000-0005-0000-0000-0000F4270000}"/>
    <cellStyle name="Comma 2 3 23 5 4" xfId="10232" xr:uid="{00000000-0005-0000-0000-0000F5270000}"/>
    <cellStyle name="Comma 2 3 23 6" xfId="10233" xr:uid="{00000000-0005-0000-0000-0000F6270000}"/>
    <cellStyle name="Comma 2 3 23 6 2" xfId="10234" xr:uid="{00000000-0005-0000-0000-0000F7270000}"/>
    <cellStyle name="Comma 2 3 23 7" xfId="10235" xr:uid="{00000000-0005-0000-0000-0000F8270000}"/>
    <cellStyle name="Comma 2 3 23 8" xfId="10236" xr:uid="{00000000-0005-0000-0000-0000F9270000}"/>
    <cellStyle name="Comma 2 3 23 9" xfId="10237" xr:uid="{00000000-0005-0000-0000-0000FA270000}"/>
    <cellStyle name="Comma 2 3 24" xfId="10238" xr:uid="{00000000-0005-0000-0000-0000FB270000}"/>
    <cellStyle name="Comma 2 3 24 10" xfId="10239" xr:uid="{00000000-0005-0000-0000-0000FC270000}"/>
    <cellStyle name="Comma 2 3 24 2" xfId="10240" xr:uid="{00000000-0005-0000-0000-0000FD270000}"/>
    <cellStyle name="Comma 2 3 24 2 2" xfId="10241" xr:uid="{00000000-0005-0000-0000-0000FE270000}"/>
    <cellStyle name="Comma 2 3 24 2 2 2" xfId="10242" xr:uid="{00000000-0005-0000-0000-0000FF270000}"/>
    <cellStyle name="Comma 2 3 24 2 2 3" xfId="10243" xr:uid="{00000000-0005-0000-0000-000000280000}"/>
    <cellStyle name="Comma 2 3 24 2 3" xfId="10244" xr:uid="{00000000-0005-0000-0000-000001280000}"/>
    <cellStyle name="Comma 2 3 24 2 4" xfId="10245" xr:uid="{00000000-0005-0000-0000-000002280000}"/>
    <cellStyle name="Comma 2 3 24 2 5" xfId="10246" xr:uid="{00000000-0005-0000-0000-000003280000}"/>
    <cellStyle name="Comma 2 3 24 2 6" xfId="10247" xr:uid="{00000000-0005-0000-0000-000004280000}"/>
    <cellStyle name="Comma 2 3 24 3" xfId="10248" xr:uid="{00000000-0005-0000-0000-000005280000}"/>
    <cellStyle name="Comma 2 3 24 3 2" xfId="10249" xr:uid="{00000000-0005-0000-0000-000006280000}"/>
    <cellStyle name="Comma 2 3 24 3 2 2" xfId="10250" xr:uid="{00000000-0005-0000-0000-000007280000}"/>
    <cellStyle name="Comma 2 3 24 3 2 3" xfId="10251" xr:uid="{00000000-0005-0000-0000-000008280000}"/>
    <cellStyle name="Comma 2 3 24 3 3" xfId="10252" xr:uid="{00000000-0005-0000-0000-000009280000}"/>
    <cellStyle name="Comma 2 3 24 3 4" xfId="10253" xr:uid="{00000000-0005-0000-0000-00000A280000}"/>
    <cellStyle name="Comma 2 3 24 3 5" xfId="10254" xr:uid="{00000000-0005-0000-0000-00000B280000}"/>
    <cellStyle name="Comma 2 3 24 3 6" xfId="10255" xr:uid="{00000000-0005-0000-0000-00000C280000}"/>
    <cellStyle name="Comma 2 3 24 4" xfId="10256" xr:uid="{00000000-0005-0000-0000-00000D280000}"/>
    <cellStyle name="Comma 2 3 24 4 2" xfId="10257" xr:uid="{00000000-0005-0000-0000-00000E280000}"/>
    <cellStyle name="Comma 2 3 24 4 2 2" xfId="10258" xr:uid="{00000000-0005-0000-0000-00000F280000}"/>
    <cellStyle name="Comma 2 3 24 4 3" xfId="10259" xr:uid="{00000000-0005-0000-0000-000010280000}"/>
    <cellStyle name="Comma 2 3 24 4 4" xfId="10260" xr:uid="{00000000-0005-0000-0000-000011280000}"/>
    <cellStyle name="Comma 2 3 24 4 5" xfId="10261" xr:uid="{00000000-0005-0000-0000-000012280000}"/>
    <cellStyle name="Comma 2 3 24 5" xfId="10262" xr:uid="{00000000-0005-0000-0000-000013280000}"/>
    <cellStyle name="Comma 2 3 24 5 2" xfId="10263" xr:uid="{00000000-0005-0000-0000-000014280000}"/>
    <cellStyle name="Comma 2 3 24 5 3" xfId="10264" xr:uid="{00000000-0005-0000-0000-000015280000}"/>
    <cellStyle name="Comma 2 3 24 5 4" xfId="10265" xr:uid="{00000000-0005-0000-0000-000016280000}"/>
    <cellStyle name="Comma 2 3 24 6" xfId="10266" xr:uid="{00000000-0005-0000-0000-000017280000}"/>
    <cellStyle name="Comma 2 3 24 6 2" xfId="10267" xr:uid="{00000000-0005-0000-0000-000018280000}"/>
    <cellStyle name="Comma 2 3 24 7" xfId="10268" xr:uid="{00000000-0005-0000-0000-000019280000}"/>
    <cellStyle name="Comma 2 3 24 8" xfId="10269" xr:uid="{00000000-0005-0000-0000-00001A280000}"/>
    <cellStyle name="Comma 2 3 24 9" xfId="10270" xr:uid="{00000000-0005-0000-0000-00001B280000}"/>
    <cellStyle name="Comma 2 3 25" xfId="10271" xr:uid="{00000000-0005-0000-0000-00001C280000}"/>
    <cellStyle name="Comma 2 3 25 10" xfId="10272" xr:uid="{00000000-0005-0000-0000-00001D280000}"/>
    <cellStyle name="Comma 2 3 25 2" xfId="10273" xr:uid="{00000000-0005-0000-0000-00001E280000}"/>
    <cellStyle name="Comma 2 3 25 2 2" xfId="10274" xr:uid="{00000000-0005-0000-0000-00001F280000}"/>
    <cellStyle name="Comma 2 3 25 2 2 2" xfId="10275" xr:uid="{00000000-0005-0000-0000-000020280000}"/>
    <cellStyle name="Comma 2 3 25 2 2 3" xfId="10276" xr:uid="{00000000-0005-0000-0000-000021280000}"/>
    <cellStyle name="Comma 2 3 25 2 3" xfId="10277" xr:uid="{00000000-0005-0000-0000-000022280000}"/>
    <cellStyle name="Comma 2 3 25 2 4" xfId="10278" xr:uid="{00000000-0005-0000-0000-000023280000}"/>
    <cellStyle name="Comma 2 3 25 2 5" xfId="10279" xr:uid="{00000000-0005-0000-0000-000024280000}"/>
    <cellStyle name="Comma 2 3 25 2 6" xfId="10280" xr:uid="{00000000-0005-0000-0000-000025280000}"/>
    <cellStyle name="Comma 2 3 25 3" xfId="10281" xr:uid="{00000000-0005-0000-0000-000026280000}"/>
    <cellStyle name="Comma 2 3 25 3 2" xfId="10282" xr:uid="{00000000-0005-0000-0000-000027280000}"/>
    <cellStyle name="Comma 2 3 25 3 2 2" xfId="10283" xr:uid="{00000000-0005-0000-0000-000028280000}"/>
    <cellStyle name="Comma 2 3 25 3 2 3" xfId="10284" xr:uid="{00000000-0005-0000-0000-000029280000}"/>
    <cellStyle name="Comma 2 3 25 3 3" xfId="10285" xr:uid="{00000000-0005-0000-0000-00002A280000}"/>
    <cellStyle name="Comma 2 3 25 3 4" xfId="10286" xr:uid="{00000000-0005-0000-0000-00002B280000}"/>
    <cellStyle name="Comma 2 3 25 3 5" xfId="10287" xr:uid="{00000000-0005-0000-0000-00002C280000}"/>
    <cellStyle name="Comma 2 3 25 3 6" xfId="10288" xr:uid="{00000000-0005-0000-0000-00002D280000}"/>
    <cellStyle name="Comma 2 3 25 4" xfId="10289" xr:uid="{00000000-0005-0000-0000-00002E280000}"/>
    <cellStyle name="Comma 2 3 25 4 2" xfId="10290" xr:uid="{00000000-0005-0000-0000-00002F280000}"/>
    <cellStyle name="Comma 2 3 25 4 2 2" xfId="10291" xr:uid="{00000000-0005-0000-0000-000030280000}"/>
    <cellStyle name="Comma 2 3 25 4 3" xfId="10292" xr:uid="{00000000-0005-0000-0000-000031280000}"/>
    <cellStyle name="Comma 2 3 25 4 4" xfId="10293" xr:uid="{00000000-0005-0000-0000-000032280000}"/>
    <cellStyle name="Comma 2 3 25 4 5" xfId="10294" xr:uid="{00000000-0005-0000-0000-000033280000}"/>
    <cellStyle name="Comma 2 3 25 5" xfId="10295" xr:uid="{00000000-0005-0000-0000-000034280000}"/>
    <cellStyle name="Comma 2 3 25 5 2" xfId="10296" xr:uid="{00000000-0005-0000-0000-000035280000}"/>
    <cellStyle name="Comma 2 3 25 5 3" xfId="10297" xr:uid="{00000000-0005-0000-0000-000036280000}"/>
    <cellStyle name="Comma 2 3 25 5 4" xfId="10298" xr:uid="{00000000-0005-0000-0000-000037280000}"/>
    <cellStyle name="Comma 2 3 25 6" xfId="10299" xr:uid="{00000000-0005-0000-0000-000038280000}"/>
    <cellStyle name="Comma 2 3 25 6 2" xfId="10300" xr:uid="{00000000-0005-0000-0000-000039280000}"/>
    <cellStyle name="Comma 2 3 25 7" xfId="10301" xr:uid="{00000000-0005-0000-0000-00003A280000}"/>
    <cellStyle name="Comma 2 3 25 8" xfId="10302" xr:uid="{00000000-0005-0000-0000-00003B280000}"/>
    <cellStyle name="Comma 2 3 25 9" xfId="10303" xr:uid="{00000000-0005-0000-0000-00003C280000}"/>
    <cellStyle name="Comma 2 3 26" xfId="10304" xr:uid="{00000000-0005-0000-0000-00003D280000}"/>
    <cellStyle name="Comma 2 3 26 10" xfId="10305" xr:uid="{00000000-0005-0000-0000-00003E280000}"/>
    <cellStyle name="Comma 2 3 26 2" xfId="10306" xr:uid="{00000000-0005-0000-0000-00003F280000}"/>
    <cellStyle name="Comma 2 3 26 2 2" xfId="10307" xr:uid="{00000000-0005-0000-0000-000040280000}"/>
    <cellStyle name="Comma 2 3 26 2 2 2" xfId="10308" xr:uid="{00000000-0005-0000-0000-000041280000}"/>
    <cellStyle name="Comma 2 3 26 2 2 3" xfId="10309" xr:uid="{00000000-0005-0000-0000-000042280000}"/>
    <cellStyle name="Comma 2 3 26 2 3" xfId="10310" xr:uid="{00000000-0005-0000-0000-000043280000}"/>
    <cellStyle name="Comma 2 3 26 2 4" xfId="10311" xr:uid="{00000000-0005-0000-0000-000044280000}"/>
    <cellStyle name="Comma 2 3 26 2 5" xfId="10312" xr:uid="{00000000-0005-0000-0000-000045280000}"/>
    <cellStyle name="Comma 2 3 26 2 6" xfId="10313" xr:uid="{00000000-0005-0000-0000-000046280000}"/>
    <cellStyle name="Comma 2 3 26 3" xfId="10314" xr:uid="{00000000-0005-0000-0000-000047280000}"/>
    <cellStyle name="Comma 2 3 26 3 2" xfId="10315" xr:uid="{00000000-0005-0000-0000-000048280000}"/>
    <cellStyle name="Comma 2 3 26 3 2 2" xfId="10316" xr:uid="{00000000-0005-0000-0000-000049280000}"/>
    <cellStyle name="Comma 2 3 26 3 2 3" xfId="10317" xr:uid="{00000000-0005-0000-0000-00004A280000}"/>
    <cellStyle name="Comma 2 3 26 3 3" xfId="10318" xr:uid="{00000000-0005-0000-0000-00004B280000}"/>
    <cellStyle name="Comma 2 3 26 3 4" xfId="10319" xr:uid="{00000000-0005-0000-0000-00004C280000}"/>
    <cellStyle name="Comma 2 3 26 3 5" xfId="10320" xr:uid="{00000000-0005-0000-0000-00004D280000}"/>
    <cellStyle name="Comma 2 3 26 3 6" xfId="10321" xr:uid="{00000000-0005-0000-0000-00004E280000}"/>
    <cellStyle name="Comma 2 3 26 4" xfId="10322" xr:uid="{00000000-0005-0000-0000-00004F280000}"/>
    <cellStyle name="Comma 2 3 26 4 2" xfId="10323" xr:uid="{00000000-0005-0000-0000-000050280000}"/>
    <cellStyle name="Comma 2 3 26 4 2 2" xfId="10324" xr:uid="{00000000-0005-0000-0000-000051280000}"/>
    <cellStyle name="Comma 2 3 26 4 3" xfId="10325" xr:uid="{00000000-0005-0000-0000-000052280000}"/>
    <cellStyle name="Comma 2 3 26 4 4" xfId="10326" xr:uid="{00000000-0005-0000-0000-000053280000}"/>
    <cellStyle name="Comma 2 3 26 4 5" xfId="10327" xr:uid="{00000000-0005-0000-0000-000054280000}"/>
    <cellStyle name="Comma 2 3 26 5" xfId="10328" xr:uid="{00000000-0005-0000-0000-000055280000}"/>
    <cellStyle name="Comma 2 3 26 5 2" xfId="10329" xr:uid="{00000000-0005-0000-0000-000056280000}"/>
    <cellStyle name="Comma 2 3 26 5 3" xfId="10330" xr:uid="{00000000-0005-0000-0000-000057280000}"/>
    <cellStyle name="Comma 2 3 26 5 4" xfId="10331" xr:uid="{00000000-0005-0000-0000-000058280000}"/>
    <cellStyle name="Comma 2 3 26 6" xfId="10332" xr:uid="{00000000-0005-0000-0000-000059280000}"/>
    <cellStyle name="Comma 2 3 26 6 2" xfId="10333" xr:uid="{00000000-0005-0000-0000-00005A280000}"/>
    <cellStyle name="Comma 2 3 26 7" xfId="10334" xr:uid="{00000000-0005-0000-0000-00005B280000}"/>
    <cellStyle name="Comma 2 3 26 8" xfId="10335" xr:uid="{00000000-0005-0000-0000-00005C280000}"/>
    <cellStyle name="Comma 2 3 26 9" xfId="10336" xr:uid="{00000000-0005-0000-0000-00005D280000}"/>
    <cellStyle name="Comma 2 3 27" xfId="10337" xr:uid="{00000000-0005-0000-0000-00005E280000}"/>
    <cellStyle name="Comma 2 3 27 10" xfId="10338" xr:uid="{00000000-0005-0000-0000-00005F280000}"/>
    <cellStyle name="Comma 2 3 27 2" xfId="10339" xr:uid="{00000000-0005-0000-0000-000060280000}"/>
    <cellStyle name="Comma 2 3 27 2 2" xfId="10340" xr:uid="{00000000-0005-0000-0000-000061280000}"/>
    <cellStyle name="Comma 2 3 27 2 2 2" xfId="10341" xr:uid="{00000000-0005-0000-0000-000062280000}"/>
    <cellStyle name="Comma 2 3 27 2 2 3" xfId="10342" xr:uid="{00000000-0005-0000-0000-000063280000}"/>
    <cellStyle name="Comma 2 3 27 2 3" xfId="10343" xr:uid="{00000000-0005-0000-0000-000064280000}"/>
    <cellStyle name="Comma 2 3 27 2 4" xfId="10344" xr:uid="{00000000-0005-0000-0000-000065280000}"/>
    <cellStyle name="Comma 2 3 27 2 5" xfId="10345" xr:uid="{00000000-0005-0000-0000-000066280000}"/>
    <cellStyle name="Comma 2 3 27 2 6" xfId="10346" xr:uid="{00000000-0005-0000-0000-000067280000}"/>
    <cellStyle name="Comma 2 3 27 3" xfId="10347" xr:uid="{00000000-0005-0000-0000-000068280000}"/>
    <cellStyle name="Comma 2 3 27 3 2" xfId="10348" xr:uid="{00000000-0005-0000-0000-000069280000}"/>
    <cellStyle name="Comma 2 3 27 3 2 2" xfId="10349" xr:uid="{00000000-0005-0000-0000-00006A280000}"/>
    <cellStyle name="Comma 2 3 27 3 2 3" xfId="10350" xr:uid="{00000000-0005-0000-0000-00006B280000}"/>
    <cellStyle name="Comma 2 3 27 3 3" xfId="10351" xr:uid="{00000000-0005-0000-0000-00006C280000}"/>
    <cellStyle name="Comma 2 3 27 3 4" xfId="10352" xr:uid="{00000000-0005-0000-0000-00006D280000}"/>
    <cellStyle name="Comma 2 3 27 3 5" xfId="10353" xr:uid="{00000000-0005-0000-0000-00006E280000}"/>
    <cellStyle name="Comma 2 3 27 3 6" xfId="10354" xr:uid="{00000000-0005-0000-0000-00006F280000}"/>
    <cellStyle name="Comma 2 3 27 4" xfId="10355" xr:uid="{00000000-0005-0000-0000-000070280000}"/>
    <cellStyle name="Comma 2 3 27 4 2" xfId="10356" xr:uid="{00000000-0005-0000-0000-000071280000}"/>
    <cellStyle name="Comma 2 3 27 4 2 2" xfId="10357" xr:uid="{00000000-0005-0000-0000-000072280000}"/>
    <cellStyle name="Comma 2 3 27 4 3" xfId="10358" xr:uid="{00000000-0005-0000-0000-000073280000}"/>
    <cellStyle name="Comma 2 3 27 4 4" xfId="10359" xr:uid="{00000000-0005-0000-0000-000074280000}"/>
    <cellStyle name="Comma 2 3 27 4 5" xfId="10360" xr:uid="{00000000-0005-0000-0000-000075280000}"/>
    <cellStyle name="Comma 2 3 27 5" xfId="10361" xr:uid="{00000000-0005-0000-0000-000076280000}"/>
    <cellStyle name="Comma 2 3 27 5 2" xfId="10362" xr:uid="{00000000-0005-0000-0000-000077280000}"/>
    <cellStyle name="Comma 2 3 27 5 3" xfId="10363" xr:uid="{00000000-0005-0000-0000-000078280000}"/>
    <cellStyle name="Comma 2 3 27 5 4" xfId="10364" xr:uid="{00000000-0005-0000-0000-000079280000}"/>
    <cellStyle name="Comma 2 3 27 6" xfId="10365" xr:uid="{00000000-0005-0000-0000-00007A280000}"/>
    <cellStyle name="Comma 2 3 27 6 2" xfId="10366" xr:uid="{00000000-0005-0000-0000-00007B280000}"/>
    <cellStyle name="Comma 2 3 27 7" xfId="10367" xr:uid="{00000000-0005-0000-0000-00007C280000}"/>
    <cellStyle name="Comma 2 3 27 8" xfId="10368" xr:uid="{00000000-0005-0000-0000-00007D280000}"/>
    <cellStyle name="Comma 2 3 27 9" xfId="10369" xr:uid="{00000000-0005-0000-0000-00007E280000}"/>
    <cellStyle name="Comma 2 3 28" xfId="10370" xr:uid="{00000000-0005-0000-0000-00007F280000}"/>
    <cellStyle name="Comma 2 3 28 10" xfId="10371" xr:uid="{00000000-0005-0000-0000-000080280000}"/>
    <cellStyle name="Comma 2 3 28 2" xfId="10372" xr:uid="{00000000-0005-0000-0000-000081280000}"/>
    <cellStyle name="Comma 2 3 28 2 2" xfId="10373" xr:uid="{00000000-0005-0000-0000-000082280000}"/>
    <cellStyle name="Comma 2 3 28 2 2 2" xfId="10374" xr:uid="{00000000-0005-0000-0000-000083280000}"/>
    <cellStyle name="Comma 2 3 28 2 2 3" xfId="10375" xr:uid="{00000000-0005-0000-0000-000084280000}"/>
    <cellStyle name="Comma 2 3 28 2 3" xfId="10376" xr:uid="{00000000-0005-0000-0000-000085280000}"/>
    <cellStyle name="Comma 2 3 28 2 4" xfId="10377" xr:uid="{00000000-0005-0000-0000-000086280000}"/>
    <cellStyle name="Comma 2 3 28 2 5" xfId="10378" xr:uid="{00000000-0005-0000-0000-000087280000}"/>
    <cellStyle name="Comma 2 3 28 2 6" xfId="10379" xr:uid="{00000000-0005-0000-0000-000088280000}"/>
    <cellStyle name="Comma 2 3 28 3" xfId="10380" xr:uid="{00000000-0005-0000-0000-000089280000}"/>
    <cellStyle name="Comma 2 3 28 3 2" xfId="10381" xr:uid="{00000000-0005-0000-0000-00008A280000}"/>
    <cellStyle name="Comma 2 3 28 3 2 2" xfId="10382" xr:uid="{00000000-0005-0000-0000-00008B280000}"/>
    <cellStyle name="Comma 2 3 28 3 2 3" xfId="10383" xr:uid="{00000000-0005-0000-0000-00008C280000}"/>
    <cellStyle name="Comma 2 3 28 3 3" xfId="10384" xr:uid="{00000000-0005-0000-0000-00008D280000}"/>
    <cellStyle name="Comma 2 3 28 3 4" xfId="10385" xr:uid="{00000000-0005-0000-0000-00008E280000}"/>
    <cellStyle name="Comma 2 3 28 3 5" xfId="10386" xr:uid="{00000000-0005-0000-0000-00008F280000}"/>
    <cellStyle name="Comma 2 3 28 3 6" xfId="10387" xr:uid="{00000000-0005-0000-0000-000090280000}"/>
    <cellStyle name="Comma 2 3 28 4" xfId="10388" xr:uid="{00000000-0005-0000-0000-000091280000}"/>
    <cellStyle name="Comma 2 3 28 4 2" xfId="10389" xr:uid="{00000000-0005-0000-0000-000092280000}"/>
    <cellStyle name="Comma 2 3 28 4 2 2" xfId="10390" xr:uid="{00000000-0005-0000-0000-000093280000}"/>
    <cellStyle name="Comma 2 3 28 4 3" xfId="10391" xr:uid="{00000000-0005-0000-0000-000094280000}"/>
    <cellStyle name="Comma 2 3 28 4 4" xfId="10392" xr:uid="{00000000-0005-0000-0000-000095280000}"/>
    <cellStyle name="Comma 2 3 28 4 5" xfId="10393" xr:uid="{00000000-0005-0000-0000-000096280000}"/>
    <cellStyle name="Comma 2 3 28 5" xfId="10394" xr:uid="{00000000-0005-0000-0000-000097280000}"/>
    <cellStyle name="Comma 2 3 28 5 2" xfId="10395" xr:uid="{00000000-0005-0000-0000-000098280000}"/>
    <cellStyle name="Comma 2 3 28 5 3" xfId="10396" xr:uid="{00000000-0005-0000-0000-000099280000}"/>
    <cellStyle name="Comma 2 3 28 5 4" xfId="10397" xr:uid="{00000000-0005-0000-0000-00009A280000}"/>
    <cellStyle name="Comma 2 3 28 6" xfId="10398" xr:uid="{00000000-0005-0000-0000-00009B280000}"/>
    <cellStyle name="Comma 2 3 28 6 2" xfId="10399" xr:uid="{00000000-0005-0000-0000-00009C280000}"/>
    <cellStyle name="Comma 2 3 28 7" xfId="10400" xr:uid="{00000000-0005-0000-0000-00009D280000}"/>
    <cellStyle name="Comma 2 3 28 8" xfId="10401" xr:uid="{00000000-0005-0000-0000-00009E280000}"/>
    <cellStyle name="Comma 2 3 28 9" xfId="10402" xr:uid="{00000000-0005-0000-0000-00009F280000}"/>
    <cellStyle name="Comma 2 3 29" xfId="10403" xr:uid="{00000000-0005-0000-0000-0000A0280000}"/>
    <cellStyle name="Comma 2 3 29 2" xfId="10404" xr:uid="{00000000-0005-0000-0000-0000A1280000}"/>
    <cellStyle name="Comma 2 3 29 2 2" xfId="10405" xr:uid="{00000000-0005-0000-0000-0000A2280000}"/>
    <cellStyle name="Comma 2 3 29 2 2 2" xfId="10406" xr:uid="{00000000-0005-0000-0000-0000A3280000}"/>
    <cellStyle name="Comma 2 3 29 2 2 3" xfId="10407" xr:uid="{00000000-0005-0000-0000-0000A4280000}"/>
    <cellStyle name="Comma 2 3 29 2 3" xfId="10408" xr:uid="{00000000-0005-0000-0000-0000A5280000}"/>
    <cellStyle name="Comma 2 3 29 2 4" xfId="10409" xr:uid="{00000000-0005-0000-0000-0000A6280000}"/>
    <cellStyle name="Comma 2 3 29 2 5" xfId="10410" xr:uid="{00000000-0005-0000-0000-0000A7280000}"/>
    <cellStyle name="Comma 2 3 29 2 6" xfId="10411" xr:uid="{00000000-0005-0000-0000-0000A8280000}"/>
    <cellStyle name="Comma 2 3 29 3" xfId="10412" xr:uid="{00000000-0005-0000-0000-0000A9280000}"/>
    <cellStyle name="Comma 2 3 29 3 2" xfId="10413" xr:uid="{00000000-0005-0000-0000-0000AA280000}"/>
    <cellStyle name="Comma 2 3 29 3 2 2" xfId="10414" xr:uid="{00000000-0005-0000-0000-0000AB280000}"/>
    <cellStyle name="Comma 2 3 29 3 3" xfId="10415" xr:uid="{00000000-0005-0000-0000-0000AC280000}"/>
    <cellStyle name="Comma 2 3 29 3 4" xfId="10416" xr:uid="{00000000-0005-0000-0000-0000AD280000}"/>
    <cellStyle name="Comma 2 3 29 3 5" xfId="10417" xr:uid="{00000000-0005-0000-0000-0000AE280000}"/>
    <cellStyle name="Comma 2 3 29 4" xfId="10418" xr:uid="{00000000-0005-0000-0000-0000AF280000}"/>
    <cellStyle name="Comma 2 3 29 4 2" xfId="10419" xr:uid="{00000000-0005-0000-0000-0000B0280000}"/>
    <cellStyle name="Comma 2 3 29 4 3" xfId="10420" xr:uid="{00000000-0005-0000-0000-0000B1280000}"/>
    <cellStyle name="Comma 2 3 29 4 4" xfId="10421" xr:uid="{00000000-0005-0000-0000-0000B2280000}"/>
    <cellStyle name="Comma 2 3 29 5" xfId="10422" xr:uid="{00000000-0005-0000-0000-0000B3280000}"/>
    <cellStyle name="Comma 2 3 29 5 2" xfId="10423" xr:uid="{00000000-0005-0000-0000-0000B4280000}"/>
    <cellStyle name="Comma 2 3 29 6" xfId="10424" xr:uid="{00000000-0005-0000-0000-0000B5280000}"/>
    <cellStyle name="Comma 2 3 29 7" xfId="10425" xr:uid="{00000000-0005-0000-0000-0000B6280000}"/>
    <cellStyle name="Comma 2 3 29 8" xfId="10426" xr:uid="{00000000-0005-0000-0000-0000B7280000}"/>
    <cellStyle name="Comma 2 3 29 9" xfId="10427" xr:uid="{00000000-0005-0000-0000-0000B8280000}"/>
    <cellStyle name="Comma 2 3 3" xfId="10428" xr:uid="{00000000-0005-0000-0000-0000B9280000}"/>
    <cellStyle name="Comma 2 3 3 10" xfId="10429" xr:uid="{00000000-0005-0000-0000-0000BA280000}"/>
    <cellStyle name="Comma 2 3 3 10 10" xfId="10430" xr:uid="{00000000-0005-0000-0000-0000BB280000}"/>
    <cellStyle name="Comma 2 3 3 10 2" xfId="10431" xr:uid="{00000000-0005-0000-0000-0000BC280000}"/>
    <cellStyle name="Comma 2 3 3 10 2 2" xfId="10432" xr:uid="{00000000-0005-0000-0000-0000BD280000}"/>
    <cellStyle name="Comma 2 3 3 10 2 2 2" xfId="10433" xr:uid="{00000000-0005-0000-0000-0000BE280000}"/>
    <cellStyle name="Comma 2 3 3 10 2 2 3" xfId="10434" xr:uid="{00000000-0005-0000-0000-0000BF280000}"/>
    <cellStyle name="Comma 2 3 3 10 2 3" xfId="10435" xr:uid="{00000000-0005-0000-0000-0000C0280000}"/>
    <cellStyle name="Comma 2 3 3 10 2 4" xfId="10436" xr:uid="{00000000-0005-0000-0000-0000C1280000}"/>
    <cellStyle name="Comma 2 3 3 10 2 5" xfId="10437" xr:uid="{00000000-0005-0000-0000-0000C2280000}"/>
    <cellStyle name="Comma 2 3 3 10 2 6" xfId="10438" xr:uid="{00000000-0005-0000-0000-0000C3280000}"/>
    <cellStyle name="Comma 2 3 3 10 3" xfId="10439" xr:uid="{00000000-0005-0000-0000-0000C4280000}"/>
    <cellStyle name="Comma 2 3 3 10 3 2" xfId="10440" xr:uid="{00000000-0005-0000-0000-0000C5280000}"/>
    <cellStyle name="Comma 2 3 3 10 3 2 2" xfId="10441" xr:uid="{00000000-0005-0000-0000-0000C6280000}"/>
    <cellStyle name="Comma 2 3 3 10 3 2 3" xfId="10442" xr:uid="{00000000-0005-0000-0000-0000C7280000}"/>
    <cellStyle name="Comma 2 3 3 10 3 3" xfId="10443" xr:uid="{00000000-0005-0000-0000-0000C8280000}"/>
    <cellStyle name="Comma 2 3 3 10 3 4" xfId="10444" xr:uid="{00000000-0005-0000-0000-0000C9280000}"/>
    <cellStyle name="Comma 2 3 3 10 3 5" xfId="10445" xr:uid="{00000000-0005-0000-0000-0000CA280000}"/>
    <cellStyle name="Comma 2 3 3 10 3 6" xfId="10446" xr:uid="{00000000-0005-0000-0000-0000CB280000}"/>
    <cellStyle name="Comma 2 3 3 10 4" xfId="10447" xr:uid="{00000000-0005-0000-0000-0000CC280000}"/>
    <cellStyle name="Comma 2 3 3 10 4 2" xfId="10448" xr:uid="{00000000-0005-0000-0000-0000CD280000}"/>
    <cellStyle name="Comma 2 3 3 10 4 2 2" xfId="10449" xr:uid="{00000000-0005-0000-0000-0000CE280000}"/>
    <cellStyle name="Comma 2 3 3 10 4 3" xfId="10450" xr:uid="{00000000-0005-0000-0000-0000CF280000}"/>
    <cellStyle name="Comma 2 3 3 10 4 4" xfId="10451" xr:uid="{00000000-0005-0000-0000-0000D0280000}"/>
    <cellStyle name="Comma 2 3 3 10 4 5" xfId="10452" xr:uid="{00000000-0005-0000-0000-0000D1280000}"/>
    <cellStyle name="Comma 2 3 3 10 5" xfId="10453" xr:uid="{00000000-0005-0000-0000-0000D2280000}"/>
    <cellStyle name="Comma 2 3 3 10 5 2" xfId="10454" xr:uid="{00000000-0005-0000-0000-0000D3280000}"/>
    <cellStyle name="Comma 2 3 3 10 5 3" xfId="10455" xr:uid="{00000000-0005-0000-0000-0000D4280000}"/>
    <cellStyle name="Comma 2 3 3 10 5 4" xfId="10456" xr:uid="{00000000-0005-0000-0000-0000D5280000}"/>
    <cellStyle name="Comma 2 3 3 10 6" xfId="10457" xr:uid="{00000000-0005-0000-0000-0000D6280000}"/>
    <cellStyle name="Comma 2 3 3 10 6 2" xfId="10458" xr:uid="{00000000-0005-0000-0000-0000D7280000}"/>
    <cellStyle name="Comma 2 3 3 10 7" xfId="10459" xr:uid="{00000000-0005-0000-0000-0000D8280000}"/>
    <cellStyle name="Comma 2 3 3 10 8" xfId="10460" xr:uid="{00000000-0005-0000-0000-0000D9280000}"/>
    <cellStyle name="Comma 2 3 3 10 9" xfId="10461" xr:uid="{00000000-0005-0000-0000-0000DA280000}"/>
    <cellStyle name="Comma 2 3 3 11" xfId="10462" xr:uid="{00000000-0005-0000-0000-0000DB280000}"/>
    <cellStyle name="Comma 2 3 3 11 10" xfId="10463" xr:uid="{00000000-0005-0000-0000-0000DC280000}"/>
    <cellStyle name="Comma 2 3 3 11 2" xfId="10464" xr:uid="{00000000-0005-0000-0000-0000DD280000}"/>
    <cellStyle name="Comma 2 3 3 11 2 2" xfId="10465" xr:uid="{00000000-0005-0000-0000-0000DE280000}"/>
    <cellStyle name="Comma 2 3 3 11 2 2 2" xfId="10466" xr:uid="{00000000-0005-0000-0000-0000DF280000}"/>
    <cellStyle name="Comma 2 3 3 11 2 2 3" xfId="10467" xr:uid="{00000000-0005-0000-0000-0000E0280000}"/>
    <cellStyle name="Comma 2 3 3 11 2 3" xfId="10468" xr:uid="{00000000-0005-0000-0000-0000E1280000}"/>
    <cellStyle name="Comma 2 3 3 11 2 4" xfId="10469" xr:uid="{00000000-0005-0000-0000-0000E2280000}"/>
    <cellStyle name="Comma 2 3 3 11 2 5" xfId="10470" xr:uid="{00000000-0005-0000-0000-0000E3280000}"/>
    <cellStyle name="Comma 2 3 3 11 2 6" xfId="10471" xr:uid="{00000000-0005-0000-0000-0000E4280000}"/>
    <cellStyle name="Comma 2 3 3 11 3" xfId="10472" xr:uid="{00000000-0005-0000-0000-0000E5280000}"/>
    <cellStyle name="Comma 2 3 3 11 3 2" xfId="10473" xr:uid="{00000000-0005-0000-0000-0000E6280000}"/>
    <cellStyle name="Comma 2 3 3 11 3 2 2" xfId="10474" xr:uid="{00000000-0005-0000-0000-0000E7280000}"/>
    <cellStyle name="Comma 2 3 3 11 3 2 3" xfId="10475" xr:uid="{00000000-0005-0000-0000-0000E8280000}"/>
    <cellStyle name="Comma 2 3 3 11 3 3" xfId="10476" xr:uid="{00000000-0005-0000-0000-0000E9280000}"/>
    <cellStyle name="Comma 2 3 3 11 3 4" xfId="10477" xr:uid="{00000000-0005-0000-0000-0000EA280000}"/>
    <cellStyle name="Comma 2 3 3 11 3 5" xfId="10478" xr:uid="{00000000-0005-0000-0000-0000EB280000}"/>
    <cellStyle name="Comma 2 3 3 11 3 6" xfId="10479" xr:uid="{00000000-0005-0000-0000-0000EC280000}"/>
    <cellStyle name="Comma 2 3 3 11 4" xfId="10480" xr:uid="{00000000-0005-0000-0000-0000ED280000}"/>
    <cellStyle name="Comma 2 3 3 11 4 2" xfId="10481" xr:uid="{00000000-0005-0000-0000-0000EE280000}"/>
    <cellStyle name="Comma 2 3 3 11 4 2 2" xfId="10482" xr:uid="{00000000-0005-0000-0000-0000EF280000}"/>
    <cellStyle name="Comma 2 3 3 11 4 3" xfId="10483" xr:uid="{00000000-0005-0000-0000-0000F0280000}"/>
    <cellStyle name="Comma 2 3 3 11 4 4" xfId="10484" xr:uid="{00000000-0005-0000-0000-0000F1280000}"/>
    <cellStyle name="Comma 2 3 3 11 4 5" xfId="10485" xr:uid="{00000000-0005-0000-0000-0000F2280000}"/>
    <cellStyle name="Comma 2 3 3 11 5" xfId="10486" xr:uid="{00000000-0005-0000-0000-0000F3280000}"/>
    <cellStyle name="Comma 2 3 3 11 5 2" xfId="10487" xr:uid="{00000000-0005-0000-0000-0000F4280000}"/>
    <cellStyle name="Comma 2 3 3 11 5 3" xfId="10488" xr:uid="{00000000-0005-0000-0000-0000F5280000}"/>
    <cellStyle name="Comma 2 3 3 11 5 4" xfId="10489" xr:uid="{00000000-0005-0000-0000-0000F6280000}"/>
    <cellStyle name="Comma 2 3 3 11 6" xfId="10490" xr:uid="{00000000-0005-0000-0000-0000F7280000}"/>
    <cellStyle name="Comma 2 3 3 11 6 2" xfId="10491" xr:uid="{00000000-0005-0000-0000-0000F8280000}"/>
    <cellStyle name="Comma 2 3 3 11 7" xfId="10492" xr:uid="{00000000-0005-0000-0000-0000F9280000}"/>
    <cellStyle name="Comma 2 3 3 11 8" xfId="10493" xr:uid="{00000000-0005-0000-0000-0000FA280000}"/>
    <cellStyle name="Comma 2 3 3 11 9" xfId="10494" xr:uid="{00000000-0005-0000-0000-0000FB280000}"/>
    <cellStyle name="Comma 2 3 3 12" xfId="10495" xr:uid="{00000000-0005-0000-0000-0000FC280000}"/>
    <cellStyle name="Comma 2 3 3 12 10" xfId="10496" xr:uid="{00000000-0005-0000-0000-0000FD280000}"/>
    <cellStyle name="Comma 2 3 3 12 2" xfId="10497" xr:uid="{00000000-0005-0000-0000-0000FE280000}"/>
    <cellStyle name="Comma 2 3 3 12 2 2" xfId="10498" xr:uid="{00000000-0005-0000-0000-0000FF280000}"/>
    <cellStyle name="Comma 2 3 3 12 2 2 2" xfId="10499" xr:uid="{00000000-0005-0000-0000-000000290000}"/>
    <cellStyle name="Comma 2 3 3 12 2 2 3" xfId="10500" xr:uid="{00000000-0005-0000-0000-000001290000}"/>
    <cellStyle name="Comma 2 3 3 12 2 3" xfId="10501" xr:uid="{00000000-0005-0000-0000-000002290000}"/>
    <cellStyle name="Comma 2 3 3 12 2 4" xfId="10502" xr:uid="{00000000-0005-0000-0000-000003290000}"/>
    <cellStyle name="Comma 2 3 3 12 2 5" xfId="10503" xr:uid="{00000000-0005-0000-0000-000004290000}"/>
    <cellStyle name="Comma 2 3 3 12 2 6" xfId="10504" xr:uid="{00000000-0005-0000-0000-000005290000}"/>
    <cellStyle name="Comma 2 3 3 12 3" xfId="10505" xr:uid="{00000000-0005-0000-0000-000006290000}"/>
    <cellStyle name="Comma 2 3 3 12 3 2" xfId="10506" xr:uid="{00000000-0005-0000-0000-000007290000}"/>
    <cellStyle name="Comma 2 3 3 12 3 2 2" xfId="10507" xr:uid="{00000000-0005-0000-0000-000008290000}"/>
    <cellStyle name="Comma 2 3 3 12 3 2 3" xfId="10508" xr:uid="{00000000-0005-0000-0000-000009290000}"/>
    <cellStyle name="Comma 2 3 3 12 3 3" xfId="10509" xr:uid="{00000000-0005-0000-0000-00000A290000}"/>
    <cellStyle name="Comma 2 3 3 12 3 4" xfId="10510" xr:uid="{00000000-0005-0000-0000-00000B290000}"/>
    <cellStyle name="Comma 2 3 3 12 3 5" xfId="10511" xr:uid="{00000000-0005-0000-0000-00000C290000}"/>
    <cellStyle name="Comma 2 3 3 12 3 6" xfId="10512" xr:uid="{00000000-0005-0000-0000-00000D290000}"/>
    <cellStyle name="Comma 2 3 3 12 4" xfId="10513" xr:uid="{00000000-0005-0000-0000-00000E290000}"/>
    <cellStyle name="Comma 2 3 3 12 4 2" xfId="10514" xr:uid="{00000000-0005-0000-0000-00000F290000}"/>
    <cellStyle name="Comma 2 3 3 12 4 2 2" xfId="10515" xr:uid="{00000000-0005-0000-0000-000010290000}"/>
    <cellStyle name="Comma 2 3 3 12 4 3" xfId="10516" xr:uid="{00000000-0005-0000-0000-000011290000}"/>
    <cellStyle name="Comma 2 3 3 12 4 4" xfId="10517" xr:uid="{00000000-0005-0000-0000-000012290000}"/>
    <cellStyle name="Comma 2 3 3 12 4 5" xfId="10518" xr:uid="{00000000-0005-0000-0000-000013290000}"/>
    <cellStyle name="Comma 2 3 3 12 5" xfId="10519" xr:uid="{00000000-0005-0000-0000-000014290000}"/>
    <cellStyle name="Comma 2 3 3 12 5 2" xfId="10520" xr:uid="{00000000-0005-0000-0000-000015290000}"/>
    <cellStyle name="Comma 2 3 3 12 5 3" xfId="10521" xr:uid="{00000000-0005-0000-0000-000016290000}"/>
    <cellStyle name="Comma 2 3 3 12 5 4" xfId="10522" xr:uid="{00000000-0005-0000-0000-000017290000}"/>
    <cellStyle name="Comma 2 3 3 12 6" xfId="10523" xr:uid="{00000000-0005-0000-0000-000018290000}"/>
    <cellStyle name="Comma 2 3 3 12 6 2" xfId="10524" xr:uid="{00000000-0005-0000-0000-000019290000}"/>
    <cellStyle name="Comma 2 3 3 12 7" xfId="10525" xr:uid="{00000000-0005-0000-0000-00001A290000}"/>
    <cellStyle name="Comma 2 3 3 12 8" xfId="10526" xr:uid="{00000000-0005-0000-0000-00001B290000}"/>
    <cellStyle name="Comma 2 3 3 12 9" xfId="10527" xr:uid="{00000000-0005-0000-0000-00001C290000}"/>
    <cellStyle name="Comma 2 3 3 13" xfId="10528" xr:uid="{00000000-0005-0000-0000-00001D290000}"/>
    <cellStyle name="Comma 2 3 3 13 2" xfId="10529" xr:uid="{00000000-0005-0000-0000-00001E290000}"/>
    <cellStyle name="Comma 2 3 3 13 2 2" xfId="10530" xr:uid="{00000000-0005-0000-0000-00001F290000}"/>
    <cellStyle name="Comma 2 3 3 13 2 2 2" xfId="10531" xr:uid="{00000000-0005-0000-0000-000020290000}"/>
    <cellStyle name="Comma 2 3 3 13 2 2 3" xfId="10532" xr:uid="{00000000-0005-0000-0000-000021290000}"/>
    <cellStyle name="Comma 2 3 3 13 2 3" xfId="10533" xr:uid="{00000000-0005-0000-0000-000022290000}"/>
    <cellStyle name="Comma 2 3 3 13 2 4" xfId="10534" xr:uid="{00000000-0005-0000-0000-000023290000}"/>
    <cellStyle name="Comma 2 3 3 13 2 5" xfId="10535" xr:uid="{00000000-0005-0000-0000-000024290000}"/>
    <cellStyle name="Comma 2 3 3 13 2 6" xfId="10536" xr:uid="{00000000-0005-0000-0000-000025290000}"/>
    <cellStyle name="Comma 2 3 3 13 3" xfId="10537" xr:uid="{00000000-0005-0000-0000-000026290000}"/>
    <cellStyle name="Comma 2 3 3 13 3 2" xfId="10538" xr:uid="{00000000-0005-0000-0000-000027290000}"/>
    <cellStyle name="Comma 2 3 3 13 3 2 2" xfId="10539" xr:uid="{00000000-0005-0000-0000-000028290000}"/>
    <cellStyle name="Comma 2 3 3 13 3 3" xfId="10540" xr:uid="{00000000-0005-0000-0000-000029290000}"/>
    <cellStyle name="Comma 2 3 3 13 3 4" xfId="10541" xr:uid="{00000000-0005-0000-0000-00002A290000}"/>
    <cellStyle name="Comma 2 3 3 13 3 5" xfId="10542" xr:uid="{00000000-0005-0000-0000-00002B290000}"/>
    <cellStyle name="Comma 2 3 3 13 4" xfId="10543" xr:uid="{00000000-0005-0000-0000-00002C290000}"/>
    <cellStyle name="Comma 2 3 3 13 4 2" xfId="10544" xr:uid="{00000000-0005-0000-0000-00002D290000}"/>
    <cellStyle name="Comma 2 3 3 13 4 3" xfId="10545" xr:uid="{00000000-0005-0000-0000-00002E290000}"/>
    <cellStyle name="Comma 2 3 3 13 4 4" xfId="10546" xr:uid="{00000000-0005-0000-0000-00002F290000}"/>
    <cellStyle name="Comma 2 3 3 13 5" xfId="10547" xr:uid="{00000000-0005-0000-0000-000030290000}"/>
    <cellStyle name="Comma 2 3 3 13 5 2" xfId="10548" xr:uid="{00000000-0005-0000-0000-000031290000}"/>
    <cellStyle name="Comma 2 3 3 13 6" xfId="10549" xr:uid="{00000000-0005-0000-0000-000032290000}"/>
    <cellStyle name="Comma 2 3 3 13 7" xfId="10550" xr:uid="{00000000-0005-0000-0000-000033290000}"/>
    <cellStyle name="Comma 2 3 3 13 8" xfId="10551" xr:uid="{00000000-0005-0000-0000-000034290000}"/>
    <cellStyle name="Comma 2 3 3 13 9" xfId="10552" xr:uid="{00000000-0005-0000-0000-000035290000}"/>
    <cellStyle name="Comma 2 3 3 14" xfId="10553" xr:uid="{00000000-0005-0000-0000-000036290000}"/>
    <cellStyle name="Comma 2 3 3 14 2" xfId="10554" xr:uid="{00000000-0005-0000-0000-000037290000}"/>
    <cellStyle name="Comma 2 3 3 14 2 2" xfId="10555" xr:uid="{00000000-0005-0000-0000-000038290000}"/>
    <cellStyle name="Comma 2 3 3 14 2 2 2" xfId="10556" xr:uid="{00000000-0005-0000-0000-000039290000}"/>
    <cellStyle name="Comma 2 3 3 14 2 2 3" xfId="10557" xr:uid="{00000000-0005-0000-0000-00003A290000}"/>
    <cellStyle name="Comma 2 3 3 14 2 3" xfId="10558" xr:uid="{00000000-0005-0000-0000-00003B290000}"/>
    <cellStyle name="Comma 2 3 3 14 2 4" xfId="10559" xr:uid="{00000000-0005-0000-0000-00003C290000}"/>
    <cellStyle name="Comma 2 3 3 14 2 5" xfId="10560" xr:uid="{00000000-0005-0000-0000-00003D290000}"/>
    <cellStyle name="Comma 2 3 3 14 2 6" xfId="10561" xr:uid="{00000000-0005-0000-0000-00003E290000}"/>
    <cellStyle name="Comma 2 3 3 14 3" xfId="10562" xr:uid="{00000000-0005-0000-0000-00003F290000}"/>
    <cellStyle name="Comma 2 3 3 14 3 2" xfId="10563" xr:uid="{00000000-0005-0000-0000-000040290000}"/>
    <cellStyle name="Comma 2 3 3 14 3 2 2" xfId="10564" xr:uid="{00000000-0005-0000-0000-000041290000}"/>
    <cellStyle name="Comma 2 3 3 14 3 3" xfId="10565" xr:uid="{00000000-0005-0000-0000-000042290000}"/>
    <cellStyle name="Comma 2 3 3 14 3 4" xfId="10566" xr:uid="{00000000-0005-0000-0000-000043290000}"/>
    <cellStyle name="Comma 2 3 3 14 3 5" xfId="10567" xr:uid="{00000000-0005-0000-0000-000044290000}"/>
    <cellStyle name="Comma 2 3 3 14 4" xfId="10568" xr:uid="{00000000-0005-0000-0000-000045290000}"/>
    <cellStyle name="Comma 2 3 3 14 4 2" xfId="10569" xr:uid="{00000000-0005-0000-0000-000046290000}"/>
    <cellStyle name="Comma 2 3 3 14 4 3" xfId="10570" xr:uid="{00000000-0005-0000-0000-000047290000}"/>
    <cellStyle name="Comma 2 3 3 14 4 4" xfId="10571" xr:uid="{00000000-0005-0000-0000-000048290000}"/>
    <cellStyle name="Comma 2 3 3 14 5" xfId="10572" xr:uid="{00000000-0005-0000-0000-000049290000}"/>
    <cellStyle name="Comma 2 3 3 14 5 2" xfId="10573" xr:uid="{00000000-0005-0000-0000-00004A290000}"/>
    <cellStyle name="Comma 2 3 3 14 6" xfId="10574" xr:uid="{00000000-0005-0000-0000-00004B290000}"/>
    <cellStyle name="Comma 2 3 3 14 7" xfId="10575" xr:uid="{00000000-0005-0000-0000-00004C290000}"/>
    <cellStyle name="Comma 2 3 3 14 8" xfId="10576" xr:uid="{00000000-0005-0000-0000-00004D290000}"/>
    <cellStyle name="Comma 2 3 3 14 9" xfId="10577" xr:uid="{00000000-0005-0000-0000-00004E290000}"/>
    <cellStyle name="Comma 2 3 3 15" xfId="10578" xr:uid="{00000000-0005-0000-0000-00004F290000}"/>
    <cellStyle name="Comma 2 3 3 15 2" xfId="10579" xr:uid="{00000000-0005-0000-0000-000050290000}"/>
    <cellStyle name="Comma 2 3 3 15 2 2" xfId="10580" xr:uid="{00000000-0005-0000-0000-000051290000}"/>
    <cellStyle name="Comma 2 3 3 15 2 3" xfId="10581" xr:uid="{00000000-0005-0000-0000-000052290000}"/>
    <cellStyle name="Comma 2 3 3 15 3" xfId="10582" xr:uid="{00000000-0005-0000-0000-000053290000}"/>
    <cellStyle name="Comma 2 3 3 15 4" xfId="10583" xr:uid="{00000000-0005-0000-0000-000054290000}"/>
    <cellStyle name="Comma 2 3 3 15 5" xfId="10584" xr:uid="{00000000-0005-0000-0000-000055290000}"/>
    <cellStyle name="Comma 2 3 3 15 6" xfId="10585" xr:uid="{00000000-0005-0000-0000-000056290000}"/>
    <cellStyle name="Comma 2 3 3 16" xfId="10586" xr:uid="{00000000-0005-0000-0000-000057290000}"/>
    <cellStyle name="Comma 2 3 3 16 2" xfId="10587" xr:uid="{00000000-0005-0000-0000-000058290000}"/>
    <cellStyle name="Comma 2 3 3 16 2 2" xfId="10588" xr:uid="{00000000-0005-0000-0000-000059290000}"/>
    <cellStyle name="Comma 2 3 3 16 3" xfId="10589" xr:uid="{00000000-0005-0000-0000-00005A290000}"/>
    <cellStyle name="Comma 2 3 3 16 4" xfId="10590" xr:uid="{00000000-0005-0000-0000-00005B290000}"/>
    <cellStyle name="Comma 2 3 3 16 5" xfId="10591" xr:uid="{00000000-0005-0000-0000-00005C290000}"/>
    <cellStyle name="Comma 2 3 3 17" xfId="10592" xr:uid="{00000000-0005-0000-0000-00005D290000}"/>
    <cellStyle name="Comma 2 3 3 17 2" xfId="10593" xr:uid="{00000000-0005-0000-0000-00005E290000}"/>
    <cellStyle name="Comma 2 3 3 17 2 2" xfId="10594" xr:uid="{00000000-0005-0000-0000-00005F290000}"/>
    <cellStyle name="Comma 2 3 3 17 3" xfId="10595" xr:uid="{00000000-0005-0000-0000-000060290000}"/>
    <cellStyle name="Comma 2 3 3 17 4" xfId="10596" xr:uid="{00000000-0005-0000-0000-000061290000}"/>
    <cellStyle name="Comma 2 3 3 17 5" xfId="10597" xr:uid="{00000000-0005-0000-0000-000062290000}"/>
    <cellStyle name="Comma 2 3 3 18" xfId="10598" xr:uid="{00000000-0005-0000-0000-000063290000}"/>
    <cellStyle name="Comma 2 3 3 18 2" xfId="10599" xr:uid="{00000000-0005-0000-0000-000064290000}"/>
    <cellStyle name="Comma 2 3 3 19" xfId="10600" xr:uid="{00000000-0005-0000-0000-000065290000}"/>
    <cellStyle name="Comma 2 3 3 2" xfId="10601" xr:uid="{00000000-0005-0000-0000-000066290000}"/>
    <cellStyle name="Comma 2 3 3 2 10" xfId="10602" xr:uid="{00000000-0005-0000-0000-000067290000}"/>
    <cellStyle name="Comma 2 3 3 2 11" xfId="10603" xr:uid="{00000000-0005-0000-0000-000068290000}"/>
    <cellStyle name="Comma 2 3 3 2 2" xfId="10604" xr:uid="{00000000-0005-0000-0000-000069290000}"/>
    <cellStyle name="Comma 2 3 3 2 2 2" xfId="10605" xr:uid="{00000000-0005-0000-0000-00006A290000}"/>
    <cellStyle name="Comma 2 3 3 2 2 2 2" xfId="10606" xr:uid="{00000000-0005-0000-0000-00006B290000}"/>
    <cellStyle name="Comma 2 3 3 2 2 2 2 2" xfId="10607" xr:uid="{00000000-0005-0000-0000-00006C290000}"/>
    <cellStyle name="Comma 2 3 3 2 2 2 2 3" xfId="10608" xr:uid="{00000000-0005-0000-0000-00006D290000}"/>
    <cellStyle name="Comma 2 3 3 2 2 2 3" xfId="10609" xr:uid="{00000000-0005-0000-0000-00006E290000}"/>
    <cellStyle name="Comma 2 3 3 2 2 2 4" xfId="10610" xr:uid="{00000000-0005-0000-0000-00006F290000}"/>
    <cellStyle name="Comma 2 3 3 2 2 2 5" xfId="10611" xr:uid="{00000000-0005-0000-0000-000070290000}"/>
    <cellStyle name="Comma 2 3 3 2 2 2 6" xfId="10612" xr:uid="{00000000-0005-0000-0000-000071290000}"/>
    <cellStyle name="Comma 2 3 3 2 2 3" xfId="10613" xr:uid="{00000000-0005-0000-0000-000072290000}"/>
    <cellStyle name="Comma 2 3 3 2 2 3 2" xfId="10614" xr:uid="{00000000-0005-0000-0000-000073290000}"/>
    <cellStyle name="Comma 2 3 3 2 2 3 2 2" xfId="10615" xr:uid="{00000000-0005-0000-0000-000074290000}"/>
    <cellStyle name="Comma 2 3 3 2 2 3 3" xfId="10616" xr:uid="{00000000-0005-0000-0000-000075290000}"/>
    <cellStyle name="Comma 2 3 3 2 2 3 4" xfId="10617" xr:uid="{00000000-0005-0000-0000-000076290000}"/>
    <cellStyle name="Comma 2 3 3 2 2 3 5" xfId="10618" xr:uid="{00000000-0005-0000-0000-000077290000}"/>
    <cellStyle name="Comma 2 3 3 2 2 4" xfId="10619" xr:uid="{00000000-0005-0000-0000-000078290000}"/>
    <cellStyle name="Comma 2 3 3 2 2 4 2" xfId="10620" xr:uid="{00000000-0005-0000-0000-000079290000}"/>
    <cellStyle name="Comma 2 3 3 2 2 4 3" xfId="10621" xr:uid="{00000000-0005-0000-0000-00007A290000}"/>
    <cellStyle name="Comma 2 3 3 2 2 4 4" xfId="10622" xr:uid="{00000000-0005-0000-0000-00007B290000}"/>
    <cellStyle name="Comma 2 3 3 2 2 5" xfId="10623" xr:uid="{00000000-0005-0000-0000-00007C290000}"/>
    <cellStyle name="Comma 2 3 3 2 2 5 2" xfId="10624" xr:uid="{00000000-0005-0000-0000-00007D290000}"/>
    <cellStyle name="Comma 2 3 3 2 2 6" xfId="10625" xr:uid="{00000000-0005-0000-0000-00007E290000}"/>
    <cellStyle name="Comma 2 3 3 2 2 7" xfId="10626" xr:uid="{00000000-0005-0000-0000-00007F290000}"/>
    <cellStyle name="Comma 2 3 3 2 2 8" xfId="10627" xr:uid="{00000000-0005-0000-0000-000080290000}"/>
    <cellStyle name="Comma 2 3 3 2 2 9" xfId="10628" xr:uid="{00000000-0005-0000-0000-000081290000}"/>
    <cellStyle name="Comma 2 3 3 2 3" xfId="10629" xr:uid="{00000000-0005-0000-0000-000082290000}"/>
    <cellStyle name="Comma 2 3 3 2 3 2" xfId="10630" xr:uid="{00000000-0005-0000-0000-000083290000}"/>
    <cellStyle name="Comma 2 3 3 2 3 2 2" xfId="10631" xr:uid="{00000000-0005-0000-0000-000084290000}"/>
    <cellStyle name="Comma 2 3 3 2 3 2 2 2" xfId="10632" xr:uid="{00000000-0005-0000-0000-000085290000}"/>
    <cellStyle name="Comma 2 3 3 2 3 2 2 3" xfId="10633" xr:uid="{00000000-0005-0000-0000-000086290000}"/>
    <cellStyle name="Comma 2 3 3 2 3 2 3" xfId="10634" xr:uid="{00000000-0005-0000-0000-000087290000}"/>
    <cellStyle name="Comma 2 3 3 2 3 2 4" xfId="10635" xr:uid="{00000000-0005-0000-0000-000088290000}"/>
    <cellStyle name="Comma 2 3 3 2 3 2 5" xfId="10636" xr:uid="{00000000-0005-0000-0000-000089290000}"/>
    <cellStyle name="Comma 2 3 3 2 3 2 6" xfId="10637" xr:uid="{00000000-0005-0000-0000-00008A290000}"/>
    <cellStyle name="Comma 2 3 3 2 3 3" xfId="10638" xr:uid="{00000000-0005-0000-0000-00008B290000}"/>
    <cellStyle name="Comma 2 3 3 2 3 3 2" xfId="10639" xr:uid="{00000000-0005-0000-0000-00008C290000}"/>
    <cellStyle name="Comma 2 3 3 2 3 3 2 2" xfId="10640" xr:uid="{00000000-0005-0000-0000-00008D290000}"/>
    <cellStyle name="Comma 2 3 3 2 3 3 3" xfId="10641" xr:uid="{00000000-0005-0000-0000-00008E290000}"/>
    <cellStyle name="Comma 2 3 3 2 3 3 4" xfId="10642" xr:uid="{00000000-0005-0000-0000-00008F290000}"/>
    <cellStyle name="Comma 2 3 3 2 3 3 5" xfId="10643" xr:uid="{00000000-0005-0000-0000-000090290000}"/>
    <cellStyle name="Comma 2 3 3 2 3 4" xfId="10644" xr:uid="{00000000-0005-0000-0000-000091290000}"/>
    <cellStyle name="Comma 2 3 3 2 3 4 2" xfId="10645" xr:uid="{00000000-0005-0000-0000-000092290000}"/>
    <cellStyle name="Comma 2 3 3 2 3 4 3" xfId="10646" xr:uid="{00000000-0005-0000-0000-000093290000}"/>
    <cellStyle name="Comma 2 3 3 2 3 4 4" xfId="10647" xr:uid="{00000000-0005-0000-0000-000094290000}"/>
    <cellStyle name="Comma 2 3 3 2 3 5" xfId="10648" xr:uid="{00000000-0005-0000-0000-000095290000}"/>
    <cellStyle name="Comma 2 3 3 2 3 5 2" xfId="10649" xr:uid="{00000000-0005-0000-0000-000096290000}"/>
    <cellStyle name="Comma 2 3 3 2 3 6" xfId="10650" xr:uid="{00000000-0005-0000-0000-000097290000}"/>
    <cellStyle name="Comma 2 3 3 2 3 7" xfId="10651" xr:uid="{00000000-0005-0000-0000-000098290000}"/>
    <cellStyle name="Comma 2 3 3 2 3 8" xfId="10652" xr:uid="{00000000-0005-0000-0000-000099290000}"/>
    <cellStyle name="Comma 2 3 3 2 3 9" xfId="10653" xr:uid="{00000000-0005-0000-0000-00009A290000}"/>
    <cellStyle name="Comma 2 3 3 2 4" xfId="10654" xr:uid="{00000000-0005-0000-0000-00009B290000}"/>
    <cellStyle name="Comma 2 3 3 2 4 2" xfId="10655" xr:uid="{00000000-0005-0000-0000-00009C290000}"/>
    <cellStyle name="Comma 2 3 3 2 4 2 2" xfId="10656" xr:uid="{00000000-0005-0000-0000-00009D290000}"/>
    <cellStyle name="Comma 2 3 3 2 4 2 3" xfId="10657" xr:uid="{00000000-0005-0000-0000-00009E290000}"/>
    <cellStyle name="Comma 2 3 3 2 4 3" xfId="10658" xr:uid="{00000000-0005-0000-0000-00009F290000}"/>
    <cellStyle name="Comma 2 3 3 2 4 4" xfId="10659" xr:uid="{00000000-0005-0000-0000-0000A0290000}"/>
    <cellStyle name="Comma 2 3 3 2 4 5" xfId="10660" xr:uid="{00000000-0005-0000-0000-0000A1290000}"/>
    <cellStyle name="Comma 2 3 3 2 4 6" xfId="10661" xr:uid="{00000000-0005-0000-0000-0000A2290000}"/>
    <cellStyle name="Comma 2 3 3 2 5" xfId="10662" xr:uid="{00000000-0005-0000-0000-0000A3290000}"/>
    <cellStyle name="Comma 2 3 3 2 5 2" xfId="10663" xr:uid="{00000000-0005-0000-0000-0000A4290000}"/>
    <cellStyle name="Comma 2 3 3 2 5 2 2" xfId="10664" xr:uid="{00000000-0005-0000-0000-0000A5290000}"/>
    <cellStyle name="Comma 2 3 3 2 5 3" xfId="10665" xr:uid="{00000000-0005-0000-0000-0000A6290000}"/>
    <cellStyle name="Comma 2 3 3 2 5 4" xfId="10666" xr:uid="{00000000-0005-0000-0000-0000A7290000}"/>
    <cellStyle name="Comma 2 3 3 2 5 5" xfId="10667" xr:uid="{00000000-0005-0000-0000-0000A8290000}"/>
    <cellStyle name="Comma 2 3 3 2 6" xfId="10668" xr:uid="{00000000-0005-0000-0000-0000A9290000}"/>
    <cellStyle name="Comma 2 3 3 2 6 2" xfId="10669" xr:uid="{00000000-0005-0000-0000-0000AA290000}"/>
    <cellStyle name="Comma 2 3 3 2 6 3" xfId="10670" xr:uid="{00000000-0005-0000-0000-0000AB290000}"/>
    <cellStyle name="Comma 2 3 3 2 6 4" xfId="10671" xr:uid="{00000000-0005-0000-0000-0000AC290000}"/>
    <cellStyle name="Comma 2 3 3 2 7" xfId="10672" xr:uid="{00000000-0005-0000-0000-0000AD290000}"/>
    <cellStyle name="Comma 2 3 3 2 7 2" xfId="10673" xr:uid="{00000000-0005-0000-0000-0000AE290000}"/>
    <cellStyle name="Comma 2 3 3 2 8" xfId="10674" xr:uid="{00000000-0005-0000-0000-0000AF290000}"/>
    <cellStyle name="Comma 2 3 3 2 9" xfId="10675" xr:uid="{00000000-0005-0000-0000-0000B0290000}"/>
    <cellStyle name="Comma 2 3 3 20" xfId="10676" xr:uid="{00000000-0005-0000-0000-0000B1290000}"/>
    <cellStyle name="Comma 2 3 3 21" xfId="10677" xr:uid="{00000000-0005-0000-0000-0000B2290000}"/>
    <cellStyle name="Comma 2 3 3 22" xfId="10678" xr:uid="{00000000-0005-0000-0000-0000B3290000}"/>
    <cellStyle name="Comma 2 3 3 3" xfId="10679" xr:uid="{00000000-0005-0000-0000-0000B4290000}"/>
    <cellStyle name="Comma 2 3 3 3 10" xfId="10680" xr:uid="{00000000-0005-0000-0000-0000B5290000}"/>
    <cellStyle name="Comma 2 3 3 3 11" xfId="10681" xr:uid="{00000000-0005-0000-0000-0000B6290000}"/>
    <cellStyle name="Comma 2 3 3 3 2" xfId="10682" xr:uid="{00000000-0005-0000-0000-0000B7290000}"/>
    <cellStyle name="Comma 2 3 3 3 2 2" xfId="10683" xr:uid="{00000000-0005-0000-0000-0000B8290000}"/>
    <cellStyle name="Comma 2 3 3 3 2 2 2" xfId="10684" xr:uid="{00000000-0005-0000-0000-0000B9290000}"/>
    <cellStyle name="Comma 2 3 3 3 2 2 2 2" xfId="10685" xr:uid="{00000000-0005-0000-0000-0000BA290000}"/>
    <cellStyle name="Comma 2 3 3 3 2 2 2 3" xfId="10686" xr:uid="{00000000-0005-0000-0000-0000BB290000}"/>
    <cellStyle name="Comma 2 3 3 3 2 2 3" xfId="10687" xr:uid="{00000000-0005-0000-0000-0000BC290000}"/>
    <cellStyle name="Comma 2 3 3 3 2 2 4" xfId="10688" xr:uid="{00000000-0005-0000-0000-0000BD290000}"/>
    <cellStyle name="Comma 2 3 3 3 2 2 5" xfId="10689" xr:uid="{00000000-0005-0000-0000-0000BE290000}"/>
    <cellStyle name="Comma 2 3 3 3 2 2 6" xfId="10690" xr:uid="{00000000-0005-0000-0000-0000BF290000}"/>
    <cellStyle name="Comma 2 3 3 3 2 3" xfId="10691" xr:uid="{00000000-0005-0000-0000-0000C0290000}"/>
    <cellStyle name="Comma 2 3 3 3 2 3 2" xfId="10692" xr:uid="{00000000-0005-0000-0000-0000C1290000}"/>
    <cellStyle name="Comma 2 3 3 3 2 3 2 2" xfId="10693" xr:uid="{00000000-0005-0000-0000-0000C2290000}"/>
    <cellStyle name="Comma 2 3 3 3 2 3 3" xfId="10694" xr:uid="{00000000-0005-0000-0000-0000C3290000}"/>
    <cellStyle name="Comma 2 3 3 3 2 3 4" xfId="10695" xr:uid="{00000000-0005-0000-0000-0000C4290000}"/>
    <cellStyle name="Comma 2 3 3 3 2 3 5" xfId="10696" xr:uid="{00000000-0005-0000-0000-0000C5290000}"/>
    <cellStyle name="Comma 2 3 3 3 2 4" xfId="10697" xr:uid="{00000000-0005-0000-0000-0000C6290000}"/>
    <cellStyle name="Comma 2 3 3 3 2 4 2" xfId="10698" xr:uid="{00000000-0005-0000-0000-0000C7290000}"/>
    <cellStyle name="Comma 2 3 3 3 2 4 3" xfId="10699" xr:uid="{00000000-0005-0000-0000-0000C8290000}"/>
    <cellStyle name="Comma 2 3 3 3 2 4 4" xfId="10700" xr:uid="{00000000-0005-0000-0000-0000C9290000}"/>
    <cellStyle name="Comma 2 3 3 3 2 5" xfId="10701" xr:uid="{00000000-0005-0000-0000-0000CA290000}"/>
    <cellStyle name="Comma 2 3 3 3 2 5 2" xfId="10702" xr:uid="{00000000-0005-0000-0000-0000CB290000}"/>
    <cellStyle name="Comma 2 3 3 3 2 6" xfId="10703" xr:uid="{00000000-0005-0000-0000-0000CC290000}"/>
    <cellStyle name="Comma 2 3 3 3 2 7" xfId="10704" xr:uid="{00000000-0005-0000-0000-0000CD290000}"/>
    <cellStyle name="Comma 2 3 3 3 2 8" xfId="10705" xr:uid="{00000000-0005-0000-0000-0000CE290000}"/>
    <cellStyle name="Comma 2 3 3 3 2 9" xfId="10706" xr:uid="{00000000-0005-0000-0000-0000CF290000}"/>
    <cellStyle name="Comma 2 3 3 3 3" xfId="10707" xr:uid="{00000000-0005-0000-0000-0000D0290000}"/>
    <cellStyle name="Comma 2 3 3 3 3 2" xfId="10708" xr:uid="{00000000-0005-0000-0000-0000D1290000}"/>
    <cellStyle name="Comma 2 3 3 3 3 2 2" xfId="10709" xr:uid="{00000000-0005-0000-0000-0000D2290000}"/>
    <cellStyle name="Comma 2 3 3 3 3 2 2 2" xfId="10710" xr:uid="{00000000-0005-0000-0000-0000D3290000}"/>
    <cellStyle name="Comma 2 3 3 3 3 2 2 3" xfId="10711" xr:uid="{00000000-0005-0000-0000-0000D4290000}"/>
    <cellStyle name="Comma 2 3 3 3 3 2 3" xfId="10712" xr:uid="{00000000-0005-0000-0000-0000D5290000}"/>
    <cellStyle name="Comma 2 3 3 3 3 2 4" xfId="10713" xr:uid="{00000000-0005-0000-0000-0000D6290000}"/>
    <cellStyle name="Comma 2 3 3 3 3 2 5" xfId="10714" xr:uid="{00000000-0005-0000-0000-0000D7290000}"/>
    <cellStyle name="Comma 2 3 3 3 3 2 6" xfId="10715" xr:uid="{00000000-0005-0000-0000-0000D8290000}"/>
    <cellStyle name="Comma 2 3 3 3 3 3" xfId="10716" xr:uid="{00000000-0005-0000-0000-0000D9290000}"/>
    <cellStyle name="Comma 2 3 3 3 3 3 2" xfId="10717" xr:uid="{00000000-0005-0000-0000-0000DA290000}"/>
    <cellStyle name="Comma 2 3 3 3 3 3 2 2" xfId="10718" xr:uid="{00000000-0005-0000-0000-0000DB290000}"/>
    <cellStyle name="Comma 2 3 3 3 3 3 3" xfId="10719" xr:uid="{00000000-0005-0000-0000-0000DC290000}"/>
    <cellStyle name="Comma 2 3 3 3 3 3 4" xfId="10720" xr:uid="{00000000-0005-0000-0000-0000DD290000}"/>
    <cellStyle name="Comma 2 3 3 3 3 3 5" xfId="10721" xr:uid="{00000000-0005-0000-0000-0000DE290000}"/>
    <cellStyle name="Comma 2 3 3 3 3 4" xfId="10722" xr:uid="{00000000-0005-0000-0000-0000DF290000}"/>
    <cellStyle name="Comma 2 3 3 3 3 4 2" xfId="10723" xr:uid="{00000000-0005-0000-0000-0000E0290000}"/>
    <cellStyle name="Comma 2 3 3 3 3 4 3" xfId="10724" xr:uid="{00000000-0005-0000-0000-0000E1290000}"/>
    <cellStyle name="Comma 2 3 3 3 3 4 4" xfId="10725" xr:uid="{00000000-0005-0000-0000-0000E2290000}"/>
    <cellStyle name="Comma 2 3 3 3 3 5" xfId="10726" xr:uid="{00000000-0005-0000-0000-0000E3290000}"/>
    <cellStyle name="Comma 2 3 3 3 3 5 2" xfId="10727" xr:uid="{00000000-0005-0000-0000-0000E4290000}"/>
    <cellStyle name="Comma 2 3 3 3 3 6" xfId="10728" xr:uid="{00000000-0005-0000-0000-0000E5290000}"/>
    <cellStyle name="Comma 2 3 3 3 3 7" xfId="10729" xr:uid="{00000000-0005-0000-0000-0000E6290000}"/>
    <cellStyle name="Comma 2 3 3 3 3 8" xfId="10730" xr:uid="{00000000-0005-0000-0000-0000E7290000}"/>
    <cellStyle name="Comma 2 3 3 3 3 9" xfId="10731" xr:uid="{00000000-0005-0000-0000-0000E8290000}"/>
    <cellStyle name="Comma 2 3 3 3 4" xfId="10732" xr:uid="{00000000-0005-0000-0000-0000E9290000}"/>
    <cellStyle name="Comma 2 3 3 3 4 2" xfId="10733" xr:uid="{00000000-0005-0000-0000-0000EA290000}"/>
    <cellStyle name="Comma 2 3 3 3 4 2 2" xfId="10734" xr:uid="{00000000-0005-0000-0000-0000EB290000}"/>
    <cellStyle name="Comma 2 3 3 3 4 2 3" xfId="10735" xr:uid="{00000000-0005-0000-0000-0000EC290000}"/>
    <cellStyle name="Comma 2 3 3 3 4 3" xfId="10736" xr:uid="{00000000-0005-0000-0000-0000ED290000}"/>
    <cellStyle name="Comma 2 3 3 3 4 4" xfId="10737" xr:uid="{00000000-0005-0000-0000-0000EE290000}"/>
    <cellStyle name="Comma 2 3 3 3 4 5" xfId="10738" xr:uid="{00000000-0005-0000-0000-0000EF290000}"/>
    <cellStyle name="Comma 2 3 3 3 4 6" xfId="10739" xr:uid="{00000000-0005-0000-0000-0000F0290000}"/>
    <cellStyle name="Comma 2 3 3 3 5" xfId="10740" xr:uid="{00000000-0005-0000-0000-0000F1290000}"/>
    <cellStyle name="Comma 2 3 3 3 5 2" xfId="10741" xr:uid="{00000000-0005-0000-0000-0000F2290000}"/>
    <cellStyle name="Comma 2 3 3 3 5 2 2" xfId="10742" xr:uid="{00000000-0005-0000-0000-0000F3290000}"/>
    <cellStyle name="Comma 2 3 3 3 5 3" xfId="10743" xr:uid="{00000000-0005-0000-0000-0000F4290000}"/>
    <cellStyle name="Comma 2 3 3 3 5 4" xfId="10744" xr:uid="{00000000-0005-0000-0000-0000F5290000}"/>
    <cellStyle name="Comma 2 3 3 3 5 5" xfId="10745" xr:uid="{00000000-0005-0000-0000-0000F6290000}"/>
    <cellStyle name="Comma 2 3 3 3 6" xfId="10746" xr:uid="{00000000-0005-0000-0000-0000F7290000}"/>
    <cellStyle name="Comma 2 3 3 3 6 2" xfId="10747" xr:uid="{00000000-0005-0000-0000-0000F8290000}"/>
    <cellStyle name="Comma 2 3 3 3 6 3" xfId="10748" xr:uid="{00000000-0005-0000-0000-0000F9290000}"/>
    <cellStyle name="Comma 2 3 3 3 6 4" xfId="10749" xr:uid="{00000000-0005-0000-0000-0000FA290000}"/>
    <cellStyle name="Comma 2 3 3 3 7" xfId="10750" xr:uid="{00000000-0005-0000-0000-0000FB290000}"/>
    <cellStyle name="Comma 2 3 3 3 7 2" xfId="10751" xr:uid="{00000000-0005-0000-0000-0000FC290000}"/>
    <cellStyle name="Comma 2 3 3 3 8" xfId="10752" xr:uid="{00000000-0005-0000-0000-0000FD290000}"/>
    <cellStyle name="Comma 2 3 3 3 9" xfId="10753" xr:uid="{00000000-0005-0000-0000-0000FE290000}"/>
    <cellStyle name="Comma 2 3 3 4" xfId="10754" xr:uid="{00000000-0005-0000-0000-0000FF290000}"/>
    <cellStyle name="Comma 2 3 3 4 10" xfId="10755" xr:uid="{00000000-0005-0000-0000-0000002A0000}"/>
    <cellStyle name="Comma 2 3 3 4 11" xfId="10756" xr:uid="{00000000-0005-0000-0000-0000012A0000}"/>
    <cellStyle name="Comma 2 3 3 4 2" xfId="10757" xr:uid="{00000000-0005-0000-0000-0000022A0000}"/>
    <cellStyle name="Comma 2 3 3 4 2 2" xfId="10758" xr:uid="{00000000-0005-0000-0000-0000032A0000}"/>
    <cellStyle name="Comma 2 3 3 4 2 2 2" xfId="10759" xr:uid="{00000000-0005-0000-0000-0000042A0000}"/>
    <cellStyle name="Comma 2 3 3 4 2 2 2 2" xfId="10760" xr:uid="{00000000-0005-0000-0000-0000052A0000}"/>
    <cellStyle name="Comma 2 3 3 4 2 2 2 3" xfId="10761" xr:uid="{00000000-0005-0000-0000-0000062A0000}"/>
    <cellStyle name="Comma 2 3 3 4 2 2 3" xfId="10762" xr:uid="{00000000-0005-0000-0000-0000072A0000}"/>
    <cellStyle name="Comma 2 3 3 4 2 2 4" xfId="10763" xr:uid="{00000000-0005-0000-0000-0000082A0000}"/>
    <cellStyle name="Comma 2 3 3 4 2 2 5" xfId="10764" xr:uid="{00000000-0005-0000-0000-0000092A0000}"/>
    <cellStyle name="Comma 2 3 3 4 2 2 6" xfId="10765" xr:uid="{00000000-0005-0000-0000-00000A2A0000}"/>
    <cellStyle name="Comma 2 3 3 4 2 3" xfId="10766" xr:uid="{00000000-0005-0000-0000-00000B2A0000}"/>
    <cellStyle name="Comma 2 3 3 4 2 3 2" xfId="10767" xr:uid="{00000000-0005-0000-0000-00000C2A0000}"/>
    <cellStyle name="Comma 2 3 3 4 2 3 2 2" xfId="10768" xr:uid="{00000000-0005-0000-0000-00000D2A0000}"/>
    <cellStyle name="Comma 2 3 3 4 2 3 3" xfId="10769" xr:uid="{00000000-0005-0000-0000-00000E2A0000}"/>
    <cellStyle name="Comma 2 3 3 4 2 3 4" xfId="10770" xr:uid="{00000000-0005-0000-0000-00000F2A0000}"/>
    <cellStyle name="Comma 2 3 3 4 2 3 5" xfId="10771" xr:uid="{00000000-0005-0000-0000-0000102A0000}"/>
    <cellStyle name="Comma 2 3 3 4 2 4" xfId="10772" xr:uid="{00000000-0005-0000-0000-0000112A0000}"/>
    <cellStyle name="Comma 2 3 3 4 2 4 2" xfId="10773" xr:uid="{00000000-0005-0000-0000-0000122A0000}"/>
    <cellStyle name="Comma 2 3 3 4 2 4 3" xfId="10774" xr:uid="{00000000-0005-0000-0000-0000132A0000}"/>
    <cellStyle name="Comma 2 3 3 4 2 4 4" xfId="10775" xr:uid="{00000000-0005-0000-0000-0000142A0000}"/>
    <cellStyle name="Comma 2 3 3 4 2 5" xfId="10776" xr:uid="{00000000-0005-0000-0000-0000152A0000}"/>
    <cellStyle name="Comma 2 3 3 4 2 5 2" xfId="10777" xr:uid="{00000000-0005-0000-0000-0000162A0000}"/>
    <cellStyle name="Comma 2 3 3 4 2 6" xfId="10778" xr:uid="{00000000-0005-0000-0000-0000172A0000}"/>
    <cellStyle name="Comma 2 3 3 4 2 7" xfId="10779" xr:uid="{00000000-0005-0000-0000-0000182A0000}"/>
    <cellStyle name="Comma 2 3 3 4 2 8" xfId="10780" xr:uid="{00000000-0005-0000-0000-0000192A0000}"/>
    <cellStyle name="Comma 2 3 3 4 2 9" xfId="10781" xr:uid="{00000000-0005-0000-0000-00001A2A0000}"/>
    <cellStyle name="Comma 2 3 3 4 3" xfId="10782" xr:uid="{00000000-0005-0000-0000-00001B2A0000}"/>
    <cellStyle name="Comma 2 3 3 4 3 2" xfId="10783" xr:uid="{00000000-0005-0000-0000-00001C2A0000}"/>
    <cellStyle name="Comma 2 3 3 4 3 2 2" xfId="10784" xr:uid="{00000000-0005-0000-0000-00001D2A0000}"/>
    <cellStyle name="Comma 2 3 3 4 3 2 2 2" xfId="10785" xr:uid="{00000000-0005-0000-0000-00001E2A0000}"/>
    <cellStyle name="Comma 2 3 3 4 3 2 2 3" xfId="10786" xr:uid="{00000000-0005-0000-0000-00001F2A0000}"/>
    <cellStyle name="Comma 2 3 3 4 3 2 3" xfId="10787" xr:uid="{00000000-0005-0000-0000-0000202A0000}"/>
    <cellStyle name="Comma 2 3 3 4 3 2 4" xfId="10788" xr:uid="{00000000-0005-0000-0000-0000212A0000}"/>
    <cellStyle name="Comma 2 3 3 4 3 2 5" xfId="10789" xr:uid="{00000000-0005-0000-0000-0000222A0000}"/>
    <cellStyle name="Comma 2 3 3 4 3 2 6" xfId="10790" xr:uid="{00000000-0005-0000-0000-0000232A0000}"/>
    <cellStyle name="Comma 2 3 3 4 3 3" xfId="10791" xr:uid="{00000000-0005-0000-0000-0000242A0000}"/>
    <cellStyle name="Comma 2 3 3 4 3 3 2" xfId="10792" xr:uid="{00000000-0005-0000-0000-0000252A0000}"/>
    <cellStyle name="Comma 2 3 3 4 3 3 2 2" xfId="10793" xr:uid="{00000000-0005-0000-0000-0000262A0000}"/>
    <cellStyle name="Comma 2 3 3 4 3 3 3" xfId="10794" xr:uid="{00000000-0005-0000-0000-0000272A0000}"/>
    <cellStyle name="Comma 2 3 3 4 3 3 4" xfId="10795" xr:uid="{00000000-0005-0000-0000-0000282A0000}"/>
    <cellStyle name="Comma 2 3 3 4 3 3 5" xfId="10796" xr:uid="{00000000-0005-0000-0000-0000292A0000}"/>
    <cellStyle name="Comma 2 3 3 4 3 4" xfId="10797" xr:uid="{00000000-0005-0000-0000-00002A2A0000}"/>
    <cellStyle name="Comma 2 3 3 4 3 4 2" xfId="10798" xr:uid="{00000000-0005-0000-0000-00002B2A0000}"/>
    <cellStyle name="Comma 2 3 3 4 3 4 3" xfId="10799" xr:uid="{00000000-0005-0000-0000-00002C2A0000}"/>
    <cellStyle name="Comma 2 3 3 4 3 4 4" xfId="10800" xr:uid="{00000000-0005-0000-0000-00002D2A0000}"/>
    <cellStyle name="Comma 2 3 3 4 3 5" xfId="10801" xr:uid="{00000000-0005-0000-0000-00002E2A0000}"/>
    <cellStyle name="Comma 2 3 3 4 3 5 2" xfId="10802" xr:uid="{00000000-0005-0000-0000-00002F2A0000}"/>
    <cellStyle name="Comma 2 3 3 4 3 6" xfId="10803" xr:uid="{00000000-0005-0000-0000-0000302A0000}"/>
    <cellStyle name="Comma 2 3 3 4 3 7" xfId="10804" xr:uid="{00000000-0005-0000-0000-0000312A0000}"/>
    <cellStyle name="Comma 2 3 3 4 3 8" xfId="10805" xr:uid="{00000000-0005-0000-0000-0000322A0000}"/>
    <cellStyle name="Comma 2 3 3 4 3 9" xfId="10806" xr:uid="{00000000-0005-0000-0000-0000332A0000}"/>
    <cellStyle name="Comma 2 3 3 4 4" xfId="10807" xr:uid="{00000000-0005-0000-0000-0000342A0000}"/>
    <cellStyle name="Comma 2 3 3 4 4 2" xfId="10808" xr:uid="{00000000-0005-0000-0000-0000352A0000}"/>
    <cellStyle name="Comma 2 3 3 4 4 2 2" xfId="10809" xr:uid="{00000000-0005-0000-0000-0000362A0000}"/>
    <cellStyle name="Comma 2 3 3 4 4 2 3" xfId="10810" xr:uid="{00000000-0005-0000-0000-0000372A0000}"/>
    <cellStyle name="Comma 2 3 3 4 4 3" xfId="10811" xr:uid="{00000000-0005-0000-0000-0000382A0000}"/>
    <cellStyle name="Comma 2 3 3 4 4 4" xfId="10812" xr:uid="{00000000-0005-0000-0000-0000392A0000}"/>
    <cellStyle name="Comma 2 3 3 4 4 5" xfId="10813" xr:uid="{00000000-0005-0000-0000-00003A2A0000}"/>
    <cellStyle name="Comma 2 3 3 4 4 6" xfId="10814" xr:uid="{00000000-0005-0000-0000-00003B2A0000}"/>
    <cellStyle name="Comma 2 3 3 4 5" xfId="10815" xr:uid="{00000000-0005-0000-0000-00003C2A0000}"/>
    <cellStyle name="Comma 2 3 3 4 5 2" xfId="10816" xr:uid="{00000000-0005-0000-0000-00003D2A0000}"/>
    <cellStyle name="Comma 2 3 3 4 5 2 2" xfId="10817" xr:uid="{00000000-0005-0000-0000-00003E2A0000}"/>
    <cellStyle name="Comma 2 3 3 4 5 3" xfId="10818" xr:uid="{00000000-0005-0000-0000-00003F2A0000}"/>
    <cellStyle name="Comma 2 3 3 4 5 4" xfId="10819" xr:uid="{00000000-0005-0000-0000-0000402A0000}"/>
    <cellStyle name="Comma 2 3 3 4 5 5" xfId="10820" xr:uid="{00000000-0005-0000-0000-0000412A0000}"/>
    <cellStyle name="Comma 2 3 3 4 6" xfId="10821" xr:uid="{00000000-0005-0000-0000-0000422A0000}"/>
    <cellStyle name="Comma 2 3 3 4 6 2" xfId="10822" xr:uid="{00000000-0005-0000-0000-0000432A0000}"/>
    <cellStyle name="Comma 2 3 3 4 6 3" xfId="10823" xr:uid="{00000000-0005-0000-0000-0000442A0000}"/>
    <cellStyle name="Comma 2 3 3 4 6 4" xfId="10824" xr:uid="{00000000-0005-0000-0000-0000452A0000}"/>
    <cellStyle name="Comma 2 3 3 4 7" xfId="10825" xr:uid="{00000000-0005-0000-0000-0000462A0000}"/>
    <cellStyle name="Comma 2 3 3 4 7 2" xfId="10826" xr:uid="{00000000-0005-0000-0000-0000472A0000}"/>
    <cellStyle name="Comma 2 3 3 4 8" xfId="10827" xr:uid="{00000000-0005-0000-0000-0000482A0000}"/>
    <cellStyle name="Comma 2 3 3 4 9" xfId="10828" xr:uid="{00000000-0005-0000-0000-0000492A0000}"/>
    <cellStyle name="Comma 2 3 3 5" xfId="10829" xr:uid="{00000000-0005-0000-0000-00004A2A0000}"/>
    <cellStyle name="Comma 2 3 3 5 10" xfId="10830" xr:uid="{00000000-0005-0000-0000-00004B2A0000}"/>
    <cellStyle name="Comma 2 3 3 5 11" xfId="10831" xr:uid="{00000000-0005-0000-0000-00004C2A0000}"/>
    <cellStyle name="Comma 2 3 3 5 2" xfId="10832" xr:uid="{00000000-0005-0000-0000-00004D2A0000}"/>
    <cellStyle name="Comma 2 3 3 5 2 2" xfId="10833" xr:uid="{00000000-0005-0000-0000-00004E2A0000}"/>
    <cellStyle name="Comma 2 3 3 5 2 2 2" xfId="10834" xr:uid="{00000000-0005-0000-0000-00004F2A0000}"/>
    <cellStyle name="Comma 2 3 3 5 2 2 2 2" xfId="10835" xr:uid="{00000000-0005-0000-0000-0000502A0000}"/>
    <cellStyle name="Comma 2 3 3 5 2 2 2 3" xfId="10836" xr:uid="{00000000-0005-0000-0000-0000512A0000}"/>
    <cellStyle name="Comma 2 3 3 5 2 2 3" xfId="10837" xr:uid="{00000000-0005-0000-0000-0000522A0000}"/>
    <cellStyle name="Comma 2 3 3 5 2 2 4" xfId="10838" xr:uid="{00000000-0005-0000-0000-0000532A0000}"/>
    <cellStyle name="Comma 2 3 3 5 2 2 5" xfId="10839" xr:uid="{00000000-0005-0000-0000-0000542A0000}"/>
    <cellStyle name="Comma 2 3 3 5 2 2 6" xfId="10840" xr:uid="{00000000-0005-0000-0000-0000552A0000}"/>
    <cellStyle name="Comma 2 3 3 5 2 3" xfId="10841" xr:uid="{00000000-0005-0000-0000-0000562A0000}"/>
    <cellStyle name="Comma 2 3 3 5 2 3 2" xfId="10842" xr:uid="{00000000-0005-0000-0000-0000572A0000}"/>
    <cellStyle name="Comma 2 3 3 5 2 3 2 2" xfId="10843" xr:uid="{00000000-0005-0000-0000-0000582A0000}"/>
    <cellStyle name="Comma 2 3 3 5 2 3 3" xfId="10844" xr:uid="{00000000-0005-0000-0000-0000592A0000}"/>
    <cellStyle name="Comma 2 3 3 5 2 3 4" xfId="10845" xr:uid="{00000000-0005-0000-0000-00005A2A0000}"/>
    <cellStyle name="Comma 2 3 3 5 2 3 5" xfId="10846" xr:uid="{00000000-0005-0000-0000-00005B2A0000}"/>
    <cellStyle name="Comma 2 3 3 5 2 4" xfId="10847" xr:uid="{00000000-0005-0000-0000-00005C2A0000}"/>
    <cellStyle name="Comma 2 3 3 5 2 4 2" xfId="10848" xr:uid="{00000000-0005-0000-0000-00005D2A0000}"/>
    <cellStyle name="Comma 2 3 3 5 2 4 3" xfId="10849" xr:uid="{00000000-0005-0000-0000-00005E2A0000}"/>
    <cellStyle name="Comma 2 3 3 5 2 4 4" xfId="10850" xr:uid="{00000000-0005-0000-0000-00005F2A0000}"/>
    <cellStyle name="Comma 2 3 3 5 2 5" xfId="10851" xr:uid="{00000000-0005-0000-0000-0000602A0000}"/>
    <cellStyle name="Comma 2 3 3 5 2 5 2" xfId="10852" xr:uid="{00000000-0005-0000-0000-0000612A0000}"/>
    <cellStyle name="Comma 2 3 3 5 2 6" xfId="10853" xr:uid="{00000000-0005-0000-0000-0000622A0000}"/>
    <cellStyle name="Comma 2 3 3 5 2 7" xfId="10854" xr:uid="{00000000-0005-0000-0000-0000632A0000}"/>
    <cellStyle name="Comma 2 3 3 5 2 8" xfId="10855" xr:uid="{00000000-0005-0000-0000-0000642A0000}"/>
    <cellStyle name="Comma 2 3 3 5 2 9" xfId="10856" xr:uid="{00000000-0005-0000-0000-0000652A0000}"/>
    <cellStyle name="Comma 2 3 3 5 3" xfId="10857" xr:uid="{00000000-0005-0000-0000-0000662A0000}"/>
    <cellStyle name="Comma 2 3 3 5 3 2" xfId="10858" xr:uid="{00000000-0005-0000-0000-0000672A0000}"/>
    <cellStyle name="Comma 2 3 3 5 3 2 2" xfId="10859" xr:uid="{00000000-0005-0000-0000-0000682A0000}"/>
    <cellStyle name="Comma 2 3 3 5 3 2 2 2" xfId="10860" xr:uid="{00000000-0005-0000-0000-0000692A0000}"/>
    <cellStyle name="Comma 2 3 3 5 3 2 2 3" xfId="10861" xr:uid="{00000000-0005-0000-0000-00006A2A0000}"/>
    <cellStyle name="Comma 2 3 3 5 3 2 3" xfId="10862" xr:uid="{00000000-0005-0000-0000-00006B2A0000}"/>
    <cellStyle name="Comma 2 3 3 5 3 2 4" xfId="10863" xr:uid="{00000000-0005-0000-0000-00006C2A0000}"/>
    <cellStyle name="Comma 2 3 3 5 3 2 5" xfId="10864" xr:uid="{00000000-0005-0000-0000-00006D2A0000}"/>
    <cellStyle name="Comma 2 3 3 5 3 2 6" xfId="10865" xr:uid="{00000000-0005-0000-0000-00006E2A0000}"/>
    <cellStyle name="Comma 2 3 3 5 3 3" xfId="10866" xr:uid="{00000000-0005-0000-0000-00006F2A0000}"/>
    <cellStyle name="Comma 2 3 3 5 3 3 2" xfId="10867" xr:uid="{00000000-0005-0000-0000-0000702A0000}"/>
    <cellStyle name="Comma 2 3 3 5 3 3 2 2" xfId="10868" xr:uid="{00000000-0005-0000-0000-0000712A0000}"/>
    <cellStyle name="Comma 2 3 3 5 3 3 3" xfId="10869" xr:uid="{00000000-0005-0000-0000-0000722A0000}"/>
    <cellStyle name="Comma 2 3 3 5 3 3 4" xfId="10870" xr:uid="{00000000-0005-0000-0000-0000732A0000}"/>
    <cellStyle name="Comma 2 3 3 5 3 3 5" xfId="10871" xr:uid="{00000000-0005-0000-0000-0000742A0000}"/>
    <cellStyle name="Comma 2 3 3 5 3 4" xfId="10872" xr:uid="{00000000-0005-0000-0000-0000752A0000}"/>
    <cellStyle name="Comma 2 3 3 5 3 4 2" xfId="10873" xr:uid="{00000000-0005-0000-0000-0000762A0000}"/>
    <cellStyle name="Comma 2 3 3 5 3 4 3" xfId="10874" xr:uid="{00000000-0005-0000-0000-0000772A0000}"/>
    <cellStyle name="Comma 2 3 3 5 3 4 4" xfId="10875" xr:uid="{00000000-0005-0000-0000-0000782A0000}"/>
    <cellStyle name="Comma 2 3 3 5 3 5" xfId="10876" xr:uid="{00000000-0005-0000-0000-0000792A0000}"/>
    <cellStyle name="Comma 2 3 3 5 3 5 2" xfId="10877" xr:uid="{00000000-0005-0000-0000-00007A2A0000}"/>
    <cellStyle name="Comma 2 3 3 5 3 6" xfId="10878" xr:uid="{00000000-0005-0000-0000-00007B2A0000}"/>
    <cellStyle name="Comma 2 3 3 5 3 7" xfId="10879" xr:uid="{00000000-0005-0000-0000-00007C2A0000}"/>
    <cellStyle name="Comma 2 3 3 5 3 8" xfId="10880" xr:uid="{00000000-0005-0000-0000-00007D2A0000}"/>
    <cellStyle name="Comma 2 3 3 5 3 9" xfId="10881" xr:uid="{00000000-0005-0000-0000-00007E2A0000}"/>
    <cellStyle name="Comma 2 3 3 5 4" xfId="10882" xr:uid="{00000000-0005-0000-0000-00007F2A0000}"/>
    <cellStyle name="Comma 2 3 3 5 4 2" xfId="10883" xr:uid="{00000000-0005-0000-0000-0000802A0000}"/>
    <cellStyle name="Comma 2 3 3 5 4 2 2" xfId="10884" xr:uid="{00000000-0005-0000-0000-0000812A0000}"/>
    <cellStyle name="Comma 2 3 3 5 4 2 3" xfId="10885" xr:uid="{00000000-0005-0000-0000-0000822A0000}"/>
    <cellStyle name="Comma 2 3 3 5 4 3" xfId="10886" xr:uid="{00000000-0005-0000-0000-0000832A0000}"/>
    <cellStyle name="Comma 2 3 3 5 4 4" xfId="10887" xr:uid="{00000000-0005-0000-0000-0000842A0000}"/>
    <cellStyle name="Comma 2 3 3 5 4 5" xfId="10888" xr:uid="{00000000-0005-0000-0000-0000852A0000}"/>
    <cellStyle name="Comma 2 3 3 5 4 6" xfId="10889" xr:uid="{00000000-0005-0000-0000-0000862A0000}"/>
    <cellStyle name="Comma 2 3 3 5 5" xfId="10890" xr:uid="{00000000-0005-0000-0000-0000872A0000}"/>
    <cellStyle name="Comma 2 3 3 5 5 2" xfId="10891" xr:uid="{00000000-0005-0000-0000-0000882A0000}"/>
    <cellStyle name="Comma 2 3 3 5 5 2 2" xfId="10892" xr:uid="{00000000-0005-0000-0000-0000892A0000}"/>
    <cellStyle name="Comma 2 3 3 5 5 3" xfId="10893" xr:uid="{00000000-0005-0000-0000-00008A2A0000}"/>
    <cellStyle name="Comma 2 3 3 5 5 4" xfId="10894" xr:uid="{00000000-0005-0000-0000-00008B2A0000}"/>
    <cellStyle name="Comma 2 3 3 5 5 5" xfId="10895" xr:uid="{00000000-0005-0000-0000-00008C2A0000}"/>
    <cellStyle name="Comma 2 3 3 5 6" xfId="10896" xr:uid="{00000000-0005-0000-0000-00008D2A0000}"/>
    <cellStyle name="Comma 2 3 3 5 6 2" xfId="10897" xr:uid="{00000000-0005-0000-0000-00008E2A0000}"/>
    <cellStyle name="Comma 2 3 3 5 6 3" xfId="10898" xr:uid="{00000000-0005-0000-0000-00008F2A0000}"/>
    <cellStyle name="Comma 2 3 3 5 6 4" xfId="10899" xr:uid="{00000000-0005-0000-0000-0000902A0000}"/>
    <cellStyle name="Comma 2 3 3 5 7" xfId="10900" xr:uid="{00000000-0005-0000-0000-0000912A0000}"/>
    <cellStyle name="Comma 2 3 3 5 7 2" xfId="10901" xr:uid="{00000000-0005-0000-0000-0000922A0000}"/>
    <cellStyle name="Comma 2 3 3 5 8" xfId="10902" xr:uid="{00000000-0005-0000-0000-0000932A0000}"/>
    <cellStyle name="Comma 2 3 3 5 9" xfId="10903" xr:uid="{00000000-0005-0000-0000-0000942A0000}"/>
    <cellStyle name="Comma 2 3 3 6" xfId="10904" xr:uid="{00000000-0005-0000-0000-0000952A0000}"/>
    <cellStyle name="Comma 2 3 3 6 10" xfId="10905" xr:uid="{00000000-0005-0000-0000-0000962A0000}"/>
    <cellStyle name="Comma 2 3 3 6 11" xfId="10906" xr:uid="{00000000-0005-0000-0000-0000972A0000}"/>
    <cellStyle name="Comma 2 3 3 6 2" xfId="10907" xr:uid="{00000000-0005-0000-0000-0000982A0000}"/>
    <cellStyle name="Comma 2 3 3 6 2 2" xfId="10908" xr:uid="{00000000-0005-0000-0000-0000992A0000}"/>
    <cellStyle name="Comma 2 3 3 6 2 2 2" xfId="10909" xr:uid="{00000000-0005-0000-0000-00009A2A0000}"/>
    <cellStyle name="Comma 2 3 3 6 2 2 2 2" xfId="10910" xr:uid="{00000000-0005-0000-0000-00009B2A0000}"/>
    <cellStyle name="Comma 2 3 3 6 2 2 2 3" xfId="10911" xr:uid="{00000000-0005-0000-0000-00009C2A0000}"/>
    <cellStyle name="Comma 2 3 3 6 2 2 3" xfId="10912" xr:uid="{00000000-0005-0000-0000-00009D2A0000}"/>
    <cellStyle name="Comma 2 3 3 6 2 2 4" xfId="10913" xr:uid="{00000000-0005-0000-0000-00009E2A0000}"/>
    <cellStyle name="Comma 2 3 3 6 2 2 5" xfId="10914" xr:uid="{00000000-0005-0000-0000-00009F2A0000}"/>
    <cellStyle name="Comma 2 3 3 6 2 2 6" xfId="10915" xr:uid="{00000000-0005-0000-0000-0000A02A0000}"/>
    <cellStyle name="Comma 2 3 3 6 2 3" xfId="10916" xr:uid="{00000000-0005-0000-0000-0000A12A0000}"/>
    <cellStyle name="Comma 2 3 3 6 2 3 2" xfId="10917" xr:uid="{00000000-0005-0000-0000-0000A22A0000}"/>
    <cellStyle name="Comma 2 3 3 6 2 3 2 2" xfId="10918" xr:uid="{00000000-0005-0000-0000-0000A32A0000}"/>
    <cellStyle name="Comma 2 3 3 6 2 3 3" xfId="10919" xr:uid="{00000000-0005-0000-0000-0000A42A0000}"/>
    <cellStyle name="Comma 2 3 3 6 2 3 4" xfId="10920" xr:uid="{00000000-0005-0000-0000-0000A52A0000}"/>
    <cellStyle name="Comma 2 3 3 6 2 3 5" xfId="10921" xr:uid="{00000000-0005-0000-0000-0000A62A0000}"/>
    <cellStyle name="Comma 2 3 3 6 2 4" xfId="10922" xr:uid="{00000000-0005-0000-0000-0000A72A0000}"/>
    <cellStyle name="Comma 2 3 3 6 2 4 2" xfId="10923" xr:uid="{00000000-0005-0000-0000-0000A82A0000}"/>
    <cellStyle name="Comma 2 3 3 6 2 4 3" xfId="10924" xr:uid="{00000000-0005-0000-0000-0000A92A0000}"/>
    <cellStyle name="Comma 2 3 3 6 2 4 4" xfId="10925" xr:uid="{00000000-0005-0000-0000-0000AA2A0000}"/>
    <cellStyle name="Comma 2 3 3 6 2 5" xfId="10926" xr:uid="{00000000-0005-0000-0000-0000AB2A0000}"/>
    <cellStyle name="Comma 2 3 3 6 2 5 2" xfId="10927" xr:uid="{00000000-0005-0000-0000-0000AC2A0000}"/>
    <cellStyle name="Comma 2 3 3 6 2 6" xfId="10928" xr:uid="{00000000-0005-0000-0000-0000AD2A0000}"/>
    <cellStyle name="Comma 2 3 3 6 2 7" xfId="10929" xr:uid="{00000000-0005-0000-0000-0000AE2A0000}"/>
    <cellStyle name="Comma 2 3 3 6 2 8" xfId="10930" xr:uid="{00000000-0005-0000-0000-0000AF2A0000}"/>
    <cellStyle name="Comma 2 3 3 6 2 9" xfId="10931" xr:uid="{00000000-0005-0000-0000-0000B02A0000}"/>
    <cellStyle name="Comma 2 3 3 6 3" xfId="10932" xr:uid="{00000000-0005-0000-0000-0000B12A0000}"/>
    <cellStyle name="Comma 2 3 3 6 3 2" xfId="10933" xr:uid="{00000000-0005-0000-0000-0000B22A0000}"/>
    <cellStyle name="Comma 2 3 3 6 3 2 2" xfId="10934" xr:uid="{00000000-0005-0000-0000-0000B32A0000}"/>
    <cellStyle name="Comma 2 3 3 6 3 2 2 2" xfId="10935" xr:uid="{00000000-0005-0000-0000-0000B42A0000}"/>
    <cellStyle name="Comma 2 3 3 6 3 2 2 3" xfId="10936" xr:uid="{00000000-0005-0000-0000-0000B52A0000}"/>
    <cellStyle name="Comma 2 3 3 6 3 2 3" xfId="10937" xr:uid="{00000000-0005-0000-0000-0000B62A0000}"/>
    <cellStyle name="Comma 2 3 3 6 3 2 4" xfId="10938" xr:uid="{00000000-0005-0000-0000-0000B72A0000}"/>
    <cellStyle name="Comma 2 3 3 6 3 2 5" xfId="10939" xr:uid="{00000000-0005-0000-0000-0000B82A0000}"/>
    <cellStyle name="Comma 2 3 3 6 3 2 6" xfId="10940" xr:uid="{00000000-0005-0000-0000-0000B92A0000}"/>
    <cellStyle name="Comma 2 3 3 6 3 3" xfId="10941" xr:uid="{00000000-0005-0000-0000-0000BA2A0000}"/>
    <cellStyle name="Comma 2 3 3 6 3 3 2" xfId="10942" xr:uid="{00000000-0005-0000-0000-0000BB2A0000}"/>
    <cellStyle name="Comma 2 3 3 6 3 3 2 2" xfId="10943" xr:uid="{00000000-0005-0000-0000-0000BC2A0000}"/>
    <cellStyle name="Comma 2 3 3 6 3 3 3" xfId="10944" xr:uid="{00000000-0005-0000-0000-0000BD2A0000}"/>
    <cellStyle name="Comma 2 3 3 6 3 3 4" xfId="10945" xr:uid="{00000000-0005-0000-0000-0000BE2A0000}"/>
    <cellStyle name="Comma 2 3 3 6 3 3 5" xfId="10946" xr:uid="{00000000-0005-0000-0000-0000BF2A0000}"/>
    <cellStyle name="Comma 2 3 3 6 3 4" xfId="10947" xr:uid="{00000000-0005-0000-0000-0000C02A0000}"/>
    <cellStyle name="Comma 2 3 3 6 3 4 2" xfId="10948" xr:uid="{00000000-0005-0000-0000-0000C12A0000}"/>
    <cellStyle name="Comma 2 3 3 6 3 4 3" xfId="10949" xr:uid="{00000000-0005-0000-0000-0000C22A0000}"/>
    <cellStyle name="Comma 2 3 3 6 3 4 4" xfId="10950" xr:uid="{00000000-0005-0000-0000-0000C32A0000}"/>
    <cellStyle name="Comma 2 3 3 6 3 5" xfId="10951" xr:uid="{00000000-0005-0000-0000-0000C42A0000}"/>
    <cellStyle name="Comma 2 3 3 6 3 5 2" xfId="10952" xr:uid="{00000000-0005-0000-0000-0000C52A0000}"/>
    <cellStyle name="Comma 2 3 3 6 3 6" xfId="10953" xr:uid="{00000000-0005-0000-0000-0000C62A0000}"/>
    <cellStyle name="Comma 2 3 3 6 3 7" xfId="10954" xr:uid="{00000000-0005-0000-0000-0000C72A0000}"/>
    <cellStyle name="Comma 2 3 3 6 3 8" xfId="10955" xr:uid="{00000000-0005-0000-0000-0000C82A0000}"/>
    <cellStyle name="Comma 2 3 3 6 3 9" xfId="10956" xr:uid="{00000000-0005-0000-0000-0000C92A0000}"/>
    <cellStyle name="Comma 2 3 3 6 4" xfId="10957" xr:uid="{00000000-0005-0000-0000-0000CA2A0000}"/>
    <cellStyle name="Comma 2 3 3 6 4 2" xfId="10958" xr:uid="{00000000-0005-0000-0000-0000CB2A0000}"/>
    <cellStyle name="Comma 2 3 3 6 4 2 2" xfId="10959" xr:uid="{00000000-0005-0000-0000-0000CC2A0000}"/>
    <cellStyle name="Comma 2 3 3 6 4 2 3" xfId="10960" xr:uid="{00000000-0005-0000-0000-0000CD2A0000}"/>
    <cellStyle name="Comma 2 3 3 6 4 3" xfId="10961" xr:uid="{00000000-0005-0000-0000-0000CE2A0000}"/>
    <cellStyle name="Comma 2 3 3 6 4 4" xfId="10962" xr:uid="{00000000-0005-0000-0000-0000CF2A0000}"/>
    <cellStyle name="Comma 2 3 3 6 4 5" xfId="10963" xr:uid="{00000000-0005-0000-0000-0000D02A0000}"/>
    <cellStyle name="Comma 2 3 3 6 4 6" xfId="10964" xr:uid="{00000000-0005-0000-0000-0000D12A0000}"/>
    <cellStyle name="Comma 2 3 3 6 5" xfId="10965" xr:uid="{00000000-0005-0000-0000-0000D22A0000}"/>
    <cellStyle name="Comma 2 3 3 6 5 2" xfId="10966" xr:uid="{00000000-0005-0000-0000-0000D32A0000}"/>
    <cellStyle name="Comma 2 3 3 6 5 2 2" xfId="10967" xr:uid="{00000000-0005-0000-0000-0000D42A0000}"/>
    <cellStyle name="Comma 2 3 3 6 5 3" xfId="10968" xr:uid="{00000000-0005-0000-0000-0000D52A0000}"/>
    <cellStyle name="Comma 2 3 3 6 5 4" xfId="10969" xr:uid="{00000000-0005-0000-0000-0000D62A0000}"/>
    <cellStyle name="Comma 2 3 3 6 5 5" xfId="10970" xr:uid="{00000000-0005-0000-0000-0000D72A0000}"/>
    <cellStyle name="Comma 2 3 3 6 6" xfId="10971" xr:uid="{00000000-0005-0000-0000-0000D82A0000}"/>
    <cellStyle name="Comma 2 3 3 6 6 2" xfId="10972" xr:uid="{00000000-0005-0000-0000-0000D92A0000}"/>
    <cellStyle name="Comma 2 3 3 6 6 3" xfId="10973" xr:uid="{00000000-0005-0000-0000-0000DA2A0000}"/>
    <cellStyle name="Comma 2 3 3 6 6 4" xfId="10974" xr:uid="{00000000-0005-0000-0000-0000DB2A0000}"/>
    <cellStyle name="Comma 2 3 3 6 7" xfId="10975" xr:uid="{00000000-0005-0000-0000-0000DC2A0000}"/>
    <cellStyle name="Comma 2 3 3 6 7 2" xfId="10976" xr:uid="{00000000-0005-0000-0000-0000DD2A0000}"/>
    <cellStyle name="Comma 2 3 3 6 8" xfId="10977" xr:uid="{00000000-0005-0000-0000-0000DE2A0000}"/>
    <cellStyle name="Comma 2 3 3 6 9" xfId="10978" xr:uid="{00000000-0005-0000-0000-0000DF2A0000}"/>
    <cellStyle name="Comma 2 3 3 7" xfId="10979" xr:uid="{00000000-0005-0000-0000-0000E02A0000}"/>
    <cellStyle name="Comma 2 3 3 7 10" xfId="10980" xr:uid="{00000000-0005-0000-0000-0000E12A0000}"/>
    <cellStyle name="Comma 2 3 3 7 11" xfId="10981" xr:uid="{00000000-0005-0000-0000-0000E22A0000}"/>
    <cellStyle name="Comma 2 3 3 7 2" xfId="10982" xr:uid="{00000000-0005-0000-0000-0000E32A0000}"/>
    <cellStyle name="Comma 2 3 3 7 2 2" xfId="10983" xr:uid="{00000000-0005-0000-0000-0000E42A0000}"/>
    <cellStyle name="Comma 2 3 3 7 2 2 2" xfId="10984" xr:uid="{00000000-0005-0000-0000-0000E52A0000}"/>
    <cellStyle name="Comma 2 3 3 7 2 2 2 2" xfId="10985" xr:uid="{00000000-0005-0000-0000-0000E62A0000}"/>
    <cellStyle name="Comma 2 3 3 7 2 2 2 3" xfId="10986" xr:uid="{00000000-0005-0000-0000-0000E72A0000}"/>
    <cellStyle name="Comma 2 3 3 7 2 2 3" xfId="10987" xr:uid="{00000000-0005-0000-0000-0000E82A0000}"/>
    <cellStyle name="Comma 2 3 3 7 2 2 4" xfId="10988" xr:uid="{00000000-0005-0000-0000-0000E92A0000}"/>
    <cellStyle name="Comma 2 3 3 7 2 2 5" xfId="10989" xr:uid="{00000000-0005-0000-0000-0000EA2A0000}"/>
    <cellStyle name="Comma 2 3 3 7 2 2 6" xfId="10990" xr:uid="{00000000-0005-0000-0000-0000EB2A0000}"/>
    <cellStyle name="Comma 2 3 3 7 2 3" xfId="10991" xr:uid="{00000000-0005-0000-0000-0000EC2A0000}"/>
    <cellStyle name="Comma 2 3 3 7 2 3 2" xfId="10992" xr:uid="{00000000-0005-0000-0000-0000ED2A0000}"/>
    <cellStyle name="Comma 2 3 3 7 2 3 2 2" xfId="10993" xr:uid="{00000000-0005-0000-0000-0000EE2A0000}"/>
    <cellStyle name="Comma 2 3 3 7 2 3 3" xfId="10994" xr:uid="{00000000-0005-0000-0000-0000EF2A0000}"/>
    <cellStyle name="Comma 2 3 3 7 2 3 4" xfId="10995" xr:uid="{00000000-0005-0000-0000-0000F02A0000}"/>
    <cellStyle name="Comma 2 3 3 7 2 3 5" xfId="10996" xr:uid="{00000000-0005-0000-0000-0000F12A0000}"/>
    <cellStyle name="Comma 2 3 3 7 2 4" xfId="10997" xr:uid="{00000000-0005-0000-0000-0000F22A0000}"/>
    <cellStyle name="Comma 2 3 3 7 2 4 2" xfId="10998" xr:uid="{00000000-0005-0000-0000-0000F32A0000}"/>
    <cellStyle name="Comma 2 3 3 7 2 4 3" xfId="10999" xr:uid="{00000000-0005-0000-0000-0000F42A0000}"/>
    <cellStyle name="Comma 2 3 3 7 2 4 4" xfId="11000" xr:uid="{00000000-0005-0000-0000-0000F52A0000}"/>
    <cellStyle name="Comma 2 3 3 7 2 5" xfId="11001" xr:uid="{00000000-0005-0000-0000-0000F62A0000}"/>
    <cellStyle name="Comma 2 3 3 7 2 5 2" xfId="11002" xr:uid="{00000000-0005-0000-0000-0000F72A0000}"/>
    <cellStyle name="Comma 2 3 3 7 2 6" xfId="11003" xr:uid="{00000000-0005-0000-0000-0000F82A0000}"/>
    <cellStyle name="Comma 2 3 3 7 2 7" xfId="11004" xr:uid="{00000000-0005-0000-0000-0000F92A0000}"/>
    <cellStyle name="Comma 2 3 3 7 2 8" xfId="11005" xr:uid="{00000000-0005-0000-0000-0000FA2A0000}"/>
    <cellStyle name="Comma 2 3 3 7 2 9" xfId="11006" xr:uid="{00000000-0005-0000-0000-0000FB2A0000}"/>
    <cellStyle name="Comma 2 3 3 7 3" xfId="11007" xr:uid="{00000000-0005-0000-0000-0000FC2A0000}"/>
    <cellStyle name="Comma 2 3 3 7 3 2" xfId="11008" xr:uid="{00000000-0005-0000-0000-0000FD2A0000}"/>
    <cellStyle name="Comma 2 3 3 7 3 2 2" xfId="11009" xr:uid="{00000000-0005-0000-0000-0000FE2A0000}"/>
    <cellStyle name="Comma 2 3 3 7 3 2 2 2" xfId="11010" xr:uid="{00000000-0005-0000-0000-0000FF2A0000}"/>
    <cellStyle name="Comma 2 3 3 7 3 2 2 3" xfId="11011" xr:uid="{00000000-0005-0000-0000-0000002B0000}"/>
    <cellStyle name="Comma 2 3 3 7 3 2 3" xfId="11012" xr:uid="{00000000-0005-0000-0000-0000012B0000}"/>
    <cellStyle name="Comma 2 3 3 7 3 2 4" xfId="11013" xr:uid="{00000000-0005-0000-0000-0000022B0000}"/>
    <cellStyle name="Comma 2 3 3 7 3 2 5" xfId="11014" xr:uid="{00000000-0005-0000-0000-0000032B0000}"/>
    <cellStyle name="Comma 2 3 3 7 3 2 6" xfId="11015" xr:uid="{00000000-0005-0000-0000-0000042B0000}"/>
    <cellStyle name="Comma 2 3 3 7 3 3" xfId="11016" xr:uid="{00000000-0005-0000-0000-0000052B0000}"/>
    <cellStyle name="Comma 2 3 3 7 3 3 2" xfId="11017" xr:uid="{00000000-0005-0000-0000-0000062B0000}"/>
    <cellStyle name="Comma 2 3 3 7 3 3 2 2" xfId="11018" xr:uid="{00000000-0005-0000-0000-0000072B0000}"/>
    <cellStyle name="Comma 2 3 3 7 3 3 3" xfId="11019" xr:uid="{00000000-0005-0000-0000-0000082B0000}"/>
    <cellStyle name="Comma 2 3 3 7 3 3 4" xfId="11020" xr:uid="{00000000-0005-0000-0000-0000092B0000}"/>
    <cellStyle name="Comma 2 3 3 7 3 3 5" xfId="11021" xr:uid="{00000000-0005-0000-0000-00000A2B0000}"/>
    <cellStyle name="Comma 2 3 3 7 3 4" xfId="11022" xr:uid="{00000000-0005-0000-0000-00000B2B0000}"/>
    <cellStyle name="Comma 2 3 3 7 3 4 2" xfId="11023" xr:uid="{00000000-0005-0000-0000-00000C2B0000}"/>
    <cellStyle name="Comma 2 3 3 7 3 4 3" xfId="11024" xr:uid="{00000000-0005-0000-0000-00000D2B0000}"/>
    <cellStyle name="Comma 2 3 3 7 3 4 4" xfId="11025" xr:uid="{00000000-0005-0000-0000-00000E2B0000}"/>
    <cellStyle name="Comma 2 3 3 7 3 5" xfId="11026" xr:uid="{00000000-0005-0000-0000-00000F2B0000}"/>
    <cellStyle name="Comma 2 3 3 7 3 5 2" xfId="11027" xr:uid="{00000000-0005-0000-0000-0000102B0000}"/>
    <cellStyle name="Comma 2 3 3 7 3 6" xfId="11028" xr:uid="{00000000-0005-0000-0000-0000112B0000}"/>
    <cellStyle name="Comma 2 3 3 7 3 7" xfId="11029" xr:uid="{00000000-0005-0000-0000-0000122B0000}"/>
    <cellStyle name="Comma 2 3 3 7 3 8" xfId="11030" xr:uid="{00000000-0005-0000-0000-0000132B0000}"/>
    <cellStyle name="Comma 2 3 3 7 3 9" xfId="11031" xr:uid="{00000000-0005-0000-0000-0000142B0000}"/>
    <cellStyle name="Comma 2 3 3 7 4" xfId="11032" xr:uid="{00000000-0005-0000-0000-0000152B0000}"/>
    <cellStyle name="Comma 2 3 3 7 4 2" xfId="11033" xr:uid="{00000000-0005-0000-0000-0000162B0000}"/>
    <cellStyle name="Comma 2 3 3 7 4 2 2" xfId="11034" xr:uid="{00000000-0005-0000-0000-0000172B0000}"/>
    <cellStyle name="Comma 2 3 3 7 4 2 3" xfId="11035" xr:uid="{00000000-0005-0000-0000-0000182B0000}"/>
    <cellStyle name="Comma 2 3 3 7 4 3" xfId="11036" xr:uid="{00000000-0005-0000-0000-0000192B0000}"/>
    <cellStyle name="Comma 2 3 3 7 4 4" xfId="11037" xr:uid="{00000000-0005-0000-0000-00001A2B0000}"/>
    <cellStyle name="Comma 2 3 3 7 4 5" xfId="11038" xr:uid="{00000000-0005-0000-0000-00001B2B0000}"/>
    <cellStyle name="Comma 2 3 3 7 4 6" xfId="11039" xr:uid="{00000000-0005-0000-0000-00001C2B0000}"/>
    <cellStyle name="Comma 2 3 3 7 5" xfId="11040" xr:uid="{00000000-0005-0000-0000-00001D2B0000}"/>
    <cellStyle name="Comma 2 3 3 7 5 2" xfId="11041" xr:uid="{00000000-0005-0000-0000-00001E2B0000}"/>
    <cellStyle name="Comma 2 3 3 7 5 2 2" xfId="11042" xr:uid="{00000000-0005-0000-0000-00001F2B0000}"/>
    <cellStyle name="Comma 2 3 3 7 5 3" xfId="11043" xr:uid="{00000000-0005-0000-0000-0000202B0000}"/>
    <cellStyle name="Comma 2 3 3 7 5 4" xfId="11044" xr:uid="{00000000-0005-0000-0000-0000212B0000}"/>
    <cellStyle name="Comma 2 3 3 7 5 5" xfId="11045" xr:uid="{00000000-0005-0000-0000-0000222B0000}"/>
    <cellStyle name="Comma 2 3 3 7 6" xfId="11046" xr:uid="{00000000-0005-0000-0000-0000232B0000}"/>
    <cellStyle name="Comma 2 3 3 7 6 2" xfId="11047" xr:uid="{00000000-0005-0000-0000-0000242B0000}"/>
    <cellStyle name="Comma 2 3 3 7 6 3" xfId="11048" xr:uid="{00000000-0005-0000-0000-0000252B0000}"/>
    <cellStyle name="Comma 2 3 3 7 6 4" xfId="11049" xr:uid="{00000000-0005-0000-0000-0000262B0000}"/>
    <cellStyle name="Comma 2 3 3 7 7" xfId="11050" xr:uid="{00000000-0005-0000-0000-0000272B0000}"/>
    <cellStyle name="Comma 2 3 3 7 7 2" xfId="11051" xr:uid="{00000000-0005-0000-0000-0000282B0000}"/>
    <cellStyle name="Comma 2 3 3 7 8" xfId="11052" xr:uid="{00000000-0005-0000-0000-0000292B0000}"/>
    <cellStyle name="Comma 2 3 3 7 9" xfId="11053" xr:uid="{00000000-0005-0000-0000-00002A2B0000}"/>
    <cellStyle name="Comma 2 3 3 8" xfId="11054" xr:uid="{00000000-0005-0000-0000-00002B2B0000}"/>
    <cellStyle name="Comma 2 3 3 8 10" xfId="11055" xr:uid="{00000000-0005-0000-0000-00002C2B0000}"/>
    <cellStyle name="Comma 2 3 3 8 2" xfId="11056" xr:uid="{00000000-0005-0000-0000-00002D2B0000}"/>
    <cellStyle name="Comma 2 3 3 8 2 2" xfId="11057" xr:uid="{00000000-0005-0000-0000-00002E2B0000}"/>
    <cellStyle name="Comma 2 3 3 8 2 2 2" xfId="11058" xr:uid="{00000000-0005-0000-0000-00002F2B0000}"/>
    <cellStyle name="Comma 2 3 3 8 2 2 3" xfId="11059" xr:uid="{00000000-0005-0000-0000-0000302B0000}"/>
    <cellStyle name="Comma 2 3 3 8 2 3" xfId="11060" xr:uid="{00000000-0005-0000-0000-0000312B0000}"/>
    <cellStyle name="Comma 2 3 3 8 2 4" xfId="11061" xr:uid="{00000000-0005-0000-0000-0000322B0000}"/>
    <cellStyle name="Comma 2 3 3 8 2 5" xfId="11062" xr:uid="{00000000-0005-0000-0000-0000332B0000}"/>
    <cellStyle name="Comma 2 3 3 8 2 6" xfId="11063" xr:uid="{00000000-0005-0000-0000-0000342B0000}"/>
    <cellStyle name="Comma 2 3 3 8 3" xfId="11064" xr:uid="{00000000-0005-0000-0000-0000352B0000}"/>
    <cellStyle name="Comma 2 3 3 8 3 2" xfId="11065" xr:uid="{00000000-0005-0000-0000-0000362B0000}"/>
    <cellStyle name="Comma 2 3 3 8 3 2 2" xfId="11066" xr:uid="{00000000-0005-0000-0000-0000372B0000}"/>
    <cellStyle name="Comma 2 3 3 8 3 2 3" xfId="11067" xr:uid="{00000000-0005-0000-0000-0000382B0000}"/>
    <cellStyle name="Comma 2 3 3 8 3 3" xfId="11068" xr:uid="{00000000-0005-0000-0000-0000392B0000}"/>
    <cellStyle name="Comma 2 3 3 8 3 4" xfId="11069" xr:uid="{00000000-0005-0000-0000-00003A2B0000}"/>
    <cellStyle name="Comma 2 3 3 8 3 5" xfId="11070" xr:uid="{00000000-0005-0000-0000-00003B2B0000}"/>
    <cellStyle name="Comma 2 3 3 8 3 6" xfId="11071" xr:uid="{00000000-0005-0000-0000-00003C2B0000}"/>
    <cellStyle name="Comma 2 3 3 8 4" xfId="11072" xr:uid="{00000000-0005-0000-0000-00003D2B0000}"/>
    <cellStyle name="Comma 2 3 3 8 4 2" xfId="11073" xr:uid="{00000000-0005-0000-0000-00003E2B0000}"/>
    <cellStyle name="Comma 2 3 3 8 4 2 2" xfId="11074" xr:uid="{00000000-0005-0000-0000-00003F2B0000}"/>
    <cellStyle name="Comma 2 3 3 8 4 3" xfId="11075" xr:uid="{00000000-0005-0000-0000-0000402B0000}"/>
    <cellStyle name="Comma 2 3 3 8 4 4" xfId="11076" xr:uid="{00000000-0005-0000-0000-0000412B0000}"/>
    <cellStyle name="Comma 2 3 3 8 4 5" xfId="11077" xr:uid="{00000000-0005-0000-0000-0000422B0000}"/>
    <cellStyle name="Comma 2 3 3 8 5" xfId="11078" xr:uid="{00000000-0005-0000-0000-0000432B0000}"/>
    <cellStyle name="Comma 2 3 3 8 5 2" xfId="11079" xr:uid="{00000000-0005-0000-0000-0000442B0000}"/>
    <cellStyle name="Comma 2 3 3 8 5 3" xfId="11080" xr:uid="{00000000-0005-0000-0000-0000452B0000}"/>
    <cellStyle name="Comma 2 3 3 8 5 4" xfId="11081" xr:uid="{00000000-0005-0000-0000-0000462B0000}"/>
    <cellStyle name="Comma 2 3 3 8 6" xfId="11082" xr:uid="{00000000-0005-0000-0000-0000472B0000}"/>
    <cellStyle name="Comma 2 3 3 8 6 2" xfId="11083" xr:uid="{00000000-0005-0000-0000-0000482B0000}"/>
    <cellStyle name="Comma 2 3 3 8 7" xfId="11084" xr:uid="{00000000-0005-0000-0000-0000492B0000}"/>
    <cellStyle name="Comma 2 3 3 8 8" xfId="11085" xr:uid="{00000000-0005-0000-0000-00004A2B0000}"/>
    <cellStyle name="Comma 2 3 3 8 9" xfId="11086" xr:uid="{00000000-0005-0000-0000-00004B2B0000}"/>
    <cellStyle name="Comma 2 3 3 9" xfId="11087" xr:uid="{00000000-0005-0000-0000-00004C2B0000}"/>
    <cellStyle name="Comma 2 3 3 9 10" xfId="11088" xr:uid="{00000000-0005-0000-0000-00004D2B0000}"/>
    <cellStyle name="Comma 2 3 3 9 2" xfId="11089" xr:uid="{00000000-0005-0000-0000-00004E2B0000}"/>
    <cellStyle name="Comma 2 3 3 9 2 2" xfId="11090" xr:uid="{00000000-0005-0000-0000-00004F2B0000}"/>
    <cellStyle name="Comma 2 3 3 9 2 2 2" xfId="11091" xr:uid="{00000000-0005-0000-0000-0000502B0000}"/>
    <cellStyle name="Comma 2 3 3 9 2 2 3" xfId="11092" xr:uid="{00000000-0005-0000-0000-0000512B0000}"/>
    <cellStyle name="Comma 2 3 3 9 2 3" xfId="11093" xr:uid="{00000000-0005-0000-0000-0000522B0000}"/>
    <cellStyle name="Comma 2 3 3 9 2 4" xfId="11094" xr:uid="{00000000-0005-0000-0000-0000532B0000}"/>
    <cellStyle name="Comma 2 3 3 9 2 5" xfId="11095" xr:uid="{00000000-0005-0000-0000-0000542B0000}"/>
    <cellStyle name="Comma 2 3 3 9 2 6" xfId="11096" xr:uid="{00000000-0005-0000-0000-0000552B0000}"/>
    <cellStyle name="Comma 2 3 3 9 3" xfId="11097" xr:uid="{00000000-0005-0000-0000-0000562B0000}"/>
    <cellStyle name="Comma 2 3 3 9 3 2" xfId="11098" xr:uid="{00000000-0005-0000-0000-0000572B0000}"/>
    <cellStyle name="Comma 2 3 3 9 3 2 2" xfId="11099" xr:uid="{00000000-0005-0000-0000-0000582B0000}"/>
    <cellStyle name="Comma 2 3 3 9 3 2 3" xfId="11100" xr:uid="{00000000-0005-0000-0000-0000592B0000}"/>
    <cellStyle name="Comma 2 3 3 9 3 3" xfId="11101" xr:uid="{00000000-0005-0000-0000-00005A2B0000}"/>
    <cellStyle name="Comma 2 3 3 9 3 4" xfId="11102" xr:uid="{00000000-0005-0000-0000-00005B2B0000}"/>
    <cellStyle name="Comma 2 3 3 9 3 5" xfId="11103" xr:uid="{00000000-0005-0000-0000-00005C2B0000}"/>
    <cellStyle name="Comma 2 3 3 9 3 6" xfId="11104" xr:uid="{00000000-0005-0000-0000-00005D2B0000}"/>
    <cellStyle name="Comma 2 3 3 9 4" xfId="11105" xr:uid="{00000000-0005-0000-0000-00005E2B0000}"/>
    <cellStyle name="Comma 2 3 3 9 4 2" xfId="11106" xr:uid="{00000000-0005-0000-0000-00005F2B0000}"/>
    <cellStyle name="Comma 2 3 3 9 4 2 2" xfId="11107" xr:uid="{00000000-0005-0000-0000-0000602B0000}"/>
    <cellStyle name="Comma 2 3 3 9 4 3" xfId="11108" xr:uid="{00000000-0005-0000-0000-0000612B0000}"/>
    <cellStyle name="Comma 2 3 3 9 4 4" xfId="11109" xr:uid="{00000000-0005-0000-0000-0000622B0000}"/>
    <cellStyle name="Comma 2 3 3 9 4 5" xfId="11110" xr:uid="{00000000-0005-0000-0000-0000632B0000}"/>
    <cellStyle name="Comma 2 3 3 9 5" xfId="11111" xr:uid="{00000000-0005-0000-0000-0000642B0000}"/>
    <cellStyle name="Comma 2 3 3 9 5 2" xfId="11112" xr:uid="{00000000-0005-0000-0000-0000652B0000}"/>
    <cellStyle name="Comma 2 3 3 9 5 3" xfId="11113" xr:uid="{00000000-0005-0000-0000-0000662B0000}"/>
    <cellStyle name="Comma 2 3 3 9 5 4" xfId="11114" xr:uid="{00000000-0005-0000-0000-0000672B0000}"/>
    <cellStyle name="Comma 2 3 3 9 6" xfId="11115" xr:uid="{00000000-0005-0000-0000-0000682B0000}"/>
    <cellStyle name="Comma 2 3 3 9 6 2" xfId="11116" xr:uid="{00000000-0005-0000-0000-0000692B0000}"/>
    <cellStyle name="Comma 2 3 3 9 7" xfId="11117" xr:uid="{00000000-0005-0000-0000-00006A2B0000}"/>
    <cellStyle name="Comma 2 3 3 9 8" xfId="11118" xr:uid="{00000000-0005-0000-0000-00006B2B0000}"/>
    <cellStyle name="Comma 2 3 3 9 9" xfId="11119" xr:uid="{00000000-0005-0000-0000-00006C2B0000}"/>
    <cellStyle name="Comma 2 3 30" xfId="11120" xr:uid="{00000000-0005-0000-0000-00006D2B0000}"/>
    <cellStyle name="Comma 2 3 30 2" xfId="11121" xr:uid="{00000000-0005-0000-0000-00006E2B0000}"/>
    <cellStyle name="Comma 2 3 30 2 2" xfId="11122" xr:uid="{00000000-0005-0000-0000-00006F2B0000}"/>
    <cellStyle name="Comma 2 3 30 2 2 2" xfId="11123" xr:uid="{00000000-0005-0000-0000-0000702B0000}"/>
    <cellStyle name="Comma 2 3 30 2 2 3" xfId="11124" xr:uid="{00000000-0005-0000-0000-0000712B0000}"/>
    <cellStyle name="Comma 2 3 30 2 3" xfId="11125" xr:uid="{00000000-0005-0000-0000-0000722B0000}"/>
    <cellStyle name="Comma 2 3 30 2 4" xfId="11126" xr:uid="{00000000-0005-0000-0000-0000732B0000}"/>
    <cellStyle name="Comma 2 3 30 2 5" xfId="11127" xr:uid="{00000000-0005-0000-0000-0000742B0000}"/>
    <cellStyle name="Comma 2 3 30 2 6" xfId="11128" xr:uid="{00000000-0005-0000-0000-0000752B0000}"/>
    <cellStyle name="Comma 2 3 30 3" xfId="11129" xr:uid="{00000000-0005-0000-0000-0000762B0000}"/>
    <cellStyle name="Comma 2 3 30 3 2" xfId="11130" xr:uid="{00000000-0005-0000-0000-0000772B0000}"/>
    <cellStyle name="Comma 2 3 30 3 2 2" xfId="11131" xr:uid="{00000000-0005-0000-0000-0000782B0000}"/>
    <cellStyle name="Comma 2 3 30 3 3" xfId="11132" xr:uid="{00000000-0005-0000-0000-0000792B0000}"/>
    <cellStyle name="Comma 2 3 30 3 4" xfId="11133" xr:uid="{00000000-0005-0000-0000-00007A2B0000}"/>
    <cellStyle name="Comma 2 3 30 3 5" xfId="11134" xr:uid="{00000000-0005-0000-0000-00007B2B0000}"/>
    <cellStyle name="Comma 2 3 30 4" xfId="11135" xr:uid="{00000000-0005-0000-0000-00007C2B0000}"/>
    <cellStyle name="Comma 2 3 30 4 2" xfId="11136" xr:uid="{00000000-0005-0000-0000-00007D2B0000}"/>
    <cellStyle name="Comma 2 3 30 4 3" xfId="11137" xr:uid="{00000000-0005-0000-0000-00007E2B0000}"/>
    <cellStyle name="Comma 2 3 30 4 4" xfId="11138" xr:uid="{00000000-0005-0000-0000-00007F2B0000}"/>
    <cellStyle name="Comma 2 3 30 5" xfId="11139" xr:uid="{00000000-0005-0000-0000-0000802B0000}"/>
    <cellStyle name="Comma 2 3 30 5 2" xfId="11140" xr:uid="{00000000-0005-0000-0000-0000812B0000}"/>
    <cellStyle name="Comma 2 3 30 6" xfId="11141" xr:uid="{00000000-0005-0000-0000-0000822B0000}"/>
    <cellStyle name="Comma 2 3 30 7" xfId="11142" xr:uid="{00000000-0005-0000-0000-0000832B0000}"/>
    <cellStyle name="Comma 2 3 30 8" xfId="11143" xr:uid="{00000000-0005-0000-0000-0000842B0000}"/>
    <cellStyle name="Comma 2 3 30 9" xfId="11144" xr:uid="{00000000-0005-0000-0000-0000852B0000}"/>
    <cellStyle name="Comma 2 3 31" xfId="11145" xr:uid="{00000000-0005-0000-0000-0000862B0000}"/>
    <cellStyle name="Comma 2 3 31 2" xfId="11146" xr:uid="{00000000-0005-0000-0000-0000872B0000}"/>
    <cellStyle name="Comma 2 3 31 2 2" xfId="11147" xr:uid="{00000000-0005-0000-0000-0000882B0000}"/>
    <cellStyle name="Comma 2 3 31 2 3" xfId="11148" xr:uid="{00000000-0005-0000-0000-0000892B0000}"/>
    <cellStyle name="Comma 2 3 31 3" xfId="11149" xr:uid="{00000000-0005-0000-0000-00008A2B0000}"/>
    <cellStyle name="Comma 2 3 31 4" xfId="11150" xr:uid="{00000000-0005-0000-0000-00008B2B0000}"/>
    <cellStyle name="Comma 2 3 31 5" xfId="11151" xr:uid="{00000000-0005-0000-0000-00008C2B0000}"/>
    <cellStyle name="Comma 2 3 31 6" xfId="11152" xr:uid="{00000000-0005-0000-0000-00008D2B0000}"/>
    <cellStyle name="Comma 2 3 32" xfId="11153" xr:uid="{00000000-0005-0000-0000-00008E2B0000}"/>
    <cellStyle name="Comma 2 3 32 2" xfId="11154" xr:uid="{00000000-0005-0000-0000-00008F2B0000}"/>
    <cellStyle name="Comma 2 3 32 2 2" xfId="11155" xr:uid="{00000000-0005-0000-0000-0000902B0000}"/>
    <cellStyle name="Comma 2 3 32 3" xfId="11156" xr:uid="{00000000-0005-0000-0000-0000912B0000}"/>
    <cellStyle name="Comma 2 3 32 4" xfId="11157" xr:uid="{00000000-0005-0000-0000-0000922B0000}"/>
    <cellStyle name="Comma 2 3 32 5" xfId="11158" xr:uid="{00000000-0005-0000-0000-0000932B0000}"/>
    <cellStyle name="Comma 2 3 33" xfId="11159" xr:uid="{00000000-0005-0000-0000-0000942B0000}"/>
    <cellStyle name="Comma 2 3 33 2" xfId="11160" xr:uid="{00000000-0005-0000-0000-0000952B0000}"/>
    <cellStyle name="Comma 2 3 33 2 2" xfId="11161" xr:uid="{00000000-0005-0000-0000-0000962B0000}"/>
    <cellStyle name="Comma 2 3 33 3" xfId="11162" xr:uid="{00000000-0005-0000-0000-0000972B0000}"/>
    <cellStyle name="Comma 2 3 33 4" xfId="11163" xr:uid="{00000000-0005-0000-0000-0000982B0000}"/>
    <cellStyle name="Comma 2 3 33 5" xfId="11164" xr:uid="{00000000-0005-0000-0000-0000992B0000}"/>
    <cellStyle name="Comma 2 3 34" xfId="11165" xr:uid="{00000000-0005-0000-0000-00009A2B0000}"/>
    <cellStyle name="Comma 2 3 34 2" xfId="11166" xr:uid="{00000000-0005-0000-0000-00009B2B0000}"/>
    <cellStyle name="Comma 2 3 35" xfId="11167" xr:uid="{00000000-0005-0000-0000-00009C2B0000}"/>
    <cellStyle name="Comma 2 3 36" xfId="11168" xr:uid="{00000000-0005-0000-0000-00009D2B0000}"/>
    <cellStyle name="Comma 2 3 37" xfId="11169" xr:uid="{00000000-0005-0000-0000-00009E2B0000}"/>
    <cellStyle name="Comma 2 3 38" xfId="11170" xr:uid="{00000000-0005-0000-0000-00009F2B0000}"/>
    <cellStyle name="Comma 2 3 4" xfId="11171" xr:uid="{00000000-0005-0000-0000-0000A02B0000}"/>
    <cellStyle name="Comma 2 3 4 10" xfId="11172" xr:uid="{00000000-0005-0000-0000-0000A12B0000}"/>
    <cellStyle name="Comma 2 3 4 11" xfId="11173" xr:uid="{00000000-0005-0000-0000-0000A22B0000}"/>
    <cellStyle name="Comma 2 3 4 2" xfId="11174" xr:uid="{00000000-0005-0000-0000-0000A32B0000}"/>
    <cellStyle name="Comma 2 3 4 2 2" xfId="11175" xr:uid="{00000000-0005-0000-0000-0000A42B0000}"/>
    <cellStyle name="Comma 2 3 4 2 2 2" xfId="11176" xr:uid="{00000000-0005-0000-0000-0000A52B0000}"/>
    <cellStyle name="Comma 2 3 4 2 2 2 2" xfId="11177" xr:uid="{00000000-0005-0000-0000-0000A62B0000}"/>
    <cellStyle name="Comma 2 3 4 2 2 2 3" xfId="11178" xr:uid="{00000000-0005-0000-0000-0000A72B0000}"/>
    <cellStyle name="Comma 2 3 4 2 2 3" xfId="11179" xr:uid="{00000000-0005-0000-0000-0000A82B0000}"/>
    <cellStyle name="Comma 2 3 4 2 2 4" xfId="11180" xr:uid="{00000000-0005-0000-0000-0000A92B0000}"/>
    <cellStyle name="Comma 2 3 4 2 2 5" xfId="11181" xr:uid="{00000000-0005-0000-0000-0000AA2B0000}"/>
    <cellStyle name="Comma 2 3 4 2 2 6" xfId="11182" xr:uid="{00000000-0005-0000-0000-0000AB2B0000}"/>
    <cellStyle name="Comma 2 3 4 2 3" xfId="11183" xr:uid="{00000000-0005-0000-0000-0000AC2B0000}"/>
    <cellStyle name="Comma 2 3 4 2 3 2" xfId="11184" xr:uid="{00000000-0005-0000-0000-0000AD2B0000}"/>
    <cellStyle name="Comma 2 3 4 2 3 2 2" xfId="11185" xr:uid="{00000000-0005-0000-0000-0000AE2B0000}"/>
    <cellStyle name="Comma 2 3 4 2 3 3" xfId="11186" xr:uid="{00000000-0005-0000-0000-0000AF2B0000}"/>
    <cellStyle name="Comma 2 3 4 2 3 4" xfId="11187" xr:uid="{00000000-0005-0000-0000-0000B02B0000}"/>
    <cellStyle name="Comma 2 3 4 2 3 5" xfId="11188" xr:uid="{00000000-0005-0000-0000-0000B12B0000}"/>
    <cellStyle name="Comma 2 3 4 2 4" xfId="11189" xr:uid="{00000000-0005-0000-0000-0000B22B0000}"/>
    <cellStyle name="Comma 2 3 4 2 4 2" xfId="11190" xr:uid="{00000000-0005-0000-0000-0000B32B0000}"/>
    <cellStyle name="Comma 2 3 4 2 4 3" xfId="11191" xr:uid="{00000000-0005-0000-0000-0000B42B0000}"/>
    <cellStyle name="Comma 2 3 4 2 4 4" xfId="11192" xr:uid="{00000000-0005-0000-0000-0000B52B0000}"/>
    <cellStyle name="Comma 2 3 4 2 5" xfId="11193" xr:uid="{00000000-0005-0000-0000-0000B62B0000}"/>
    <cellStyle name="Comma 2 3 4 2 5 2" xfId="11194" xr:uid="{00000000-0005-0000-0000-0000B72B0000}"/>
    <cellStyle name="Comma 2 3 4 2 6" xfId="11195" xr:uid="{00000000-0005-0000-0000-0000B82B0000}"/>
    <cellStyle name="Comma 2 3 4 2 7" xfId="11196" xr:uid="{00000000-0005-0000-0000-0000B92B0000}"/>
    <cellStyle name="Comma 2 3 4 2 8" xfId="11197" xr:uid="{00000000-0005-0000-0000-0000BA2B0000}"/>
    <cellStyle name="Comma 2 3 4 2 9" xfId="11198" xr:uid="{00000000-0005-0000-0000-0000BB2B0000}"/>
    <cellStyle name="Comma 2 3 4 3" xfId="11199" xr:uid="{00000000-0005-0000-0000-0000BC2B0000}"/>
    <cellStyle name="Comma 2 3 4 3 2" xfId="11200" xr:uid="{00000000-0005-0000-0000-0000BD2B0000}"/>
    <cellStyle name="Comma 2 3 4 3 2 2" xfId="11201" xr:uid="{00000000-0005-0000-0000-0000BE2B0000}"/>
    <cellStyle name="Comma 2 3 4 3 2 2 2" xfId="11202" xr:uid="{00000000-0005-0000-0000-0000BF2B0000}"/>
    <cellStyle name="Comma 2 3 4 3 2 2 3" xfId="11203" xr:uid="{00000000-0005-0000-0000-0000C02B0000}"/>
    <cellStyle name="Comma 2 3 4 3 2 3" xfId="11204" xr:uid="{00000000-0005-0000-0000-0000C12B0000}"/>
    <cellStyle name="Comma 2 3 4 3 2 4" xfId="11205" xr:uid="{00000000-0005-0000-0000-0000C22B0000}"/>
    <cellStyle name="Comma 2 3 4 3 2 5" xfId="11206" xr:uid="{00000000-0005-0000-0000-0000C32B0000}"/>
    <cellStyle name="Comma 2 3 4 3 2 6" xfId="11207" xr:uid="{00000000-0005-0000-0000-0000C42B0000}"/>
    <cellStyle name="Comma 2 3 4 3 3" xfId="11208" xr:uid="{00000000-0005-0000-0000-0000C52B0000}"/>
    <cellStyle name="Comma 2 3 4 3 3 2" xfId="11209" xr:uid="{00000000-0005-0000-0000-0000C62B0000}"/>
    <cellStyle name="Comma 2 3 4 3 3 2 2" xfId="11210" xr:uid="{00000000-0005-0000-0000-0000C72B0000}"/>
    <cellStyle name="Comma 2 3 4 3 3 3" xfId="11211" xr:uid="{00000000-0005-0000-0000-0000C82B0000}"/>
    <cellStyle name="Comma 2 3 4 3 3 4" xfId="11212" xr:uid="{00000000-0005-0000-0000-0000C92B0000}"/>
    <cellStyle name="Comma 2 3 4 3 3 5" xfId="11213" xr:uid="{00000000-0005-0000-0000-0000CA2B0000}"/>
    <cellStyle name="Comma 2 3 4 3 4" xfId="11214" xr:uid="{00000000-0005-0000-0000-0000CB2B0000}"/>
    <cellStyle name="Comma 2 3 4 3 4 2" xfId="11215" xr:uid="{00000000-0005-0000-0000-0000CC2B0000}"/>
    <cellStyle name="Comma 2 3 4 3 4 3" xfId="11216" xr:uid="{00000000-0005-0000-0000-0000CD2B0000}"/>
    <cellStyle name="Comma 2 3 4 3 4 4" xfId="11217" xr:uid="{00000000-0005-0000-0000-0000CE2B0000}"/>
    <cellStyle name="Comma 2 3 4 3 5" xfId="11218" xr:uid="{00000000-0005-0000-0000-0000CF2B0000}"/>
    <cellStyle name="Comma 2 3 4 3 5 2" xfId="11219" xr:uid="{00000000-0005-0000-0000-0000D02B0000}"/>
    <cellStyle name="Comma 2 3 4 3 6" xfId="11220" xr:uid="{00000000-0005-0000-0000-0000D12B0000}"/>
    <cellStyle name="Comma 2 3 4 3 7" xfId="11221" xr:uid="{00000000-0005-0000-0000-0000D22B0000}"/>
    <cellStyle name="Comma 2 3 4 3 8" xfId="11222" xr:uid="{00000000-0005-0000-0000-0000D32B0000}"/>
    <cellStyle name="Comma 2 3 4 3 9" xfId="11223" xr:uid="{00000000-0005-0000-0000-0000D42B0000}"/>
    <cellStyle name="Comma 2 3 4 4" xfId="11224" xr:uid="{00000000-0005-0000-0000-0000D52B0000}"/>
    <cellStyle name="Comma 2 3 4 4 2" xfId="11225" xr:uid="{00000000-0005-0000-0000-0000D62B0000}"/>
    <cellStyle name="Comma 2 3 4 4 2 2" xfId="11226" xr:uid="{00000000-0005-0000-0000-0000D72B0000}"/>
    <cellStyle name="Comma 2 3 4 4 2 3" xfId="11227" xr:uid="{00000000-0005-0000-0000-0000D82B0000}"/>
    <cellStyle name="Comma 2 3 4 4 3" xfId="11228" xr:uid="{00000000-0005-0000-0000-0000D92B0000}"/>
    <cellStyle name="Comma 2 3 4 4 4" xfId="11229" xr:uid="{00000000-0005-0000-0000-0000DA2B0000}"/>
    <cellStyle name="Comma 2 3 4 4 5" xfId="11230" xr:uid="{00000000-0005-0000-0000-0000DB2B0000}"/>
    <cellStyle name="Comma 2 3 4 4 6" xfId="11231" xr:uid="{00000000-0005-0000-0000-0000DC2B0000}"/>
    <cellStyle name="Comma 2 3 4 5" xfId="11232" xr:uid="{00000000-0005-0000-0000-0000DD2B0000}"/>
    <cellStyle name="Comma 2 3 4 5 2" xfId="11233" xr:uid="{00000000-0005-0000-0000-0000DE2B0000}"/>
    <cellStyle name="Comma 2 3 4 5 2 2" xfId="11234" xr:uid="{00000000-0005-0000-0000-0000DF2B0000}"/>
    <cellStyle name="Comma 2 3 4 5 3" xfId="11235" xr:uid="{00000000-0005-0000-0000-0000E02B0000}"/>
    <cellStyle name="Comma 2 3 4 5 4" xfId="11236" xr:uid="{00000000-0005-0000-0000-0000E12B0000}"/>
    <cellStyle name="Comma 2 3 4 5 5" xfId="11237" xr:uid="{00000000-0005-0000-0000-0000E22B0000}"/>
    <cellStyle name="Comma 2 3 4 6" xfId="11238" xr:uid="{00000000-0005-0000-0000-0000E32B0000}"/>
    <cellStyle name="Comma 2 3 4 6 2" xfId="11239" xr:uid="{00000000-0005-0000-0000-0000E42B0000}"/>
    <cellStyle name="Comma 2 3 4 6 3" xfId="11240" xr:uid="{00000000-0005-0000-0000-0000E52B0000}"/>
    <cellStyle name="Comma 2 3 4 6 4" xfId="11241" xr:uid="{00000000-0005-0000-0000-0000E62B0000}"/>
    <cellStyle name="Comma 2 3 4 7" xfId="11242" xr:uid="{00000000-0005-0000-0000-0000E72B0000}"/>
    <cellStyle name="Comma 2 3 4 7 2" xfId="11243" xr:uid="{00000000-0005-0000-0000-0000E82B0000}"/>
    <cellStyle name="Comma 2 3 4 8" xfId="11244" xr:uid="{00000000-0005-0000-0000-0000E92B0000}"/>
    <cellStyle name="Comma 2 3 4 9" xfId="11245" xr:uid="{00000000-0005-0000-0000-0000EA2B0000}"/>
    <cellStyle name="Comma 2 3 5" xfId="11246" xr:uid="{00000000-0005-0000-0000-0000EB2B0000}"/>
    <cellStyle name="Comma 2 3 5 10" xfId="11247" xr:uid="{00000000-0005-0000-0000-0000EC2B0000}"/>
    <cellStyle name="Comma 2 3 5 11" xfId="11248" xr:uid="{00000000-0005-0000-0000-0000ED2B0000}"/>
    <cellStyle name="Comma 2 3 5 2" xfId="11249" xr:uid="{00000000-0005-0000-0000-0000EE2B0000}"/>
    <cellStyle name="Comma 2 3 5 2 2" xfId="11250" xr:uid="{00000000-0005-0000-0000-0000EF2B0000}"/>
    <cellStyle name="Comma 2 3 5 2 2 2" xfId="11251" xr:uid="{00000000-0005-0000-0000-0000F02B0000}"/>
    <cellStyle name="Comma 2 3 5 2 2 2 2" xfId="11252" xr:uid="{00000000-0005-0000-0000-0000F12B0000}"/>
    <cellStyle name="Comma 2 3 5 2 2 2 3" xfId="11253" xr:uid="{00000000-0005-0000-0000-0000F22B0000}"/>
    <cellStyle name="Comma 2 3 5 2 2 3" xfId="11254" xr:uid="{00000000-0005-0000-0000-0000F32B0000}"/>
    <cellStyle name="Comma 2 3 5 2 2 4" xfId="11255" xr:uid="{00000000-0005-0000-0000-0000F42B0000}"/>
    <cellStyle name="Comma 2 3 5 2 2 5" xfId="11256" xr:uid="{00000000-0005-0000-0000-0000F52B0000}"/>
    <cellStyle name="Comma 2 3 5 2 2 6" xfId="11257" xr:uid="{00000000-0005-0000-0000-0000F62B0000}"/>
    <cellStyle name="Comma 2 3 5 2 3" xfId="11258" xr:uid="{00000000-0005-0000-0000-0000F72B0000}"/>
    <cellStyle name="Comma 2 3 5 2 3 2" xfId="11259" xr:uid="{00000000-0005-0000-0000-0000F82B0000}"/>
    <cellStyle name="Comma 2 3 5 2 3 2 2" xfId="11260" xr:uid="{00000000-0005-0000-0000-0000F92B0000}"/>
    <cellStyle name="Comma 2 3 5 2 3 3" xfId="11261" xr:uid="{00000000-0005-0000-0000-0000FA2B0000}"/>
    <cellStyle name="Comma 2 3 5 2 3 4" xfId="11262" xr:uid="{00000000-0005-0000-0000-0000FB2B0000}"/>
    <cellStyle name="Comma 2 3 5 2 3 5" xfId="11263" xr:uid="{00000000-0005-0000-0000-0000FC2B0000}"/>
    <cellStyle name="Comma 2 3 5 2 4" xfId="11264" xr:uid="{00000000-0005-0000-0000-0000FD2B0000}"/>
    <cellStyle name="Comma 2 3 5 2 4 2" xfId="11265" xr:uid="{00000000-0005-0000-0000-0000FE2B0000}"/>
    <cellStyle name="Comma 2 3 5 2 4 3" xfId="11266" xr:uid="{00000000-0005-0000-0000-0000FF2B0000}"/>
    <cellStyle name="Comma 2 3 5 2 4 4" xfId="11267" xr:uid="{00000000-0005-0000-0000-0000002C0000}"/>
    <cellStyle name="Comma 2 3 5 2 5" xfId="11268" xr:uid="{00000000-0005-0000-0000-0000012C0000}"/>
    <cellStyle name="Comma 2 3 5 2 5 2" xfId="11269" xr:uid="{00000000-0005-0000-0000-0000022C0000}"/>
    <cellStyle name="Comma 2 3 5 2 6" xfId="11270" xr:uid="{00000000-0005-0000-0000-0000032C0000}"/>
    <cellStyle name="Comma 2 3 5 2 7" xfId="11271" xr:uid="{00000000-0005-0000-0000-0000042C0000}"/>
    <cellStyle name="Comma 2 3 5 2 8" xfId="11272" xr:uid="{00000000-0005-0000-0000-0000052C0000}"/>
    <cellStyle name="Comma 2 3 5 2 9" xfId="11273" xr:uid="{00000000-0005-0000-0000-0000062C0000}"/>
    <cellStyle name="Comma 2 3 5 3" xfId="11274" xr:uid="{00000000-0005-0000-0000-0000072C0000}"/>
    <cellStyle name="Comma 2 3 5 3 2" xfId="11275" xr:uid="{00000000-0005-0000-0000-0000082C0000}"/>
    <cellStyle name="Comma 2 3 5 3 2 2" xfId="11276" xr:uid="{00000000-0005-0000-0000-0000092C0000}"/>
    <cellStyle name="Comma 2 3 5 3 2 2 2" xfId="11277" xr:uid="{00000000-0005-0000-0000-00000A2C0000}"/>
    <cellStyle name="Comma 2 3 5 3 2 2 3" xfId="11278" xr:uid="{00000000-0005-0000-0000-00000B2C0000}"/>
    <cellStyle name="Comma 2 3 5 3 2 3" xfId="11279" xr:uid="{00000000-0005-0000-0000-00000C2C0000}"/>
    <cellStyle name="Comma 2 3 5 3 2 4" xfId="11280" xr:uid="{00000000-0005-0000-0000-00000D2C0000}"/>
    <cellStyle name="Comma 2 3 5 3 2 5" xfId="11281" xr:uid="{00000000-0005-0000-0000-00000E2C0000}"/>
    <cellStyle name="Comma 2 3 5 3 2 6" xfId="11282" xr:uid="{00000000-0005-0000-0000-00000F2C0000}"/>
    <cellStyle name="Comma 2 3 5 3 3" xfId="11283" xr:uid="{00000000-0005-0000-0000-0000102C0000}"/>
    <cellStyle name="Comma 2 3 5 3 3 2" xfId="11284" xr:uid="{00000000-0005-0000-0000-0000112C0000}"/>
    <cellStyle name="Comma 2 3 5 3 3 2 2" xfId="11285" xr:uid="{00000000-0005-0000-0000-0000122C0000}"/>
    <cellStyle name="Comma 2 3 5 3 3 3" xfId="11286" xr:uid="{00000000-0005-0000-0000-0000132C0000}"/>
    <cellStyle name="Comma 2 3 5 3 3 4" xfId="11287" xr:uid="{00000000-0005-0000-0000-0000142C0000}"/>
    <cellStyle name="Comma 2 3 5 3 3 5" xfId="11288" xr:uid="{00000000-0005-0000-0000-0000152C0000}"/>
    <cellStyle name="Comma 2 3 5 3 4" xfId="11289" xr:uid="{00000000-0005-0000-0000-0000162C0000}"/>
    <cellStyle name="Comma 2 3 5 3 4 2" xfId="11290" xr:uid="{00000000-0005-0000-0000-0000172C0000}"/>
    <cellStyle name="Comma 2 3 5 3 4 3" xfId="11291" xr:uid="{00000000-0005-0000-0000-0000182C0000}"/>
    <cellStyle name="Comma 2 3 5 3 4 4" xfId="11292" xr:uid="{00000000-0005-0000-0000-0000192C0000}"/>
    <cellStyle name="Comma 2 3 5 3 5" xfId="11293" xr:uid="{00000000-0005-0000-0000-00001A2C0000}"/>
    <cellStyle name="Comma 2 3 5 3 5 2" xfId="11294" xr:uid="{00000000-0005-0000-0000-00001B2C0000}"/>
    <cellStyle name="Comma 2 3 5 3 6" xfId="11295" xr:uid="{00000000-0005-0000-0000-00001C2C0000}"/>
    <cellStyle name="Comma 2 3 5 3 7" xfId="11296" xr:uid="{00000000-0005-0000-0000-00001D2C0000}"/>
    <cellStyle name="Comma 2 3 5 3 8" xfId="11297" xr:uid="{00000000-0005-0000-0000-00001E2C0000}"/>
    <cellStyle name="Comma 2 3 5 3 9" xfId="11298" xr:uid="{00000000-0005-0000-0000-00001F2C0000}"/>
    <cellStyle name="Comma 2 3 5 4" xfId="11299" xr:uid="{00000000-0005-0000-0000-0000202C0000}"/>
    <cellStyle name="Comma 2 3 5 4 2" xfId="11300" xr:uid="{00000000-0005-0000-0000-0000212C0000}"/>
    <cellStyle name="Comma 2 3 5 4 2 2" xfId="11301" xr:uid="{00000000-0005-0000-0000-0000222C0000}"/>
    <cellStyle name="Comma 2 3 5 4 2 3" xfId="11302" xr:uid="{00000000-0005-0000-0000-0000232C0000}"/>
    <cellStyle name="Comma 2 3 5 4 3" xfId="11303" xr:uid="{00000000-0005-0000-0000-0000242C0000}"/>
    <cellStyle name="Comma 2 3 5 4 4" xfId="11304" xr:uid="{00000000-0005-0000-0000-0000252C0000}"/>
    <cellStyle name="Comma 2 3 5 4 5" xfId="11305" xr:uid="{00000000-0005-0000-0000-0000262C0000}"/>
    <cellStyle name="Comma 2 3 5 4 6" xfId="11306" xr:uid="{00000000-0005-0000-0000-0000272C0000}"/>
    <cellStyle name="Comma 2 3 5 5" xfId="11307" xr:uid="{00000000-0005-0000-0000-0000282C0000}"/>
    <cellStyle name="Comma 2 3 5 5 2" xfId="11308" xr:uid="{00000000-0005-0000-0000-0000292C0000}"/>
    <cellStyle name="Comma 2 3 5 5 2 2" xfId="11309" xr:uid="{00000000-0005-0000-0000-00002A2C0000}"/>
    <cellStyle name="Comma 2 3 5 5 3" xfId="11310" xr:uid="{00000000-0005-0000-0000-00002B2C0000}"/>
    <cellStyle name="Comma 2 3 5 5 4" xfId="11311" xr:uid="{00000000-0005-0000-0000-00002C2C0000}"/>
    <cellStyle name="Comma 2 3 5 5 5" xfId="11312" xr:uid="{00000000-0005-0000-0000-00002D2C0000}"/>
    <cellStyle name="Comma 2 3 5 6" xfId="11313" xr:uid="{00000000-0005-0000-0000-00002E2C0000}"/>
    <cellStyle name="Comma 2 3 5 6 2" xfId="11314" xr:uid="{00000000-0005-0000-0000-00002F2C0000}"/>
    <cellStyle name="Comma 2 3 5 6 3" xfId="11315" xr:uid="{00000000-0005-0000-0000-0000302C0000}"/>
    <cellStyle name="Comma 2 3 5 6 4" xfId="11316" xr:uid="{00000000-0005-0000-0000-0000312C0000}"/>
    <cellStyle name="Comma 2 3 5 7" xfId="11317" xr:uid="{00000000-0005-0000-0000-0000322C0000}"/>
    <cellStyle name="Comma 2 3 5 7 2" xfId="11318" xr:uid="{00000000-0005-0000-0000-0000332C0000}"/>
    <cellStyle name="Comma 2 3 5 8" xfId="11319" xr:uid="{00000000-0005-0000-0000-0000342C0000}"/>
    <cellStyle name="Comma 2 3 5 9" xfId="11320" xr:uid="{00000000-0005-0000-0000-0000352C0000}"/>
    <cellStyle name="Comma 2 3 6" xfId="11321" xr:uid="{00000000-0005-0000-0000-0000362C0000}"/>
    <cellStyle name="Comma 2 3 6 10" xfId="11322" xr:uid="{00000000-0005-0000-0000-0000372C0000}"/>
    <cellStyle name="Comma 2 3 6 11" xfId="11323" xr:uid="{00000000-0005-0000-0000-0000382C0000}"/>
    <cellStyle name="Comma 2 3 6 2" xfId="11324" xr:uid="{00000000-0005-0000-0000-0000392C0000}"/>
    <cellStyle name="Comma 2 3 6 2 2" xfId="11325" xr:uid="{00000000-0005-0000-0000-00003A2C0000}"/>
    <cellStyle name="Comma 2 3 6 2 2 2" xfId="11326" xr:uid="{00000000-0005-0000-0000-00003B2C0000}"/>
    <cellStyle name="Comma 2 3 6 2 2 2 2" xfId="11327" xr:uid="{00000000-0005-0000-0000-00003C2C0000}"/>
    <cellStyle name="Comma 2 3 6 2 2 2 3" xfId="11328" xr:uid="{00000000-0005-0000-0000-00003D2C0000}"/>
    <cellStyle name="Comma 2 3 6 2 2 3" xfId="11329" xr:uid="{00000000-0005-0000-0000-00003E2C0000}"/>
    <cellStyle name="Comma 2 3 6 2 2 4" xfId="11330" xr:uid="{00000000-0005-0000-0000-00003F2C0000}"/>
    <cellStyle name="Comma 2 3 6 2 2 5" xfId="11331" xr:uid="{00000000-0005-0000-0000-0000402C0000}"/>
    <cellStyle name="Comma 2 3 6 2 2 6" xfId="11332" xr:uid="{00000000-0005-0000-0000-0000412C0000}"/>
    <cellStyle name="Comma 2 3 6 2 3" xfId="11333" xr:uid="{00000000-0005-0000-0000-0000422C0000}"/>
    <cellStyle name="Comma 2 3 6 2 3 2" xfId="11334" xr:uid="{00000000-0005-0000-0000-0000432C0000}"/>
    <cellStyle name="Comma 2 3 6 2 3 2 2" xfId="11335" xr:uid="{00000000-0005-0000-0000-0000442C0000}"/>
    <cellStyle name="Comma 2 3 6 2 3 3" xfId="11336" xr:uid="{00000000-0005-0000-0000-0000452C0000}"/>
    <cellStyle name="Comma 2 3 6 2 3 4" xfId="11337" xr:uid="{00000000-0005-0000-0000-0000462C0000}"/>
    <cellStyle name="Comma 2 3 6 2 3 5" xfId="11338" xr:uid="{00000000-0005-0000-0000-0000472C0000}"/>
    <cellStyle name="Comma 2 3 6 2 4" xfId="11339" xr:uid="{00000000-0005-0000-0000-0000482C0000}"/>
    <cellStyle name="Comma 2 3 6 2 4 2" xfId="11340" xr:uid="{00000000-0005-0000-0000-0000492C0000}"/>
    <cellStyle name="Comma 2 3 6 2 4 3" xfId="11341" xr:uid="{00000000-0005-0000-0000-00004A2C0000}"/>
    <cellStyle name="Comma 2 3 6 2 4 4" xfId="11342" xr:uid="{00000000-0005-0000-0000-00004B2C0000}"/>
    <cellStyle name="Comma 2 3 6 2 5" xfId="11343" xr:uid="{00000000-0005-0000-0000-00004C2C0000}"/>
    <cellStyle name="Comma 2 3 6 2 5 2" xfId="11344" xr:uid="{00000000-0005-0000-0000-00004D2C0000}"/>
    <cellStyle name="Comma 2 3 6 2 6" xfId="11345" xr:uid="{00000000-0005-0000-0000-00004E2C0000}"/>
    <cellStyle name="Comma 2 3 6 2 7" xfId="11346" xr:uid="{00000000-0005-0000-0000-00004F2C0000}"/>
    <cellStyle name="Comma 2 3 6 2 8" xfId="11347" xr:uid="{00000000-0005-0000-0000-0000502C0000}"/>
    <cellStyle name="Comma 2 3 6 2 9" xfId="11348" xr:uid="{00000000-0005-0000-0000-0000512C0000}"/>
    <cellStyle name="Comma 2 3 6 3" xfId="11349" xr:uid="{00000000-0005-0000-0000-0000522C0000}"/>
    <cellStyle name="Comma 2 3 6 3 2" xfId="11350" xr:uid="{00000000-0005-0000-0000-0000532C0000}"/>
    <cellStyle name="Comma 2 3 6 3 2 2" xfId="11351" xr:uid="{00000000-0005-0000-0000-0000542C0000}"/>
    <cellStyle name="Comma 2 3 6 3 2 2 2" xfId="11352" xr:uid="{00000000-0005-0000-0000-0000552C0000}"/>
    <cellStyle name="Comma 2 3 6 3 2 2 3" xfId="11353" xr:uid="{00000000-0005-0000-0000-0000562C0000}"/>
    <cellStyle name="Comma 2 3 6 3 2 3" xfId="11354" xr:uid="{00000000-0005-0000-0000-0000572C0000}"/>
    <cellStyle name="Comma 2 3 6 3 2 4" xfId="11355" xr:uid="{00000000-0005-0000-0000-0000582C0000}"/>
    <cellStyle name="Comma 2 3 6 3 2 5" xfId="11356" xr:uid="{00000000-0005-0000-0000-0000592C0000}"/>
    <cellStyle name="Comma 2 3 6 3 2 6" xfId="11357" xr:uid="{00000000-0005-0000-0000-00005A2C0000}"/>
    <cellStyle name="Comma 2 3 6 3 3" xfId="11358" xr:uid="{00000000-0005-0000-0000-00005B2C0000}"/>
    <cellStyle name="Comma 2 3 6 3 3 2" xfId="11359" xr:uid="{00000000-0005-0000-0000-00005C2C0000}"/>
    <cellStyle name="Comma 2 3 6 3 3 2 2" xfId="11360" xr:uid="{00000000-0005-0000-0000-00005D2C0000}"/>
    <cellStyle name="Comma 2 3 6 3 3 3" xfId="11361" xr:uid="{00000000-0005-0000-0000-00005E2C0000}"/>
    <cellStyle name="Comma 2 3 6 3 3 4" xfId="11362" xr:uid="{00000000-0005-0000-0000-00005F2C0000}"/>
    <cellStyle name="Comma 2 3 6 3 3 5" xfId="11363" xr:uid="{00000000-0005-0000-0000-0000602C0000}"/>
    <cellStyle name="Comma 2 3 6 3 4" xfId="11364" xr:uid="{00000000-0005-0000-0000-0000612C0000}"/>
    <cellStyle name="Comma 2 3 6 3 4 2" xfId="11365" xr:uid="{00000000-0005-0000-0000-0000622C0000}"/>
    <cellStyle name="Comma 2 3 6 3 4 3" xfId="11366" xr:uid="{00000000-0005-0000-0000-0000632C0000}"/>
    <cellStyle name="Comma 2 3 6 3 4 4" xfId="11367" xr:uid="{00000000-0005-0000-0000-0000642C0000}"/>
    <cellStyle name="Comma 2 3 6 3 5" xfId="11368" xr:uid="{00000000-0005-0000-0000-0000652C0000}"/>
    <cellStyle name="Comma 2 3 6 3 5 2" xfId="11369" xr:uid="{00000000-0005-0000-0000-0000662C0000}"/>
    <cellStyle name="Comma 2 3 6 3 6" xfId="11370" xr:uid="{00000000-0005-0000-0000-0000672C0000}"/>
    <cellStyle name="Comma 2 3 6 3 7" xfId="11371" xr:uid="{00000000-0005-0000-0000-0000682C0000}"/>
    <cellStyle name="Comma 2 3 6 3 8" xfId="11372" xr:uid="{00000000-0005-0000-0000-0000692C0000}"/>
    <cellStyle name="Comma 2 3 6 3 9" xfId="11373" xr:uid="{00000000-0005-0000-0000-00006A2C0000}"/>
    <cellStyle name="Comma 2 3 6 4" xfId="11374" xr:uid="{00000000-0005-0000-0000-00006B2C0000}"/>
    <cellStyle name="Comma 2 3 6 4 2" xfId="11375" xr:uid="{00000000-0005-0000-0000-00006C2C0000}"/>
    <cellStyle name="Comma 2 3 6 4 2 2" xfId="11376" xr:uid="{00000000-0005-0000-0000-00006D2C0000}"/>
    <cellStyle name="Comma 2 3 6 4 2 3" xfId="11377" xr:uid="{00000000-0005-0000-0000-00006E2C0000}"/>
    <cellStyle name="Comma 2 3 6 4 3" xfId="11378" xr:uid="{00000000-0005-0000-0000-00006F2C0000}"/>
    <cellStyle name="Comma 2 3 6 4 4" xfId="11379" xr:uid="{00000000-0005-0000-0000-0000702C0000}"/>
    <cellStyle name="Comma 2 3 6 4 5" xfId="11380" xr:uid="{00000000-0005-0000-0000-0000712C0000}"/>
    <cellStyle name="Comma 2 3 6 4 6" xfId="11381" xr:uid="{00000000-0005-0000-0000-0000722C0000}"/>
    <cellStyle name="Comma 2 3 6 5" xfId="11382" xr:uid="{00000000-0005-0000-0000-0000732C0000}"/>
    <cellStyle name="Comma 2 3 6 5 2" xfId="11383" xr:uid="{00000000-0005-0000-0000-0000742C0000}"/>
    <cellStyle name="Comma 2 3 6 5 2 2" xfId="11384" xr:uid="{00000000-0005-0000-0000-0000752C0000}"/>
    <cellStyle name="Comma 2 3 6 5 3" xfId="11385" xr:uid="{00000000-0005-0000-0000-0000762C0000}"/>
    <cellStyle name="Comma 2 3 6 5 4" xfId="11386" xr:uid="{00000000-0005-0000-0000-0000772C0000}"/>
    <cellStyle name="Comma 2 3 6 5 5" xfId="11387" xr:uid="{00000000-0005-0000-0000-0000782C0000}"/>
    <cellStyle name="Comma 2 3 6 6" xfId="11388" xr:uid="{00000000-0005-0000-0000-0000792C0000}"/>
    <cellStyle name="Comma 2 3 6 6 2" xfId="11389" xr:uid="{00000000-0005-0000-0000-00007A2C0000}"/>
    <cellStyle name="Comma 2 3 6 6 3" xfId="11390" xr:uid="{00000000-0005-0000-0000-00007B2C0000}"/>
    <cellStyle name="Comma 2 3 6 6 4" xfId="11391" xr:uid="{00000000-0005-0000-0000-00007C2C0000}"/>
    <cellStyle name="Comma 2 3 6 7" xfId="11392" xr:uid="{00000000-0005-0000-0000-00007D2C0000}"/>
    <cellStyle name="Comma 2 3 6 7 2" xfId="11393" xr:uid="{00000000-0005-0000-0000-00007E2C0000}"/>
    <cellStyle name="Comma 2 3 6 8" xfId="11394" xr:uid="{00000000-0005-0000-0000-00007F2C0000}"/>
    <cellStyle name="Comma 2 3 6 9" xfId="11395" xr:uid="{00000000-0005-0000-0000-0000802C0000}"/>
    <cellStyle name="Comma 2 3 7" xfId="11396" xr:uid="{00000000-0005-0000-0000-0000812C0000}"/>
    <cellStyle name="Comma 2 3 7 10" xfId="11397" xr:uid="{00000000-0005-0000-0000-0000822C0000}"/>
    <cellStyle name="Comma 2 3 7 11" xfId="11398" xr:uid="{00000000-0005-0000-0000-0000832C0000}"/>
    <cellStyle name="Comma 2 3 7 2" xfId="11399" xr:uid="{00000000-0005-0000-0000-0000842C0000}"/>
    <cellStyle name="Comma 2 3 7 2 2" xfId="11400" xr:uid="{00000000-0005-0000-0000-0000852C0000}"/>
    <cellStyle name="Comma 2 3 7 2 2 2" xfId="11401" xr:uid="{00000000-0005-0000-0000-0000862C0000}"/>
    <cellStyle name="Comma 2 3 7 2 2 2 2" xfId="11402" xr:uid="{00000000-0005-0000-0000-0000872C0000}"/>
    <cellStyle name="Comma 2 3 7 2 2 2 3" xfId="11403" xr:uid="{00000000-0005-0000-0000-0000882C0000}"/>
    <cellStyle name="Comma 2 3 7 2 2 3" xfId="11404" xr:uid="{00000000-0005-0000-0000-0000892C0000}"/>
    <cellStyle name="Comma 2 3 7 2 2 4" xfId="11405" xr:uid="{00000000-0005-0000-0000-00008A2C0000}"/>
    <cellStyle name="Comma 2 3 7 2 2 5" xfId="11406" xr:uid="{00000000-0005-0000-0000-00008B2C0000}"/>
    <cellStyle name="Comma 2 3 7 2 2 6" xfId="11407" xr:uid="{00000000-0005-0000-0000-00008C2C0000}"/>
    <cellStyle name="Comma 2 3 7 2 3" xfId="11408" xr:uid="{00000000-0005-0000-0000-00008D2C0000}"/>
    <cellStyle name="Comma 2 3 7 2 3 2" xfId="11409" xr:uid="{00000000-0005-0000-0000-00008E2C0000}"/>
    <cellStyle name="Comma 2 3 7 2 3 2 2" xfId="11410" xr:uid="{00000000-0005-0000-0000-00008F2C0000}"/>
    <cellStyle name="Comma 2 3 7 2 3 3" xfId="11411" xr:uid="{00000000-0005-0000-0000-0000902C0000}"/>
    <cellStyle name="Comma 2 3 7 2 3 4" xfId="11412" xr:uid="{00000000-0005-0000-0000-0000912C0000}"/>
    <cellStyle name="Comma 2 3 7 2 3 5" xfId="11413" xr:uid="{00000000-0005-0000-0000-0000922C0000}"/>
    <cellStyle name="Comma 2 3 7 2 4" xfId="11414" xr:uid="{00000000-0005-0000-0000-0000932C0000}"/>
    <cellStyle name="Comma 2 3 7 2 4 2" xfId="11415" xr:uid="{00000000-0005-0000-0000-0000942C0000}"/>
    <cellStyle name="Comma 2 3 7 2 4 3" xfId="11416" xr:uid="{00000000-0005-0000-0000-0000952C0000}"/>
    <cellStyle name="Comma 2 3 7 2 4 4" xfId="11417" xr:uid="{00000000-0005-0000-0000-0000962C0000}"/>
    <cellStyle name="Comma 2 3 7 2 5" xfId="11418" xr:uid="{00000000-0005-0000-0000-0000972C0000}"/>
    <cellStyle name="Comma 2 3 7 2 5 2" xfId="11419" xr:uid="{00000000-0005-0000-0000-0000982C0000}"/>
    <cellStyle name="Comma 2 3 7 2 6" xfId="11420" xr:uid="{00000000-0005-0000-0000-0000992C0000}"/>
    <cellStyle name="Comma 2 3 7 2 7" xfId="11421" xr:uid="{00000000-0005-0000-0000-00009A2C0000}"/>
    <cellStyle name="Comma 2 3 7 2 8" xfId="11422" xr:uid="{00000000-0005-0000-0000-00009B2C0000}"/>
    <cellStyle name="Comma 2 3 7 2 9" xfId="11423" xr:uid="{00000000-0005-0000-0000-00009C2C0000}"/>
    <cellStyle name="Comma 2 3 7 3" xfId="11424" xr:uid="{00000000-0005-0000-0000-00009D2C0000}"/>
    <cellStyle name="Comma 2 3 7 3 2" xfId="11425" xr:uid="{00000000-0005-0000-0000-00009E2C0000}"/>
    <cellStyle name="Comma 2 3 7 3 2 2" xfId="11426" xr:uid="{00000000-0005-0000-0000-00009F2C0000}"/>
    <cellStyle name="Comma 2 3 7 3 2 2 2" xfId="11427" xr:uid="{00000000-0005-0000-0000-0000A02C0000}"/>
    <cellStyle name="Comma 2 3 7 3 2 2 3" xfId="11428" xr:uid="{00000000-0005-0000-0000-0000A12C0000}"/>
    <cellStyle name="Comma 2 3 7 3 2 3" xfId="11429" xr:uid="{00000000-0005-0000-0000-0000A22C0000}"/>
    <cellStyle name="Comma 2 3 7 3 2 4" xfId="11430" xr:uid="{00000000-0005-0000-0000-0000A32C0000}"/>
    <cellStyle name="Comma 2 3 7 3 2 5" xfId="11431" xr:uid="{00000000-0005-0000-0000-0000A42C0000}"/>
    <cellStyle name="Comma 2 3 7 3 2 6" xfId="11432" xr:uid="{00000000-0005-0000-0000-0000A52C0000}"/>
    <cellStyle name="Comma 2 3 7 3 3" xfId="11433" xr:uid="{00000000-0005-0000-0000-0000A62C0000}"/>
    <cellStyle name="Comma 2 3 7 3 3 2" xfId="11434" xr:uid="{00000000-0005-0000-0000-0000A72C0000}"/>
    <cellStyle name="Comma 2 3 7 3 3 2 2" xfId="11435" xr:uid="{00000000-0005-0000-0000-0000A82C0000}"/>
    <cellStyle name="Comma 2 3 7 3 3 3" xfId="11436" xr:uid="{00000000-0005-0000-0000-0000A92C0000}"/>
    <cellStyle name="Comma 2 3 7 3 3 4" xfId="11437" xr:uid="{00000000-0005-0000-0000-0000AA2C0000}"/>
    <cellStyle name="Comma 2 3 7 3 3 5" xfId="11438" xr:uid="{00000000-0005-0000-0000-0000AB2C0000}"/>
    <cellStyle name="Comma 2 3 7 3 4" xfId="11439" xr:uid="{00000000-0005-0000-0000-0000AC2C0000}"/>
    <cellStyle name="Comma 2 3 7 3 4 2" xfId="11440" xr:uid="{00000000-0005-0000-0000-0000AD2C0000}"/>
    <cellStyle name="Comma 2 3 7 3 4 3" xfId="11441" xr:uid="{00000000-0005-0000-0000-0000AE2C0000}"/>
    <cellStyle name="Comma 2 3 7 3 4 4" xfId="11442" xr:uid="{00000000-0005-0000-0000-0000AF2C0000}"/>
    <cellStyle name="Comma 2 3 7 3 5" xfId="11443" xr:uid="{00000000-0005-0000-0000-0000B02C0000}"/>
    <cellStyle name="Comma 2 3 7 3 5 2" xfId="11444" xr:uid="{00000000-0005-0000-0000-0000B12C0000}"/>
    <cellStyle name="Comma 2 3 7 3 6" xfId="11445" xr:uid="{00000000-0005-0000-0000-0000B22C0000}"/>
    <cellStyle name="Comma 2 3 7 3 7" xfId="11446" xr:uid="{00000000-0005-0000-0000-0000B32C0000}"/>
    <cellStyle name="Comma 2 3 7 3 8" xfId="11447" xr:uid="{00000000-0005-0000-0000-0000B42C0000}"/>
    <cellStyle name="Comma 2 3 7 3 9" xfId="11448" xr:uid="{00000000-0005-0000-0000-0000B52C0000}"/>
    <cellStyle name="Comma 2 3 7 4" xfId="11449" xr:uid="{00000000-0005-0000-0000-0000B62C0000}"/>
    <cellStyle name="Comma 2 3 7 4 2" xfId="11450" xr:uid="{00000000-0005-0000-0000-0000B72C0000}"/>
    <cellStyle name="Comma 2 3 7 4 2 2" xfId="11451" xr:uid="{00000000-0005-0000-0000-0000B82C0000}"/>
    <cellStyle name="Comma 2 3 7 4 2 3" xfId="11452" xr:uid="{00000000-0005-0000-0000-0000B92C0000}"/>
    <cellStyle name="Comma 2 3 7 4 3" xfId="11453" xr:uid="{00000000-0005-0000-0000-0000BA2C0000}"/>
    <cellStyle name="Comma 2 3 7 4 4" xfId="11454" xr:uid="{00000000-0005-0000-0000-0000BB2C0000}"/>
    <cellStyle name="Comma 2 3 7 4 5" xfId="11455" xr:uid="{00000000-0005-0000-0000-0000BC2C0000}"/>
    <cellStyle name="Comma 2 3 7 4 6" xfId="11456" xr:uid="{00000000-0005-0000-0000-0000BD2C0000}"/>
    <cellStyle name="Comma 2 3 7 5" xfId="11457" xr:uid="{00000000-0005-0000-0000-0000BE2C0000}"/>
    <cellStyle name="Comma 2 3 7 5 2" xfId="11458" xr:uid="{00000000-0005-0000-0000-0000BF2C0000}"/>
    <cellStyle name="Comma 2 3 7 5 2 2" xfId="11459" xr:uid="{00000000-0005-0000-0000-0000C02C0000}"/>
    <cellStyle name="Comma 2 3 7 5 3" xfId="11460" xr:uid="{00000000-0005-0000-0000-0000C12C0000}"/>
    <cellStyle name="Comma 2 3 7 5 4" xfId="11461" xr:uid="{00000000-0005-0000-0000-0000C22C0000}"/>
    <cellStyle name="Comma 2 3 7 5 5" xfId="11462" xr:uid="{00000000-0005-0000-0000-0000C32C0000}"/>
    <cellStyle name="Comma 2 3 7 6" xfId="11463" xr:uid="{00000000-0005-0000-0000-0000C42C0000}"/>
    <cellStyle name="Comma 2 3 7 6 2" xfId="11464" xr:uid="{00000000-0005-0000-0000-0000C52C0000}"/>
    <cellStyle name="Comma 2 3 7 6 3" xfId="11465" xr:uid="{00000000-0005-0000-0000-0000C62C0000}"/>
    <cellStyle name="Comma 2 3 7 6 4" xfId="11466" xr:uid="{00000000-0005-0000-0000-0000C72C0000}"/>
    <cellStyle name="Comma 2 3 7 7" xfId="11467" xr:uid="{00000000-0005-0000-0000-0000C82C0000}"/>
    <cellStyle name="Comma 2 3 7 7 2" xfId="11468" xr:uid="{00000000-0005-0000-0000-0000C92C0000}"/>
    <cellStyle name="Comma 2 3 7 8" xfId="11469" xr:uid="{00000000-0005-0000-0000-0000CA2C0000}"/>
    <cellStyle name="Comma 2 3 7 9" xfId="11470" xr:uid="{00000000-0005-0000-0000-0000CB2C0000}"/>
    <cellStyle name="Comma 2 3 8" xfId="11471" xr:uid="{00000000-0005-0000-0000-0000CC2C0000}"/>
    <cellStyle name="Comma 2 3 8 10" xfId="11472" xr:uid="{00000000-0005-0000-0000-0000CD2C0000}"/>
    <cellStyle name="Comma 2 3 8 11" xfId="11473" xr:uid="{00000000-0005-0000-0000-0000CE2C0000}"/>
    <cellStyle name="Comma 2 3 8 2" xfId="11474" xr:uid="{00000000-0005-0000-0000-0000CF2C0000}"/>
    <cellStyle name="Comma 2 3 8 2 2" xfId="11475" xr:uid="{00000000-0005-0000-0000-0000D02C0000}"/>
    <cellStyle name="Comma 2 3 8 2 2 2" xfId="11476" xr:uid="{00000000-0005-0000-0000-0000D12C0000}"/>
    <cellStyle name="Comma 2 3 8 2 2 2 2" xfId="11477" xr:uid="{00000000-0005-0000-0000-0000D22C0000}"/>
    <cellStyle name="Comma 2 3 8 2 2 2 3" xfId="11478" xr:uid="{00000000-0005-0000-0000-0000D32C0000}"/>
    <cellStyle name="Comma 2 3 8 2 2 3" xfId="11479" xr:uid="{00000000-0005-0000-0000-0000D42C0000}"/>
    <cellStyle name="Comma 2 3 8 2 2 4" xfId="11480" xr:uid="{00000000-0005-0000-0000-0000D52C0000}"/>
    <cellStyle name="Comma 2 3 8 2 2 5" xfId="11481" xr:uid="{00000000-0005-0000-0000-0000D62C0000}"/>
    <cellStyle name="Comma 2 3 8 2 2 6" xfId="11482" xr:uid="{00000000-0005-0000-0000-0000D72C0000}"/>
    <cellStyle name="Comma 2 3 8 2 3" xfId="11483" xr:uid="{00000000-0005-0000-0000-0000D82C0000}"/>
    <cellStyle name="Comma 2 3 8 2 3 2" xfId="11484" xr:uid="{00000000-0005-0000-0000-0000D92C0000}"/>
    <cellStyle name="Comma 2 3 8 2 3 2 2" xfId="11485" xr:uid="{00000000-0005-0000-0000-0000DA2C0000}"/>
    <cellStyle name="Comma 2 3 8 2 3 3" xfId="11486" xr:uid="{00000000-0005-0000-0000-0000DB2C0000}"/>
    <cellStyle name="Comma 2 3 8 2 3 4" xfId="11487" xr:uid="{00000000-0005-0000-0000-0000DC2C0000}"/>
    <cellStyle name="Comma 2 3 8 2 3 5" xfId="11488" xr:uid="{00000000-0005-0000-0000-0000DD2C0000}"/>
    <cellStyle name="Comma 2 3 8 2 4" xfId="11489" xr:uid="{00000000-0005-0000-0000-0000DE2C0000}"/>
    <cellStyle name="Comma 2 3 8 2 4 2" xfId="11490" xr:uid="{00000000-0005-0000-0000-0000DF2C0000}"/>
    <cellStyle name="Comma 2 3 8 2 4 3" xfId="11491" xr:uid="{00000000-0005-0000-0000-0000E02C0000}"/>
    <cellStyle name="Comma 2 3 8 2 4 4" xfId="11492" xr:uid="{00000000-0005-0000-0000-0000E12C0000}"/>
    <cellStyle name="Comma 2 3 8 2 5" xfId="11493" xr:uid="{00000000-0005-0000-0000-0000E22C0000}"/>
    <cellStyle name="Comma 2 3 8 2 5 2" xfId="11494" xr:uid="{00000000-0005-0000-0000-0000E32C0000}"/>
    <cellStyle name="Comma 2 3 8 2 6" xfId="11495" xr:uid="{00000000-0005-0000-0000-0000E42C0000}"/>
    <cellStyle name="Comma 2 3 8 2 7" xfId="11496" xr:uid="{00000000-0005-0000-0000-0000E52C0000}"/>
    <cellStyle name="Comma 2 3 8 2 8" xfId="11497" xr:uid="{00000000-0005-0000-0000-0000E62C0000}"/>
    <cellStyle name="Comma 2 3 8 2 9" xfId="11498" xr:uid="{00000000-0005-0000-0000-0000E72C0000}"/>
    <cellStyle name="Comma 2 3 8 3" xfId="11499" xr:uid="{00000000-0005-0000-0000-0000E82C0000}"/>
    <cellStyle name="Comma 2 3 8 3 2" xfId="11500" xr:uid="{00000000-0005-0000-0000-0000E92C0000}"/>
    <cellStyle name="Comma 2 3 8 3 2 2" xfId="11501" xr:uid="{00000000-0005-0000-0000-0000EA2C0000}"/>
    <cellStyle name="Comma 2 3 8 3 2 2 2" xfId="11502" xr:uid="{00000000-0005-0000-0000-0000EB2C0000}"/>
    <cellStyle name="Comma 2 3 8 3 2 2 3" xfId="11503" xr:uid="{00000000-0005-0000-0000-0000EC2C0000}"/>
    <cellStyle name="Comma 2 3 8 3 2 3" xfId="11504" xr:uid="{00000000-0005-0000-0000-0000ED2C0000}"/>
    <cellStyle name="Comma 2 3 8 3 2 4" xfId="11505" xr:uid="{00000000-0005-0000-0000-0000EE2C0000}"/>
    <cellStyle name="Comma 2 3 8 3 2 5" xfId="11506" xr:uid="{00000000-0005-0000-0000-0000EF2C0000}"/>
    <cellStyle name="Comma 2 3 8 3 2 6" xfId="11507" xr:uid="{00000000-0005-0000-0000-0000F02C0000}"/>
    <cellStyle name="Comma 2 3 8 3 3" xfId="11508" xr:uid="{00000000-0005-0000-0000-0000F12C0000}"/>
    <cellStyle name="Comma 2 3 8 3 3 2" xfId="11509" xr:uid="{00000000-0005-0000-0000-0000F22C0000}"/>
    <cellStyle name="Comma 2 3 8 3 3 2 2" xfId="11510" xr:uid="{00000000-0005-0000-0000-0000F32C0000}"/>
    <cellStyle name="Comma 2 3 8 3 3 3" xfId="11511" xr:uid="{00000000-0005-0000-0000-0000F42C0000}"/>
    <cellStyle name="Comma 2 3 8 3 3 4" xfId="11512" xr:uid="{00000000-0005-0000-0000-0000F52C0000}"/>
    <cellStyle name="Comma 2 3 8 3 3 5" xfId="11513" xr:uid="{00000000-0005-0000-0000-0000F62C0000}"/>
    <cellStyle name="Comma 2 3 8 3 4" xfId="11514" xr:uid="{00000000-0005-0000-0000-0000F72C0000}"/>
    <cellStyle name="Comma 2 3 8 3 4 2" xfId="11515" xr:uid="{00000000-0005-0000-0000-0000F82C0000}"/>
    <cellStyle name="Comma 2 3 8 3 4 3" xfId="11516" xr:uid="{00000000-0005-0000-0000-0000F92C0000}"/>
    <cellStyle name="Comma 2 3 8 3 4 4" xfId="11517" xr:uid="{00000000-0005-0000-0000-0000FA2C0000}"/>
    <cellStyle name="Comma 2 3 8 3 5" xfId="11518" xr:uid="{00000000-0005-0000-0000-0000FB2C0000}"/>
    <cellStyle name="Comma 2 3 8 3 5 2" xfId="11519" xr:uid="{00000000-0005-0000-0000-0000FC2C0000}"/>
    <cellStyle name="Comma 2 3 8 3 6" xfId="11520" xr:uid="{00000000-0005-0000-0000-0000FD2C0000}"/>
    <cellStyle name="Comma 2 3 8 3 7" xfId="11521" xr:uid="{00000000-0005-0000-0000-0000FE2C0000}"/>
    <cellStyle name="Comma 2 3 8 3 8" xfId="11522" xr:uid="{00000000-0005-0000-0000-0000FF2C0000}"/>
    <cellStyle name="Comma 2 3 8 3 9" xfId="11523" xr:uid="{00000000-0005-0000-0000-0000002D0000}"/>
    <cellStyle name="Comma 2 3 8 4" xfId="11524" xr:uid="{00000000-0005-0000-0000-0000012D0000}"/>
    <cellStyle name="Comma 2 3 8 4 2" xfId="11525" xr:uid="{00000000-0005-0000-0000-0000022D0000}"/>
    <cellStyle name="Comma 2 3 8 4 2 2" xfId="11526" xr:uid="{00000000-0005-0000-0000-0000032D0000}"/>
    <cellStyle name="Comma 2 3 8 4 2 3" xfId="11527" xr:uid="{00000000-0005-0000-0000-0000042D0000}"/>
    <cellStyle name="Comma 2 3 8 4 3" xfId="11528" xr:uid="{00000000-0005-0000-0000-0000052D0000}"/>
    <cellStyle name="Comma 2 3 8 4 4" xfId="11529" xr:uid="{00000000-0005-0000-0000-0000062D0000}"/>
    <cellStyle name="Comma 2 3 8 4 5" xfId="11530" xr:uid="{00000000-0005-0000-0000-0000072D0000}"/>
    <cellStyle name="Comma 2 3 8 4 6" xfId="11531" xr:uid="{00000000-0005-0000-0000-0000082D0000}"/>
    <cellStyle name="Comma 2 3 8 5" xfId="11532" xr:uid="{00000000-0005-0000-0000-0000092D0000}"/>
    <cellStyle name="Comma 2 3 8 5 2" xfId="11533" xr:uid="{00000000-0005-0000-0000-00000A2D0000}"/>
    <cellStyle name="Comma 2 3 8 5 2 2" xfId="11534" xr:uid="{00000000-0005-0000-0000-00000B2D0000}"/>
    <cellStyle name="Comma 2 3 8 5 3" xfId="11535" xr:uid="{00000000-0005-0000-0000-00000C2D0000}"/>
    <cellStyle name="Comma 2 3 8 5 4" xfId="11536" xr:uid="{00000000-0005-0000-0000-00000D2D0000}"/>
    <cellStyle name="Comma 2 3 8 5 5" xfId="11537" xr:uid="{00000000-0005-0000-0000-00000E2D0000}"/>
    <cellStyle name="Comma 2 3 8 6" xfId="11538" xr:uid="{00000000-0005-0000-0000-00000F2D0000}"/>
    <cellStyle name="Comma 2 3 8 6 2" xfId="11539" xr:uid="{00000000-0005-0000-0000-0000102D0000}"/>
    <cellStyle name="Comma 2 3 8 6 3" xfId="11540" xr:uid="{00000000-0005-0000-0000-0000112D0000}"/>
    <cellStyle name="Comma 2 3 8 6 4" xfId="11541" xr:uid="{00000000-0005-0000-0000-0000122D0000}"/>
    <cellStyle name="Comma 2 3 8 7" xfId="11542" xr:uid="{00000000-0005-0000-0000-0000132D0000}"/>
    <cellStyle name="Comma 2 3 8 7 2" xfId="11543" xr:uid="{00000000-0005-0000-0000-0000142D0000}"/>
    <cellStyle name="Comma 2 3 8 8" xfId="11544" xr:uid="{00000000-0005-0000-0000-0000152D0000}"/>
    <cellStyle name="Comma 2 3 8 9" xfId="11545" xr:uid="{00000000-0005-0000-0000-0000162D0000}"/>
    <cellStyle name="Comma 2 3 9" xfId="11546" xr:uid="{00000000-0005-0000-0000-0000172D0000}"/>
    <cellStyle name="Comma 2 3 9 10" xfId="11547" xr:uid="{00000000-0005-0000-0000-0000182D0000}"/>
    <cellStyle name="Comma 2 3 9 11" xfId="11548" xr:uid="{00000000-0005-0000-0000-0000192D0000}"/>
    <cellStyle name="Comma 2 3 9 2" xfId="11549" xr:uid="{00000000-0005-0000-0000-00001A2D0000}"/>
    <cellStyle name="Comma 2 3 9 2 2" xfId="11550" xr:uid="{00000000-0005-0000-0000-00001B2D0000}"/>
    <cellStyle name="Comma 2 3 9 2 2 2" xfId="11551" xr:uid="{00000000-0005-0000-0000-00001C2D0000}"/>
    <cellStyle name="Comma 2 3 9 2 2 2 2" xfId="11552" xr:uid="{00000000-0005-0000-0000-00001D2D0000}"/>
    <cellStyle name="Comma 2 3 9 2 2 2 3" xfId="11553" xr:uid="{00000000-0005-0000-0000-00001E2D0000}"/>
    <cellStyle name="Comma 2 3 9 2 2 3" xfId="11554" xr:uid="{00000000-0005-0000-0000-00001F2D0000}"/>
    <cellStyle name="Comma 2 3 9 2 2 4" xfId="11555" xr:uid="{00000000-0005-0000-0000-0000202D0000}"/>
    <cellStyle name="Comma 2 3 9 2 2 5" xfId="11556" xr:uid="{00000000-0005-0000-0000-0000212D0000}"/>
    <cellStyle name="Comma 2 3 9 2 2 6" xfId="11557" xr:uid="{00000000-0005-0000-0000-0000222D0000}"/>
    <cellStyle name="Comma 2 3 9 2 3" xfId="11558" xr:uid="{00000000-0005-0000-0000-0000232D0000}"/>
    <cellStyle name="Comma 2 3 9 2 3 2" xfId="11559" xr:uid="{00000000-0005-0000-0000-0000242D0000}"/>
    <cellStyle name="Comma 2 3 9 2 3 2 2" xfId="11560" xr:uid="{00000000-0005-0000-0000-0000252D0000}"/>
    <cellStyle name="Comma 2 3 9 2 3 3" xfId="11561" xr:uid="{00000000-0005-0000-0000-0000262D0000}"/>
    <cellStyle name="Comma 2 3 9 2 3 4" xfId="11562" xr:uid="{00000000-0005-0000-0000-0000272D0000}"/>
    <cellStyle name="Comma 2 3 9 2 3 5" xfId="11563" xr:uid="{00000000-0005-0000-0000-0000282D0000}"/>
    <cellStyle name="Comma 2 3 9 2 4" xfId="11564" xr:uid="{00000000-0005-0000-0000-0000292D0000}"/>
    <cellStyle name="Comma 2 3 9 2 4 2" xfId="11565" xr:uid="{00000000-0005-0000-0000-00002A2D0000}"/>
    <cellStyle name="Comma 2 3 9 2 4 3" xfId="11566" xr:uid="{00000000-0005-0000-0000-00002B2D0000}"/>
    <cellStyle name="Comma 2 3 9 2 4 4" xfId="11567" xr:uid="{00000000-0005-0000-0000-00002C2D0000}"/>
    <cellStyle name="Comma 2 3 9 2 5" xfId="11568" xr:uid="{00000000-0005-0000-0000-00002D2D0000}"/>
    <cellStyle name="Comma 2 3 9 2 5 2" xfId="11569" xr:uid="{00000000-0005-0000-0000-00002E2D0000}"/>
    <cellStyle name="Comma 2 3 9 2 6" xfId="11570" xr:uid="{00000000-0005-0000-0000-00002F2D0000}"/>
    <cellStyle name="Comma 2 3 9 2 7" xfId="11571" xr:uid="{00000000-0005-0000-0000-0000302D0000}"/>
    <cellStyle name="Comma 2 3 9 2 8" xfId="11572" xr:uid="{00000000-0005-0000-0000-0000312D0000}"/>
    <cellStyle name="Comma 2 3 9 2 9" xfId="11573" xr:uid="{00000000-0005-0000-0000-0000322D0000}"/>
    <cellStyle name="Comma 2 3 9 3" xfId="11574" xr:uid="{00000000-0005-0000-0000-0000332D0000}"/>
    <cellStyle name="Comma 2 3 9 3 2" xfId="11575" xr:uid="{00000000-0005-0000-0000-0000342D0000}"/>
    <cellStyle name="Comma 2 3 9 3 2 2" xfId="11576" xr:uid="{00000000-0005-0000-0000-0000352D0000}"/>
    <cellStyle name="Comma 2 3 9 3 2 2 2" xfId="11577" xr:uid="{00000000-0005-0000-0000-0000362D0000}"/>
    <cellStyle name="Comma 2 3 9 3 2 2 3" xfId="11578" xr:uid="{00000000-0005-0000-0000-0000372D0000}"/>
    <cellStyle name="Comma 2 3 9 3 2 3" xfId="11579" xr:uid="{00000000-0005-0000-0000-0000382D0000}"/>
    <cellStyle name="Comma 2 3 9 3 2 4" xfId="11580" xr:uid="{00000000-0005-0000-0000-0000392D0000}"/>
    <cellStyle name="Comma 2 3 9 3 2 5" xfId="11581" xr:uid="{00000000-0005-0000-0000-00003A2D0000}"/>
    <cellStyle name="Comma 2 3 9 3 2 6" xfId="11582" xr:uid="{00000000-0005-0000-0000-00003B2D0000}"/>
    <cellStyle name="Comma 2 3 9 3 3" xfId="11583" xr:uid="{00000000-0005-0000-0000-00003C2D0000}"/>
    <cellStyle name="Comma 2 3 9 3 3 2" xfId="11584" xr:uid="{00000000-0005-0000-0000-00003D2D0000}"/>
    <cellStyle name="Comma 2 3 9 3 3 2 2" xfId="11585" xr:uid="{00000000-0005-0000-0000-00003E2D0000}"/>
    <cellStyle name="Comma 2 3 9 3 3 3" xfId="11586" xr:uid="{00000000-0005-0000-0000-00003F2D0000}"/>
    <cellStyle name="Comma 2 3 9 3 3 4" xfId="11587" xr:uid="{00000000-0005-0000-0000-0000402D0000}"/>
    <cellStyle name="Comma 2 3 9 3 3 5" xfId="11588" xr:uid="{00000000-0005-0000-0000-0000412D0000}"/>
    <cellStyle name="Comma 2 3 9 3 4" xfId="11589" xr:uid="{00000000-0005-0000-0000-0000422D0000}"/>
    <cellStyle name="Comma 2 3 9 3 4 2" xfId="11590" xr:uid="{00000000-0005-0000-0000-0000432D0000}"/>
    <cellStyle name="Comma 2 3 9 3 4 3" xfId="11591" xr:uid="{00000000-0005-0000-0000-0000442D0000}"/>
    <cellStyle name="Comma 2 3 9 3 4 4" xfId="11592" xr:uid="{00000000-0005-0000-0000-0000452D0000}"/>
    <cellStyle name="Comma 2 3 9 3 5" xfId="11593" xr:uid="{00000000-0005-0000-0000-0000462D0000}"/>
    <cellStyle name="Comma 2 3 9 3 5 2" xfId="11594" xr:uid="{00000000-0005-0000-0000-0000472D0000}"/>
    <cellStyle name="Comma 2 3 9 3 6" xfId="11595" xr:uid="{00000000-0005-0000-0000-0000482D0000}"/>
    <cellStyle name="Comma 2 3 9 3 7" xfId="11596" xr:uid="{00000000-0005-0000-0000-0000492D0000}"/>
    <cellStyle name="Comma 2 3 9 3 8" xfId="11597" xr:uid="{00000000-0005-0000-0000-00004A2D0000}"/>
    <cellStyle name="Comma 2 3 9 3 9" xfId="11598" xr:uid="{00000000-0005-0000-0000-00004B2D0000}"/>
    <cellStyle name="Comma 2 3 9 4" xfId="11599" xr:uid="{00000000-0005-0000-0000-00004C2D0000}"/>
    <cellStyle name="Comma 2 3 9 4 2" xfId="11600" xr:uid="{00000000-0005-0000-0000-00004D2D0000}"/>
    <cellStyle name="Comma 2 3 9 4 2 2" xfId="11601" xr:uid="{00000000-0005-0000-0000-00004E2D0000}"/>
    <cellStyle name="Comma 2 3 9 4 2 3" xfId="11602" xr:uid="{00000000-0005-0000-0000-00004F2D0000}"/>
    <cellStyle name="Comma 2 3 9 4 3" xfId="11603" xr:uid="{00000000-0005-0000-0000-0000502D0000}"/>
    <cellStyle name="Comma 2 3 9 4 4" xfId="11604" xr:uid="{00000000-0005-0000-0000-0000512D0000}"/>
    <cellStyle name="Comma 2 3 9 4 5" xfId="11605" xr:uid="{00000000-0005-0000-0000-0000522D0000}"/>
    <cellStyle name="Comma 2 3 9 4 6" xfId="11606" xr:uid="{00000000-0005-0000-0000-0000532D0000}"/>
    <cellStyle name="Comma 2 3 9 5" xfId="11607" xr:uid="{00000000-0005-0000-0000-0000542D0000}"/>
    <cellStyle name="Comma 2 3 9 5 2" xfId="11608" xr:uid="{00000000-0005-0000-0000-0000552D0000}"/>
    <cellStyle name="Comma 2 3 9 5 2 2" xfId="11609" xr:uid="{00000000-0005-0000-0000-0000562D0000}"/>
    <cellStyle name="Comma 2 3 9 5 3" xfId="11610" xr:uid="{00000000-0005-0000-0000-0000572D0000}"/>
    <cellStyle name="Comma 2 3 9 5 4" xfId="11611" xr:uid="{00000000-0005-0000-0000-0000582D0000}"/>
    <cellStyle name="Comma 2 3 9 5 5" xfId="11612" xr:uid="{00000000-0005-0000-0000-0000592D0000}"/>
    <cellStyle name="Comma 2 3 9 6" xfId="11613" xr:uid="{00000000-0005-0000-0000-00005A2D0000}"/>
    <cellStyle name="Comma 2 3 9 6 2" xfId="11614" xr:uid="{00000000-0005-0000-0000-00005B2D0000}"/>
    <cellStyle name="Comma 2 3 9 6 3" xfId="11615" xr:uid="{00000000-0005-0000-0000-00005C2D0000}"/>
    <cellStyle name="Comma 2 3 9 6 4" xfId="11616" xr:uid="{00000000-0005-0000-0000-00005D2D0000}"/>
    <cellStyle name="Comma 2 3 9 7" xfId="11617" xr:uid="{00000000-0005-0000-0000-00005E2D0000}"/>
    <cellStyle name="Comma 2 3 9 7 2" xfId="11618" xr:uid="{00000000-0005-0000-0000-00005F2D0000}"/>
    <cellStyle name="Comma 2 3 9 8" xfId="11619" xr:uid="{00000000-0005-0000-0000-0000602D0000}"/>
    <cellStyle name="Comma 2 3 9 9" xfId="11620" xr:uid="{00000000-0005-0000-0000-0000612D0000}"/>
    <cellStyle name="Comma 2 30" xfId="11621" xr:uid="{00000000-0005-0000-0000-0000622D0000}"/>
    <cellStyle name="Comma 2 30 10" xfId="11622" xr:uid="{00000000-0005-0000-0000-0000632D0000}"/>
    <cellStyle name="Comma 2 30 2" xfId="11623" xr:uid="{00000000-0005-0000-0000-0000642D0000}"/>
    <cellStyle name="Comma 2 30 2 2" xfId="11624" xr:uid="{00000000-0005-0000-0000-0000652D0000}"/>
    <cellStyle name="Comma 2 30 2 2 2" xfId="11625" xr:uid="{00000000-0005-0000-0000-0000662D0000}"/>
    <cellStyle name="Comma 2 30 2 2 3" xfId="11626" xr:uid="{00000000-0005-0000-0000-0000672D0000}"/>
    <cellStyle name="Comma 2 30 2 3" xfId="11627" xr:uid="{00000000-0005-0000-0000-0000682D0000}"/>
    <cellStyle name="Comma 2 30 2 4" xfId="11628" xr:uid="{00000000-0005-0000-0000-0000692D0000}"/>
    <cellStyle name="Comma 2 30 2 5" xfId="11629" xr:uid="{00000000-0005-0000-0000-00006A2D0000}"/>
    <cellStyle name="Comma 2 30 2 6" xfId="11630" xr:uid="{00000000-0005-0000-0000-00006B2D0000}"/>
    <cellStyle name="Comma 2 30 3" xfId="11631" xr:uid="{00000000-0005-0000-0000-00006C2D0000}"/>
    <cellStyle name="Comma 2 30 3 2" xfId="11632" xr:uid="{00000000-0005-0000-0000-00006D2D0000}"/>
    <cellStyle name="Comma 2 30 3 2 2" xfId="11633" xr:uid="{00000000-0005-0000-0000-00006E2D0000}"/>
    <cellStyle name="Comma 2 30 3 2 3" xfId="11634" xr:uid="{00000000-0005-0000-0000-00006F2D0000}"/>
    <cellStyle name="Comma 2 30 3 3" xfId="11635" xr:uid="{00000000-0005-0000-0000-0000702D0000}"/>
    <cellStyle name="Comma 2 30 3 4" xfId="11636" xr:uid="{00000000-0005-0000-0000-0000712D0000}"/>
    <cellStyle name="Comma 2 30 3 5" xfId="11637" xr:uid="{00000000-0005-0000-0000-0000722D0000}"/>
    <cellStyle name="Comma 2 30 3 6" xfId="11638" xr:uid="{00000000-0005-0000-0000-0000732D0000}"/>
    <cellStyle name="Comma 2 30 4" xfId="11639" xr:uid="{00000000-0005-0000-0000-0000742D0000}"/>
    <cellStyle name="Comma 2 30 4 2" xfId="11640" xr:uid="{00000000-0005-0000-0000-0000752D0000}"/>
    <cellStyle name="Comma 2 30 4 2 2" xfId="11641" xr:uid="{00000000-0005-0000-0000-0000762D0000}"/>
    <cellStyle name="Comma 2 30 4 3" xfId="11642" xr:uid="{00000000-0005-0000-0000-0000772D0000}"/>
    <cellStyle name="Comma 2 30 4 4" xfId="11643" xr:uid="{00000000-0005-0000-0000-0000782D0000}"/>
    <cellStyle name="Comma 2 30 4 5" xfId="11644" xr:uid="{00000000-0005-0000-0000-0000792D0000}"/>
    <cellStyle name="Comma 2 30 4 6" xfId="11645" xr:uid="{00000000-0005-0000-0000-00007A2D0000}"/>
    <cellStyle name="Comma 2 30 5" xfId="11646" xr:uid="{00000000-0005-0000-0000-00007B2D0000}"/>
    <cellStyle name="Comma 2 30 5 2" xfId="11647" xr:uid="{00000000-0005-0000-0000-00007C2D0000}"/>
    <cellStyle name="Comma 2 30 5 3" xfId="11648" xr:uid="{00000000-0005-0000-0000-00007D2D0000}"/>
    <cellStyle name="Comma 2 30 5 4" xfId="11649" xr:uid="{00000000-0005-0000-0000-00007E2D0000}"/>
    <cellStyle name="Comma 2 30 5 5" xfId="11650" xr:uid="{00000000-0005-0000-0000-00007F2D0000}"/>
    <cellStyle name="Comma 2 30 6" xfId="11651" xr:uid="{00000000-0005-0000-0000-0000802D0000}"/>
    <cellStyle name="Comma 2 30 6 2" xfId="11652" xr:uid="{00000000-0005-0000-0000-0000812D0000}"/>
    <cellStyle name="Comma 2 30 6 3" xfId="11653" xr:uid="{00000000-0005-0000-0000-0000822D0000}"/>
    <cellStyle name="Comma 2 30 7" xfId="11654" xr:uid="{00000000-0005-0000-0000-0000832D0000}"/>
    <cellStyle name="Comma 2 30 7 2" xfId="11655" xr:uid="{00000000-0005-0000-0000-0000842D0000}"/>
    <cellStyle name="Comma 2 30 8" xfId="11656" xr:uid="{00000000-0005-0000-0000-0000852D0000}"/>
    <cellStyle name="Comma 2 30 9" xfId="11657" xr:uid="{00000000-0005-0000-0000-0000862D0000}"/>
    <cellStyle name="Comma 2 31" xfId="11658" xr:uid="{00000000-0005-0000-0000-0000872D0000}"/>
    <cellStyle name="Comma 2 31 10" xfId="11659" xr:uid="{00000000-0005-0000-0000-0000882D0000}"/>
    <cellStyle name="Comma 2 31 2" xfId="11660" xr:uid="{00000000-0005-0000-0000-0000892D0000}"/>
    <cellStyle name="Comma 2 31 2 2" xfId="11661" xr:uid="{00000000-0005-0000-0000-00008A2D0000}"/>
    <cellStyle name="Comma 2 31 2 2 2" xfId="11662" xr:uid="{00000000-0005-0000-0000-00008B2D0000}"/>
    <cellStyle name="Comma 2 31 2 2 3" xfId="11663" xr:uid="{00000000-0005-0000-0000-00008C2D0000}"/>
    <cellStyle name="Comma 2 31 2 3" xfId="11664" xr:uid="{00000000-0005-0000-0000-00008D2D0000}"/>
    <cellStyle name="Comma 2 31 2 4" xfId="11665" xr:uid="{00000000-0005-0000-0000-00008E2D0000}"/>
    <cellStyle name="Comma 2 31 2 5" xfId="11666" xr:uid="{00000000-0005-0000-0000-00008F2D0000}"/>
    <cellStyle name="Comma 2 31 2 6" xfId="11667" xr:uid="{00000000-0005-0000-0000-0000902D0000}"/>
    <cellStyle name="Comma 2 31 3" xfId="11668" xr:uid="{00000000-0005-0000-0000-0000912D0000}"/>
    <cellStyle name="Comma 2 31 3 2" xfId="11669" xr:uid="{00000000-0005-0000-0000-0000922D0000}"/>
    <cellStyle name="Comma 2 31 3 2 2" xfId="11670" xr:uid="{00000000-0005-0000-0000-0000932D0000}"/>
    <cellStyle name="Comma 2 31 3 2 3" xfId="11671" xr:uid="{00000000-0005-0000-0000-0000942D0000}"/>
    <cellStyle name="Comma 2 31 3 3" xfId="11672" xr:uid="{00000000-0005-0000-0000-0000952D0000}"/>
    <cellStyle name="Comma 2 31 3 4" xfId="11673" xr:uid="{00000000-0005-0000-0000-0000962D0000}"/>
    <cellStyle name="Comma 2 31 3 5" xfId="11674" xr:uid="{00000000-0005-0000-0000-0000972D0000}"/>
    <cellStyle name="Comma 2 31 3 6" xfId="11675" xr:uid="{00000000-0005-0000-0000-0000982D0000}"/>
    <cellStyle name="Comma 2 31 4" xfId="11676" xr:uid="{00000000-0005-0000-0000-0000992D0000}"/>
    <cellStyle name="Comma 2 31 4 2" xfId="11677" xr:uid="{00000000-0005-0000-0000-00009A2D0000}"/>
    <cellStyle name="Comma 2 31 4 2 2" xfId="11678" xr:uid="{00000000-0005-0000-0000-00009B2D0000}"/>
    <cellStyle name="Comma 2 31 4 3" xfId="11679" xr:uid="{00000000-0005-0000-0000-00009C2D0000}"/>
    <cellStyle name="Comma 2 31 4 4" xfId="11680" xr:uid="{00000000-0005-0000-0000-00009D2D0000}"/>
    <cellStyle name="Comma 2 31 4 5" xfId="11681" xr:uid="{00000000-0005-0000-0000-00009E2D0000}"/>
    <cellStyle name="Comma 2 31 4 6" xfId="11682" xr:uid="{00000000-0005-0000-0000-00009F2D0000}"/>
    <cellStyle name="Comma 2 31 5" xfId="11683" xr:uid="{00000000-0005-0000-0000-0000A02D0000}"/>
    <cellStyle name="Comma 2 31 5 2" xfId="11684" xr:uid="{00000000-0005-0000-0000-0000A12D0000}"/>
    <cellStyle name="Comma 2 31 5 3" xfId="11685" xr:uid="{00000000-0005-0000-0000-0000A22D0000}"/>
    <cellStyle name="Comma 2 31 5 4" xfId="11686" xr:uid="{00000000-0005-0000-0000-0000A32D0000}"/>
    <cellStyle name="Comma 2 31 5 5" xfId="11687" xr:uid="{00000000-0005-0000-0000-0000A42D0000}"/>
    <cellStyle name="Comma 2 31 6" xfId="11688" xr:uid="{00000000-0005-0000-0000-0000A52D0000}"/>
    <cellStyle name="Comma 2 31 6 2" xfId="11689" xr:uid="{00000000-0005-0000-0000-0000A62D0000}"/>
    <cellStyle name="Comma 2 31 6 3" xfId="11690" xr:uid="{00000000-0005-0000-0000-0000A72D0000}"/>
    <cellStyle name="Comma 2 31 7" xfId="11691" xr:uid="{00000000-0005-0000-0000-0000A82D0000}"/>
    <cellStyle name="Comma 2 31 7 2" xfId="11692" xr:uid="{00000000-0005-0000-0000-0000A92D0000}"/>
    <cellStyle name="Comma 2 31 8" xfId="11693" xr:uid="{00000000-0005-0000-0000-0000AA2D0000}"/>
    <cellStyle name="Comma 2 31 9" xfId="11694" xr:uid="{00000000-0005-0000-0000-0000AB2D0000}"/>
    <cellStyle name="Comma 2 32" xfId="11695" xr:uid="{00000000-0005-0000-0000-0000AC2D0000}"/>
    <cellStyle name="Comma 2 32 10" xfId="11696" xr:uid="{00000000-0005-0000-0000-0000AD2D0000}"/>
    <cellStyle name="Comma 2 32 2" xfId="11697" xr:uid="{00000000-0005-0000-0000-0000AE2D0000}"/>
    <cellStyle name="Comma 2 32 2 2" xfId="11698" xr:uid="{00000000-0005-0000-0000-0000AF2D0000}"/>
    <cellStyle name="Comma 2 32 2 2 2" xfId="11699" xr:uid="{00000000-0005-0000-0000-0000B02D0000}"/>
    <cellStyle name="Comma 2 32 2 2 3" xfId="11700" xr:uid="{00000000-0005-0000-0000-0000B12D0000}"/>
    <cellStyle name="Comma 2 32 2 3" xfId="11701" xr:uid="{00000000-0005-0000-0000-0000B22D0000}"/>
    <cellStyle name="Comma 2 32 2 4" xfId="11702" xr:uid="{00000000-0005-0000-0000-0000B32D0000}"/>
    <cellStyle name="Comma 2 32 2 5" xfId="11703" xr:uid="{00000000-0005-0000-0000-0000B42D0000}"/>
    <cellStyle name="Comma 2 32 2 6" xfId="11704" xr:uid="{00000000-0005-0000-0000-0000B52D0000}"/>
    <cellStyle name="Comma 2 32 3" xfId="11705" xr:uid="{00000000-0005-0000-0000-0000B62D0000}"/>
    <cellStyle name="Comma 2 32 3 2" xfId="11706" xr:uid="{00000000-0005-0000-0000-0000B72D0000}"/>
    <cellStyle name="Comma 2 32 3 2 2" xfId="11707" xr:uid="{00000000-0005-0000-0000-0000B82D0000}"/>
    <cellStyle name="Comma 2 32 3 2 3" xfId="11708" xr:uid="{00000000-0005-0000-0000-0000B92D0000}"/>
    <cellStyle name="Comma 2 32 3 3" xfId="11709" xr:uid="{00000000-0005-0000-0000-0000BA2D0000}"/>
    <cellStyle name="Comma 2 32 3 4" xfId="11710" xr:uid="{00000000-0005-0000-0000-0000BB2D0000}"/>
    <cellStyle name="Comma 2 32 3 5" xfId="11711" xr:uid="{00000000-0005-0000-0000-0000BC2D0000}"/>
    <cellStyle name="Comma 2 32 3 6" xfId="11712" xr:uid="{00000000-0005-0000-0000-0000BD2D0000}"/>
    <cellStyle name="Comma 2 32 4" xfId="11713" xr:uid="{00000000-0005-0000-0000-0000BE2D0000}"/>
    <cellStyle name="Comma 2 32 4 2" xfId="11714" xr:uid="{00000000-0005-0000-0000-0000BF2D0000}"/>
    <cellStyle name="Comma 2 32 4 2 2" xfId="11715" xr:uid="{00000000-0005-0000-0000-0000C02D0000}"/>
    <cellStyle name="Comma 2 32 4 3" xfId="11716" xr:uid="{00000000-0005-0000-0000-0000C12D0000}"/>
    <cellStyle name="Comma 2 32 4 4" xfId="11717" xr:uid="{00000000-0005-0000-0000-0000C22D0000}"/>
    <cellStyle name="Comma 2 32 4 5" xfId="11718" xr:uid="{00000000-0005-0000-0000-0000C32D0000}"/>
    <cellStyle name="Comma 2 32 4 6" xfId="11719" xr:uid="{00000000-0005-0000-0000-0000C42D0000}"/>
    <cellStyle name="Comma 2 32 5" xfId="11720" xr:uid="{00000000-0005-0000-0000-0000C52D0000}"/>
    <cellStyle name="Comma 2 32 5 2" xfId="11721" xr:uid="{00000000-0005-0000-0000-0000C62D0000}"/>
    <cellStyle name="Comma 2 32 5 3" xfId="11722" xr:uid="{00000000-0005-0000-0000-0000C72D0000}"/>
    <cellStyle name="Comma 2 32 5 4" xfId="11723" xr:uid="{00000000-0005-0000-0000-0000C82D0000}"/>
    <cellStyle name="Comma 2 32 5 5" xfId="11724" xr:uid="{00000000-0005-0000-0000-0000C92D0000}"/>
    <cellStyle name="Comma 2 32 6" xfId="11725" xr:uid="{00000000-0005-0000-0000-0000CA2D0000}"/>
    <cellStyle name="Comma 2 32 6 2" xfId="11726" xr:uid="{00000000-0005-0000-0000-0000CB2D0000}"/>
    <cellStyle name="Comma 2 32 6 3" xfId="11727" xr:uid="{00000000-0005-0000-0000-0000CC2D0000}"/>
    <cellStyle name="Comma 2 32 7" xfId="11728" xr:uid="{00000000-0005-0000-0000-0000CD2D0000}"/>
    <cellStyle name="Comma 2 32 7 2" xfId="11729" xr:uid="{00000000-0005-0000-0000-0000CE2D0000}"/>
    <cellStyle name="Comma 2 32 8" xfId="11730" xr:uid="{00000000-0005-0000-0000-0000CF2D0000}"/>
    <cellStyle name="Comma 2 32 9" xfId="11731" xr:uid="{00000000-0005-0000-0000-0000D02D0000}"/>
    <cellStyle name="Comma 2 33" xfId="11732" xr:uid="{00000000-0005-0000-0000-0000D12D0000}"/>
    <cellStyle name="Comma 2 33 10" xfId="11733" xr:uid="{00000000-0005-0000-0000-0000D22D0000}"/>
    <cellStyle name="Comma 2 33 2" xfId="11734" xr:uid="{00000000-0005-0000-0000-0000D32D0000}"/>
    <cellStyle name="Comma 2 33 2 2" xfId="11735" xr:uid="{00000000-0005-0000-0000-0000D42D0000}"/>
    <cellStyle name="Comma 2 33 2 2 2" xfId="11736" xr:uid="{00000000-0005-0000-0000-0000D52D0000}"/>
    <cellStyle name="Comma 2 33 2 2 3" xfId="11737" xr:uid="{00000000-0005-0000-0000-0000D62D0000}"/>
    <cellStyle name="Comma 2 33 2 3" xfId="11738" xr:uid="{00000000-0005-0000-0000-0000D72D0000}"/>
    <cellStyle name="Comma 2 33 2 4" xfId="11739" xr:uid="{00000000-0005-0000-0000-0000D82D0000}"/>
    <cellStyle name="Comma 2 33 2 5" xfId="11740" xr:uid="{00000000-0005-0000-0000-0000D92D0000}"/>
    <cellStyle name="Comma 2 33 2 6" xfId="11741" xr:uid="{00000000-0005-0000-0000-0000DA2D0000}"/>
    <cellStyle name="Comma 2 33 3" xfId="11742" xr:uid="{00000000-0005-0000-0000-0000DB2D0000}"/>
    <cellStyle name="Comma 2 33 3 2" xfId="11743" xr:uid="{00000000-0005-0000-0000-0000DC2D0000}"/>
    <cellStyle name="Comma 2 33 3 2 2" xfId="11744" xr:uid="{00000000-0005-0000-0000-0000DD2D0000}"/>
    <cellStyle name="Comma 2 33 3 2 3" xfId="11745" xr:uid="{00000000-0005-0000-0000-0000DE2D0000}"/>
    <cellStyle name="Comma 2 33 3 3" xfId="11746" xr:uid="{00000000-0005-0000-0000-0000DF2D0000}"/>
    <cellStyle name="Comma 2 33 3 4" xfId="11747" xr:uid="{00000000-0005-0000-0000-0000E02D0000}"/>
    <cellStyle name="Comma 2 33 3 5" xfId="11748" xr:uid="{00000000-0005-0000-0000-0000E12D0000}"/>
    <cellStyle name="Comma 2 33 3 6" xfId="11749" xr:uid="{00000000-0005-0000-0000-0000E22D0000}"/>
    <cellStyle name="Comma 2 33 4" xfId="11750" xr:uid="{00000000-0005-0000-0000-0000E32D0000}"/>
    <cellStyle name="Comma 2 33 4 2" xfId="11751" xr:uid="{00000000-0005-0000-0000-0000E42D0000}"/>
    <cellStyle name="Comma 2 33 4 2 2" xfId="11752" xr:uid="{00000000-0005-0000-0000-0000E52D0000}"/>
    <cellStyle name="Comma 2 33 4 3" xfId="11753" xr:uid="{00000000-0005-0000-0000-0000E62D0000}"/>
    <cellStyle name="Comma 2 33 4 4" xfId="11754" xr:uid="{00000000-0005-0000-0000-0000E72D0000}"/>
    <cellStyle name="Comma 2 33 4 5" xfId="11755" xr:uid="{00000000-0005-0000-0000-0000E82D0000}"/>
    <cellStyle name="Comma 2 33 4 6" xfId="11756" xr:uid="{00000000-0005-0000-0000-0000E92D0000}"/>
    <cellStyle name="Comma 2 33 5" xfId="11757" xr:uid="{00000000-0005-0000-0000-0000EA2D0000}"/>
    <cellStyle name="Comma 2 33 5 2" xfId="11758" xr:uid="{00000000-0005-0000-0000-0000EB2D0000}"/>
    <cellStyle name="Comma 2 33 5 3" xfId="11759" xr:uid="{00000000-0005-0000-0000-0000EC2D0000}"/>
    <cellStyle name="Comma 2 33 5 4" xfId="11760" xr:uid="{00000000-0005-0000-0000-0000ED2D0000}"/>
    <cellStyle name="Comma 2 33 5 5" xfId="11761" xr:uid="{00000000-0005-0000-0000-0000EE2D0000}"/>
    <cellStyle name="Comma 2 33 6" xfId="11762" xr:uid="{00000000-0005-0000-0000-0000EF2D0000}"/>
    <cellStyle name="Comma 2 33 6 2" xfId="11763" xr:uid="{00000000-0005-0000-0000-0000F02D0000}"/>
    <cellStyle name="Comma 2 33 6 3" xfId="11764" xr:uid="{00000000-0005-0000-0000-0000F12D0000}"/>
    <cellStyle name="Comma 2 33 7" xfId="11765" xr:uid="{00000000-0005-0000-0000-0000F22D0000}"/>
    <cellStyle name="Comma 2 33 7 2" xfId="11766" xr:uid="{00000000-0005-0000-0000-0000F32D0000}"/>
    <cellStyle name="Comma 2 33 8" xfId="11767" xr:uid="{00000000-0005-0000-0000-0000F42D0000}"/>
    <cellStyle name="Comma 2 33 9" xfId="11768" xr:uid="{00000000-0005-0000-0000-0000F52D0000}"/>
    <cellStyle name="Comma 2 34" xfId="11769" xr:uid="{00000000-0005-0000-0000-0000F62D0000}"/>
    <cellStyle name="Comma 2 34 10" xfId="11770" xr:uid="{00000000-0005-0000-0000-0000F72D0000}"/>
    <cellStyle name="Comma 2 34 2" xfId="11771" xr:uid="{00000000-0005-0000-0000-0000F82D0000}"/>
    <cellStyle name="Comma 2 34 2 2" xfId="11772" xr:uid="{00000000-0005-0000-0000-0000F92D0000}"/>
    <cellStyle name="Comma 2 34 2 2 2" xfId="11773" xr:uid="{00000000-0005-0000-0000-0000FA2D0000}"/>
    <cellStyle name="Comma 2 34 2 2 3" xfId="11774" xr:uid="{00000000-0005-0000-0000-0000FB2D0000}"/>
    <cellStyle name="Comma 2 34 2 3" xfId="11775" xr:uid="{00000000-0005-0000-0000-0000FC2D0000}"/>
    <cellStyle name="Comma 2 34 2 4" xfId="11776" xr:uid="{00000000-0005-0000-0000-0000FD2D0000}"/>
    <cellStyle name="Comma 2 34 2 5" xfId="11777" xr:uid="{00000000-0005-0000-0000-0000FE2D0000}"/>
    <cellStyle name="Comma 2 34 2 6" xfId="11778" xr:uid="{00000000-0005-0000-0000-0000FF2D0000}"/>
    <cellStyle name="Comma 2 34 3" xfId="11779" xr:uid="{00000000-0005-0000-0000-0000002E0000}"/>
    <cellStyle name="Comma 2 34 3 2" xfId="11780" xr:uid="{00000000-0005-0000-0000-0000012E0000}"/>
    <cellStyle name="Comma 2 34 3 2 2" xfId="11781" xr:uid="{00000000-0005-0000-0000-0000022E0000}"/>
    <cellStyle name="Comma 2 34 3 2 3" xfId="11782" xr:uid="{00000000-0005-0000-0000-0000032E0000}"/>
    <cellStyle name="Comma 2 34 3 3" xfId="11783" xr:uid="{00000000-0005-0000-0000-0000042E0000}"/>
    <cellStyle name="Comma 2 34 3 4" xfId="11784" xr:uid="{00000000-0005-0000-0000-0000052E0000}"/>
    <cellStyle name="Comma 2 34 3 5" xfId="11785" xr:uid="{00000000-0005-0000-0000-0000062E0000}"/>
    <cellStyle name="Comma 2 34 3 6" xfId="11786" xr:uid="{00000000-0005-0000-0000-0000072E0000}"/>
    <cellStyle name="Comma 2 34 4" xfId="11787" xr:uid="{00000000-0005-0000-0000-0000082E0000}"/>
    <cellStyle name="Comma 2 34 4 2" xfId="11788" xr:uid="{00000000-0005-0000-0000-0000092E0000}"/>
    <cellStyle name="Comma 2 34 4 2 2" xfId="11789" xr:uid="{00000000-0005-0000-0000-00000A2E0000}"/>
    <cellStyle name="Comma 2 34 4 3" xfId="11790" xr:uid="{00000000-0005-0000-0000-00000B2E0000}"/>
    <cellStyle name="Comma 2 34 4 4" xfId="11791" xr:uid="{00000000-0005-0000-0000-00000C2E0000}"/>
    <cellStyle name="Comma 2 34 4 5" xfId="11792" xr:uid="{00000000-0005-0000-0000-00000D2E0000}"/>
    <cellStyle name="Comma 2 34 4 6" xfId="11793" xr:uid="{00000000-0005-0000-0000-00000E2E0000}"/>
    <cellStyle name="Comma 2 34 5" xfId="11794" xr:uid="{00000000-0005-0000-0000-00000F2E0000}"/>
    <cellStyle name="Comma 2 34 5 2" xfId="11795" xr:uid="{00000000-0005-0000-0000-0000102E0000}"/>
    <cellStyle name="Comma 2 34 5 3" xfId="11796" xr:uid="{00000000-0005-0000-0000-0000112E0000}"/>
    <cellStyle name="Comma 2 34 5 4" xfId="11797" xr:uid="{00000000-0005-0000-0000-0000122E0000}"/>
    <cellStyle name="Comma 2 34 5 5" xfId="11798" xr:uid="{00000000-0005-0000-0000-0000132E0000}"/>
    <cellStyle name="Comma 2 34 6" xfId="11799" xr:uid="{00000000-0005-0000-0000-0000142E0000}"/>
    <cellStyle name="Comma 2 34 6 2" xfId="11800" xr:uid="{00000000-0005-0000-0000-0000152E0000}"/>
    <cellStyle name="Comma 2 34 6 3" xfId="11801" xr:uid="{00000000-0005-0000-0000-0000162E0000}"/>
    <cellStyle name="Comma 2 34 7" xfId="11802" xr:uid="{00000000-0005-0000-0000-0000172E0000}"/>
    <cellStyle name="Comma 2 34 7 2" xfId="11803" xr:uid="{00000000-0005-0000-0000-0000182E0000}"/>
    <cellStyle name="Comma 2 34 8" xfId="11804" xr:uid="{00000000-0005-0000-0000-0000192E0000}"/>
    <cellStyle name="Comma 2 34 9" xfId="11805" xr:uid="{00000000-0005-0000-0000-00001A2E0000}"/>
    <cellStyle name="Comma 2 35" xfId="11806" xr:uid="{00000000-0005-0000-0000-00001B2E0000}"/>
    <cellStyle name="Comma 2 35 10" xfId="11807" xr:uid="{00000000-0005-0000-0000-00001C2E0000}"/>
    <cellStyle name="Comma 2 35 2" xfId="11808" xr:uid="{00000000-0005-0000-0000-00001D2E0000}"/>
    <cellStyle name="Comma 2 35 2 2" xfId="11809" xr:uid="{00000000-0005-0000-0000-00001E2E0000}"/>
    <cellStyle name="Comma 2 35 2 2 2" xfId="11810" xr:uid="{00000000-0005-0000-0000-00001F2E0000}"/>
    <cellStyle name="Comma 2 35 2 2 3" xfId="11811" xr:uid="{00000000-0005-0000-0000-0000202E0000}"/>
    <cellStyle name="Comma 2 35 2 3" xfId="11812" xr:uid="{00000000-0005-0000-0000-0000212E0000}"/>
    <cellStyle name="Comma 2 35 2 4" xfId="11813" xr:uid="{00000000-0005-0000-0000-0000222E0000}"/>
    <cellStyle name="Comma 2 35 2 5" xfId="11814" xr:uid="{00000000-0005-0000-0000-0000232E0000}"/>
    <cellStyle name="Comma 2 35 2 6" xfId="11815" xr:uid="{00000000-0005-0000-0000-0000242E0000}"/>
    <cellStyle name="Comma 2 35 3" xfId="11816" xr:uid="{00000000-0005-0000-0000-0000252E0000}"/>
    <cellStyle name="Comma 2 35 3 2" xfId="11817" xr:uid="{00000000-0005-0000-0000-0000262E0000}"/>
    <cellStyle name="Comma 2 35 3 2 2" xfId="11818" xr:uid="{00000000-0005-0000-0000-0000272E0000}"/>
    <cellStyle name="Comma 2 35 3 3" xfId="11819" xr:uid="{00000000-0005-0000-0000-0000282E0000}"/>
    <cellStyle name="Comma 2 35 3 4" xfId="11820" xr:uid="{00000000-0005-0000-0000-0000292E0000}"/>
    <cellStyle name="Comma 2 35 3 5" xfId="11821" xr:uid="{00000000-0005-0000-0000-00002A2E0000}"/>
    <cellStyle name="Comma 2 35 3 6" xfId="11822" xr:uid="{00000000-0005-0000-0000-00002B2E0000}"/>
    <cellStyle name="Comma 2 35 4" xfId="11823" xr:uid="{00000000-0005-0000-0000-00002C2E0000}"/>
    <cellStyle name="Comma 2 35 4 2" xfId="11824" xr:uid="{00000000-0005-0000-0000-00002D2E0000}"/>
    <cellStyle name="Comma 2 35 4 3" xfId="11825" xr:uid="{00000000-0005-0000-0000-00002E2E0000}"/>
    <cellStyle name="Comma 2 35 4 4" xfId="11826" xr:uid="{00000000-0005-0000-0000-00002F2E0000}"/>
    <cellStyle name="Comma 2 35 4 5" xfId="11827" xr:uid="{00000000-0005-0000-0000-0000302E0000}"/>
    <cellStyle name="Comma 2 35 5" xfId="11828" xr:uid="{00000000-0005-0000-0000-0000312E0000}"/>
    <cellStyle name="Comma 2 35 5 2" xfId="11829" xr:uid="{00000000-0005-0000-0000-0000322E0000}"/>
    <cellStyle name="Comma 2 35 5 3" xfId="11830" xr:uid="{00000000-0005-0000-0000-0000332E0000}"/>
    <cellStyle name="Comma 2 35 6" xfId="11831" xr:uid="{00000000-0005-0000-0000-0000342E0000}"/>
    <cellStyle name="Comma 2 35 6 2" xfId="11832" xr:uid="{00000000-0005-0000-0000-0000352E0000}"/>
    <cellStyle name="Comma 2 35 7" xfId="11833" xr:uid="{00000000-0005-0000-0000-0000362E0000}"/>
    <cellStyle name="Comma 2 35 7 2" xfId="11834" xr:uid="{00000000-0005-0000-0000-0000372E0000}"/>
    <cellStyle name="Comma 2 35 8" xfId="11835" xr:uid="{00000000-0005-0000-0000-0000382E0000}"/>
    <cellStyle name="Comma 2 35 9" xfId="11836" xr:uid="{00000000-0005-0000-0000-0000392E0000}"/>
    <cellStyle name="Comma 2 36" xfId="11837" xr:uid="{00000000-0005-0000-0000-00003A2E0000}"/>
    <cellStyle name="Comma 2 36 10" xfId="11838" xr:uid="{00000000-0005-0000-0000-00003B2E0000}"/>
    <cellStyle name="Comma 2 36 2" xfId="11839" xr:uid="{00000000-0005-0000-0000-00003C2E0000}"/>
    <cellStyle name="Comma 2 36 2 2" xfId="11840" xr:uid="{00000000-0005-0000-0000-00003D2E0000}"/>
    <cellStyle name="Comma 2 36 2 2 2" xfId="11841" xr:uid="{00000000-0005-0000-0000-00003E2E0000}"/>
    <cellStyle name="Comma 2 36 2 2 3" xfId="11842" xr:uid="{00000000-0005-0000-0000-00003F2E0000}"/>
    <cellStyle name="Comma 2 36 2 3" xfId="11843" xr:uid="{00000000-0005-0000-0000-0000402E0000}"/>
    <cellStyle name="Comma 2 36 2 4" xfId="11844" xr:uid="{00000000-0005-0000-0000-0000412E0000}"/>
    <cellStyle name="Comma 2 36 2 5" xfId="11845" xr:uid="{00000000-0005-0000-0000-0000422E0000}"/>
    <cellStyle name="Comma 2 36 2 6" xfId="11846" xr:uid="{00000000-0005-0000-0000-0000432E0000}"/>
    <cellStyle name="Comma 2 36 3" xfId="11847" xr:uid="{00000000-0005-0000-0000-0000442E0000}"/>
    <cellStyle name="Comma 2 36 3 2" xfId="11848" xr:uid="{00000000-0005-0000-0000-0000452E0000}"/>
    <cellStyle name="Comma 2 36 3 2 2" xfId="11849" xr:uid="{00000000-0005-0000-0000-0000462E0000}"/>
    <cellStyle name="Comma 2 36 3 3" xfId="11850" xr:uid="{00000000-0005-0000-0000-0000472E0000}"/>
    <cellStyle name="Comma 2 36 3 4" xfId="11851" xr:uid="{00000000-0005-0000-0000-0000482E0000}"/>
    <cellStyle name="Comma 2 36 3 5" xfId="11852" xr:uid="{00000000-0005-0000-0000-0000492E0000}"/>
    <cellStyle name="Comma 2 36 3 6" xfId="11853" xr:uid="{00000000-0005-0000-0000-00004A2E0000}"/>
    <cellStyle name="Comma 2 36 4" xfId="11854" xr:uid="{00000000-0005-0000-0000-00004B2E0000}"/>
    <cellStyle name="Comma 2 36 4 2" xfId="11855" xr:uid="{00000000-0005-0000-0000-00004C2E0000}"/>
    <cellStyle name="Comma 2 36 4 3" xfId="11856" xr:uid="{00000000-0005-0000-0000-00004D2E0000}"/>
    <cellStyle name="Comma 2 36 4 4" xfId="11857" xr:uid="{00000000-0005-0000-0000-00004E2E0000}"/>
    <cellStyle name="Comma 2 36 4 5" xfId="11858" xr:uid="{00000000-0005-0000-0000-00004F2E0000}"/>
    <cellStyle name="Comma 2 36 5" xfId="11859" xr:uid="{00000000-0005-0000-0000-0000502E0000}"/>
    <cellStyle name="Comma 2 36 5 2" xfId="11860" xr:uid="{00000000-0005-0000-0000-0000512E0000}"/>
    <cellStyle name="Comma 2 36 5 3" xfId="11861" xr:uid="{00000000-0005-0000-0000-0000522E0000}"/>
    <cellStyle name="Comma 2 36 6" xfId="11862" xr:uid="{00000000-0005-0000-0000-0000532E0000}"/>
    <cellStyle name="Comma 2 36 6 2" xfId="11863" xr:uid="{00000000-0005-0000-0000-0000542E0000}"/>
    <cellStyle name="Comma 2 36 7" xfId="11864" xr:uid="{00000000-0005-0000-0000-0000552E0000}"/>
    <cellStyle name="Comma 2 36 7 2" xfId="11865" xr:uid="{00000000-0005-0000-0000-0000562E0000}"/>
    <cellStyle name="Comma 2 36 8" xfId="11866" xr:uid="{00000000-0005-0000-0000-0000572E0000}"/>
    <cellStyle name="Comma 2 36 9" xfId="11867" xr:uid="{00000000-0005-0000-0000-0000582E0000}"/>
    <cellStyle name="Comma 2 37" xfId="11868" xr:uid="{00000000-0005-0000-0000-0000592E0000}"/>
    <cellStyle name="Comma 2 37 10" xfId="11869" xr:uid="{00000000-0005-0000-0000-00005A2E0000}"/>
    <cellStyle name="Comma 2 37 2" xfId="11870" xr:uid="{00000000-0005-0000-0000-00005B2E0000}"/>
    <cellStyle name="Comma 2 37 2 2" xfId="11871" xr:uid="{00000000-0005-0000-0000-00005C2E0000}"/>
    <cellStyle name="Comma 2 37 2 2 2" xfId="11872" xr:uid="{00000000-0005-0000-0000-00005D2E0000}"/>
    <cellStyle name="Comma 2 37 2 2 3" xfId="11873" xr:uid="{00000000-0005-0000-0000-00005E2E0000}"/>
    <cellStyle name="Comma 2 37 2 3" xfId="11874" xr:uid="{00000000-0005-0000-0000-00005F2E0000}"/>
    <cellStyle name="Comma 2 37 2 4" xfId="11875" xr:uid="{00000000-0005-0000-0000-0000602E0000}"/>
    <cellStyle name="Comma 2 37 2 5" xfId="11876" xr:uid="{00000000-0005-0000-0000-0000612E0000}"/>
    <cellStyle name="Comma 2 37 2 6" xfId="11877" xr:uid="{00000000-0005-0000-0000-0000622E0000}"/>
    <cellStyle name="Comma 2 37 3" xfId="11878" xr:uid="{00000000-0005-0000-0000-0000632E0000}"/>
    <cellStyle name="Comma 2 37 3 2" xfId="11879" xr:uid="{00000000-0005-0000-0000-0000642E0000}"/>
    <cellStyle name="Comma 2 37 3 3" xfId="11880" xr:uid="{00000000-0005-0000-0000-0000652E0000}"/>
    <cellStyle name="Comma 2 37 3 4" xfId="11881" xr:uid="{00000000-0005-0000-0000-0000662E0000}"/>
    <cellStyle name="Comma 2 37 3 5" xfId="11882" xr:uid="{00000000-0005-0000-0000-0000672E0000}"/>
    <cellStyle name="Comma 2 37 4" xfId="11883" xr:uid="{00000000-0005-0000-0000-0000682E0000}"/>
    <cellStyle name="Comma 2 37 4 2" xfId="11884" xr:uid="{00000000-0005-0000-0000-0000692E0000}"/>
    <cellStyle name="Comma 2 37 4 3" xfId="11885" xr:uid="{00000000-0005-0000-0000-00006A2E0000}"/>
    <cellStyle name="Comma 2 37 5" xfId="11886" xr:uid="{00000000-0005-0000-0000-00006B2E0000}"/>
    <cellStyle name="Comma 2 37 5 2" xfId="11887" xr:uid="{00000000-0005-0000-0000-00006C2E0000}"/>
    <cellStyle name="Comma 2 37 6" xfId="11888" xr:uid="{00000000-0005-0000-0000-00006D2E0000}"/>
    <cellStyle name="Comma 2 37 6 2" xfId="11889" xr:uid="{00000000-0005-0000-0000-00006E2E0000}"/>
    <cellStyle name="Comma 2 37 7" xfId="11890" xr:uid="{00000000-0005-0000-0000-00006F2E0000}"/>
    <cellStyle name="Comma 2 37 7 2" xfId="11891" xr:uid="{00000000-0005-0000-0000-0000702E0000}"/>
    <cellStyle name="Comma 2 37 8" xfId="11892" xr:uid="{00000000-0005-0000-0000-0000712E0000}"/>
    <cellStyle name="Comma 2 37 9" xfId="11893" xr:uid="{00000000-0005-0000-0000-0000722E0000}"/>
    <cellStyle name="Comma 2 38" xfId="11894" xr:uid="{00000000-0005-0000-0000-0000732E0000}"/>
    <cellStyle name="Comma 2 38 10" xfId="11895" xr:uid="{00000000-0005-0000-0000-0000742E0000}"/>
    <cellStyle name="Comma 2 38 2" xfId="11896" xr:uid="{00000000-0005-0000-0000-0000752E0000}"/>
    <cellStyle name="Comma 2 38 2 2" xfId="11897" xr:uid="{00000000-0005-0000-0000-0000762E0000}"/>
    <cellStyle name="Comma 2 38 2 2 2" xfId="11898" xr:uid="{00000000-0005-0000-0000-0000772E0000}"/>
    <cellStyle name="Comma 2 38 2 3" xfId="11899" xr:uid="{00000000-0005-0000-0000-0000782E0000}"/>
    <cellStyle name="Comma 2 38 2 4" xfId="11900" xr:uid="{00000000-0005-0000-0000-0000792E0000}"/>
    <cellStyle name="Comma 2 38 2 5" xfId="11901" xr:uid="{00000000-0005-0000-0000-00007A2E0000}"/>
    <cellStyle name="Comma 2 38 3" xfId="11902" xr:uid="{00000000-0005-0000-0000-00007B2E0000}"/>
    <cellStyle name="Comma 2 38 3 2" xfId="11903" xr:uid="{00000000-0005-0000-0000-00007C2E0000}"/>
    <cellStyle name="Comma 2 38 3 3" xfId="11904" xr:uid="{00000000-0005-0000-0000-00007D2E0000}"/>
    <cellStyle name="Comma 2 38 4" xfId="11905" xr:uid="{00000000-0005-0000-0000-00007E2E0000}"/>
    <cellStyle name="Comma 2 38 4 2" xfId="11906" xr:uid="{00000000-0005-0000-0000-00007F2E0000}"/>
    <cellStyle name="Comma 2 38 5" xfId="11907" xr:uid="{00000000-0005-0000-0000-0000802E0000}"/>
    <cellStyle name="Comma 2 38 5 2" xfId="11908" xr:uid="{00000000-0005-0000-0000-0000812E0000}"/>
    <cellStyle name="Comma 2 38 6" xfId="11909" xr:uid="{00000000-0005-0000-0000-0000822E0000}"/>
    <cellStyle name="Comma 2 38 6 2" xfId="11910" xr:uid="{00000000-0005-0000-0000-0000832E0000}"/>
    <cellStyle name="Comma 2 38 7" xfId="11911" xr:uid="{00000000-0005-0000-0000-0000842E0000}"/>
    <cellStyle name="Comma 2 38 8" xfId="11912" xr:uid="{00000000-0005-0000-0000-0000852E0000}"/>
    <cellStyle name="Comma 2 38 9" xfId="11913" xr:uid="{00000000-0005-0000-0000-0000862E0000}"/>
    <cellStyle name="Comma 2 39" xfId="11914" xr:uid="{00000000-0005-0000-0000-0000872E0000}"/>
    <cellStyle name="Comma 2 39 10" xfId="11915" xr:uid="{00000000-0005-0000-0000-0000882E0000}"/>
    <cellStyle name="Comma 2 39 2" xfId="11916" xr:uid="{00000000-0005-0000-0000-0000892E0000}"/>
    <cellStyle name="Comma 2 39 2 2" xfId="11917" xr:uid="{00000000-0005-0000-0000-00008A2E0000}"/>
    <cellStyle name="Comma 2 39 2 2 2" xfId="11918" xr:uid="{00000000-0005-0000-0000-00008B2E0000}"/>
    <cellStyle name="Comma 2 39 2 3" xfId="11919" xr:uid="{00000000-0005-0000-0000-00008C2E0000}"/>
    <cellStyle name="Comma 2 39 2 4" xfId="11920" xr:uid="{00000000-0005-0000-0000-00008D2E0000}"/>
    <cellStyle name="Comma 2 39 3" xfId="11921" xr:uid="{00000000-0005-0000-0000-00008E2E0000}"/>
    <cellStyle name="Comma 2 39 3 2" xfId="11922" xr:uid="{00000000-0005-0000-0000-00008F2E0000}"/>
    <cellStyle name="Comma 2 39 4" xfId="11923" xr:uid="{00000000-0005-0000-0000-0000902E0000}"/>
    <cellStyle name="Comma 2 39 4 2" xfId="11924" xr:uid="{00000000-0005-0000-0000-0000912E0000}"/>
    <cellStyle name="Comma 2 39 5" xfId="11925" xr:uid="{00000000-0005-0000-0000-0000922E0000}"/>
    <cellStyle name="Comma 2 39 6" xfId="11926" xr:uid="{00000000-0005-0000-0000-0000932E0000}"/>
    <cellStyle name="Comma 2 39 7" xfId="11927" xr:uid="{00000000-0005-0000-0000-0000942E0000}"/>
    <cellStyle name="Comma 2 39 8" xfId="11928" xr:uid="{00000000-0005-0000-0000-0000952E0000}"/>
    <cellStyle name="Comma 2 39 9" xfId="11929" xr:uid="{00000000-0005-0000-0000-0000962E0000}"/>
    <cellStyle name="Comma 2 4" xfId="11930" xr:uid="{00000000-0005-0000-0000-0000972E0000}"/>
    <cellStyle name="Comma 2 4 10" xfId="11931" xr:uid="{00000000-0005-0000-0000-0000982E0000}"/>
    <cellStyle name="Comma 2 4 10 10" xfId="11932" xr:uid="{00000000-0005-0000-0000-0000992E0000}"/>
    <cellStyle name="Comma 2 4 10 2" xfId="11933" xr:uid="{00000000-0005-0000-0000-00009A2E0000}"/>
    <cellStyle name="Comma 2 4 10 2 2" xfId="11934" xr:uid="{00000000-0005-0000-0000-00009B2E0000}"/>
    <cellStyle name="Comma 2 4 10 2 2 2" xfId="11935" xr:uid="{00000000-0005-0000-0000-00009C2E0000}"/>
    <cellStyle name="Comma 2 4 10 2 2 3" xfId="11936" xr:uid="{00000000-0005-0000-0000-00009D2E0000}"/>
    <cellStyle name="Comma 2 4 10 2 3" xfId="11937" xr:uid="{00000000-0005-0000-0000-00009E2E0000}"/>
    <cellStyle name="Comma 2 4 10 2 4" xfId="11938" xr:uid="{00000000-0005-0000-0000-00009F2E0000}"/>
    <cellStyle name="Comma 2 4 10 2 5" xfId="11939" xr:uid="{00000000-0005-0000-0000-0000A02E0000}"/>
    <cellStyle name="Comma 2 4 10 2 6" xfId="11940" xr:uid="{00000000-0005-0000-0000-0000A12E0000}"/>
    <cellStyle name="Comma 2 4 10 3" xfId="11941" xr:uid="{00000000-0005-0000-0000-0000A22E0000}"/>
    <cellStyle name="Comma 2 4 10 3 2" xfId="11942" xr:uid="{00000000-0005-0000-0000-0000A32E0000}"/>
    <cellStyle name="Comma 2 4 10 3 2 2" xfId="11943" xr:uid="{00000000-0005-0000-0000-0000A42E0000}"/>
    <cellStyle name="Comma 2 4 10 3 2 3" xfId="11944" xr:uid="{00000000-0005-0000-0000-0000A52E0000}"/>
    <cellStyle name="Comma 2 4 10 3 3" xfId="11945" xr:uid="{00000000-0005-0000-0000-0000A62E0000}"/>
    <cellStyle name="Comma 2 4 10 3 4" xfId="11946" xr:uid="{00000000-0005-0000-0000-0000A72E0000}"/>
    <cellStyle name="Comma 2 4 10 3 5" xfId="11947" xr:uid="{00000000-0005-0000-0000-0000A82E0000}"/>
    <cellStyle name="Comma 2 4 10 3 6" xfId="11948" xr:uid="{00000000-0005-0000-0000-0000A92E0000}"/>
    <cellStyle name="Comma 2 4 10 4" xfId="11949" xr:uid="{00000000-0005-0000-0000-0000AA2E0000}"/>
    <cellStyle name="Comma 2 4 10 4 2" xfId="11950" xr:uid="{00000000-0005-0000-0000-0000AB2E0000}"/>
    <cellStyle name="Comma 2 4 10 4 2 2" xfId="11951" xr:uid="{00000000-0005-0000-0000-0000AC2E0000}"/>
    <cellStyle name="Comma 2 4 10 4 3" xfId="11952" xr:uid="{00000000-0005-0000-0000-0000AD2E0000}"/>
    <cellStyle name="Comma 2 4 10 4 4" xfId="11953" xr:uid="{00000000-0005-0000-0000-0000AE2E0000}"/>
    <cellStyle name="Comma 2 4 10 4 5" xfId="11954" xr:uid="{00000000-0005-0000-0000-0000AF2E0000}"/>
    <cellStyle name="Comma 2 4 10 5" xfId="11955" xr:uid="{00000000-0005-0000-0000-0000B02E0000}"/>
    <cellStyle name="Comma 2 4 10 5 2" xfId="11956" xr:uid="{00000000-0005-0000-0000-0000B12E0000}"/>
    <cellStyle name="Comma 2 4 10 5 3" xfId="11957" xr:uid="{00000000-0005-0000-0000-0000B22E0000}"/>
    <cellStyle name="Comma 2 4 10 5 4" xfId="11958" xr:uid="{00000000-0005-0000-0000-0000B32E0000}"/>
    <cellStyle name="Comma 2 4 10 6" xfId="11959" xr:uid="{00000000-0005-0000-0000-0000B42E0000}"/>
    <cellStyle name="Comma 2 4 10 6 2" xfId="11960" xr:uid="{00000000-0005-0000-0000-0000B52E0000}"/>
    <cellStyle name="Comma 2 4 10 7" xfId="11961" xr:uid="{00000000-0005-0000-0000-0000B62E0000}"/>
    <cellStyle name="Comma 2 4 10 8" xfId="11962" xr:uid="{00000000-0005-0000-0000-0000B72E0000}"/>
    <cellStyle name="Comma 2 4 10 9" xfId="11963" xr:uid="{00000000-0005-0000-0000-0000B82E0000}"/>
    <cellStyle name="Comma 2 4 11" xfId="11964" xr:uid="{00000000-0005-0000-0000-0000B92E0000}"/>
    <cellStyle name="Comma 2 4 11 10" xfId="11965" xr:uid="{00000000-0005-0000-0000-0000BA2E0000}"/>
    <cellStyle name="Comma 2 4 11 2" xfId="11966" xr:uid="{00000000-0005-0000-0000-0000BB2E0000}"/>
    <cellStyle name="Comma 2 4 11 2 2" xfId="11967" xr:uid="{00000000-0005-0000-0000-0000BC2E0000}"/>
    <cellStyle name="Comma 2 4 11 2 2 2" xfId="11968" xr:uid="{00000000-0005-0000-0000-0000BD2E0000}"/>
    <cellStyle name="Comma 2 4 11 2 2 3" xfId="11969" xr:uid="{00000000-0005-0000-0000-0000BE2E0000}"/>
    <cellStyle name="Comma 2 4 11 2 3" xfId="11970" xr:uid="{00000000-0005-0000-0000-0000BF2E0000}"/>
    <cellStyle name="Comma 2 4 11 2 4" xfId="11971" xr:uid="{00000000-0005-0000-0000-0000C02E0000}"/>
    <cellStyle name="Comma 2 4 11 2 5" xfId="11972" xr:uid="{00000000-0005-0000-0000-0000C12E0000}"/>
    <cellStyle name="Comma 2 4 11 2 6" xfId="11973" xr:uid="{00000000-0005-0000-0000-0000C22E0000}"/>
    <cellStyle name="Comma 2 4 11 3" xfId="11974" xr:uid="{00000000-0005-0000-0000-0000C32E0000}"/>
    <cellStyle name="Comma 2 4 11 3 2" xfId="11975" xr:uid="{00000000-0005-0000-0000-0000C42E0000}"/>
    <cellStyle name="Comma 2 4 11 3 2 2" xfId="11976" xr:uid="{00000000-0005-0000-0000-0000C52E0000}"/>
    <cellStyle name="Comma 2 4 11 3 2 3" xfId="11977" xr:uid="{00000000-0005-0000-0000-0000C62E0000}"/>
    <cellStyle name="Comma 2 4 11 3 3" xfId="11978" xr:uid="{00000000-0005-0000-0000-0000C72E0000}"/>
    <cellStyle name="Comma 2 4 11 3 4" xfId="11979" xr:uid="{00000000-0005-0000-0000-0000C82E0000}"/>
    <cellStyle name="Comma 2 4 11 3 5" xfId="11980" xr:uid="{00000000-0005-0000-0000-0000C92E0000}"/>
    <cellStyle name="Comma 2 4 11 3 6" xfId="11981" xr:uid="{00000000-0005-0000-0000-0000CA2E0000}"/>
    <cellStyle name="Comma 2 4 11 4" xfId="11982" xr:uid="{00000000-0005-0000-0000-0000CB2E0000}"/>
    <cellStyle name="Comma 2 4 11 4 2" xfId="11983" xr:uid="{00000000-0005-0000-0000-0000CC2E0000}"/>
    <cellStyle name="Comma 2 4 11 4 2 2" xfId="11984" xr:uid="{00000000-0005-0000-0000-0000CD2E0000}"/>
    <cellStyle name="Comma 2 4 11 4 3" xfId="11985" xr:uid="{00000000-0005-0000-0000-0000CE2E0000}"/>
    <cellStyle name="Comma 2 4 11 4 4" xfId="11986" xr:uid="{00000000-0005-0000-0000-0000CF2E0000}"/>
    <cellStyle name="Comma 2 4 11 4 5" xfId="11987" xr:uid="{00000000-0005-0000-0000-0000D02E0000}"/>
    <cellStyle name="Comma 2 4 11 5" xfId="11988" xr:uid="{00000000-0005-0000-0000-0000D12E0000}"/>
    <cellStyle name="Comma 2 4 11 5 2" xfId="11989" xr:uid="{00000000-0005-0000-0000-0000D22E0000}"/>
    <cellStyle name="Comma 2 4 11 5 3" xfId="11990" xr:uid="{00000000-0005-0000-0000-0000D32E0000}"/>
    <cellStyle name="Comma 2 4 11 5 4" xfId="11991" xr:uid="{00000000-0005-0000-0000-0000D42E0000}"/>
    <cellStyle name="Comma 2 4 11 6" xfId="11992" xr:uid="{00000000-0005-0000-0000-0000D52E0000}"/>
    <cellStyle name="Comma 2 4 11 6 2" xfId="11993" xr:uid="{00000000-0005-0000-0000-0000D62E0000}"/>
    <cellStyle name="Comma 2 4 11 7" xfId="11994" xr:uid="{00000000-0005-0000-0000-0000D72E0000}"/>
    <cellStyle name="Comma 2 4 11 8" xfId="11995" xr:uid="{00000000-0005-0000-0000-0000D82E0000}"/>
    <cellStyle name="Comma 2 4 11 9" xfId="11996" xr:uid="{00000000-0005-0000-0000-0000D92E0000}"/>
    <cellStyle name="Comma 2 4 12" xfId="11997" xr:uid="{00000000-0005-0000-0000-0000DA2E0000}"/>
    <cellStyle name="Comma 2 4 12 10" xfId="11998" xr:uid="{00000000-0005-0000-0000-0000DB2E0000}"/>
    <cellStyle name="Comma 2 4 12 2" xfId="11999" xr:uid="{00000000-0005-0000-0000-0000DC2E0000}"/>
    <cellStyle name="Comma 2 4 12 2 2" xfId="12000" xr:uid="{00000000-0005-0000-0000-0000DD2E0000}"/>
    <cellStyle name="Comma 2 4 12 2 2 2" xfId="12001" xr:uid="{00000000-0005-0000-0000-0000DE2E0000}"/>
    <cellStyle name="Comma 2 4 12 2 2 3" xfId="12002" xr:uid="{00000000-0005-0000-0000-0000DF2E0000}"/>
    <cellStyle name="Comma 2 4 12 2 3" xfId="12003" xr:uid="{00000000-0005-0000-0000-0000E02E0000}"/>
    <cellStyle name="Comma 2 4 12 2 4" xfId="12004" xr:uid="{00000000-0005-0000-0000-0000E12E0000}"/>
    <cellStyle name="Comma 2 4 12 2 5" xfId="12005" xr:uid="{00000000-0005-0000-0000-0000E22E0000}"/>
    <cellStyle name="Comma 2 4 12 2 6" xfId="12006" xr:uid="{00000000-0005-0000-0000-0000E32E0000}"/>
    <cellStyle name="Comma 2 4 12 3" xfId="12007" xr:uid="{00000000-0005-0000-0000-0000E42E0000}"/>
    <cellStyle name="Comma 2 4 12 3 2" xfId="12008" xr:uid="{00000000-0005-0000-0000-0000E52E0000}"/>
    <cellStyle name="Comma 2 4 12 3 2 2" xfId="12009" xr:uid="{00000000-0005-0000-0000-0000E62E0000}"/>
    <cellStyle name="Comma 2 4 12 3 2 3" xfId="12010" xr:uid="{00000000-0005-0000-0000-0000E72E0000}"/>
    <cellStyle name="Comma 2 4 12 3 3" xfId="12011" xr:uid="{00000000-0005-0000-0000-0000E82E0000}"/>
    <cellStyle name="Comma 2 4 12 3 4" xfId="12012" xr:uid="{00000000-0005-0000-0000-0000E92E0000}"/>
    <cellStyle name="Comma 2 4 12 3 5" xfId="12013" xr:uid="{00000000-0005-0000-0000-0000EA2E0000}"/>
    <cellStyle name="Comma 2 4 12 3 6" xfId="12014" xr:uid="{00000000-0005-0000-0000-0000EB2E0000}"/>
    <cellStyle name="Comma 2 4 12 4" xfId="12015" xr:uid="{00000000-0005-0000-0000-0000EC2E0000}"/>
    <cellStyle name="Comma 2 4 12 4 2" xfId="12016" xr:uid="{00000000-0005-0000-0000-0000ED2E0000}"/>
    <cellStyle name="Comma 2 4 12 4 2 2" xfId="12017" xr:uid="{00000000-0005-0000-0000-0000EE2E0000}"/>
    <cellStyle name="Comma 2 4 12 4 3" xfId="12018" xr:uid="{00000000-0005-0000-0000-0000EF2E0000}"/>
    <cellStyle name="Comma 2 4 12 4 4" xfId="12019" xr:uid="{00000000-0005-0000-0000-0000F02E0000}"/>
    <cellStyle name="Comma 2 4 12 4 5" xfId="12020" xr:uid="{00000000-0005-0000-0000-0000F12E0000}"/>
    <cellStyle name="Comma 2 4 12 5" xfId="12021" xr:uid="{00000000-0005-0000-0000-0000F22E0000}"/>
    <cellStyle name="Comma 2 4 12 5 2" xfId="12022" xr:uid="{00000000-0005-0000-0000-0000F32E0000}"/>
    <cellStyle name="Comma 2 4 12 5 3" xfId="12023" xr:uid="{00000000-0005-0000-0000-0000F42E0000}"/>
    <cellStyle name="Comma 2 4 12 5 4" xfId="12024" xr:uid="{00000000-0005-0000-0000-0000F52E0000}"/>
    <cellStyle name="Comma 2 4 12 6" xfId="12025" xr:uid="{00000000-0005-0000-0000-0000F62E0000}"/>
    <cellStyle name="Comma 2 4 12 6 2" xfId="12026" xr:uid="{00000000-0005-0000-0000-0000F72E0000}"/>
    <cellStyle name="Comma 2 4 12 7" xfId="12027" xr:uid="{00000000-0005-0000-0000-0000F82E0000}"/>
    <cellStyle name="Comma 2 4 12 8" xfId="12028" xr:uid="{00000000-0005-0000-0000-0000F92E0000}"/>
    <cellStyle name="Comma 2 4 12 9" xfId="12029" xr:uid="{00000000-0005-0000-0000-0000FA2E0000}"/>
    <cellStyle name="Comma 2 4 13" xfId="12030" xr:uid="{00000000-0005-0000-0000-0000FB2E0000}"/>
    <cellStyle name="Comma 2 4 13 10" xfId="12031" xr:uid="{00000000-0005-0000-0000-0000FC2E0000}"/>
    <cellStyle name="Comma 2 4 13 2" xfId="12032" xr:uid="{00000000-0005-0000-0000-0000FD2E0000}"/>
    <cellStyle name="Comma 2 4 13 2 2" xfId="12033" xr:uid="{00000000-0005-0000-0000-0000FE2E0000}"/>
    <cellStyle name="Comma 2 4 13 2 2 2" xfId="12034" xr:uid="{00000000-0005-0000-0000-0000FF2E0000}"/>
    <cellStyle name="Comma 2 4 13 2 2 3" xfId="12035" xr:uid="{00000000-0005-0000-0000-0000002F0000}"/>
    <cellStyle name="Comma 2 4 13 2 3" xfId="12036" xr:uid="{00000000-0005-0000-0000-0000012F0000}"/>
    <cellStyle name="Comma 2 4 13 2 4" xfId="12037" xr:uid="{00000000-0005-0000-0000-0000022F0000}"/>
    <cellStyle name="Comma 2 4 13 2 5" xfId="12038" xr:uid="{00000000-0005-0000-0000-0000032F0000}"/>
    <cellStyle name="Comma 2 4 13 2 6" xfId="12039" xr:uid="{00000000-0005-0000-0000-0000042F0000}"/>
    <cellStyle name="Comma 2 4 13 3" xfId="12040" xr:uid="{00000000-0005-0000-0000-0000052F0000}"/>
    <cellStyle name="Comma 2 4 13 3 2" xfId="12041" xr:uid="{00000000-0005-0000-0000-0000062F0000}"/>
    <cellStyle name="Comma 2 4 13 3 2 2" xfId="12042" xr:uid="{00000000-0005-0000-0000-0000072F0000}"/>
    <cellStyle name="Comma 2 4 13 3 2 3" xfId="12043" xr:uid="{00000000-0005-0000-0000-0000082F0000}"/>
    <cellStyle name="Comma 2 4 13 3 3" xfId="12044" xr:uid="{00000000-0005-0000-0000-0000092F0000}"/>
    <cellStyle name="Comma 2 4 13 3 4" xfId="12045" xr:uid="{00000000-0005-0000-0000-00000A2F0000}"/>
    <cellStyle name="Comma 2 4 13 3 5" xfId="12046" xr:uid="{00000000-0005-0000-0000-00000B2F0000}"/>
    <cellStyle name="Comma 2 4 13 3 6" xfId="12047" xr:uid="{00000000-0005-0000-0000-00000C2F0000}"/>
    <cellStyle name="Comma 2 4 13 4" xfId="12048" xr:uid="{00000000-0005-0000-0000-00000D2F0000}"/>
    <cellStyle name="Comma 2 4 13 4 2" xfId="12049" xr:uid="{00000000-0005-0000-0000-00000E2F0000}"/>
    <cellStyle name="Comma 2 4 13 4 2 2" xfId="12050" xr:uid="{00000000-0005-0000-0000-00000F2F0000}"/>
    <cellStyle name="Comma 2 4 13 4 3" xfId="12051" xr:uid="{00000000-0005-0000-0000-0000102F0000}"/>
    <cellStyle name="Comma 2 4 13 4 4" xfId="12052" xr:uid="{00000000-0005-0000-0000-0000112F0000}"/>
    <cellStyle name="Comma 2 4 13 4 5" xfId="12053" xr:uid="{00000000-0005-0000-0000-0000122F0000}"/>
    <cellStyle name="Comma 2 4 13 5" xfId="12054" xr:uid="{00000000-0005-0000-0000-0000132F0000}"/>
    <cellStyle name="Comma 2 4 13 5 2" xfId="12055" xr:uid="{00000000-0005-0000-0000-0000142F0000}"/>
    <cellStyle name="Comma 2 4 13 5 3" xfId="12056" xr:uid="{00000000-0005-0000-0000-0000152F0000}"/>
    <cellStyle name="Comma 2 4 13 5 4" xfId="12057" xr:uid="{00000000-0005-0000-0000-0000162F0000}"/>
    <cellStyle name="Comma 2 4 13 6" xfId="12058" xr:uid="{00000000-0005-0000-0000-0000172F0000}"/>
    <cellStyle name="Comma 2 4 13 6 2" xfId="12059" xr:uid="{00000000-0005-0000-0000-0000182F0000}"/>
    <cellStyle name="Comma 2 4 13 7" xfId="12060" xr:uid="{00000000-0005-0000-0000-0000192F0000}"/>
    <cellStyle name="Comma 2 4 13 8" xfId="12061" xr:uid="{00000000-0005-0000-0000-00001A2F0000}"/>
    <cellStyle name="Comma 2 4 13 9" xfId="12062" xr:uid="{00000000-0005-0000-0000-00001B2F0000}"/>
    <cellStyle name="Comma 2 4 14" xfId="12063" xr:uid="{00000000-0005-0000-0000-00001C2F0000}"/>
    <cellStyle name="Comma 2 4 14 10" xfId="12064" xr:uid="{00000000-0005-0000-0000-00001D2F0000}"/>
    <cellStyle name="Comma 2 4 14 2" xfId="12065" xr:uid="{00000000-0005-0000-0000-00001E2F0000}"/>
    <cellStyle name="Comma 2 4 14 2 2" xfId="12066" xr:uid="{00000000-0005-0000-0000-00001F2F0000}"/>
    <cellStyle name="Comma 2 4 14 2 2 2" xfId="12067" xr:uid="{00000000-0005-0000-0000-0000202F0000}"/>
    <cellStyle name="Comma 2 4 14 2 2 3" xfId="12068" xr:uid="{00000000-0005-0000-0000-0000212F0000}"/>
    <cellStyle name="Comma 2 4 14 2 3" xfId="12069" xr:uid="{00000000-0005-0000-0000-0000222F0000}"/>
    <cellStyle name="Comma 2 4 14 2 4" xfId="12070" xr:uid="{00000000-0005-0000-0000-0000232F0000}"/>
    <cellStyle name="Comma 2 4 14 2 5" xfId="12071" xr:uid="{00000000-0005-0000-0000-0000242F0000}"/>
    <cellStyle name="Comma 2 4 14 2 6" xfId="12072" xr:uid="{00000000-0005-0000-0000-0000252F0000}"/>
    <cellStyle name="Comma 2 4 14 3" xfId="12073" xr:uid="{00000000-0005-0000-0000-0000262F0000}"/>
    <cellStyle name="Comma 2 4 14 3 2" xfId="12074" xr:uid="{00000000-0005-0000-0000-0000272F0000}"/>
    <cellStyle name="Comma 2 4 14 3 2 2" xfId="12075" xr:uid="{00000000-0005-0000-0000-0000282F0000}"/>
    <cellStyle name="Comma 2 4 14 3 2 3" xfId="12076" xr:uid="{00000000-0005-0000-0000-0000292F0000}"/>
    <cellStyle name="Comma 2 4 14 3 3" xfId="12077" xr:uid="{00000000-0005-0000-0000-00002A2F0000}"/>
    <cellStyle name="Comma 2 4 14 3 4" xfId="12078" xr:uid="{00000000-0005-0000-0000-00002B2F0000}"/>
    <cellStyle name="Comma 2 4 14 3 5" xfId="12079" xr:uid="{00000000-0005-0000-0000-00002C2F0000}"/>
    <cellStyle name="Comma 2 4 14 3 6" xfId="12080" xr:uid="{00000000-0005-0000-0000-00002D2F0000}"/>
    <cellStyle name="Comma 2 4 14 4" xfId="12081" xr:uid="{00000000-0005-0000-0000-00002E2F0000}"/>
    <cellStyle name="Comma 2 4 14 4 2" xfId="12082" xr:uid="{00000000-0005-0000-0000-00002F2F0000}"/>
    <cellStyle name="Comma 2 4 14 4 2 2" xfId="12083" xr:uid="{00000000-0005-0000-0000-0000302F0000}"/>
    <cellStyle name="Comma 2 4 14 4 3" xfId="12084" xr:uid="{00000000-0005-0000-0000-0000312F0000}"/>
    <cellStyle name="Comma 2 4 14 4 4" xfId="12085" xr:uid="{00000000-0005-0000-0000-0000322F0000}"/>
    <cellStyle name="Comma 2 4 14 4 5" xfId="12086" xr:uid="{00000000-0005-0000-0000-0000332F0000}"/>
    <cellStyle name="Comma 2 4 14 5" xfId="12087" xr:uid="{00000000-0005-0000-0000-0000342F0000}"/>
    <cellStyle name="Comma 2 4 14 5 2" xfId="12088" xr:uid="{00000000-0005-0000-0000-0000352F0000}"/>
    <cellStyle name="Comma 2 4 14 5 3" xfId="12089" xr:uid="{00000000-0005-0000-0000-0000362F0000}"/>
    <cellStyle name="Comma 2 4 14 5 4" xfId="12090" xr:uid="{00000000-0005-0000-0000-0000372F0000}"/>
    <cellStyle name="Comma 2 4 14 6" xfId="12091" xr:uid="{00000000-0005-0000-0000-0000382F0000}"/>
    <cellStyle name="Comma 2 4 14 6 2" xfId="12092" xr:uid="{00000000-0005-0000-0000-0000392F0000}"/>
    <cellStyle name="Comma 2 4 14 7" xfId="12093" xr:uid="{00000000-0005-0000-0000-00003A2F0000}"/>
    <cellStyle name="Comma 2 4 14 8" xfId="12094" xr:uid="{00000000-0005-0000-0000-00003B2F0000}"/>
    <cellStyle name="Comma 2 4 14 9" xfId="12095" xr:uid="{00000000-0005-0000-0000-00003C2F0000}"/>
    <cellStyle name="Comma 2 4 15" xfId="12096" xr:uid="{00000000-0005-0000-0000-00003D2F0000}"/>
    <cellStyle name="Comma 2 4 15 10" xfId="12097" xr:uid="{00000000-0005-0000-0000-00003E2F0000}"/>
    <cellStyle name="Comma 2 4 15 2" xfId="12098" xr:uid="{00000000-0005-0000-0000-00003F2F0000}"/>
    <cellStyle name="Comma 2 4 15 2 2" xfId="12099" xr:uid="{00000000-0005-0000-0000-0000402F0000}"/>
    <cellStyle name="Comma 2 4 15 2 2 2" xfId="12100" xr:uid="{00000000-0005-0000-0000-0000412F0000}"/>
    <cellStyle name="Comma 2 4 15 2 2 3" xfId="12101" xr:uid="{00000000-0005-0000-0000-0000422F0000}"/>
    <cellStyle name="Comma 2 4 15 2 3" xfId="12102" xr:uid="{00000000-0005-0000-0000-0000432F0000}"/>
    <cellStyle name="Comma 2 4 15 2 4" xfId="12103" xr:uid="{00000000-0005-0000-0000-0000442F0000}"/>
    <cellStyle name="Comma 2 4 15 2 5" xfId="12104" xr:uid="{00000000-0005-0000-0000-0000452F0000}"/>
    <cellStyle name="Comma 2 4 15 2 6" xfId="12105" xr:uid="{00000000-0005-0000-0000-0000462F0000}"/>
    <cellStyle name="Comma 2 4 15 3" xfId="12106" xr:uid="{00000000-0005-0000-0000-0000472F0000}"/>
    <cellStyle name="Comma 2 4 15 3 2" xfId="12107" xr:uid="{00000000-0005-0000-0000-0000482F0000}"/>
    <cellStyle name="Comma 2 4 15 3 2 2" xfId="12108" xr:uid="{00000000-0005-0000-0000-0000492F0000}"/>
    <cellStyle name="Comma 2 4 15 3 2 3" xfId="12109" xr:uid="{00000000-0005-0000-0000-00004A2F0000}"/>
    <cellStyle name="Comma 2 4 15 3 3" xfId="12110" xr:uid="{00000000-0005-0000-0000-00004B2F0000}"/>
    <cellStyle name="Comma 2 4 15 3 4" xfId="12111" xr:uid="{00000000-0005-0000-0000-00004C2F0000}"/>
    <cellStyle name="Comma 2 4 15 3 5" xfId="12112" xr:uid="{00000000-0005-0000-0000-00004D2F0000}"/>
    <cellStyle name="Comma 2 4 15 3 6" xfId="12113" xr:uid="{00000000-0005-0000-0000-00004E2F0000}"/>
    <cellStyle name="Comma 2 4 15 4" xfId="12114" xr:uid="{00000000-0005-0000-0000-00004F2F0000}"/>
    <cellStyle name="Comma 2 4 15 4 2" xfId="12115" xr:uid="{00000000-0005-0000-0000-0000502F0000}"/>
    <cellStyle name="Comma 2 4 15 4 2 2" xfId="12116" xr:uid="{00000000-0005-0000-0000-0000512F0000}"/>
    <cellStyle name="Comma 2 4 15 4 3" xfId="12117" xr:uid="{00000000-0005-0000-0000-0000522F0000}"/>
    <cellStyle name="Comma 2 4 15 4 4" xfId="12118" xr:uid="{00000000-0005-0000-0000-0000532F0000}"/>
    <cellStyle name="Comma 2 4 15 4 5" xfId="12119" xr:uid="{00000000-0005-0000-0000-0000542F0000}"/>
    <cellStyle name="Comma 2 4 15 5" xfId="12120" xr:uid="{00000000-0005-0000-0000-0000552F0000}"/>
    <cellStyle name="Comma 2 4 15 5 2" xfId="12121" xr:uid="{00000000-0005-0000-0000-0000562F0000}"/>
    <cellStyle name="Comma 2 4 15 5 3" xfId="12122" xr:uid="{00000000-0005-0000-0000-0000572F0000}"/>
    <cellStyle name="Comma 2 4 15 5 4" xfId="12123" xr:uid="{00000000-0005-0000-0000-0000582F0000}"/>
    <cellStyle name="Comma 2 4 15 6" xfId="12124" xr:uid="{00000000-0005-0000-0000-0000592F0000}"/>
    <cellStyle name="Comma 2 4 15 6 2" xfId="12125" xr:uid="{00000000-0005-0000-0000-00005A2F0000}"/>
    <cellStyle name="Comma 2 4 15 7" xfId="12126" xr:uid="{00000000-0005-0000-0000-00005B2F0000}"/>
    <cellStyle name="Comma 2 4 15 8" xfId="12127" xr:uid="{00000000-0005-0000-0000-00005C2F0000}"/>
    <cellStyle name="Comma 2 4 15 9" xfId="12128" xr:uid="{00000000-0005-0000-0000-00005D2F0000}"/>
    <cellStyle name="Comma 2 4 16" xfId="12129" xr:uid="{00000000-0005-0000-0000-00005E2F0000}"/>
    <cellStyle name="Comma 2 4 16 10" xfId="12130" xr:uid="{00000000-0005-0000-0000-00005F2F0000}"/>
    <cellStyle name="Comma 2 4 16 2" xfId="12131" xr:uid="{00000000-0005-0000-0000-0000602F0000}"/>
    <cellStyle name="Comma 2 4 16 2 2" xfId="12132" xr:uid="{00000000-0005-0000-0000-0000612F0000}"/>
    <cellStyle name="Comma 2 4 16 2 2 2" xfId="12133" xr:uid="{00000000-0005-0000-0000-0000622F0000}"/>
    <cellStyle name="Comma 2 4 16 2 2 3" xfId="12134" xr:uid="{00000000-0005-0000-0000-0000632F0000}"/>
    <cellStyle name="Comma 2 4 16 2 3" xfId="12135" xr:uid="{00000000-0005-0000-0000-0000642F0000}"/>
    <cellStyle name="Comma 2 4 16 2 4" xfId="12136" xr:uid="{00000000-0005-0000-0000-0000652F0000}"/>
    <cellStyle name="Comma 2 4 16 2 5" xfId="12137" xr:uid="{00000000-0005-0000-0000-0000662F0000}"/>
    <cellStyle name="Comma 2 4 16 2 6" xfId="12138" xr:uid="{00000000-0005-0000-0000-0000672F0000}"/>
    <cellStyle name="Comma 2 4 16 3" xfId="12139" xr:uid="{00000000-0005-0000-0000-0000682F0000}"/>
    <cellStyle name="Comma 2 4 16 3 2" xfId="12140" xr:uid="{00000000-0005-0000-0000-0000692F0000}"/>
    <cellStyle name="Comma 2 4 16 3 2 2" xfId="12141" xr:uid="{00000000-0005-0000-0000-00006A2F0000}"/>
    <cellStyle name="Comma 2 4 16 3 2 3" xfId="12142" xr:uid="{00000000-0005-0000-0000-00006B2F0000}"/>
    <cellStyle name="Comma 2 4 16 3 3" xfId="12143" xr:uid="{00000000-0005-0000-0000-00006C2F0000}"/>
    <cellStyle name="Comma 2 4 16 3 4" xfId="12144" xr:uid="{00000000-0005-0000-0000-00006D2F0000}"/>
    <cellStyle name="Comma 2 4 16 3 5" xfId="12145" xr:uid="{00000000-0005-0000-0000-00006E2F0000}"/>
    <cellStyle name="Comma 2 4 16 3 6" xfId="12146" xr:uid="{00000000-0005-0000-0000-00006F2F0000}"/>
    <cellStyle name="Comma 2 4 16 4" xfId="12147" xr:uid="{00000000-0005-0000-0000-0000702F0000}"/>
    <cellStyle name="Comma 2 4 16 4 2" xfId="12148" xr:uid="{00000000-0005-0000-0000-0000712F0000}"/>
    <cellStyle name="Comma 2 4 16 4 2 2" xfId="12149" xr:uid="{00000000-0005-0000-0000-0000722F0000}"/>
    <cellStyle name="Comma 2 4 16 4 3" xfId="12150" xr:uid="{00000000-0005-0000-0000-0000732F0000}"/>
    <cellStyle name="Comma 2 4 16 4 4" xfId="12151" xr:uid="{00000000-0005-0000-0000-0000742F0000}"/>
    <cellStyle name="Comma 2 4 16 4 5" xfId="12152" xr:uid="{00000000-0005-0000-0000-0000752F0000}"/>
    <cellStyle name="Comma 2 4 16 5" xfId="12153" xr:uid="{00000000-0005-0000-0000-0000762F0000}"/>
    <cellStyle name="Comma 2 4 16 5 2" xfId="12154" xr:uid="{00000000-0005-0000-0000-0000772F0000}"/>
    <cellStyle name="Comma 2 4 16 5 3" xfId="12155" xr:uid="{00000000-0005-0000-0000-0000782F0000}"/>
    <cellStyle name="Comma 2 4 16 5 4" xfId="12156" xr:uid="{00000000-0005-0000-0000-0000792F0000}"/>
    <cellStyle name="Comma 2 4 16 6" xfId="12157" xr:uid="{00000000-0005-0000-0000-00007A2F0000}"/>
    <cellStyle name="Comma 2 4 16 6 2" xfId="12158" xr:uid="{00000000-0005-0000-0000-00007B2F0000}"/>
    <cellStyle name="Comma 2 4 16 7" xfId="12159" xr:uid="{00000000-0005-0000-0000-00007C2F0000}"/>
    <cellStyle name="Comma 2 4 16 8" xfId="12160" xr:uid="{00000000-0005-0000-0000-00007D2F0000}"/>
    <cellStyle name="Comma 2 4 16 9" xfId="12161" xr:uid="{00000000-0005-0000-0000-00007E2F0000}"/>
    <cellStyle name="Comma 2 4 17" xfId="12162" xr:uid="{00000000-0005-0000-0000-00007F2F0000}"/>
    <cellStyle name="Comma 2 4 17 10" xfId="12163" xr:uid="{00000000-0005-0000-0000-0000802F0000}"/>
    <cellStyle name="Comma 2 4 17 2" xfId="12164" xr:uid="{00000000-0005-0000-0000-0000812F0000}"/>
    <cellStyle name="Comma 2 4 17 2 2" xfId="12165" xr:uid="{00000000-0005-0000-0000-0000822F0000}"/>
    <cellStyle name="Comma 2 4 17 2 2 2" xfId="12166" xr:uid="{00000000-0005-0000-0000-0000832F0000}"/>
    <cellStyle name="Comma 2 4 17 2 2 3" xfId="12167" xr:uid="{00000000-0005-0000-0000-0000842F0000}"/>
    <cellStyle name="Comma 2 4 17 2 3" xfId="12168" xr:uid="{00000000-0005-0000-0000-0000852F0000}"/>
    <cellStyle name="Comma 2 4 17 2 4" xfId="12169" xr:uid="{00000000-0005-0000-0000-0000862F0000}"/>
    <cellStyle name="Comma 2 4 17 2 5" xfId="12170" xr:uid="{00000000-0005-0000-0000-0000872F0000}"/>
    <cellStyle name="Comma 2 4 17 2 6" xfId="12171" xr:uid="{00000000-0005-0000-0000-0000882F0000}"/>
    <cellStyle name="Comma 2 4 17 3" xfId="12172" xr:uid="{00000000-0005-0000-0000-0000892F0000}"/>
    <cellStyle name="Comma 2 4 17 3 2" xfId="12173" xr:uid="{00000000-0005-0000-0000-00008A2F0000}"/>
    <cellStyle name="Comma 2 4 17 3 2 2" xfId="12174" xr:uid="{00000000-0005-0000-0000-00008B2F0000}"/>
    <cellStyle name="Comma 2 4 17 3 2 3" xfId="12175" xr:uid="{00000000-0005-0000-0000-00008C2F0000}"/>
    <cellStyle name="Comma 2 4 17 3 3" xfId="12176" xr:uid="{00000000-0005-0000-0000-00008D2F0000}"/>
    <cellStyle name="Comma 2 4 17 3 4" xfId="12177" xr:uid="{00000000-0005-0000-0000-00008E2F0000}"/>
    <cellStyle name="Comma 2 4 17 3 5" xfId="12178" xr:uid="{00000000-0005-0000-0000-00008F2F0000}"/>
    <cellStyle name="Comma 2 4 17 3 6" xfId="12179" xr:uid="{00000000-0005-0000-0000-0000902F0000}"/>
    <cellStyle name="Comma 2 4 17 4" xfId="12180" xr:uid="{00000000-0005-0000-0000-0000912F0000}"/>
    <cellStyle name="Comma 2 4 17 4 2" xfId="12181" xr:uid="{00000000-0005-0000-0000-0000922F0000}"/>
    <cellStyle name="Comma 2 4 17 4 2 2" xfId="12182" xr:uid="{00000000-0005-0000-0000-0000932F0000}"/>
    <cellStyle name="Comma 2 4 17 4 3" xfId="12183" xr:uid="{00000000-0005-0000-0000-0000942F0000}"/>
    <cellStyle name="Comma 2 4 17 4 4" xfId="12184" xr:uid="{00000000-0005-0000-0000-0000952F0000}"/>
    <cellStyle name="Comma 2 4 17 4 5" xfId="12185" xr:uid="{00000000-0005-0000-0000-0000962F0000}"/>
    <cellStyle name="Comma 2 4 17 5" xfId="12186" xr:uid="{00000000-0005-0000-0000-0000972F0000}"/>
    <cellStyle name="Comma 2 4 17 5 2" xfId="12187" xr:uid="{00000000-0005-0000-0000-0000982F0000}"/>
    <cellStyle name="Comma 2 4 17 5 3" xfId="12188" xr:uid="{00000000-0005-0000-0000-0000992F0000}"/>
    <cellStyle name="Comma 2 4 17 5 4" xfId="12189" xr:uid="{00000000-0005-0000-0000-00009A2F0000}"/>
    <cellStyle name="Comma 2 4 17 6" xfId="12190" xr:uid="{00000000-0005-0000-0000-00009B2F0000}"/>
    <cellStyle name="Comma 2 4 17 6 2" xfId="12191" xr:uid="{00000000-0005-0000-0000-00009C2F0000}"/>
    <cellStyle name="Comma 2 4 17 7" xfId="12192" xr:uid="{00000000-0005-0000-0000-00009D2F0000}"/>
    <cellStyle name="Comma 2 4 17 8" xfId="12193" xr:uid="{00000000-0005-0000-0000-00009E2F0000}"/>
    <cellStyle name="Comma 2 4 17 9" xfId="12194" xr:uid="{00000000-0005-0000-0000-00009F2F0000}"/>
    <cellStyle name="Comma 2 4 18" xfId="12195" xr:uid="{00000000-0005-0000-0000-0000A02F0000}"/>
    <cellStyle name="Comma 2 4 18 10" xfId="12196" xr:uid="{00000000-0005-0000-0000-0000A12F0000}"/>
    <cellStyle name="Comma 2 4 18 2" xfId="12197" xr:uid="{00000000-0005-0000-0000-0000A22F0000}"/>
    <cellStyle name="Comma 2 4 18 2 2" xfId="12198" xr:uid="{00000000-0005-0000-0000-0000A32F0000}"/>
    <cellStyle name="Comma 2 4 18 2 2 2" xfId="12199" xr:uid="{00000000-0005-0000-0000-0000A42F0000}"/>
    <cellStyle name="Comma 2 4 18 2 2 3" xfId="12200" xr:uid="{00000000-0005-0000-0000-0000A52F0000}"/>
    <cellStyle name="Comma 2 4 18 2 3" xfId="12201" xr:uid="{00000000-0005-0000-0000-0000A62F0000}"/>
    <cellStyle name="Comma 2 4 18 2 4" xfId="12202" xr:uid="{00000000-0005-0000-0000-0000A72F0000}"/>
    <cellStyle name="Comma 2 4 18 2 5" xfId="12203" xr:uid="{00000000-0005-0000-0000-0000A82F0000}"/>
    <cellStyle name="Comma 2 4 18 2 6" xfId="12204" xr:uid="{00000000-0005-0000-0000-0000A92F0000}"/>
    <cellStyle name="Comma 2 4 18 3" xfId="12205" xr:uid="{00000000-0005-0000-0000-0000AA2F0000}"/>
    <cellStyle name="Comma 2 4 18 3 2" xfId="12206" xr:uid="{00000000-0005-0000-0000-0000AB2F0000}"/>
    <cellStyle name="Comma 2 4 18 3 2 2" xfId="12207" xr:uid="{00000000-0005-0000-0000-0000AC2F0000}"/>
    <cellStyle name="Comma 2 4 18 3 2 3" xfId="12208" xr:uid="{00000000-0005-0000-0000-0000AD2F0000}"/>
    <cellStyle name="Comma 2 4 18 3 3" xfId="12209" xr:uid="{00000000-0005-0000-0000-0000AE2F0000}"/>
    <cellStyle name="Comma 2 4 18 3 4" xfId="12210" xr:uid="{00000000-0005-0000-0000-0000AF2F0000}"/>
    <cellStyle name="Comma 2 4 18 3 5" xfId="12211" xr:uid="{00000000-0005-0000-0000-0000B02F0000}"/>
    <cellStyle name="Comma 2 4 18 3 6" xfId="12212" xr:uid="{00000000-0005-0000-0000-0000B12F0000}"/>
    <cellStyle name="Comma 2 4 18 4" xfId="12213" xr:uid="{00000000-0005-0000-0000-0000B22F0000}"/>
    <cellStyle name="Comma 2 4 18 4 2" xfId="12214" xr:uid="{00000000-0005-0000-0000-0000B32F0000}"/>
    <cellStyle name="Comma 2 4 18 4 2 2" xfId="12215" xr:uid="{00000000-0005-0000-0000-0000B42F0000}"/>
    <cellStyle name="Comma 2 4 18 4 3" xfId="12216" xr:uid="{00000000-0005-0000-0000-0000B52F0000}"/>
    <cellStyle name="Comma 2 4 18 4 4" xfId="12217" xr:uid="{00000000-0005-0000-0000-0000B62F0000}"/>
    <cellStyle name="Comma 2 4 18 4 5" xfId="12218" xr:uid="{00000000-0005-0000-0000-0000B72F0000}"/>
    <cellStyle name="Comma 2 4 18 5" xfId="12219" xr:uid="{00000000-0005-0000-0000-0000B82F0000}"/>
    <cellStyle name="Comma 2 4 18 5 2" xfId="12220" xr:uid="{00000000-0005-0000-0000-0000B92F0000}"/>
    <cellStyle name="Comma 2 4 18 5 3" xfId="12221" xr:uid="{00000000-0005-0000-0000-0000BA2F0000}"/>
    <cellStyle name="Comma 2 4 18 5 4" xfId="12222" xr:uid="{00000000-0005-0000-0000-0000BB2F0000}"/>
    <cellStyle name="Comma 2 4 18 6" xfId="12223" xr:uid="{00000000-0005-0000-0000-0000BC2F0000}"/>
    <cellStyle name="Comma 2 4 18 6 2" xfId="12224" xr:uid="{00000000-0005-0000-0000-0000BD2F0000}"/>
    <cellStyle name="Comma 2 4 18 7" xfId="12225" xr:uid="{00000000-0005-0000-0000-0000BE2F0000}"/>
    <cellStyle name="Comma 2 4 18 8" xfId="12226" xr:uid="{00000000-0005-0000-0000-0000BF2F0000}"/>
    <cellStyle name="Comma 2 4 18 9" xfId="12227" xr:uid="{00000000-0005-0000-0000-0000C02F0000}"/>
    <cellStyle name="Comma 2 4 19" xfId="12228" xr:uid="{00000000-0005-0000-0000-0000C12F0000}"/>
    <cellStyle name="Comma 2 4 19 10" xfId="12229" xr:uid="{00000000-0005-0000-0000-0000C22F0000}"/>
    <cellStyle name="Comma 2 4 19 2" xfId="12230" xr:uid="{00000000-0005-0000-0000-0000C32F0000}"/>
    <cellStyle name="Comma 2 4 19 2 2" xfId="12231" xr:uid="{00000000-0005-0000-0000-0000C42F0000}"/>
    <cellStyle name="Comma 2 4 19 2 2 2" xfId="12232" xr:uid="{00000000-0005-0000-0000-0000C52F0000}"/>
    <cellStyle name="Comma 2 4 19 2 2 3" xfId="12233" xr:uid="{00000000-0005-0000-0000-0000C62F0000}"/>
    <cellStyle name="Comma 2 4 19 2 3" xfId="12234" xr:uid="{00000000-0005-0000-0000-0000C72F0000}"/>
    <cellStyle name="Comma 2 4 19 2 4" xfId="12235" xr:uid="{00000000-0005-0000-0000-0000C82F0000}"/>
    <cellStyle name="Comma 2 4 19 2 5" xfId="12236" xr:uid="{00000000-0005-0000-0000-0000C92F0000}"/>
    <cellStyle name="Comma 2 4 19 2 6" xfId="12237" xr:uid="{00000000-0005-0000-0000-0000CA2F0000}"/>
    <cellStyle name="Comma 2 4 19 3" xfId="12238" xr:uid="{00000000-0005-0000-0000-0000CB2F0000}"/>
    <cellStyle name="Comma 2 4 19 3 2" xfId="12239" xr:uid="{00000000-0005-0000-0000-0000CC2F0000}"/>
    <cellStyle name="Comma 2 4 19 3 2 2" xfId="12240" xr:uid="{00000000-0005-0000-0000-0000CD2F0000}"/>
    <cellStyle name="Comma 2 4 19 3 2 3" xfId="12241" xr:uid="{00000000-0005-0000-0000-0000CE2F0000}"/>
    <cellStyle name="Comma 2 4 19 3 3" xfId="12242" xr:uid="{00000000-0005-0000-0000-0000CF2F0000}"/>
    <cellStyle name="Comma 2 4 19 3 4" xfId="12243" xr:uid="{00000000-0005-0000-0000-0000D02F0000}"/>
    <cellStyle name="Comma 2 4 19 3 5" xfId="12244" xr:uid="{00000000-0005-0000-0000-0000D12F0000}"/>
    <cellStyle name="Comma 2 4 19 3 6" xfId="12245" xr:uid="{00000000-0005-0000-0000-0000D22F0000}"/>
    <cellStyle name="Comma 2 4 19 4" xfId="12246" xr:uid="{00000000-0005-0000-0000-0000D32F0000}"/>
    <cellStyle name="Comma 2 4 19 4 2" xfId="12247" xr:uid="{00000000-0005-0000-0000-0000D42F0000}"/>
    <cellStyle name="Comma 2 4 19 4 2 2" xfId="12248" xr:uid="{00000000-0005-0000-0000-0000D52F0000}"/>
    <cellStyle name="Comma 2 4 19 4 3" xfId="12249" xr:uid="{00000000-0005-0000-0000-0000D62F0000}"/>
    <cellStyle name="Comma 2 4 19 4 4" xfId="12250" xr:uid="{00000000-0005-0000-0000-0000D72F0000}"/>
    <cellStyle name="Comma 2 4 19 4 5" xfId="12251" xr:uid="{00000000-0005-0000-0000-0000D82F0000}"/>
    <cellStyle name="Comma 2 4 19 5" xfId="12252" xr:uid="{00000000-0005-0000-0000-0000D92F0000}"/>
    <cellStyle name="Comma 2 4 19 5 2" xfId="12253" xr:uid="{00000000-0005-0000-0000-0000DA2F0000}"/>
    <cellStyle name="Comma 2 4 19 5 3" xfId="12254" xr:uid="{00000000-0005-0000-0000-0000DB2F0000}"/>
    <cellStyle name="Comma 2 4 19 5 4" xfId="12255" xr:uid="{00000000-0005-0000-0000-0000DC2F0000}"/>
    <cellStyle name="Comma 2 4 19 6" xfId="12256" xr:uid="{00000000-0005-0000-0000-0000DD2F0000}"/>
    <cellStyle name="Comma 2 4 19 6 2" xfId="12257" xr:uid="{00000000-0005-0000-0000-0000DE2F0000}"/>
    <cellStyle name="Comma 2 4 19 7" xfId="12258" xr:uid="{00000000-0005-0000-0000-0000DF2F0000}"/>
    <cellStyle name="Comma 2 4 19 8" xfId="12259" xr:uid="{00000000-0005-0000-0000-0000E02F0000}"/>
    <cellStyle name="Comma 2 4 19 9" xfId="12260" xr:uid="{00000000-0005-0000-0000-0000E12F0000}"/>
    <cellStyle name="Comma 2 4 2" xfId="12261" xr:uid="{00000000-0005-0000-0000-0000E22F0000}"/>
    <cellStyle name="Comma 2 4 2 10" xfId="12262" xr:uid="{00000000-0005-0000-0000-0000E32F0000}"/>
    <cellStyle name="Comma 2 4 2 10 10" xfId="12263" xr:uid="{00000000-0005-0000-0000-0000E42F0000}"/>
    <cellStyle name="Comma 2 4 2 10 2" xfId="12264" xr:uid="{00000000-0005-0000-0000-0000E52F0000}"/>
    <cellStyle name="Comma 2 4 2 10 2 2" xfId="12265" xr:uid="{00000000-0005-0000-0000-0000E62F0000}"/>
    <cellStyle name="Comma 2 4 2 10 2 2 2" xfId="12266" xr:uid="{00000000-0005-0000-0000-0000E72F0000}"/>
    <cellStyle name="Comma 2 4 2 10 2 2 3" xfId="12267" xr:uid="{00000000-0005-0000-0000-0000E82F0000}"/>
    <cellStyle name="Comma 2 4 2 10 2 3" xfId="12268" xr:uid="{00000000-0005-0000-0000-0000E92F0000}"/>
    <cellStyle name="Comma 2 4 2 10 2 4" xfId="12269" xr:uid="{00000000-0005-0000-0000-0000EA2F0000}"/>
    <cellStyle name="Comma 2 4 2 10 2 5" xfId="12270" xr:uid="{00000000-0005-0000-0000-0000EB2F0000}"/>
    <cellStyle name="Comma 2 4 2 10 2 6" xfId="12271" xr:uid="{00000000-0005-0000-0000-0000EC2F0000}"/>
    <cellStyle name="Comma 2 4 2 10 3" xfId="12272" xr:uid="{00000000-0005-0000-0000-0000ED2F0000}"/>
    <cellStyle name="Comma 2 4 2 10 3 2" xfId="12273" xr:uid="{00000000-0005-0000-0000-0000EE2F0000}"/>
    <cellStyle name="Comma 2 4 2 10 3 2 2" xfId="12274" xr:uid="{00000000-0005-0000-0000-0000EF2F0000}"/>
    <cellStyle name="Comma 2 4 2 10 3 2 3" xfId="12275" xr:uid="{00000000-0005-0000-0000-0000F02F0000}"/>
    <cellStyle name="Comma 2 4 2 10 3 3" xfId="12276" xr:uid="{00000000-0005-0000-0000-0000F12F0000}"/>
    <cellStyle name="Comma 2 4 2 10 3 4" xfId="12277" xr:uid="{00000000-0005-0000-0000-0000F22F0000}"/>
    <cellStyle name="Comma 2 4 2 10 3 5" xfId="12278" xr:uid="{00000000-0005-0000-0000-0000F32F0000}"/>
    <cellStyle name="Comma 2 4 2 10 3 6" xfId="12279" xr:uid="{00000000-0005-0000-0000-0000F42F0000}"/>
    <cellStyle name="Comma 2 4 2 10 4" xfId="12280" xr:uid="{00000000-0005-0000-0000-0000F52F0000}"/>
    <cellStyle name="Comma 2 4 2 10 4 2" xfId="12281" xr:uid="{00000000-0005-0000-0000-0000F62F0000}"/>
    <cellStyle name="Comma 2 4 2 10 4 2 2" xfId="12282" xr:uid="{00000000-0005-0000-0000-0000F72F0000}"/>
    <cellStyle name="Comma 2 4 2 10 4 3" xfId="12283" xr:uid="{00000000-0005-0000-0000-0000F82F0000}"/>
    <cellStyle name="Comma 2 4 2 10 4 4" xfId="12284" xr:uid="{00000000-0005-0000-0000-0000F92F0000}"/>
    <cellStyle name="Comma 2 4 2 10 4 5" xfId="12285" xr:uid="{00000000-0005-0000-0000-0000FA2F0000}"/>
    <cellStyle name="Comma 2 4 2 10 5" xfId="12286" xr:uid="{00000000-0005-0000-0000-0000FB2F0000}"/>
    <cellStyle name="Comma 2 4 2 10 5 2" xfId="12287" xr:uid="{00000000-0005-0000-0000-0000FC2F0000}"/>
    <cellStyle name="Comma 2 4 2 10 5 3" xfId="12288" xr:uid="{00000000-0005-0000-0000-0000FD2F0000}"/>
    <cellStyle name="Comma 2 4 2 10 5 4" xfId="12289" xr:uid="{00000000-0005-0000-0000-0000FE2F0000}"/>
    <cellStyle name="Comma 2 4 2 10 6" xfId="12290" xr:uid="{00000000-0005-0000-0000-0000FF2F0000}"/>
    <cellStyle name="Comma 2 4 2 10 6 2" xfId="12291" xr:uid="{00000000-0005-0000-0000-000000300000}"/>
    <cellStyle name="Comma 2 4 2 10 7" xfId="12292" xr:uid="{00000000-0005-0000-0000-000001300000}"/>
    <cellStyle name="Comma 2 4 2 10 8" xfId="12293" xr:uid="{00000000-0005-0000-0000-000002300000}"/>
    <cellStyle name="Comma 2 4 2 10 9" xfId="12294" xr:uid="{00000000-0005-0000-0000-000003300000}"/>
    <cellStyle name="Comma 2 4 2 11" xfId="12295" xr:uid="{00000000-0005-0000-0000-000004300000}"/>
    <cellStyle name="Comma 2 4 2 11 10" xfId="12296" xr:uid="{00000000-0005-0000-0000-000005300000}"/>
    <cellStyle name="Comma 2 4 2 11 2" xfId="12297" xr:uid="{00000000-0005-0000-0000-000006300000}"/>
    <cellStyle name="Comma 2 4 2 11 2 2" xfId="12298" xr:uid="{00000000-0005-0000-0000-000007300000}"/>
    <cellStyle name="Comma 2 4 2 11 2 2 2" xfId="12299" xr:uid="{00000000-0005-0000-0000-000008300000}"/>
    <cellStyle name="Comma 2 4 2 11 2 2 3" xfId="12300" xr:uid="{00000000-0005-0000-0000-000009300000}"/>
    <cellStyle name="Comma 2 4 2 11 2 3" xfId="12301" xr:uid="{00000000-0005-0000-0000-00000A300000}"/>
    <cellStyle name="Comma 2 4 2 11 2 4" xfId="12302" xr:uid="{00000000-0005-0000-0000-00000B300000}"/>
    <cellStyle name="Comma 2 4 2 11 2 5" xfId="12303" xr:uid="{00000000-0005-0000-0000-00000C300000}"/>
    <cellStyle name="Comma 2 4 2 11 2 6" xfId="12304" xr:uid="{00000000-0005-0000-0000-00000D300000}"/>
    <cellStyle name="Comma 2 4 2 11 3" xfId="12305" xr:uid="{00000000-0005-0000-0000-00000E300000}"/>
    <cellStyle name="Comma 2 4 2 11 3 2" xfId="12306" xr:uid="{00000000-0005-0000-0000-00000F300000}"/>
    <cellStyle name="Comma 2 4 2 11 3 2 2" xfId="12307" xr:uid="{00000000-0005-0000-0000-000010300000}"/>
    <cellStyle name="Comma 2 4 2 11 3 2 3" xfId="12308" xr:uid="{00000000-0005-0000-0000-000011300000}"/>
    <cellStyle name="Comma 2 4 2 11 3 3" xfId="12309" xr:uid="{00000000-0005-0000-0000-000012300000}"/>
    <cellStyle name="Comma 2 4 2 11 3 4" xfId="12310" xr:uid="{00000000-0005-0000-0000-000013300000}"/>
    <cellStyle name="Comma 2 4 2 11 3 5" xfId="12311" xr:uid="{00000000-0005-0000-0000-000014300000}"/>
    <cellStyle name="Comma 2 4 2 11 3 6" xfId="12312" xr:uid="{00000000-0005-0000-0000-000015300000}"/>
    <cellStyle name="Comma 2 4 2 11 4" xfId="12313" xr:uid="{00000000-0005-0000-0000-000016300000}"/>
    <cellStyle name="Comma 2 4 2 11 4 2" xfId="12314" xr:uid="{00000000-0005-0000-0000-000017300000}"/>
    <cellStyle name="Comma 2 4 2 11 4 2 2" xfId="12315" xr:uid="{00000000-0005-0000-0000-000018300000}"/>
    <cellStyle name="Comma 2 4 2 11 4 3" xfId="12316" xr:uid="{00000000-0005-0000-0000-000019300000}"/>
    <cellStyle name="Comma 2 4 2 11 4 4" xfId="12317" xr:uid="{00000000-0005-0000-0000-00001A300000}"/>
    <cellStyle name="Comma 2 4 2 11 4 5" xfId="12318" xr:uid="{00000000-0005-0000-0000-00001B300000}"/>
    <cellStyle name="Comma 2 4 2 11 5" xfId="12319" xr:uid="{00000000-0005-0000-0000-00001C300000}"/>
    <cellStyle name="Comma 2 4 2 11 5 2" xfId="12320" xr:uid="{00000000-0005-0000-0000-00001D300000}"/>
    <cellStyle name="Comma 2 4 2 11 5 3" xfId="12321" xr:uid="{00000000-0005-0000-0000-00001E300000}"/>
    <cellStyle name="Comma 2 4 2 11 5 4" xfId="12322" xr:uid="{00000000-0005-0000-0000-00001F300000}"/>
    <cellStyle name="Comma 2 4 2 11 6" xfId="12323" xr:uid="{00000000-0005-0000-0000-000020300000}"/>
    <cellStyle name="Comma 2 4 2 11 6 2" xfId="12324" xr:uid="{00000000-0005-0000-0000-000021300000}"/>
    <cellStyle name="Comma 2 4 2 11 7" xfId="12325" xr:uid="{00000000-0005-0000-0000-000022300000}"/>
    <cellStyle name="Comma 2 4 2 11 8" xfId="12326" xr:uid="{00000000-0005-0000-0000-000023300000}"/>
    <cellStyle name="Comma 2 4 2 11 9" xfId="12327" xr:uid="{00000000-0005-0000-0000-000024300000}"/>
    <cellStyle name="Comma 2 4 2 12" xfId="12328" xr:uid="{00000000-0005-0000-0000-000025300000}"/>
    <cellStyle name="Comma 2 4 2 12 10" xfId="12329" xr:uid="{00000000-0005-0000-0000-000026300000}"/>
    <cellStyle name="Comma 2 4 2 12 2" xfId="12330" xr:uid="{00000000-0005-0000-0000-000027300000}"/>
    <cellStyle name="Comma 2 4 2 12 2 2" xfId="12331" xr:uid="{00000000-0005-0000-0000-000028300000}"/>
    <cellStyle name="Comma 2 4 2 12 2 2 2" xfId="12332" xr:uid="{00000000-0005-0000-0000-000029300000}"/>
    <cellStyle name="Comma 2 4 2 12 2 2 3" xfId="12333" xr:uid="{00000000-0005-0000-0000-00002A300000}"/>
    <cellStyle name="Comma 2 4 2 12 2 3" xfId="12334" xr:uid="{00000000-0005-0000-0000-00002B300000}"/>
    <cellStyle name="Comma 2 4 2 12 2 4" xfId="12335" xr:uid="{00000000-0005-0000-0000-00002C300000}"/>
    <cellStyle name="Comma 2 4 2 12 2 5" xfId="12336" xr:uid="{00000000-0005-0000-0000-00002D300000}"/>
    <cellStyle name="Comma 2 4 2 12 2 6" xfId="12337" xr:uid="{00000000-0005-0000-0000-00002E300000}"/>
    <cellStyle name="Comma 2 4 2 12 3" xfId="12338" xr:uid="{00000000-0005-0000-0000-00002F300000}"/>
    <cellStyle name="Comma 2 4 2 12 3 2" xfId="12339" xr:uid="{00000000-0005-0000-0000-000030300000}"/>
    <cellStyle name="Comma 2 4 2 12 3 2 2" xfId="12340" xr:uid="{00000000-0005-0000-0000-000031300000}"/>
    <cellStyle name="Comma 2 4 2 12 3 2 3" xfId="12341" xr:uid="{00000000-0005-0000-0000-000032300000}"/>
    <cellStyle name="Comma 2 4 2 12 3 3" xfId="12342" xr:uid="{00000000-0005-0000-0000-000033300000}"/>
    <cellStyle name="Comma 2 4 2 12 3 4" xfId="12343" xr:uid="{00000000-0005-0000-0000-000034300000}"/>
    <cellStyle name="Comma 2 4 2 12 3 5" xfId="12344" xr:uid="{00000000-0005-0000-0000-000035300000}"/>
    <cellStyle name="Comma 2 4 2 12 3 6" xfId="12345" xr:uid="{00000000-0005-0000-0000-000036300000}"/>
    <cellStyle name="Comma 2 4 2 12 4" xfId="12346" xr:uid="{00000000-0005-0000-0000-000037300000}"/>
    <cellStyle name="Comma 2 4 2 12 4 2" xfId="12347" xr:uid="{00000000-0005-0000-0000-000038300000}"/>
    <cellStyle name="Comma 2 4 2 12 4 2 2" xfId="12348" xr:uid="{00000000-0005-0000-0000-000039300000}"/>
    <cellStyle name="Comma 2 4 2 12 4 3" xfId="12349" xr:uid="{00000000-0005-0000-0000-00003A300000}"/>
    <cellStyle name="Comma 2 4 2 12 4 4" xfId="12350" xr:uid="{00000000-0005-0000-0000-00003B300000}"/>
    <cellStyle name="Comma 2 4 2 12 4 5" xfId="12351" xr:uid="{00000000-0005-0000-0000-00003C300000}"/>
    <cellStyle name="Comma 2 4 2 12 5" xfId="12352" xr:uid="{00000000-0005-0000-0000-00003D300000}"/>
    <cellStyle name="Comma 2 4 2 12 5 2" xfId="12353" xr:uid="{00000000-0005-0000-0000-00003E300000}"/>
    <cellStyle name="Comma 2 4 2 12 5 3" xfId="12354" xr:uid="{00000000-0005-0000-0000-00003F300000}"/>
    <cellStyle name="Comma 2 4 2 12 5 4" xfId="12355" xr:uid="{00000000-0005-0000-0000-000040300000}"/>
    <cellStyle name="Comma 2 4 2 12 6" xfId="12356" xr:uid="{00000000-0005-0000-0000-000041300000}"/>
    <cellStyle name="Comma 2 4 2 12 6 2" xfId="12357" xr:uid="{00000000-0005-0000-0000-000042300000}"/>
    <cellStyle name="Comma 2 4 2 12 7" xfId="12358" xr:uid="{00000000-0005-0000-0000-000043300000}"/>
    <cellStyle name="Comma 2 4 2 12 8" xfId="12359" xr:uid="{00000000-0005-0000-0000-000044300000}"/>
    <cellStyle name="Comma 2 4 2 12 9" xfId="12360" xr:uid="{00000000-0005-0000-0000-000045300000}"/>
    <cellStyle name="Comma 2 4 2 13" xfId="12361" xr:uid="{00000000-0005-0000-0000-000046300000}"/>
    <cellStyle name="Comma 2 4 2 13 2" xfId="12362" xr:uid="{00000000-0005-0000-0000-000047300000}"/>
    <cellStyle name="Comma 2 4 2 13 2 2" xfId="12363" xr:uid="{00000000-0005-0000-0000-000048300000}"/>
    <cellStyle name="Comma 2 4 2 13 2 2 2" xfId="12364" xr:uid="{00000000-0005-0000-0000-000049300000}"/>
    <cellStyle name="Comma 2 4 2 13 2 2 3" xfId="12365" xr:uid="{00000000-0005-0000-0000-00004A300000}"/>
    <cellStyle name="Comma 2 4 2 13 2 3" xfId="12366" xr:uid="{00000000-0005-0000-0000-00004B300000}"/>
    <cellStyle name="Comma 2 4 2 13 2 4" xfId="12367" xr:uid="{00000000-0005-0000-0000-00004C300000}"/>
    <cellStyle name="Comma 2 4 2 13 2 5" xfId="12368" xr:uid="{00000000-0005-0000-0000-00004D300000}"/>
    <cellStyle name="Comma 2 4 2 13 2 6" xfId="12369" xr:uid="{00000000-0005-0000-0000-00004E300000}"/>
    <cellStyle name="Comma 2 4 2 13 3" xfId="12370" xr:uid="{00000000-0005-0000-0000-00004F300000}"/>
    <cellStyle name="Comma 2 4 2 13 3 2" xfId="12371" xr:uid="{00000000-0005-0000-0000-000050300000}"/>
    <cellStyle name="Comma 2 4 2 13 3 2 2" xfId="12372" xr:uid="{00000000-0005-0000-0000-000051300000}"/>
    <cellStyle name="Comma 2 4 2 13 3 3" xfId="12373" xr:uid="{00000000-0005-0000-0000-000052300000}"/>
    <cellStyle name="Comma 2 4 2 13 3 4" xfId="12374" xr:uid="{00000000-0005-0000-0000-000053300000}"/>
    <cellStyle name="Comma 2 4 2 13 3 5" xfId="12375" xr:uid="{00000000-0005-0000-0000-000054300000}"/>
    <cellStyle name="Comma 2 4 2 13 4" xfId="12376" xr:uid="{00000000-0005-0000-0000-000055300000}"/>
    <cellStyle name="Comma 2 4 2 13 4 2" xfId="12377" xr:uid="{00000000-0005-0000-0000-000056300000}"/>
    <cellStyle name="Comma 2 4 2 13 4 3" xfId="12378" xr:uid="{00000000-0005-0000-0000-000057300000}"/>
    <cellStyle name="Comma 2 4 2 13 4 4" xfId="12379" xr:uid="{00000000-0005-0000-0000-000058300000}"/>
    <cellStyle name="Comma 2 4 2 13 5" xfId="12380" xr:uid="{00000000-0005-0000-0000-000059300000}"/>
    <cellStyle name="Comma 2 4 2 13 5 2" xfId="12381" xr:uid="{00000000-0005-0000-0000-00005A300000}"/>
    <cellStyle name="Comma 2 4 2 13 6" xfId="12382" xr:uid="{00000000-0005-0000-0000-00005B300000}"/>
    <cellStyle name="Comma 2 4 2 13 7" xfId="12383" xr:uid="{00000000-0005-0000-0000-00005C300000}"/>
    <cellStyle name="Comma 2 4 2 13 8" xfId="12384" xr:uid="{00000000-0005-0000-0000-00005D300000}"/>
    <cellStyle name="Comma 2 4 2 13 9" xfId="12385" xr:uid="{00000000-0005-0000-0000-00005E300000}"/>
    <cellStyle name="Comma 2 4 2 14" xfId="12386" xr:uid="{00000000-0005-0000-0000-00005F300000}"/>
    <cellStyle name="Comma 2 4 2 14 2" xfId="12387" xr:uid="{00000000-0005-0000-0000-000060300000}"/>
    <cellStyle name="Comma 2 4 2 14 2 2" xfId="12388" xr:uid="{00000000-0005-0000-0000-000061300000}"/>
    <cellStyle name="Comma 2 4 2 14 2 2 2" xfId="12389" xr:uid="{00000000-0005-0000-0000-000062300000}"/>
    <cellStyle name="Comma 2 4 2 14 2 2 3" xfId="12390" xr:uid="{00000000-0005-0000-0000-000063300000}"/>
    <cellStyle name="Comma 2 4 2 14 2 3" xfId="12391" xr:uid="{00000000-0005-0000-0000-000064300000}"/>
    <cellStyle name="Comma 2 4 2 14 2 4" xfId="12392" xr:uid="{00000000-0005-0000-0000-000065300000}"/>
    <cellStyle name="Comma 2 4 2 14 2 5" xfId="12393" xr:uid="{00000000-0005-0000-0000-000066300000}"/>
    <cellStyle name="Comma 2 4 2 14 2 6" xfId="12394" xr:uid="{00000000-0005-0000-0000-000067300000}"/>
    <cellStyle name="Comma 2 4 2 14 3" xfId="12395" xr:uid="{00000000-0005-0000-0000-000068300000}"/>
    <cellStyle name="Comma 2 4 2 14 3 2" xfId="12396" xr:uid="{00000000-0005-0000-0000-000069300000}"/>
    <cellStyle name="Comma 2 4 2 14 3 2 2" xfId="12397" xr:uid="{00000000-0005-0000-0000-00006A300000}"/>
    <cellStyle name="Comma 2 4 2 14 3 3" xfId="12398" xr:uid="{00000000-0005-0000-0000-00006B300000}"/>
    <cellStyle name="Comma 2 4 2 14 3 4" xfId="12399" xr:uid="{00000000-0005-0000-0000-00006C300000}"/>
    <cellStyle name="Comma 2 4 2 14 3 5" xfId="12400" xr:uid="{00000000-0005-0000-0000-00006D300000}"/>
    <cellStyle name="Comma 2 4 2 14 4" xfId="12401" xr:uid="{00000000-0005-0000-0000-00006E300000}"/>
    <cellStyle name="Comma 2 4 2 14 4 2" xfId="12402" xr:uid="{00000000-0005-0000-0000-00006F300000}"/>
    <cellStyle name="Comma 2 4 2 14 4 3" xfId="12403" xr:uid="{00000000-0005-0000-0000-000070300000}"/>
    <cellStyle name="Comma 2 4 2 14 4 4" xfId="12404" xr:uid="{00000000-0005-0000-0000-000071300000}"/>
    <cellStyle name="Comma 2 4 2 14 5" xfId="12405" xr:uid="{00000000-0005-0000-0000-000072300000}"/>
    <cellStyle name="Comma 2 4 2 14 5 2" xfId="12406" xr:uid="{00000000-0005-0000-0000-000073300000}"/>
    <cellStyle name="Comma 2 4 2 14 6" xfId="12407" xr:uid="{00000000-0005-0000-0000-000074300000}"/>
    <cellStyle name="Comma 2 4 2 14 7" xfId="12408" xr:uid="{00000000-0005-0000-0000-000075300000}"/>
    <cellStyle name="Comma 2 4 2 14 8" xfId="12409" xr:uid="{00000000-0005-0000-0000-000076300000}"/>
    <cellStyle name="Comma 2 4 2 14 9" xfId="12410" xr:uid="{00000000-0005-0000-0000-000077300000}"/>
    <cellStyle name="Comma 2 4 2 15" xfId="12411" xr:uid="{00000000-0005-0000-0000-000078300000}"/>
    <cellStyle name="Comma 2 4 2 15 2" xfId="12412" xr:uid="{00000000-0005-0000-0000-000079300000}"/>
    <cellStyle name="Comma 2 4 2 15 2 2" xfId="12413" xr:uid="{00000000-0005-0000-0000-00007A300000}"/>
    <cellStyle name="Comma 2 4 2 15 2 3" xfId="12414" xr:uid="{00000000-0005-0000-0000-00007B300000}"/>
    <cellStyle name="Comma 2 4 2 15 3" xfId="12415" xr:uid="{00000000-0005-0000-0000-00007C300000}"/>
    <cellStyle name="Comma 2 4 2 15 4" xfId="12416" xr:uid="{00000000-0005-0000-0000-00007D300000}"/>
    <cellStyle name="Comma 2 4 2 15 5" xfId="12417" xr:uid="{00000000-0005-0000-0000-00007E300000}"/>
    <cellStyle name="Comma 2 4 2 15 6" xfId="12418" xr:uid="{00000000-0005-0000-0000-00007F300000}"/>
    <cellStyle name="Comma 2 4 2 16" xfId="12419" xr:uid="{00000000-0005-0000-0000-000080300000}"/>
    <cellStyle name="Comma 2 4 2 16 2" xfId="12420" xr:uid="{00000000-0005-0000-0000-000081300000}"/>
    <cellStyle name="Comma 2 4 2 16 2 2" xfId="12421" xr:uid="{00000000-0005-0000-0000-000082300000}"/>
    <cellStyle name="Comma 2 4 2 16 3" xfId="12422" xr:uid="{00000000-0005-0000-0000-000083300000}"/>
    <cellStyle name="Comma 2 4 2 16 4" xfId="12423" xr:uid="{00000000-0005-0000-0000-000084300000}"/>
    <cellStyle name="Comma 2 4 2 16 5" xfId="12424" xr:uid="{00000000-0005-0000-0000-000085300000}"/>
    <cellStyle name="Comma 2 4 2 17" xfId="12425" xr:uid="{00000000-0005-0000-0000-000086300000}"/>
    <cellStyle name="Comma 2 4 2 17 2" xfId="12426" xr:uid="{00000000-0005-0000-0000-000087300000}"/>
    <cellStyle name="Comma 2 4 2 17 2 2" xfId="12427" xr:uid="{00000000-0005-0000-0000-000088300000}"/>
    <cellStyle name="Comma 2 4 2 17 3" xfId="12428" xr:uid="{00000000-0005-0000-0000-000089300000}"/>
    <cellStyle name="Comma 2 4 2 17 4" xfId="12429" xr:uid="{00000000-0005-0000-0000-00008A300000}"/>
    <cellStyle name="Comma 2 4 2 17 5" xfId="12430" xr:uid="{00000000-0005-0000-0000-00008B300000}"/>
    <cellStyle name="Comma 2 4 2 18" xfId="12431" xr:uid="{00000000-0005-0000-0000-00008C300000}"/>
    <cellStyle name="Comma 2 4 2 18 2" xfId="12432" xr:uid="{00000000-0005-0000-0000-00008D300000}"/>
    <cellStyle name="Comma 2 4 2 19" xfId="12433" xr:uid="{00000000-0005-0000-0000-00008E300000}"/>
    <cellStyle name="Comma 2 4 2 2" xfId="12434" xr:uid="{00000000-0005-0000-0000-00008F300000}"/>
    <cellStyle name="Comma 2 4 2 2 10" xfId="12435" xr:uid="{00000000-0005-0000-0000-000090300000}"/>
    <cellStyle name="Comma 2 4 2 2 11" xfId="12436" xr:uid="{00000000-0005-0000-0000-000091300000}"/>
    <cellStyle name="Comma 2 4 2 2 2" xfId="12437" xr:uid="{00000000-0005-0000-0000-000092300000}"/>
    <cellStyle name="Comma 2 4 2 2 2 2" xfId="12438" xr:uid="{00000000-0005-0000-0000-000093300000}"/>
    <cellStyle name="Comma 2 4 2 2 2 2 2" xfId="12439" xr:uid="{00000000-0005-0000-0000-000094300000}"/>
    <cellStyle name="Comma 2 4 2 2 2 2 2 2" xfId="12440" xr:uid="{00000000-0005-0000-0000-000095300000}"/>
    <cellStyle name="Comma 2 4 2 2 2 2 2 3" xfId="12441" xr:uid="{00000000-0005-0000-0000-000096300000}"/>
    <cellStyle name="Comma 2 4 2 2 2 2 3" xfId="12442" xr:uid="{00000000-0005-0000-0000-000097300000}"/>
    <cellStyle name="Comma 2 4 2 2 2 2 4" xfId="12443" xr:uid="{00000000-0005-0000-0000-000098300000}"/>
    <cellStyle name="Comma 2 4 2 2 2 2 5" xfId="12444" xr:uid="{00000000-0005-0000-0000-000099300000}"/>
    <cellStyle name="Comma 2 4 2 2 2 2 6" xfId="12445" xr:uid="{00000000-0005-0000-0000-00009A300000}"/>
    <cellStyle name="Comma 2 4 2 2 2 3" xfId="12446" xr:uid="{00000000-0005-0000-0000-00009B300000}"/>
    <cellStyle name="Comma 2 4 2 2 2 3 2" xfId="12447" xr:uid="{00000000-0005-0000-0000-00009C300000}"/>
    <cellStyle name="Comma 2 4 2 2 2 3 2 2" xfId="12448" xr:uid="{00000000-0005-0000-0000-00009D300000}"/>
    <cellStyle name="Comma 2 4 2 2 2 3 3" xfId="12449" xr:uid="{00000000-0005-0000-0000-00009E300000}"/>
    <cellStyle name="Comma 2 4 2 2 2 3 4" xfId="12450" xr:uid="{00000000-0005-0000-0000-00009F300000}"/>
    <cellStyle name="Comma 2 4 2 2 2 3 5" xfId="12451" xr:uid="{00000000-0005-0000-0000-0000A0300000}"/>
    <cellStyle name="Comma 2 4 2 2 2 4" xfId="12452" xr:uid="{00000000-0005-0000-0000-0000A1300000}"/>
    <cellStyle name="Comma 2 4 2 2 2 4 2" xfId="12453" xr:uid="{00000000-0005-0000-0000-0000A2300000}"/>
    <cellStyle name="Comma 2 4 2 2 2 4 3" xfId="12454" xr:uid="{00000000-0005-0000-0000-0000A3300000}"/>
    <cellStyle name="Comma 2 4 2 2 2 4 4" xfId="12455" xr:uid="{00000000-0005-0000-0000-0000A4300000}"/>
    <cellStyle name="Comma 2 4 2 2 2 5" xfId="12456" xr:uid="{00000000-0005-0000-0000-0000A5300000}"/>
    <cellStyle name="Comma 2 4 2 2 2 5 2" xfId="12457" xr:uid="{00000000-0005-0000-0000-0000A6300000}"/>
    <cellStyle name="Comma 2 4 2 2 2 6" xfId="12458" xr:uid="{00000000-0005-0000-0000-0000A7300000}"/>
    <cellStyle name="Comma 2 4 2 2 2 7" xfId="12459" xr:uid="{00000000-0005-0000-0000-0000A8300000}"/>
    <cellStyle name="Comma 2 4 2 2 2 8" xfId="12460" xr:uid="{00000000-0005-0000-0000-0000A9300000}"/>
    <cellStyle name="Comma 2 4 2 2 2 9" xfId="12461" xr:uid="{00000000-0005-0000-0000-0000AA300000}"/>
    <cellStyle name="Comma 2 4 2 2 3" xfId="12462" xr:uid="{00000000-0005-0000-0000-0000AB300000}"/>
    <cellStyle name="Comma 2 4 2 2 3 2" xfId="12463" xr:uid="{00000000-0005-0000-0000-0000AC300000}"/>
    <cellStyle name="Comma 2 4 2 2 3 2 2" xfId="12464" xr:uid="{00000000-0005-0000-0000-0000AD300000}"/>
    <cellStyle name="Comma 2 4 2 2 3 2 2 2" xfId="12465" xr:uid="{00000000-0005-0000-0000-0000AE300000}"/>
    <cellStyle name="Comma 2 4 2 2 3 2 2 3" xfId="12466" xr:uid="{00000000-0005-0000-0000-0000AF300000}"/>
    <cellStyle name="Comma 2 4 2 2 3 2 3" xfId="12467" xr:uid="{00000000-0005-0000-0000-0000B0300000}"/>
    <cellStyle name="Comma 2 4 2 2 3 2 4" xfId="12468" xr:uid="{00000000-0005-0000-0000-0000B1300000}"/>
    <cellStyle name="Comma 2 4 2 2 3 2 5" xfId="12469" xr:uid="{00000000-0005-0000-0000-0000B2300000}"/>
    <cellStyle name="Comma 2 4 2 2 3 2 6" xfId="12470" xr:uid="{00000000-0005-0000-0000-0000B3300000}"/>
    <cellStyle name="Comma 2 4 2 2 3 3" xfId="12471" xr:uid="{00000000-0005-0000-0000-0000B4300000}"/>
    <cellStyle name="Comma 2 4 2 2 3 3 2" xfId="12472" xr:uid="{00000000-0005-0000-0000-0000B5300000}"/>
    <cellStyle name="Comma 2 4 2 2 3 3 2 2" xfId="12473" xr:uid="{00000000-0005-0000-0000-0000B6300000}"/>
    <cellStyle name="Comma 2 4 2 2 3 3 3" xfId="12474" xr:uid="{00000000-0005-0000-0000-0000B7300000}"/>
    <cellStyle name="Comma 2 4 2 2 3 3 4" xfId="12475" xr:uid="{00000000-0005-0000-0000-0000B8300000}"/>
    <cellStyle name="Comma 2 4 2 2 3 3 5" xfId="12476" xr:uid="{00000000-0005-0000-0000-0000B9300000}"/>
    <cellStyle name="Comma 2 4 2 2 3 4" xfId="12477" xr:uid="{00000000-0005-0000-0000-0000BA300000}"/>
    <cellStyle name="Comma 2 4 2 2 3 4 2" xfId="12478" xr:uid="{00000000-0005-0000-0000-0000BB300000}"/>
    <cellStyle name="Comma 2 4 2 2 3 4 3" xfId="12479" xr:uid="{00000000-0005-0000-0000-0000BC300000}"/>
    <cellStyle name="Comma 2 4 2 2 3 4 4" xfId="12480" xr:uid="{00000000-0005-0000-0000-0000BD300000}"/>
    <cellStyle name="Comma 2 4 2 2 3 5" xfId="12481" xr:uid="{00000000-0005-0000-0000-0000BE300000}"/>
    <cellStyle name="Comma 2 4 2 2 3 5 2" xfId="12482" xr:uid="{00000000-0005-0000-0000-0000BF300000}"/>
    <cellStyle name="Comma 2 4 2 2 3 6" xfId="12483" xr:uid="{00000000-0005-0000-0000-0000C0300000}"/>
    <cellStyle name="Comma 2 4 2 2 3 7" xfId="12484" xr:uid="{00000000-0005-0000-0000-0000C1300000}"/>
    <cellStyle name="Comma 2 4 2 2 3 8" xfId="12485" xr:uid="{00000000-0005-0000-0000-0000C2300000}"/>
    <cellStyle name="Comma 2 4 2 2 3 9" xfId="12486" xr:uid="{00000000-0005-0000-0000-0000C3300000}"/>
    <cellStyle name="Comma 2 4 2 2 4" xfId="12487" xr:uid="{00000000-0005-0000-0000-0000C4300000}"/>
    <cellStyle name="Comma 2 4 2 2 4 2" xfId="12488" xr:uid="{00000000-0005-0000-0000-0000C5300000}"/>
    <cellStyle name="Comma 2 4 2 2 4 2 2" xfId="12489" xr:uid="{00000000-0005-0000-0000-0000C6300000}"/>
    <cellStyle name="Comma 2 4 2 2 4 2 3" xfId="12490" xr:uid="{00000000-0005-0000-0000-0000C7300000}"/>
    <cellStyle name="Comma 2 4 2 2 4 3" xfId="12491" xr:uid="{00000000-0005-0000-0000-0000C8300000}"/>
    <cellStyle name="Comma 2 4 2 2 4 4" xfId="12492" xr:uid="{00000000-0005-0000-0000-0000C9300000}"/>
    <cellStyle name="Comma 2 4 2 2 4 5" xfId="12493" xr:uid="{00000000-0005-0000-0000-0000CA300000}"/>
    <cellStyle name="Comma 2 4 2 2 4 6" xfId="12494" xr:uid="{00000000-0005-0000-0000-0000CB300000}"/>
    <cellStyle name="Comma 2 4 2 2 5" xfId="12495" xr:uid="{00000000-0005-0000-0000-0000CC300000}"/>
    <cellStyle name="Comma 2 4 2 2 5 2" xfId="12496" xr:uid="{00000000-0005-0000-0000-0000CD300000}"/>
    <cellStyle name="Comma 2 4 2 2 5 2 2" xfId="12497" xr:uid="{00000000-0005-0000-0000-0000CE300000}"/>
    <cellStyle name="Comma 2 4 2 2 5 3" xfId="12498" xr:uid="{00000000-0005-0000-0000-0000CF300000}"/>
    <cellStyle name="Comma 2 4 2 2 5 4" xfId="12499" xr:uid="{00000000-0005-0000-0000-0000D0300000}"/>
    <cellStyle name="Comma 2 4 2 2 5 5" xfId="12500" xr:uid="{00000000-0005-0000-0000-0000D1300000}"/>
    <cellStyle name="Comma 2 4 2 2 6" xfId="12501" xr:uid="{00000000-0005-0000-0000-0000D2300000}"/>
    <cellStyle name="Comma 2 4 2 2 6 2" xfId="12502" xr:uid="{00000000-0005-0000-0000-0000D3300000}"/>
    <cellStyle name="Comma 2 4 2 2 6 3" xfId="12503" xr:uid="{00000000-0005-0000-0000-0000D4300000}"/>
    <cellStyle name="Comma 2 4 2 2 6 4" xfId="12504" xr:uid="{00000000-0005-0000-0000-0000D5300000}"/>
    <cellStyle name="Comma 2 4 2 2 7" xfId="12505" xr:uid="{00000000-0005-0000-0000-0000D6300000}"/>
    <cellStyle name="Comma 2 4 2 2 7 2" xfId="12506" xr:uid="{00000000-0005-0000-0000-0000D7300000}"/>
    <cellStyle name="Comma 2 4 2 2 8" xfId="12507" xr:uid="{00000000-0005-0000-0000-0000D8300000}"/>
    <cellStyle name="Comma 2 4 2 2 9" xfId="12508" xr:uid="{00000000-0005-0000-0000-0000D9300000}"/>
    <cellStyle name="Comma 2 4 2 20" xfId="12509" xr:uid="{00000000-0005-0000-0000-0000DA300000}"/>
    <cellStyle name="Comma 2 4 2 21" xfId="12510" xr:uid="{00000000-0005-0000-0000-0000DB300000}"/>
    <cellStyle name="Comma 2 4 2 22" xfId="12511" xr:uid="{00000000-0005-0000-0000-0000DC300000}"/>
    <cellStyle name="Comma 2 4 2 3" xfId="12512" xr:uid="{00000000-0005-0000-0000-0000DD300000}"/>
    <cellStyle name="Comma 2 4 2 3 10" xfId="12513" xr:uid="{00000000-0005-0000-0000-0000DE300000}"/>
    <cellStyle name="Comma 2 4 2 3 11" xfId="12514" xr:uid="{00000000-0005-0000-0000-0000DF300000}"/>
    <cellStyle name="Comma 2 4 2 3 2" xfId="12515" xr:uid="{00000000-0005-0000-0000-0000E0300000}"/>
    <cellStyle name="Comma 2 4 2 3 2 2" xfId="12516" xr:uid="{00000000-0005-0000-0000-0000E1300000}"/>
    <cellStyle name="Comma 2 4 2 3 2 2 2" xfId="12517" xr:uid="{00000000-0005-0000-0000-0000E2300000}"/>
    <cellStyle name="Comma 2 4 2 3 2 2 2 2" xfId="12518" xr:uid="{00000000-0005-0000-0000-0000E3300000}"/>
    <cellStyle name="Comma 2 4 2 3 2 2 2 3" xfId="12519" xr:uid="{00000000-0005-0000-0000-0000E4300000}"/>
    <cellStyle name="Comma 2 4 2 3 2 2 3" xfId="12520" xr:uid="{00000000-0005-0000-0000-0000E5300000}"/>
    <cellStyle name="Comma 2 4 2 3 2 2 4" xfId="12521" xr:uid="{00000000-0005-0000-0000-0000E6300000}"/>
    <cellStyle name="Comma 2 4 2 3 2 2 5" xfId="12522" xr:uid="{00000000-0005-0000-0000-0000E7300000}"/>
    <cellStyle name="Comma 2 4 2 3 2 2 6" xfId="12523" xr:uid="{00000000-0005-0000-0000-0000E8300000}"/>
    <cellStyle name="Comma 2 4 2 3 2 3" xfId="12524" xr:uid="{00000000-0005-0000-0000-0000E9300000}"/>
    <cellStyle name="Comma 2 4 2 3 2 3 2" xfId="12525" xr:uid="{00000000-0005-0000-0000-0000EA300000}"/>
    <cellStyle name="Comma 2 4 2 3 2 3 2 2" xfId="12526" xr:uid="{00000000-0005-0000-0000-0000EB300000}"/>
    <cellStyle name="Comma 2 4 2 3 2 3 3" xfId="12527" xr:uid="{00000000-0005-0000-0000-0000EC300000}"/>
    <cellStyle name="Comma 2 4 2 3 2 3 4" xfId="12528" xr:uid="{00000000-0005-0000-0000-0000ED300000}"/>
    <cellStyle name="Comma 2 4 2 3 2 3 5" xfId="12529" xr:uid="{00000000-0005-0000-0000-0000EE300000}"/>
    <cellStyle name="Comma 2 4 2 3 2 4" xfId="12530" xr:uid="{00000000-0005-0000-0000-0000EF300000}"/>
    <cellStyle name="Comma 2 4 2 3 2 4 2" xfId="12531" xr:uid="{00000000-0005-0000-0000-0000F0300000}"/>
    <cellStyle name="Comma 2 4 2 3 2 4 3" xfId="12532" xr:uid="{00000000-0005-0000-0000-0000F1300000}"/>
    <cellStyle name="Comma 2 4 2 3 2 4 4" xfId="12533" xr:uid="{00000000-0005-0000-0000-0000F2300000}"/>
    <cellStyle name="Comma 2 4 2 3 2 5" xfId="12534" xr:uid="{00000000-0005-0000-0000-0000F3300000}"/>
    <cellStyle name="Comma 2 4 2 3 2 5 2" xfId="12535" xr:uid="{00000000-0005-0000-0000-0000F4300000}"/>
    <cellStyle name="Comma 2 4 2 3 2 6" xfId="12536" xr:uid="{00000000-0005-0000-0000-0000F5300000}"/>
    <cellStyle name="Comma 2 4 2 3 2 7" xfId="12537" xr:uid="{00000000-0005-0000-0000-0000F6300000}"/>
    <cellStyle name="Comma 2 4 2 3 2 8" xfId="12538" xr:uid="{00000000-0005-0000-0000-0000F7300000}"/>
    <cellStyle name="Comma 2 4 2 3 2 9" xfId="12539" xr:uid="{00000000-0005-0000-0000-0000F8300000}"/>
    <cellStyle name="Comma 2 4 2 3 3" xfId="12540" xr:uid="{00000000-0005-0000-0000-0000F9300000}"/>
    <cellStyle name="Comma 2 4 2 3 3 2" xfId="12541" xr:uid="{00000000-0005-0000-0000-0000FA300000}"/>
    <cellStyle name="Comma 2 4 2 3 3 2 2" xfId="12542" xr:uid="{00000000-0005-0000-0000-0000FB300000}"/>
    <cellStyle name="Comma 2 4 2 3 3 2 2 2" xfId="12543" xr:uid="{00000000-0005-0000-0000-0000FC300000}"/>
    <cellStyle name="Comma 2 4 2 3 3 2 2 3" xfId="12544" xr:uid="{00000000-0005-0000-0000-0000FD300000}"/>
    <cellStyle name="Comma 2 4 2 3 3 2 3" xfId="12545" xr:uid="{00000000-0005-0000-0000-0000FE300000}"/>
    <cellStyle name="Comma 2 4 2 3 3 2 4" xfId="12546" xr:uid="{00000000-0005-0000-0000-0000FF300000}"/>
    <cellStyle name="Comma 2 4 2 3 3 2 5" xfId="12547" xr:uid="{00000000-0005-0000-0000-000000310000}"/>
    <cellStyle name="Comma 2 4 2 3 3 2 6" xfId="12548" xr:uid="{00000000-0005-0000-0000-000001310000}"/>
    <cellStyle name="Comma 2 4 2 3 3 3" xfId="12549" xr:uid="{00000000-0005-0000-0000-000002310000}"/>
    <cellStyle name="Comma 2 4 2 3 3 3 2" xfId="12550" xr:uid="{00000000-0005-0000-0000-000003310000}"/>
    <cellStyle name="Comma 2 4 2 3 3 3 2 2" xfId="12551" xr:uid="{00000000-0005-0000-0000-000004310000}"/>
    <cellStyle name="Comma 2 4 2 3 3 3 3" xfId="12552" xr:uid="{00000000-0005-0000-0000-000005310000}"/>
    <cellStyle name="Comma 2 4 2 3 3 3 4" xfId="12553" xr:uid="{00000000-0005-0000-0000-000006310000}"/>
    <cellStyle name="Comma 2 4 2 3 3 3 5" xfId="12554" xr:uid="{00000000-0005-0000-0000-000007310000}"/>
    <cellStyle name="Comma 2 4 2 3 3 4" xfId="12555" xr:uid="{00000000-0005-0000-0000-000008310000}"/>
    <cellStyle name="Comma 2 4 2 3 3 4 2" xfId="12556" xr:uid="{00000000-0005-0000-0000-000009310000}"/>
    <cellStyle name="Comma 2 4 2 3 3 4 3" xfId="12557" xr:uid="{00000000-0005-0000-0000-00000A310000}"/>
    <cellStyle name="Comma 2 4 2 3 3 4 4" xfId="12558" xr:uid="{00000000-0005-0000-0000-00000B310000}"/>
    <cellStyle name="Comma 2 4 2 3 3 5" xfId="12559" xr:uid="{00000000-0005-0000-0000-00000C310000}"/>
    <cellStyle name="Comma 2 4 2 3 3 5 2" xfId="12560" xr:uid="{00000000-0005-0000-0000-00000D310000}"/>
    <cellStyle name="Comma 2 4 2 3 3 6" xfId="12561" xr:uid="{00000000-0005-0000-0000-00000E310000}"/>
    <cellStyle name="Comma 2 4 2 3 3 7" xfId="12562" xr:uid="{00000000-0005-0000-0000-00000F310000}"/>
    <cellStyle name="Comma 2 4 2 3 3 8" xfId="12563" xr:uid="{00000000-0005-0000-0000-000010310000}"/>
    <cellStyle name="Comma 2 4 2 3 3 9" xfId="12564" xr:uid="{00000000-0005-0000-0000-000011310000}"/>
    <cellStyle name="Comma 2 4 2 3 4" xfId="12565" xr:uid="{00000000-0005-0000-0000-000012310000}"/>
    <cellStyle name="Comma 2 4 2 3 4 2" xfId="12566" xr:uid="{00000000-0005-0000-0000-000013310000}"/>
    <cellStyle name="Comma 2 4 2 3 4 2 2" xfId="12567" xr:uid="{00000000-0005-0000-0000-000014310000}"/>
    <cellStyle name="Comma 2 4 2 3 4 2 3" xfId="12568" xr:uid="{00000000-0005-0000-0000-000015310000}"/>
    <cellStyle name="Comma 2 4 2 3 4 3" xfId="12569" xr:uid="{00000000-0005-0000-0000-000016310000}"/>
    <cellStyle name="Comma 2 4 2 3 4 4" xfId="12570" xr:uid="{00000000-0005-0000-0000-000017310000}"/>
    <cellStyle name="Comma 2 4 2 3 4 5" xfId="12571" xr:uid="{00000000-0005-0000-0000-000018310000}"/>
    <cellStyle name="Comma 2 4 2 3 4 6" xfId="12572" xr:uid="{00000000-0005-0000-0000-000019310000}"/>
    <cellStyle name="Comma 2 4 2 3 5" xfId="12573" xr:uid="{00000000-0005-0000-0000-00001A310000}"/>
    <cellStyle name="Comma 2 4 2 3 5 2" xfId="12574" xr:uid="{00000000-0005-0000-0000-00001B310000}"/>
    <cellStyle name="Comma 2 4 2 3 5 2 2" xfId="12575" xr:uid="{00000000-0005-0000-0000-00001C310000}"/>
    <cellStyle name="Comma 2 4 2 3 5 3" xfId="12576" xr:uid="{00000000-0005-0000-0000-00001D310000}"/>
    <cellStyle name="Comma 2 4 2 3 5 4" xfId="12577" xr:uid="{00000000-0005-0000-0000-00001E310000}"/>
    <cellStyle name="Comma 2 4 2 3 5 5" xfId="12578" xr:uid="{00000000-0005-0000-0000-00001F310000}"/>
    <cellStyle name="Comma 2 4 2 3 6" xfId="12579" xr:uid="{00000000-0005-0000-0000-000020310000}"/>
    <cellStyle name="Comma 2 4 2 3 6 2" xfId="12580" xr:uid="{00000000-0005-0000-0000-000021310000}"/>
    <cellStyle name="Comma 2 4 2 3 6 3" xfId="12581" xr:uid="{00000000-0005-0000-0000-000022310000}"/>
    <cellStyle name="Comma 2 4 2 3 6 4" xfId="12582" xr:uid="{00000000-0005-0000-0000-000023310000}"/>
    <cellStyle name="Comma 2 4 2 3 7" xfId="12583" xr:uid="{00000000-0005-0000-0000-000024310000}"/>
    <cellStyle name="Comma 2 4 2 3 7 2" xfId="12584" xr:uid="{00000000-0005-0000-0000-000025310000}"/>
    <cellStyle name="Comma 2 4 2 3 8" xfId="12585" xr:uid="{00000000-0005-0000-0000-000026310000}"/>
    <cellStyle name="Comma 2 4 2 3 9" xfId="12586" xr:uid="{00000000-0005-0000-0000-000027310000}"/>
    <cellStyle name="Comma 2 4 2 4" xfId="12587" xr:uid="{00000000-0005-0000-0000-000028310000}"/>
    <cellStyle name="Comma 2 4 2 4 10" xfId="12588" xr:uid="{00000000-0005-0000-0000-000029310000}"/>
    <cellStyle name="Comma 2 4 2 4 11" xfId="12589" xr:uid="{00000000-0005-0000-0000-00002A310000}"/>
    <cellStyle name="Comma 2 4 2 4 2" xfId="12590" xr:uid="{00000000-0005-0000-0000-00002B310000}"/>
    <cellStyle name="Comma 2 4 2 4 2 2" xfId="12591" xr:uid="{00000000-0005-0000-0000-00002C310000}"/>
    <cellStyle name="Comma 2 4 2 4 2 2 2" xfId="12592" xr:uid="{00000000-0005-0000-0000-00002D310000}"/>
    <cellStyle name="Comma 2 4 2 4 2 2 2 2" xfId="12593" xr:uid="{00000000-0005-0000-0000-00002E310000}"/>
    <cellStyle name="Comma 2 4 2 4 2 2 2 3" xfId="12594" xr:uid="{00000000-0005-0000-0000-00002F310000}"/>
    <cellStyle name="Comma 2 4 2 4 2 2 3" xfId="12595" xr:uid="{00000000-0005-0000-0000-000030310000}"/>
    <cellStyle name="Comma 2 4 2 4 2 2 4" xfId="12596" xr:uid="{00000000-0005-0000-0000-000031310000}"/>
    <cellStyle name="Comma 2 4 2 4 2 2 5" xfId="12597" xr:uid="{00000000-0005-0000-0000-000032310000}"/>
    <cellStyle name="Comma 2 4 2 4 2 2 6" xfId="12598" xr:uid="{00000000-0005-0000-0000-000033310000}"/>
    <cellStyle name="Comma 2 4 2 4 2 3" xfId="12599" xr:uid="{00000000-0005-0000-0000-000034310000}"/>
    <cellStyle name="Comma 2 4 2 4 2 3 2" xfId="12600" xr:uid="{00000000-0005-0000-0000-000035310000}"/>
    <cellStyle name="Comma 2 4 2 4 2 3 2 2" xfId="12601" xr:uid="{00000000-0005-0000-0000-000036310000}"/>
    <cellStyle name="Comma 2 4 2 4 2 3 3" xfId="12602" xr:uid="{00000000-0005-0000-0000-000037310000}"/>
    <cellStyle name="Comma 2 4 2 4 2 3 4" xfId="12603" xr:uid="{00000000-0005-0000-0000-000038310000}"/>
    <cellStyle name="Comma 2 4 2 4 2 3 5" xfId="12604" xr:uid="{00000000-0005-0000-0000-000039310000}"/>
    <cellStyle name="Comma 2 4 2 4 2 4" xfId="12605" xr:uid="{00000000-0005-0000-0000-00003A310000}"/>
    <cellStyle name="Comma 2 4 2 4 2 4 2" xfId="12606" xr:uid="{00000000-0005-0000-0000-00003B310000}"/>
    <cellStyle name="Comma 2 4 2 4 2 4 3" xfId="12607" xr:uid="{00000000-0005-0000-0000-00003C310000}"/>
    <cellStyle name="Comma 2 4 2 4 2 4 4" xfId="12608" xr:uid="{00000000-0005-0000-0000-00003D310000}"/>
    <cellStyle name="Comma 2 4 2 4 2 5" xfId="12609" xr:uid="{00000000-0005-0000-0000-00003E310000}"/>
    <cellStyle name="Comma 2 4 2 4 2 5 2" xfId="12610" xr:uid="{00000000-0005-0000-0000-00003F310000}"/>
    <cellStyle name="Comma 2 4 2 4 2 6" xfId="12611" xr:uid="{00000000-0005-0000-0000-000040310000}"/>
    <cellStyle name="Comma 2 4 2 4 2 7" xfId="12612" xr:uid="{00000000-0005-0000-0000-000041310000}"/>
    <cellStyle name="Comma 2 4 2 4 2 8" xfId="12613" xr:uid="{00000000-0005-0000-0000-000042310000}"/>
    <cellStyle name="Comma 2 4 2 4 2 9" xfId="12614" xr:uid="{00000000-0005-0000-0000-000043310000}"/>
    <cellStyle name="Comma 2 4 2 4 3" xfId="12615" xr:uid="{00000000-0005-0000-0000-000044310000}"/>
    <cellStyle name="Comma 2 4 2 4 3 2" xfId="12616" xr:uid="{00000000-0005-0000-0000-000045310000}"/>
    <cellStyle name="Comma 2 4 2 4 3 2 2" xfId="12617" xr:uid="{00000000-0005-0000-0000-000046310000}"/>
    <cellStyle name="Comma 2 4 2 4 3 2 2 2" xfId="12618" xr:uid="{00000000-0005-0000-0000-000047310000}"/>
    <cellStyle name="Comma 2 4 2 4 3 2 2 3" xfId="12619" xr:uid="{00000000-0005-0000-0000-000048310000}"/>
    <cellStyle name="Comma 2 4 2 4 3 2 3" xfId="12620" xr:uid="{00000000-0005-0000-0000-000049310000}"/>
    <cellStyle name="Comma 2 4 2 4 3 2 4" xfId="12621" xr:uid="{00000000-0005-0000-0000-00004A310000}"/>
    <cellStyle name="Comma 2 4 2 4 3 2 5" xfId="12622" xr:uid="{00000000-0005-0000-0000-00004B310000}"/>
    <cellStyle name="Comma 2 4 2 4 3 2 6" xfId="12623" xr:uid="{00000000-0005-0000-0000-00004C310000}"/>
    <cellStyle name="Comma 2 4 2 4 3 3" xfId="12624" xr:uid="{00000000-0005-0000-0000-00004D310000}"/>
    <cellStyle name="Comma 2 4 2 4 3 3 2" xfId="12625" xr:uid="{00000000-0005-0000-0000-00004E310000}"/>
    <cellStyle name="Comma 2 4 2 4 3 3 2 2" xfId="12626" xr:uid="{00000000-0005-0000-0000-00004F310000}"/>
    <cellStyle name="Comma 2 4 2 4 3 3 3" xfId="12627" xr:uid="{00000000-0005-0000-0000-000050310000}"/>
    <cellStyle name="Comma 2 4 2 4 3 3 4" xfId="12628" xr:uid="{00000000-0005-0000-0000-000051310000}"/>
    <cellStyle name="Comma 2 4 2 4 3 3 5" xfId="12629" xr:uid="{00000000-0005-0000-0000-000052310000}"/>
    <cellStyle name="Comma 2 4 2 4 3 4" xfId="12630" xr:uid="{00000000-0005-0000-0000-000053310000}"/>
    <cellStyle name="Comma 2 4 2 4 3 4 2" xfId="12631" xr:uid="{00000000-0005-0000-0000-000054310000}"/>
    <cellStyle name="Comma 2 4 2 4 3 4 3" xfId="12632" xr:uid="{00000000-0005-0000-0000-000055310000}"/>
    <cellStyle name="Comma 2 4 2 4 3 4 4" xfId="12633" xr:uid="{00000000-0005-0000-0000-000056310000}"/>
    <cellStyle name="Comma 2 4 2 4 3 5" xfId="12634" xr:uid="{00000000-0005-0000-0000-000057310000}"/>
    <cellStyle name="Comma 2 4 2 4 3 5 2" xfId="12635" xr:uid="{00000000-0005-0000-0000-000058310000}"/>
    <cellStyle name="Comma 2 4 2 4 3 6" xfId="12636" xr:uid="{00000000-0005-0000-0000-000059310000}"/>
    <cellStyle name="Comma 2 4 2 4 3 7" xfId="12637" xr:uid="{00000000-0005-0000-0000-00005A310000}"/>
    <cellStyle name="Comma 2 4 2 4 3 8" xfId="12638" xr:uid="{00000000-0005-0000-0000-00005B310000}"/>
    <cellStyle name="Comma 2 4 2 4 3 9" xfId="12639" xr:uid="{00000000-0005-0000-0000-00005C310000}"/>
    <cellStyle name="Comma 2 4 2 4 4" xfId="12640" xr:uid="{00000000-0005-0000-0000-00005D310000}"/>
    <cellStyle name="Comma 2 4 2 4 4 2" xfId="12641" xr:uid="{00000000-0005-0000-0000-00005E310000}"/>
    <cellStyle name="Comma 2 4 2 4 4 2 2" xfId="12642" xr:uid="{00000000-0005-0000-0000-00005F310000}"/>
    <cellStyle name="Comma 2 4 2 4 4 2 3" xfId="12643" xr:uid="{00000000-0005-0000-0000-000060310000}"/>
    <cellStyle name="Comma 2 4 2 4 4 3" xfId="12644" xr:uid="{00000000-0005-0000-0000-000061310000}"/>
    <cellStyle name="Comma 2 4 2 4 4 4" xfId="12645" xr:uid="{00000000-0005-0000-0000-000062310000}"/>
    <cellStyle name="Comma 2 4 2 4 4 5" xfId="12646" xr:uid="{00000000-0005-0000-0000-000063310000}"/>
    <cellStyle name="Comma 2 4 2 4 4 6" xfId="12647" xr:uid="{00000000-0005-0000-0000-000064310000}"/>
    <cellStyle name="Comma 2 4 2 4 5" xfId="12648" xr:uid="{00000000-0005-0000-0000-000065310000}"/>
    <cellStyle name="Comma 2 4 2 4 5 2" xfId="12649" xr:uid="{00000000-0005-0000-0000-000066310000}"/>
    <cellStyle name="Comma 2 4 2 4 5 2 2" xfId="12650" xr:uid="{00000000-0005-0000-0000-000067310000}"/>
    <cellStyle name="Comma 2 4 2 4 5 3" xfId="12651" xr:uid="{00000000-0005-0000-0000-000068310000}"/>
    <cellStyle name="Comma 2 4 2 4 5 4" xfId="12652" xr:uid="{00000000-0005-0000-0000-000069310000}"/>
    <cellStyle name="Comma 2 4 2 4 5 5" xfId="12653" xr:uid="{00000000-0005-0000-0000-00006A310000}"/>
    <cellStyle name="Comma 2 4 2 4 6" xfId="12654" xr:uid="{00000000-0005-0000-0000-00006B310000}"/>
    <cellStyle name="Comma 2 4 2 4 6 2" xfId="12655" xr:uid="{00000000-0005-0000-0000-00006C310000}"/>
    <cellStyle name="Comma 2 4 2 4 6 3" xfId="12656" xr:uid="{00000000-0005-0000-0000-00006D310000}"/>
    <cellStyle name="Comma 2 4 2 4 6 4" xfId="12657" xr:uid="{00000000-0005-0000-0000-00006E310000}"/>
    <cellStyle name="Comma 2 4 2 4 7" xfId="12658" xr:uid="{00000000-0005-0000-0000-00006F310000}"/>
    <cellStyle name="Comma 2 4 2 4 7 2" xfId="12659" xr:uid="{00000000-0005-0000-0000-000070310000}"/>
    <cellStyle name="Comma 2 4 2 4 8" xfId="12660" xr:uid="{00000000-0005-0000-0000-000071310000}"/>
    <cellStyle name="Comma 2 4 2 4 9" xfId="12661" xr:uid="{00000000-0005-0000-0000-000072310000}"/>
    <cellStyle name="Comma 2 4 2 5" xfId="12662" xr:uid="{00000000-0005-0000-0000-000073310000}"/>
    <cellStyle name="Comma 2 4 2 5 10" xfId="12663" xr:uid="{00000000-0005-0000-0000-000074310000}"/>
    <cellStyle name="Comma 2 4 2 5 11" xfId="12664" xr:uid="{00000000-0005-0000-0000-000075310000}"/>
    <cellStyle name="Comma 2 4 2 5 2" xfId="12665" xr:uid="{00000000-0005-0000-0000-000076310000}"/>
    <cellStyle name="Comma 2 4 2 5 2 2" xfId="12666" xr:uid="{00000000-0005-0000-0000-000077310000}"/>
    <cellStyle name="Comma 2 4 2 5 2 2 2" xfId="12667" xr:uid="{00000000-0005-0000-0000-000078310000}"/>
    <cellStyle name="Comma 2 4 2 5 2 2 2 2" xfId="12668" xr:uid="{00000000-0005-0000-0000-000079310000}"/>
    <cellStyle name="Comma 2 4 2 5 2 2 2 3" xfId="12669" xr:uid="{00000000-0005-0000-0000-00007A310000}"/>
    <cellStyle name="Comma 2 4 2 5 2 2 3" xfId="12670" xr:uid="{00000000-0005-0000-0000-00007B310000}"/>
    <cellStyle name="Comma 2 4 2 5 2 2 4" xfId="12671" xr:uid="{00000000-0005-0000-0000-00007C310000}"/>
    <cellStyle name="Comma 2 4 2 5 2 2 5" xfId="12672" xr:uid="{00000000-0005-0000-0000-00007D310000}"/>
    <cellStyle name="Comma 2 4 2 5 2 2 6" xfId="12673" xr:uid="{00000000-0005-0000-0000-00007E310000}"/>
    <cellStyle name="Comma 2 4 2 5 2 3" xfId="12674" xr:uid="{00000000-0005-0000-0000-00007F310000}"/>
    <cellStyle name="Comma 2 4 2 5 2 3 2" xfId="12675" xr:uid="{00000000-0005-0000-0000-000080310000}"/>
    <cellStyle name="Comma 2 4 2 5 2 3 2 2" xfId="12676" xr:uid="{00000000-0005-0000-0000-000081310000}"/>
    <cellStyle name="Comma 2 4 2 5 2 3 3" xfId="12677" xr:uid="{00000000-0005-0000-0000-000082310000}"/>
    <cellStyle name="Comma 2 4 2 5 2 3 4" xfId="12678" xr:uid="{00000000-0005-0000-0000-000083310000}"/>
    <cellStyle name="Comma 2 4 2 5 2 3 5" xfId="12679" xr:uid="{00000000-0005-0000-0000-000084310000}"/>
    <cellStyle name="Comma 2 4 2 5 2 4" xfId="12680" xr:uid="{00000000-0005-0000-0000-000085310000}"/>
    <cellStyle name="Comma 2 4 2 5 2 4 2" xfId="12681" xr:uid="{00000000-0005-0000-0000-000086310000}"/>
    <cellStyle name="Comma 2 4 2 5 2 4 3" xfId="12682" xr:uid="{00000000-0005-0000-0000-000087310000}"/>
    <cellStyle name="Comma 2 4 2 5 2 4 4" xfId="12683" xr:uid="{00000000-0005-0000-0000-000088310000}"/>
    <cellStyle name="Comma 2 4 2 5 2 5" xfId="12684" xr:uid="{00000000-0005-0000-0000-000089310000}"/>
    <cellStyle name="Comma 2 4 2 5 2 5 2" xfId="12685" xr:uid="{00000000-0005-0000-0000-00008A310000}"/>
    <cellStyle name="Comma 2 4 2 5 2 6" xfId="12686" xr:uid="{00000000-0005-0000-0000-00008B310000}"/>
    <cellStyle name="Comma 2 4 2 5 2 7" xfId="12687" xr:uid="{00000000-0005-0000-0000-00008C310000}"/>
    <cellStyle name="Comma 2 4 2 5 2 8" xfId="12688" xr:uid="{00000000-0005-0000-0000-00008D310000}"/>
    <cellStyle name="Comma 2 4 2 5 2 9" xfId="12689" xr:uid="{00000000-0005-0000-0000-00008E310000}"/>
    <cellStyle name="Comma 2 4 2 5 3" xfId="12690" xr:uid="{00000000-0005-0000-0000-00008F310000}"/>
    <cellStyle name="Comma 2 4 2 5 3 2" xfId="12691" xr:uid="{00000000-0005-0000-0000-000090310000}"/>
    <cellStyle name="Comma 2 4 2 5 3 2 2" xfId="12692" xr:uid="{00000000-0005-0000-0000-000091310000}"/>
    <cellStyle name="Comma 2 4 2 5 3 2 2 2" xfId="12693" xr:uid="{00000000-0005-0000-0000-000092310000}"/>
    <cellStyle name="Comma 2 4 2 5 3 2 2 3" xfId="12694" xr:uid="{00000000-0005-0000-0000-000093310000}"/>
    <cellStyle name="Comma 2 4 2 5 3 2 3" xfId="12695" xr:uid="{00000000-0005-0000-0000-000094310000}"/>
    <cellStyle name="Comma 2 4 2 5 3 2 4" xfId="12696" xr:uid="{00000000-0005-0000-0000-000095310000}"/>
    <cellStyle name="Comma 2 4 2 5 3 2 5" xfId="12697" xr:uid="{00000000-0005-0000-0000-000096310000}"/>
    <cellStyle name="Comma 2 4 2 5 3 2 6" xfId="12698" xr:uid="{00000000-0005-0000-0000-000097310000}"/>
    <cellStyle name="Comma 2 4 2 5 3 3" xfId="12699" xr:uid="{00000000-0005-0000-0000-000098310000}"/>
    <cellStyle name="Comma 2 4 2 5 3 3 2" xfId="12700" xr:uid="{00000000-0005-0000-0000-000099310000}"/>
    <cellStyle name="Comma 2 4 2 5 3 3 2 2" xfId="12701" xr:uid="{00000000-0005-0000-0000-00009A310000}"/>
    <cellStyle name="Comma 2 4 2 5 3 3 3" xfId="12702" xr:uid="{00000000-0005-0000-0000-00009B310000}"/>
    <cellStyle name="Comma 2 4 2 5 3 3 4" xfId="12703" xr:uid="{00000000-0005-0000-0000-00009C310000}"/>
    <cellStyle name="Comma 2 4 2 5 3 3 5" xfId="12704" xr:uid="{00000000-0005-0000-0000-00009D310000}"/>
    <cellStyle name="Comma 2 4 2 5 3 4" xfId="12705" xr:uid="{00000000-0005-0000-0000-00009E310000}"/>
    <cellStyle name="Comma 2 4 2 5 3 4 2" xfId="12706" xr:uid="{00000000-0005-0000-0000-00009F310000}"/>
    <cellStyle name="Comma 2 4 2 5 3 4 3" xfId="12707" xr:uid="{00000000-0005-0000-0000-0000A0310000}"/>
    <cellStyle name="Comma 2 4 2 5 3 4 4" xfId="12708" xr:uid="{00000000-0005-0000-0000-0000A1310000}"/>
    <cellStyle name="Comma 2 4 2 5 3 5" xfId="12709" xr:uid="{00000000-0005-0000-0000-0000A2310000}"/>
    <cellStyle name="Comma 2 4 2 5 3 5 2" xfId="12710" xr:uid="{00000000-0005-0000-0000-0000A3310000}"/>
    <cellStyle name="Comma 2 4 2 5 3 6" xfId="12711" xr:uid="{00000000-0005-0000-0000-0000A4310000}"/>
    <cellStyle name="Comma 2 4 2 5 3 7" xfId="12712" xr:uid="{00000000-0005-0000-0000-0000A5310000}"/>
    <cellStyle name="Comma 2 4 2 5 3 8" xfId="12713" xr:uid="{00000000-0005-0000-0000-0000A6310000}"/>
    <cellStyle name="Comma 2 4 2 5 3 9" xfId="12714" xr:uid="{00000000-0005-0000-0000-0000A7310000}"/>
    <cellStyle name="Comma 2 4 2 5 4" xfId="12715" xr:uid="{00000000-0005-0000-0000-0000A8310000}"/>
    <cellStyle name="Comma 2 4 2 5 4 2" xfId="12716" xr:uid="{00000000-0005-0000-0000-0000A9310000}"/>
    <cellStyle name="Comma 2 4 2 5 4 2 2" xfId="12717" xr:uid="{00000000-0005-0000-0000-0000AA310000}"/>
    <cellStyle name="Comma 2 4 2 5 4 2 3" xfId="12718" xr:uid="{00000000-0005-0000-0000-0000AB310000}"/>
    <cellStyle name="Comma 2 4 2 5 4 3" xfId="12719" xr:uid="{00000000-0005-0000-0000-0000AC310000}"/>
    <cellStyle name="Comma 2 4 2 5 4 4" xfId="12720" xr:uid="{00000000-0005-0000-0000-0000AD310000}"/>
    <cellStyle name="Comma 2 4 2 5 4 5" xfId="12721" xr:uid="{00000000-0005-0000-0000-0000AE310000}"/>
    <cellStyle name="Comma 2 4 2 5 4 6" xfId="12722" xr:uid="{00000000-0005-0000-0000-0000AF310000}"/>
    <cellStyle name="Comma 2 4 2 5 5" xfId="12723" xr:uid="{00000000-0005-0000-0000-0000B0310000}"/>
    <cellStyle name="Comma 2 4 2 5 5 2" xfId="12724" xr:uid="{00000000-0005-0000-0000-0000B1310000}"/>
    <cellStyle name="Comma 2 4 2 5 5 2 2" xfId="12725" xr:uid="{00000000-0005-0000-0000-0000B2310000}"/>
    <cellStyle name="Comma 2 4 2 5 5 3" xfId="12726" xr:uid="{00000000-0005-0000-0000-0000B3310000}"/>
    <cellStyle name="Comma 2 4 2 5 5 4" xfId="12727" xr:uid="{00000000-0005-0000-0000-0000B4310000}"/>
    <cellStyle name="Comma 2 4 2 5 5 5" xfId="12728" xr:uid="{00000000-0005-0000-0000-0000B5310000}"/>
    <cellStyle name="Comma 2 4 2 5 6" xfId="12729" xr:uid="{00000000-0005-0000-0000-0000B6310000}"/>
    <cellStyle name="Comma 2 4 2 5 6 2" xfId="12730" xr:uid="{00000000-0005-0000-0000-0000B7310000}"/>
    <cellStyle name="Comma 2 4 2 5 6 3" xfId="12731" xr:uid="{00000000-0005-0000-0000-0000B8310000}"/>
    <cellStyle name="Comma 2 4 2 5 6 4" xfId="12732" xr:uid="{00000000-0005-0000-0000-0000B9310000}"/>
    <cellStyle name="Comma 2 4 2 5 7" xfId="12733" xr:uid="{00000000-0005-0000-0000-0000BA310000}"/>
    <cellStyle name="Comma 2 4 2 5 7 2" xfId="12734" xr:uid="{00000000-0005-0000-0000-0000BB310000}"/>
    <cellStyle name="Comma 2 4 2 5 8" xfId="12735" xr:uid="{00000000-0005-0000-0000-0000BC310000}"/>
    <cellStyle name="Comma 2 4 2 5 9" xfId="12736" xr:uid="{00000000-0005-0000-0000-0000BD310000}"/>
    <cellStyle name="Comma 2 4 2 6" xfId="12737" xr:uid="{00000000-0005-0000-0000-0000BE310000}"/>
    <cellStyle name="Comma 2 4 2 6 10" xfId="12738" xr:uid="{00000000-0005-0000-0000-0000BF310000}"/>
    <cellStyle name="Comma 2 4 2 6 11" xfId="12739" xr:uid="{00000000-0005-0000-0000-0000C0310000}"/>
    <cellStyle name="Comma 2 4 2 6 2" xfId="12740" xr:uid="{00000000-0005-0000-0000-0000C1310000}"/>
    <cellStyle name="Comma 2 4 2 6 2 2" xfId="12741" xr:uid="{00000000-0005-0000-0000-0000C2310000}"/>
    <cellStyle name="Comma 2 4 2 6 2 2 2" xfId="12742" xr:uid="{00000000-0005-0000-0000-0000C3310000}"/>
    <cellStyle name="Comma 2 4 2 6 2 2 2 2" xfId="12743" xr:uid="{00000000-0005-0000-0000-0000C4310000}"/>
    <cellStyle name="Comma 2 4 2 6 2 2 2 3" xfId="12744" xr:uid="{00000000-0005-0000-0000-0000C5310000}"/>
    <cellStyle name="Comma 2 4 2 6 2 2 3" xfId="12745" xr:uid="{00000000-0005-0000-0000-0000C6310000}"/>
    <cellStyle name="Comma 2 4 2 6 2 2 4" xfId="12746" xr:uid="{00000000-0005-0000-0000-0000C7310000}"/>
    <cellStyle name="Comma 2 4 2 6 2 2 5" xfId="12747" xr:uid="{00000000-0005-0000-0000-0000C8310000}"/>
    <cellStyle name="Comma 2 4 2 6 2 2 6" xfId="12748" xr:uid="{00000000-0005-0000-0000-0000C9310000}"/>
    <cellStyle name="Comma 2 4 2 6 2 3" xfId="12749" xr:uid="{00000000-0005-0000-0000-0000CA310000}"/>
    <cellStyle name="Comma 2 4 2 6 2 3 2" xfId="12750" xr:uid="{00000000-0005-0000-0000-0000CB310000}"/>
    <cellStyle name="Comma 2 4 2 6 2 3 2 2" xfId="12751" xr:uid="{00000000-0005-0000-0000-0000CC310000}"/>
    <cellStyle name="Comma 2 4 2 6 2 3 3" xfId="12752" xr:uid="{00000000-0005-0000-0000-0000CD310000}"/>
    <cellStyle name="Comma 2 4 2 6 2 3 4" xfId="12753" xr:uid="{00000000-0005-0000-0000-0000CE310000}"/>
    <cellStyle name="Comma 2 4 2 6 2 3 5" xfId="12754" xr:uid="{00000000-0005-0000-0000-0000CF310000}"/>
    <cellStyle name="Comma 2 4 2 6 2 4" xfId="12755" xr:uid="{00000000-0005-0000-0000-0000D0310000}"/>
    <cellStyle name="Comma 2 4 2 6 2 4 2" xfId="12756" xr:uid="{00000000-0005-0000-0000-0000D1310000}"/>
    <cellStyle name="Comma 2 4 2 6 2 4 3" xfId="12757" xr:uid="{00000000-0005-0000-0000-0000D2310000}"/>
    <cellStyle name="Comma 2 4 2 6 2 4 4" xfId="12758" xr:uid="{00000000-0005-0000-0000-0000D3310000}"/>
    <cellStyle name="Comma 2 4 2 6 2 5" xfId="12759" xr:uid="{00000000-0005-0000-0000-0000D4310000}"/>
    <cellStyle name="Comma 2 4 2 6 2 5 2" xfId="12760" xr:uid="{00000000-0005-0000-0000-0000D5310000}"/>
    <cellStyle name="Comma 2 4 2 6 2 6" xfId="12761" xr:uid="{00000000-0005-0000-0000-0000D6310000}"/>
    <cellStyle name="Comma 2 4 2 6 2 7" xfId="12762" xr:uid="{00000000-0005-0000-0000-0000D7310000}"/>
    <cellStyle name="Comma 2 4 2 6 2 8" xfId="12763" xr:uid="{00000000-0005-0000-0000-0000D8310000}"/>
    <cellStyle name="Comma 2 4 2 6 2 9" xfId="12764" xr:uid="{00000000-0005-0000-0000-0000D9310000}"/>
    <cellStyle name="Comma 2 4 2 6 3" xfId="12765" xr:uid="{00000000-0005-0000-0000-0000DA310000}"/>
    <cellStyle name="Comma 2 4 2 6 3 2" xfId="12766" xr:uid="{00000000-0005-0000-0000-0000DB310000}"/>
    <cellStyle name="Comma 2 4 2 6 3 2 2" xfId="12767" xr:uid="{00000000-0005-0000-0000-0000DC310000}"/>
    <cellStyle name="Comma 2 4 2 6 3 2 2 2" xfId="12768" xr:uid="{00000000-0005-0000-0000-0000DD310000}"/>
    <cellStyle name="Comma 2 4 2 6 3 2 2 3" xfId="12769" xr:uid="{00000000-0005-0000-0000-0000DE310000}"/>
    <cellStyle name="Comma 2 4 2 6 3 2 3" xfId="12770" xr:uid="{00000000-0005-0000-0000-0000DF310000}"/>
    <cellStyle name="Comma 2 4 2 6 3 2 4" xfId="12771" xr:uid="{00000000-0005-0000-0000-0000E0310000}"/>
    <cellStyle name="Comma 2 4 2 6 3 2 5" xfId="12772" xr:uid="{00000000-0005-0000-0000-0000E1310000}"/>
    <cellStyle name="Comma 2 4 2 6 3 2 6" xfId="12773" xr:uid="{00000000-0005-0000-0000-0000E2310000}"/>
    <cellStyle name="Comma 2 4 2 6 3 3" xfId="12774" xr:uid="{00000000-0005-0000-0000-0000E3310000}"/>
    <cellStyle name="Comma 2 4 2 6 3 3 2" xfId="12775" xr:uid="{00000000-0005-0000-0000-0000E4310000}"/>
    <cellStyle name="Comma 2 4 2 6 3 3 2 2" xfId="12776" xr:uid="{00000000-0005-0000-0000-0000E5310000}"/>
    <cellStyle name="Comma 2 4 2 6 3 3 3" xfId="12777" xr:uid="{00000000-0005-0000-0000-0000E6310000}"/>
    <cellStyle name="Comma 2 4 2 6 3 3 4" xfId="12778" xr:uid="{00000000-0005-0000-0000-0000E7310000}"/>
    <cellStyle name="Comma 2 4 2 6 3 3 5" xfId="12779" xr:uid="{00000000-0005-0000-0000-0000E8310000}"/>
    <cellStyle name="Comma 2 4 2 6 3 4" xfId="12780" xr:uid="{00000000-0005-0000-0000-0000E9310000}"/>
    <cellStyle name="Comma 2 4 2 6 3 4 2" xfId="12781" xr:uid="{00000000-0005-0000-0000-0000EA310000}"/>
    <cellStyle name="Comma 2 4 2 6 3 4 3" xfId="12782" xr:uid="{00000000-0005-0000-0000-0000EB310000}"/>
    <cellStyle name="Comma 2 4 2 6 3 4 4" xfId="12783" xr:uid="{00000000-0005-0000-0000-0000EC310000}"/>
    <cellStyle name="Comma 2 4 2 6 3 5" xfId="12784" xr:uid="{00000000-0005-0000-0000-0000ED310000}"/>
    <cellStyle name="Comma 2 4 2 6 3 5 2" xfId="12785" xr:uid="{00000000-0005-0000-0000-0000EE310000}"/>
    <cellStyle name="Comma 2 4 2 6 3 6" xfId="12786" xr:uid="{00000000-0005-0000-0000-0000EF310000}"/>
    <cellStyle name="Comma 2 4 2 6 3 7" xfId="12787" xr:uid="{00000000-0005-0000-0000-0000F0310000}"/>
    <cellStyle name="Comma 2 4 2 6 3 8" xfId="12788" xr:uid="{00000000-0005-0000-0000-0000F1310000}"/>
    <cellStyle name="Comma 2 4 2 6 3 9" xfId="12789" xr:uid="{00000000-0005-0000-0000-0000F2310000}"/>
    <cellStyle name="Comma 2 4 2 6 4" xfId="12790" xr:uid="{00000000-0005-0000-0000-0000F3310000}"/>
    <cellStyle name="Comma 2 4 2 6 4 2" xfId="12791" xr:uid="{00000000-0005-0000-0000-0000F4310000}"/>
    <cellStyle name="Comma 2 4 2 6 4 2 2" xfId="12792" xr:uid="{00000000-0005-0000-0000-0000F5310000}"/>
    <cellStyle name="Comma 2 4 2 6 4 2 3" xfId="12793" xr:uid="{00000000-0005-0000-0000-0000F6310000}"/>
    <cellStyle name="Comma 2 4 2 6 4 3" xfId="12794" xr:uid="{00000000-0005-0000-0000-0000F7310000}"/>
    <cellStyle name="Comma 2 4 2 6 4 4" xfId="12795" xr:uid="{00000000-0005-0000-0000-0000F8310000}"/>
    <cellStyle name="Comma 2 4 2 6 4 5" xfId="12796" xr:uid="{00000000-0005-0000-0000-0000F9310000}"/>
    <cellStyle name="Comma 2 4 2 6 4 6" xfId="12797" xr:uid="{00000000-0005-0000-0000-0000FA310000}"/>
    <cellStyle name="Comma 2 4 2 6 5" xfId="12798" xr:uid="{00000000-0005-0000-0000-0000FB310000}"/>
    <cellStyle name="Comma 2 4 2 6 5 2" xfId="12799" xr:uid="{00000000-0005-0000-0000-0000FC310000}"/>
    <cellStyle name="Comma 2 4 2 6 5 2 2" xfId="12800" xr:uid="{00000000-0005-0000-0000-0000FD310000}"/>
    <cellStyle name="Comma 2 4 2 6 5 3" xfId="12801" xr:uid="{00000000-0005-0000-0000-0000FE310000}"/>
    <cellStyle name="Comma 2 4 2 6 5 4" xfId="12802" xr:uid="{00000000-0005-0000-0000-0000FF310000}"/>
    <cellStyle name="Comma 2 4 2 6 5 5" xfId="12803" xr:uid="{00000000-0005-0000-0000-000000320000}"/>
    <cellStyle name="Comma 2 4 2 6 6" xfId="12804" xr:uid="{00000000-0005-0000-0000-000001320000}"/>
    <cellStyle name="Comma 2 4 2 6 6 2" xfId="12805" xr:uid="{00000000-0005-0000-0000-000002320000}"/>
    <cellStyle name="Comma 2 4 2 6 6 3" xfId="12806" xr:uid="{00000000-0005-0000-0000-000003320000}"/>
    <cellStyle name="Comma 2 4 2 6 6 4" xfId="12807" xr:uid="{00000000-0005-0000-0000-000004320000}"/>
    <cellStyle name="Comma 2 4 2 6 7" xfId="12808" xr:uid="{00000000-0005-0000-0000-000005320000}"/>
    <cellStyle name="Comma 2 4 2 6 7 2" xfId="12809" xr:uid="{00000000-0005-0000-0000-000006320000}"/>
    <cellStyle name="Comma 2 4 2 6 8" xfId="12810" xr:uid="{00000000-0005-0000-0000-000007320000}"/>
    <cellStyle name="Comma 2 4 2 6 9" xfId="12811" xr:uid="{00000000-0005-0000-0000-000008320000}"/>
    <cellStyle name="Comma 2 4 2 7" xfId="12812" xr:uid="{00000000-0005-0000-0000-000009320000}"/>
    <cellStyle name="Comma 2 4 2 7 10" xfId="12813" xr:uid="{00000000-0005-0000-0000-00000A320000}"/>
    <cellStyle name="Comma 2 4 2 7 11" xfId="12814" xr:uid="{00000000-0005-0000-0000-00000B320000}"/>
    <cellStyle name="Comma 2 4 2 7 2" xfId="12815" xr:uid="{00000000-0005-0000-0000-00000C320000}"/>
    <cellStyle name="Comma 2 4 2 7 2 2" xfId="12816" xr:uid="{00000000-0005-0000-0000-00000D320000}"/>
    <cellStyle name="Comma 2 4 2 7 2 2 2" xfId="12817" xr:uid="{00000000-0005-0000-0000-00000E320000}"/>
    <cellStyle name="Comma 2 4 2 7 2 2 2 2" xfId="12818" xr:uid="{00000000-0005-0000-0000-00000F320000}"/>
    <cellStyle name="Comma 2 4 2 7 2 2 2 3" xfId="12819" xr:uid="{00000000-0005-0000-0000-000010320000}"/>
    <cellStyle name="Comma 2 4 2 7 2 2 3" xfId="12820" xr:uid="{00000000-0005-0000-0000-000011320000}"/>
    <cellStyle name="Comma 2 4 2 7 2 2 4" xfId="12821" xr:uid="{00000000-0005-0000-0000-000012320000}"/>
    <cellStyle name="Comma 2 4 2 7 2 2 5" xfId="12822" xr:uid="{00000000-0005-0000-0000-000013320000}"/>
    <cellStyle name="Comma 2 4 2 7 2 2 6" xfId="12823" xr:uid="{00000000-0005-0000-0000-000014320000}"/>
    <cellStyle name="Comma 2 4 2 7 2 3" xfId="12824" xr:uid="{00000000-0005-0000-0000-000015320000}"/>
    <cellStyle name="Comma 2 4 2 7 2 3 2" xfId="12825" xr:uid="{00000000-0005-0000-0000-000016320000}"/>
    <cellStyle name="Comma 2 4 2 7 2 3 2 2" xfId="12826" xr:uid="{00000000-0005-0000-0000-000017320000}"/>
    <cellStyle name="Comma 2 4 2 7 2 3 3" xfId="12827" xr:uid="{00000000-0005-0000-0000-000018320000}"/>
    <cellStyle name="Comma 2 4 2 7 2 3 4" xfId="12828" xr:uid="{00000000-0005-0000-0000-000019320000}"/>
    <cellStyle name="Comma 2 4 2 7 2 3 5" xfId="12829" xr:uid="{00000000-0005-0000-0000-00001A320000}"/>
    <cellStyle name="Comma 2 4 2 7 2 4" xfId="12830" xr:uid="{00000000-0005-0000-0000-00001B320000}"/>
    <cellStyle name="Comma 2 4 2 7 2 4 2" xfId="12831" xr:uid="{00000000-0005-0000-0000-00001C320000}"/>
    <cellStyle name="Comma 2 4 2 7 2 4 3" xfId="12832" xr:uid="{00000000-0005-0000-0000-00001D320000}"/>
    <cellStyle name="Comma 2 4 2 7 2 4 4" xfId="12833" xr:uid="{00000000-0005-0000-0000-00001E320000}"/>
    <cellStyle name="Comma 2 4 2 7 2 5" xfId="12834" xr:uid="{00000000-0005-0000-0000-00001F320000}"/>
    <cellStyle name="Comma 2 4 2 7 2 5 2" xfId="12835" xr:uid="{00000000-0005-0000-0000-000020320000}"/>
    <cellStyle name="Comma 2 4 2 7 2 6" xfId="12836" xr:uid="{00000000-0005-0000-0000-000021320000}"/>
    <cellStyle name="Comma 2 4 2 7 2 7" xfId="12837" xr:uid="{00000000-0005-0000-0000-000022320000}"/>
    <cellStyle name="Comma 2 4 2 7 2 8" xfId="12838" xr:uid="{00000000-0005-0000-0000-000023320000}"/>
    <cellStyle name="Comma 2 4 2 7 2 9" xfId="12839" xr:uid="{00000000-0005-0000-0000-000024320000}"/>
    <cellStyle name="Comma 2 4 2 7 3" xfId="12840" xr:uid="{00000000-0005-0000-0000-000025320000}"/>
    <cellStyle name="Comma 2 4 2 7 3 2" xfId="12841" xr:uid="{00000000-0005-0000-0000-000026320000}"/>
    <cellStyle name="Comma 2 4 2 7 3 2 2" xfId="12842" xr:uid="{00000000-0005-0000-0000-000027320000}"/>
    <cellStyle name="Comma 2 4 2 7 3 2 2 2" xfId="12843" xr:uid="{00000000-0005-0000-0000-000028320000}"/>
    <cellStyle name="Comma 2 4 2 7 3 2 2 3" xfId="12844" xr:uid="{00000000-0005-0000-0000-000029320000}"/>
    <cellStyle name="Comma 2 4 2 7 3 2 3" xfId="12845" xr:uid="{00000000-0005-0000-0000-00002A320000}"/>
    <cellStyle name="Comma 2 4 2 7 3 2 4" xfId="12846" xr:uid="{00000000-0005-0000-0000-00002B320000}"/>
    <cellStyle name="Comma 2 4 2 7 3 2 5" xfId="12847" xr:uid="{00000000-0005-0000-0000-00002C320000}"/>
    <cellStyle name="Comma 2 4 2 7 3 2 6" xfId="12848" xr:uid="{00000000-0005-0000-0000-00002D320000}"/>
    <cellStyle name="Comma 2 4 2 7 3 3" xfId="12849" xr:uid="{00000000-0005-0000-0000-00002E320000}"/>
    <cellStyle name="Comma 2 4 2 7 3 3 2" xfId="12850" xr:uid="{00000000-0005-0000-0000-00002F320000}"/>
    <cellStyle name="Comma 2 4 2 7 3 3 2 2" xfId="12851" xr:uid="{00000000-0005-0000-0000-000030320000}"/>
    <cellStyle name="Comma 2 4 2 7 3 3 3" xfId="12852" xr:uid="{00000000-0005-0000-0000-000031320000}"/>
    <cellStyle name="Comma 2 4 2 7 3 3 4" xfId="12853" xr:uid="{00000000-0005-0000-0000-000032320000}"/>
    <cellStyle name="Comma 2 4 2 7 3 3 5" xfId="12854" xr:uid="{00000000-0005-0000-0000-000033320000}"/>
    <cellStyle name="Comma 2 4 2 7 3 4" xfId="12855" xr:uid="{00000000-0005-0000-0000-000034320000}"/>
    <cellStyle name="Comma 2 4 2 7 3 4 2" xfId="12856" xr:uid="{00000000-0005-0000-0000-000035320000}"/>
    <cellStyle name="Comma 2 4 2 7 3 4 3" xfId="12857" xr:uid="{00000000-0005-0000-0000-000036320000}"/>
    <cellStyle name="Comma 2 4 2 7 3 4 4" xfId="12858" xr:uid="{00000000-0005-0000-0000-000037320000}"/>
    <cellStyle name="Comma 2 4 2 7 3 5" xfId="12859" xr:uid="{00000000-0005-0000-0000-000038320000}"/>
    <cellStyle name="Comma 2 4 2 7 3 5 2" xfId="12860" xr:uid="{00000000-0005-0000-0000-000039320000}"/>
    <cellStyle name="Comma 2 4 2 7 3 6" xfId="12861" xr:uid="{00000000-0005-0000-0000-00003A320000}"/>
    <cellStyle name="Comma 2 4 2 7 3 7" xfId="12862" xr:uid="{00000000-0005-0000-0000-00003B320000}"/>
    <cellStyle name="Comma 2 4 2 7 3 8" xfId="12863" xr:uid="{00000000-0005-0000-0000-00003C320000}"/>
    <cellStyle name="Comma 2 4 2 7 3 9" xfId="12864" xr:uid="{00000000-0005-0000-0000-00003D320000}"/>
    <cellStyle name="Comma 2 4 2 7 4" xfId="12865" xr:uid="{00000000-0005-0000-0000-00003E320000}"/>
    <cellStyle name="Comma 2 4 2 7 4 2" xfId="12866" xr:uid="{00000000-0005-0000-0000-00003F320000}"/>
    <cellStyle name="Comma 2 4 2 7 4 2 2" xfId="12867" xr:uid="{00000000-0005-0000-0000-000040320000}"/>
    <cellStyle name="Comma 2 4 2 7 4 2 3" xfId="12868" xr:uid="{00000000-0005-0000-0000-000041320000}"/>
    <cellStyle name="Comma 2 4 2 7 4 3" xfId="12869" xr:uid="{00000000-0005-0000-0000-000042320000}"/>
    <cellStyle name="Comma 2 4 2 7 4 4" xfId="12870" xr:uid="{00000000-0005-0000-0000-000043320000}"/>
    <cellStyle name="Comma 2 4 2 7 4 5" xfId="12871" xr:uid="{00000000-0005-0000-0000-000044320000}"/>
    <cellStyle name="Comma 2 4 2 7 4 6" xfId="12872" xr:uid="{00000000-0005-0000-0000-000045320000}"/>
    <cellStyle name="Comma 2 4 2 7 5" xfId="12873" xr:uid="{00000000-0005-0000-0000-000046320000}"/>
    <cellStyle name="Comma 2 4 2 7 5 2" xfId="12874" xr:uid="{00000000-0005-0000-0000-000047320000}"/>
    <cellStyle name="Comma 2 4 2 7 5 2 2" xfId="12875" xr:uid="{00000000-0005-0000-0000-000048320000}"/>
    <cellStyle name="Comma 2 4 2 7 5 3" xfId="12876" xr:uid="{00000000-0005-0000-0000-000049320000}"/>
    <cellStyle name="Comma 2 4 2 7 5 4" xfId="12877" xr:uid="{00000000-0005-0000-0000-00004A320000}"/>
    <cellStyle name="Comma 2 4 2 7 5 5" xfId="12878" xr:uid="{00000000-0005-0000-0000-00004B320000}"/>
    <cellStyle name="Comma 2 4 2 7 6" xfId="12879" xr:uid="{00000000-0005-0000-0000-00004C320000}"/>
    <cellStyle name="Comma 2 4 2 7 6 2" xfId="12880" xr:uid="{00000000-0005-0000-0000-00004D320000}"/>
    <cellStyle name="Comma 2 4 2 7 6 3" xfId="12881" xr:uid="{00000000-0005-0000-0000-00004E320000}"/>
    <cellStyle name="Comma 2 4 2 7 6 4" xfId="12882" xr:uid="{00000000-0005-0000-0000-00004F320000}"/>
    <cellStyle name="Comma 2 4 2 7 7" xfId="12883" xr:uid="{00000000-0005-0000-0000-000050320000}"/>
    <cellStyle name="Comma 2 4 2 7 7 2" xfId="12884" xr:uid="{00000000-0005-0000-0000-000051320000}"/>
    <cellStyle name="Comma 2 4 2 7 8" xfId="12885" xr:uid="{00000000-0005-0000-0000-000052320000}"/>
    <cellStyle name="Comma 2 4 2 7 9" xfId="12886" xr:uid="{00000000-0005-0000-0000-000053320000}"/>
    <cellStyle name="Comma 2 4 2 8" xfId="12887" xr:uid="{00000000-0005-0000-0000-000054320000}"/>
    <cellStyle name="Comma 2 4 2 8 10" xfId="12888" xr:uid="{00000000-0005-0000-0000-000055320000}"/>
    <cellStyle name="Comma 2 4 2 8 2" xfId="12889" xr:uid="{00000000-0005-0000-0000-000056320000}"/>
    <cellStyle name="Comma 2 4 2 8 2 2" xfId="12890" xr:uid="{00000000-0005-0000-0000-000057320000}"/>
    <cellStyle name="Comma 2 4 2 8 2 2 2" xfId="12891" xr:uid="{00000000-0005-0000-0000-000058320000}"/>
    <cellStyle name="Comma 2 4 2 8 2 2 3" xfId="12892" xr:uid="{00000000-0005-0000-0000-000059320000}"/>
    <cellStyle name="Comma 2 4 2 8 2 3" xfId="12893" xr:uid="{00000000-0005-0000-0000-00005A320000}"/>
    <cellStyle name="Comma 2 4 2 8 2 4" xfId="12894" xr:uid="{00000000-0005-0000-0000-00005B320000}"/>
    <cellStyle name="Comma 2 4 2 8 2 5" xfId="12895" xr:uid="{00000000-0005-0000-0000-00005C320000}"/>
    <cellStyle name="Comma 2 4 2 8 2 6" xfId="12896" xr:uid="{00000000-0005-0000-0000-00005D320000}"/>
    <cellStyle name="Comma 2 4 2 8 3" xfId="12897" xr:uid="{00000000-0005-0000-0000-00005E320000}"/>
    <cellStyle name="Comma 2 4 2 8 3 2" xfId="12898" xr:uid="{00000000-0005-0000-0000-00005F320000}"/>
    <cellStyle name="Comma 2 4 2 8 3 2 2" xfId="12899" xr:uid="{00000000-0005-0000-0000-000060320000}"/>
    <cellStyle name="Comma 2 4 2 8 3 2 3" xfId="12900" xr:uid="{00000000-0005-0000-0000-000061320000}"/>
    <cellStyle name="Comma 2 4 2 8 3 3" xfId="12901" xr:uid="{00000000-0005-0000-0000-000062320000}"/>
    <cellStyle name="Comma 2 4 2 8 3 4" xfId="12902" xr:uid="{00000000-0005-0000-0000-000063320000}"/>
    <cellStyle name="Comma 2 4 2 8 3 5" xfId="12903" xr:uid="{00000000-0005-0000-0000-000064320000}"/>
    <cellStyle name="Comma 2 4 2 8 3 6" xfId="12904" xr:uid="{00000000-0005-0000-0000-000065320000}"/>
    <cellStyle name="Comma 2 4 2 8 4" xfId="12905" xr:uid="{00000000-0005-0000-0000-000066320000}"/>
    <cellStyle name="Comma 2 4 2 8 4 2" xfId="12906" xr:uid="{00000000-0005-0000-0000-000067320000}"/>
    <cellStyle name="Comma 2 4 2 8 4 2 2" xfId="12907" xr:uid="{00000000-0005-0000-0000-000068320000}"/>
    <cellStyle name="Comma 2 4 2 8 4 3" xfId="12908" xr:uid="{00000000-0005-0000-0000-000069320000}"/>
    <cellStyle name="Comma 2 4 2 8 4 4" xfId="12909" xr:uid="{00000000-0005-0000-0000-00006A320000}"/>
    <cellStyle name="Comma 2 4 2 8 4 5" xfId="12910" xr:uid="{00000000-0005-0000-0000-00006B320000}"/>
    <cellStyle name="Comma 2 4 2 8 5" xfId="12911" xr:uid="{00000000-0005-0000-0000-00006C320000}"/>
    <cellStyle name="Comma 2 4 2 8 5 2" xfId="12912" xr:uid="{00000000-0005-0000-0000-00006D320000}"/>
    <cellStyle name="Comma 2 4 2 8 5 3" xfId="12913" xr:uid="{00000000-0005-0000-0000-00006E320000}"/>
    <cellStyle name="Comma 2 4 2 8 5 4" xfId="12914" xr:uid="{00000000-0005-0000-0000-00006F320000}"/>
    <cellStyle name="Comma 2 4 2 8 6" xfId="12915" xr:uid="{00000000-0005-0000-0000-000070320000}"/>
    <cellStyle name="Comma 2 4 2 8 6 2" xfId="12916" xr:uid="{00000000-0005-0000-0000-000071320000}"/>
    <cellStyle name="Comma 2 4 2 8 7" xfId="12917" xr:uid="{00000000-0005-0000-0000-000072320000}"/>
    <cellStyle name="Comma 2 4 2 8 8" xfId="12918" xr:uid="{00000000-0005-0000-0000-000073320000}"/>
    <cellStyle name="Comma 2 4 2 8 9" xfId="12919" xr:uid="{00000000-0005-0000-0000-000074320000}"/>
    <cellStyle name="Comma 2 4 2 9" xfId="12920" xr:uid="{00000000-0005-0000-0000-000075320000}"/>
    <cellStyle name="Comma 2 4 2 9 10" xfId="12921" xr:uid="{00000000-0005-0000-0000-000076320000}"/>
    <cellStyle name="Comma 2 4 2 9 2" xfId="12922" xr:uid="{00000000-0005-0000-0000-000077320000}"/>
    <cellStyle name="Comma 2 4 2 9 2 2" xfId="12923" xr:uid="{00000000-0005-0000-0000-000078320000}"/>
    <cellStyle name="Comma 2 4 2 9 2 2 2" xfId="12924" xr:uid="{00000000-0005-0000-0000-000079320000}"/>
    <cellStyle name="Comma 2 4 2 9 2 2 3" xfId="12925" xr:uid="{00000000-0005-0000-0000-00007A320000}"/>
    <cellStyle name="Comma 2 4 2 9 2 3" xfId="12926" xr:uid="{00000000-0005-0000-0000-00007B320000}"/>
    <cellStyle name="Comma 2 4 2 9 2 4" xfId="12927" xr:uid="{00000000-0005-0000-0000-00007C320000}"/>
    <cellStyle name="Comma 2 4 2 9 2 5" xfId="12928" xr:uid="{00000000-0005-0000-0000-00007D320000}"/>
    <cellStyle name="Comma 2 4 2 9 2 6" xfId="12929" xr:uid="{00000000-0005-0000-0000-00007E320000}"/>
    <cellStyle name="Comma 2 4 2 9 3" xfId="12930" xr:uid="{00000000-0005-0000-0000-00007F320000}"/>
    <cellStyle name="Comma 2 4 2 9 3 2" xfId="12931" xr:uid="{00000000-0005-0000-0000-000080320000}"/>
    <cellStyle name="Comma 2 4 2 9 3 2 2" xfId="12932" xr:uid="{00000000-0005-0000-0000-000081320000}"/>
    <cellStyle name="Comma 2 4 2 9 3 2 3" xfId="12933" xr:uid="{00000000-0005-0000-0000-000082320000}"/>
    <cellStyle name="Comma 2 4 2 9 3 3" xfId="12934" xr:uid="{00000000-0005-0000-0000-000083320000}"/>
    <cellStyle name="Comma 2 4 2 9 3 4" xfId="12935" xr:uid="{00000000-0005-0000-0000-000084320000}"/>
    <cellStyle name="Comma 2 4 2 9 3 5" xfId="12936" xr:uid="{00000000-0005-0000-0000-000085320000}"/>
    <cellStyle name="Comma 2 4 2 9 3 6" xfId="12937" xr:uid="{00000000-0005-0000-0000-000086320000}"/>
    <cellStyle name="Comma 2 4 2 9 4" xfId="12938" xr:uid="{00000000-0005-0000-0000-000087320000}"/>
    <cellStyle name="Comma 2 4 2 9 4 2" xfId="12939" xr:uid="{00000000-0005-0000-0000-000088320000}"/>
    <cellStyle name="Comma 2 4 2 9 4 2 2" xfId="12940" xr:uid="{00000000-0005-0000-0000-000089320000}"/>
    <cellStyle name="Comma 2 4 2 9 4 3" xfId="12941" xr:uid="{00000000-0005-0000-0000-00008A320000}"/>
    <cellStyle name="Comma 2 4 2 9 4 4" xfId="12942" xr:uid="{00000000-0005-0000-0000-00008B320000}"/>
    <cellStyle name="Comma 2 4 2 9 4 5" xfId="12943" xr:uid="{00000000-0005-0000-0000-00008C320000}"/>
    <cellStyle name="Comma 2 4 2 9 5" xfId="12944" xr:uid="{00000000-0005-0000-0000-00008D320000}"/>
    <cellStyle name="Comma 2 4 2 9 5 2" xfId="12945" xr:uid="{00000000-0005-0000-0000-00008E320000}"/>
    <cellStyle name="Comma 2 4 2 9 5 3" xfId="12946" xr:uid="{00000000-0005-0000-0000-00008F320000}"/>
    <cellStyle name="Comma 2 4 2 9 5 4" xfId="12947" xr:uid="{00000000-0005-0000-0000-000090320000}"/>
    <cellStyle name="Comma 2 4 2 9 6" xfId="12948" xr:uid="{00000000-0005-0000-0000-000091320000}"/>
    <cellStyle name="Comma 2 4 2 9 6 2" xfId="12949" xr:uid="{00000000-0005-0000-0000-000092320000}"/>
    <cellStyle name="Comma 2 4 2 9 7" xfId="12950" xr:uid="{00000000-0005-0000-0000-000093320000}"/>
    <cellStyle name="Comma 2 4 2 9 8" xfId="12951" xr:uid="{00000000-0005-0000-0000-000094320000}"/>
    <cellStyle name="Comma 2 4 2 9 9" xfId="12952" xr:uid="{00000000-0005-0000-0000-000095320000}"/>
    <cellStyle name="Comma 2 4 20" xfId="12953" xr:uid="{00000000-0005-0000-0000-000096320000}"/>
    <cellStyle name="Comma 2 4 20 10" xfId="12954" xr:uid="{00000000-0005-0000-0000-000097320000}"/>
    <cellStyle name="Comma 2 4 20 2" xfId="12955" xr:uid="{00000000-0005-0000-0000-000098320000}"/>
    <cellStyle name="Comma 2 4 20 2 2" xfId="12956" xr:uid="{00000000-0005-0000-0000-000099320000}"/>
    <cellStyle name="Comma 2 4 20 2 2 2" xfId="12957" xr:uid="{00000000-0005-0000-0000-00009A320000}"/>
    <cellStyle name="Comma 2 4 20 2 2 3" xfId="12958" xr:uid="{00000000-0005-0000-0000-00009B320000}"/>
    <cellStyle name="Comma 2 4 20 2 3" xfId="12959" xr:uid="{00000000-0005-0000-0000-00009C320000}"/>
    <cellStyle name="Comma 2 4 20 2 4" xfId="12960" xr:uid="{00000000-0005-0000-0000-00009D320000}"/>
    <cellStyle name="Comma 2 4 20 2 5" xfId="12961" xr:uid="{00000000-0005-0000-0000-00009E320000}"/>
    <cellStyle name="Comma 2 4 20 2 6" xfId="12962" xr:uid="{00000000-0005-0000-0000-00009F320000}"/>
    <cellStyle name="Comma 2 4 20 3" xfId="12963" xr:uid="{00000000-0005-0000-0000-0000A0320000}"/>
    <cellStyle name="Comma 2 4 20 3 2" xfId="12964" xr:uid="{00000000-0005-0000-0000-0000A1320000}"/>
    <cellStyle name="Comma 2 4 20 3 2 2" xfId="12965" xr:uid="{00000000-0005-0000-0000-0000A2320000}"/>
    <cellStyle name="Comma 2 4 20 3 2 3" xfId="12966" xr:uid="{00000000-0005-0000-0000-0000A3320000}"/>
    <cellStyle name="Comma 2 4 20 3 3" xfId="12967" xr:uid="{00000000-0005-0000-0000-0000A4320000}"/>
    <cellStyle name="Comma 2 4 20 3 4" xfId="12968" xr:uid="{00000000-0005-0000-0000-0000A5320000}"/>
    <cellStyle name="Comma 2 4 20 3 5" xfId="12969" xr:uid="{00000000-0005-0000-0000-0000A6320000}"/>
    <cellStyle name="Comma 2 4 20 3 6" xfId="12970" xr:uid="{00000000-0005-0000-0000-0000A7320000}"/>
    <cellStyle name="Comma 2 4 20 4" xfId="12971" xr:uid="{00000000-0005-0000-0000-0000A8320000}"/>
    <cellStyle name="Comma 2 4 20 4 2" xfId="12972" xr:uid="{00000000-0005-0000-0000-0000A9320000}"/>
    <cellStyle name="Comma 2 4 20 4 2 2" xfId="12973" xr:uid="{00000000-0005-0000-0000-0000AA320000}"/>
    <cellStyle name="Comma 2 4 20 4 3" xfId="12974" xr:uid="{00000000-0005-0000-0000-0000AB320000}"/>
    <cellStyle name="Comma 2 4 20 4 4" xfId="12975" xr:uid="{00000000-0005-0000-0000-0000AC320000}"/>
    <cellStyle name="Comma 2 4 20 4 5" xfId="12976" xr:uid="{00000000-0005-0000-0000-0000AD320000}"/>
    <cellStyle name="Comma 2 4 20 5" xfId="12977" xr:uid="{00000000-0005-0000-0000-0000AE320000}"/>
    <cellStyle name="Comma 2 4 20 5 2" xfId="12978" xr:uid="{00000000-0005-0000-0000-0000AF320000}"/>
    <cellStyle name="Comma 2 4 20 5 3" xfId="12979" xr:uid="{00000000-0005-0000-0000-0000B0320000}"/>
    <cellStyle name="Comma 2 4 20 5 4" xfId="12980" xr:uid="{00000000-0005-0000-0000-0000B1320000}"/>
    <cellStyle name="Comma 2 4 20 6" xfId="12981" xr:uid="{00000000-0005-0000-0000-0000B2320000}"/>
    <cellStyle name="Comma 2 4 20 6 2" xfId="12982" xr:uid="{00000000-0005-0000-0000-0000B3320000}"/>
    <cellStyle name="Comma 2 4 20 7" xfId="12983" xr:uid="{00000000-0005-0000-0000-0000B4320000}"/>
    <cellStyle name="Comma 2 4 20 8" xfId="12984" xr:uid="{00000000-0005-0000-0000-0000B5320000}"/>
    <cellStyle name="Comma 2 4 20 9" xfId="12985" xr:uid="{00000000-0005-0000-0000-0000B6320000}"/>
    <cellStyle name="Comma 2 4 21" xfId="12986" xr:uid="{00000000-0005-0000-0000-0000B7320000}"/>
    <cellStyle name="Comma 2 4 21 10" xfId="12987" xr:uid="{00000000-0005-0000-0000-0000B8320000}"/>
    <cellStyle name="Comma 2 4 21 2" xfId="12988" xr:uid="{00000000-0005-0000-0000-0000B9320000}"/>
    <cellStyle name="Comma 2 4 21 2 2" xfId="12989" xr:uid="{00000000-0005-0000-0000-0000BA320000}"/>
    <cellStyle name="Comma 2 4 21 2 2 2" xfId="12990" xr:uid="{00000000-0005-0000-0000-0000BB320000}"/>
    <cellStyle name="Comma 2 4 21 2 2 3" xfId="12991" xr:uid="{00000000-0005-0000-0000-0000BC320000}"/>
    <cellStyle name="Comma 2 4 21 2 3" xfId="12992" xr:uid="{00000000-0005-0000-0000-0000BD320000}"/>
    <cellStyle name="Comma 2 4 21 2 4" xfId="12993" xr:uid="{00000000-0005-0000-0000-0000BE320000}"/>
    <cellStyle name="Comma 2 4 21 2 5" xfId="12994" xr:uid="{00000000-0005-0000-0000-0000BF320000}"/>
    <cellStyle name="Comma 2 4 21 2 6" xfId="12995" xr:uid="{00000000-0005-0000-0000-0000C0320000}"/>
    <cellStyle name="Comma 2 4 21 3" xfId="12996" xr:uid="{00000000-0005-0000-0000-0000C1320000}"/>
    <cellStyle name="Comma 2 4 21 3 2" xfId="12997" xr:uid="{00000000-0005-0000-0000-0000C2320000}"/>
    <cellStyle name="Comma 2 4 21 3 2 2" xfId="12998" xr:uid="{00000000-0005-0000-0000-0000C3320000}"/>
    <cellStyle name="Comma 2 4 21 3 2 3" xfId="12999" xr:uid="{00000000-0005-0000-0000-0000C4320000}"/>
    <cellStyle name="Comma 2 4 21 3 3" xfId="13000" xr:uid="{00000000-0005-0000-0000-0000C5320000}"/>
    <cellStyle name="Comma 2 4 21 3 4" xfId="13001" xr:uid="{00000000-0005-0000-0000-0000C6320000}"/>
    <cellStyle name="Comma 2 4 21 3 5" xfId="13002" xr:uid="{00000000-0005-0000-0000-0000C7320000}"/>
    <cellStyle name="Comma 2 4 21 3 6" xfId="13003" xr:uid="{00000000-0005-0000-0000-0000C8320000}"/>
    <cellStyle name="Comma 2 4 21 4" xfId="13004" xr:uid="{00000000-0005-0000-0000-0000C9320000}"/>
    <cellStyle name="Comma 2 4 21 4 2" xfId="13005" xr:uid="{00000000-0005-0000-0000-0000CA320000}"/>
    <cellStyle name="Comma 2 4 21 4 2 2" xfId="13006" xr:uid="{00000000-0005-0000-0000-0000CB320000}"/>
    <cellStyle name="Comma 2 4 21 4 3" xfId="13007" xr:uid="{00000000-0005-0000-0000-0000CC320000}"/>
    <cellStyle name="Comma 2 4 21 4 4" xfId="13008" xr:uid="{00000000-0005-0000-0000-0000CD320000}"/>
    <cellStyle name="Comma 2 4 21 4 5" xfId="13009" xr:uid="{00000000-0005-0000-0000-0000CE320000}"/>
    <cellStyle name="Comma 2 4 21 5" xfId="13010" xr:uid="{00000000-0005-0000-0000-0000CF320000}"/>
    <cellStyle name="Comma 2 4 21 5 2" xfId="13011" xr:uid="{00000000-0005-0000-0000-0000D0320000}"/>
    <cellStyle name="Comma 2 4 21 5 3" xfId="13012" xr:uid="{00000000-0005-0000-0000-0000D1320000}"/>
    <cellStyle name="Comma 2 4 21 5 4" xfId="13013" xr:uid="{00000000-0005-0000-0000-0000D2320000}"/>
    <cellStyle name="Comma 2 4 21 6" xfId="13014" xr:uid="{00000000-0005-0000-0000-0000D3320000}"/>
    <cellStyle name="Comma 2 4 21 6 2" xfId="13015" xr:uid="{00000000-0005-0000-0000-0000D4320000}"/>
    <cellStyle name="Comma 2 4 21 7" xfId="13016" xr:uid="{00000000-0005-0000-0000-0000D5320000}"/>
    <cellStyle name="Comma 2 4 21 8" xfId="13017" xr:uid="{00000000-0005-0000-0000-0000D6320000}"/>
    <cellStyle name="Comma 2 4 21 9" xfId="13018" xr:uid="{00000000-0005-0000-0000-0000D7320000}"/>
    <cellStyle name="Comma 2 4 22" xfId="13019" xr:uid="{00000000-0005-0000-0000-0000D8320000}"/>
    <cellStyle name="Comma 2 4 22 10" xfId="13020" xr:uid="{00000000-0005-0000-0000-0000D9320000}"/>
    <cellStyle name="Comma 2 4 22 2" xfId="13021" xr:uid="{00000000-0005-0000-0000-0000DA320000}"/>
    <cellStyle name="Comma 2 4 22 2 2" xfId="13022" xr:uid="{00000000-0005-0000-0000-0000DB320000}"/>
    <cellStyle name="Comma 2 4 22 2 2 2" xfId="13023" xr:uid="{00000000-0005-0000-0000-0000DC320000}"/>
    <cellStyle name="Comma 2 4 22 2 2 3" xfId="13024" xr:uid="{00000000-0005-0000-0000-0000DD320000}"/>
    <cellStyle name="Comma 2 4 22 2 3" xfId="13025" xr:uid="{00000000-0005-0000-0000-0000DE320000}"/>
    <cellStyle name="Comma 2 4 22 2 4" xfId="13026" xr:uid="{00000000-0005-0000-0000-0000DF320000}"/>
    <cellStyle name="Comma 2 4 22 2 5" xfId="13027" xr:uid="{00000000-0005-0000-0000-0000E0320000}"/>
    <cellStyle name="Comma 2 4 22 2 6" xfId="13028" xr:uid="{00000000-0005-0000-0000-0000E1320000}"/>
    <cellStyle name="Comma 2 4 22 3" xfId="13029" xr:uid="{00000000-0005-0000-0000-0000E2320000}"/>
    <cellStyle name="Comma 2 4 22 3 2" xfId="13030" xr:uid="{00000000-0005-0000-0000-0000E3320000}"/>
    <cellStyle name="Comma 2 4 22 3 2 2" xfId="13031" xr:uid="{00000000-0005-0000-0000-0000E4320000}"/>
    <cellStyle name="Comma 2 4 22 3 2 3" xfId="13032" xr:uid="{00000000-0005-0000-0000-0000E5320000}"/>
    <cellStyle name="Comma 2 4 22 3 3" xfId="13033" xr:uid="{00000000-0005-0000-0000-0000E6320000}"/>
    <cellStyle name="Comma 2 4 22 3 4" xfId="13034" xr:uid="{00000000-0005-0000-0000-0000E7320000}"/>
    <cellStyle name="Comma 2 4 22 3 5" xfId="13035" xr:uid="{00000000-0005-0000-0000-0000E8320000}"/>
    <cellStyle name="Comma 2 4 22 3 6" xfId="13036" xr:uid="{00000000-0005-0000-0000-0000E9320000}"/>
    <cellStyle name="Comma 2 4 22 4" xfId="13037" xr:uid="{00000000-0005-0000-0000-0000EA320000}"/>
    <cellStyle name="Comma 2 4 22 4 2" xfId="13038" xr:uid="{00000000-0005-0000-0000-0000EB320000}"/>
    <cellStyle name="Comma 2 4 22 4 2 2" xfId="13039" xr:uid="{00000000-0005-0000-0000-0000EC320000}"/>
    <cellStyle name="Comma 2 4 22 4 3" xfId="13040" xr:uid="{00000000-0005-0000-0000-0000ED320000}"/>
    <cellStyle name="Comma 2 4 22 4 4" xfId="13041" xr:uid="{00000000-0005-0000-0000-0000EE320000}"/>
    <cellStyle name="Comma 2 4 22 4 5" xfId="13042" xr:uid="{00000000-0005-0000-0000-0000EF320000}"/>
    <cellStyle name="Comma 2 4 22 5" xfId="13043" xr:uid="{00000000-0005-0000-0000-0000F0320000}"/>
    <cellStyle name="Comma 2 4 22 5 2" xfId="13044" xr:uid="{00000000-0005-0000-0000-0000F1320000}"/>
    <cellStyle name="Comma 2 4 22 5 3" xfId="13045" xr:uid="{00000000-0005-0000-0000-0000F2320000}"/>
    <cellStyle name="Comma 2 4 22 5 4" xfId="13046" xr:uid="{00000000-0005-0000-0000-0000F3320000}"/>
    <cellStyle name="Comma 2 4 22 6" xfId="13047" xr:uid="{00000000-0005-0000-0000-0000F4320000}"/>
    <cellStyle name="Comma 2 4 22 6 2" xfId="13048" xr:uid="{00000000-0005-0000-0000-0000F5320000}"/>
    <cellStyle name="Comma 2 4 22 7" xfId="13049" xr:uid="{00000000-0005-0000-0000-0000F6320000}"/>
    <cellStyle name="Comma 2 4 22 8" xfId="13050" xr:uid="{00000000-0005-0000-0000-0000F7320000}"/>
    <cellStyle name="Comma 2 4 22 9" xfId="13051" xr:uid="{00000000-0005-0000-0000-0000F8320000}"/>
    <cellStyle name="Comma 2 4 23" xfId="13052" xr:uid="{00000000-0005-0000-0000-0000F9320000}"/>
    <cellStyle name="Comma 2 4 23 10" xfId="13053" xr:uid="{00000000-0005-0000-0000-0000FA320000}"/>
    <cellStyle name="Comma 2 4 23 2" xfId="13054" xr:uid="{00000000-0005-0000-0000-0000FB320000}"/>
    <cellStyle name="Comma 2 4 23 2 2" xfId="13055" xr:uid="{00000000-0005-0000-0000-0000FC320000}"/>
    <cellStyle name="Comma 2 4 23 2 2 2" xfId="13056" xr:uid="{00000000-0005-0000-0000-0000FD320000}"/>
    <cellStyle name="Comma 2 4 23 2 2 3" xfId="13057" xr:uid="{00000000-0005-0000-0000-0000FE320000}"/>
    <cellStyle name="Comma 2 4 23 2 3" xfId="13058" xr:uid="{00000000-0005-0000-0000-0000FF320000}"/>
    <cellStyle name="Comma 2 4 23 2 4" xfId="13059" xr:uid="{00000000-0005-0000-0000-000000330000}"/>
    <cellStyle name="Comma 2 4 23 2 5" xfId="13060" xr:uid="{00000000-0005-0000-0000-000001330000}"/>
    <cellStyle name="Comma 2 4 23 2 6" xfId="13061" xr:uid="{00000000-0005-0000-0000-000002330000}"/>
    <cellStyle name="Comma 2 4 23 3" xfId="13062" xr:uid="{00000000-0005-0000-0000-000003330000}"/>
    <cellStyle name="Comma 2 4 23 3 2" xfId="13063" xr:uid="{00000000-0005-0000-0000-000004330000}"/>
    <cellStyle name="Comma 2 4 23 3 2 2" xfId="13064" xr:uid="{00000000-0005-0000-0000-000005330000}"/>
    <cellStyle name="Comma 2 4 23 3 2 3" xfId="13065" xr:uid="{00000000-0005-0000-0000-000006330000}"/>
    <cellStyle name="Comma 2 4 23 3 3" xfId="13066" xr:uid="{00000000-0005-0000-0000-000007330000}"/>
    <cellStyle name="Comma 2 4 23 3 4" xfId="13067" xr:uid="{00000000-0005-0000-0000-000008330000}"/>
    <cellStyle name="Comma 2 4 23 3 5" xfId="13068" xr:uid="{00000000-0005-0000-0000-000009330000}"/>
    <cellStyle name="Comma 2 4 23 3 6" xfId="13069" xr:uid="{00000000-0005-0000-0000-00000A330000}"/>
    <cellStyle name="Comma 2 4 23 4" xfId="13070" xr:uid="{00000000-0005-0000-0000-00000B330000}"/>
    <cellStyle name="Comma 2 4 23 4 2" xfId="13071" xr:uid="{00000000-0005-0000-0000-00000C330000}"/>
    <cellStyle name="Comma 2 4 23 4 2 2" xfId="13072" xr:uid="{00000000-0005-0000-0000-00000D330000}"/>
    <cellStyle name="Comma 2 4 23 4 3" xfId="13073" xr:uid="{00000000-0005-0000-0000-00000E330000}"/>
    <cellStyle name="Comma 2 4 23 4 4" xfId="13074" xr:uid="{00000000-0005-0000-0000-00000F330000}"/>
    <cellStyle name="Comma 2 4 23 4 5" xfId="13075" xr:uid="{00000000-0005-0000-0000-000010330000}"/>
    <cellStyle name="Comma 2 4 23 5" xfId="13076" xr:uid="{00000000-0005-0000-0000-000011330000}"/>
    <cellStyle name="Comma 2 4 23 5 2" xfId="13077" xr:uid="{00000000-0005-0000-0000-000012330000}"/>
    <cellStyle name="Comma 2 4 23 5 3" xfId="13078" xr:uid="{00000000-0005-0000-0000-000013330000}"/>
    <cellStyle name="Comma 2 4 23 5 4" xfId="13079" xr:uid="{00000000-0005-0000-0000-000014330000}"/>
    <cellStyle name="Comma 2 4 23 6" xfId="13080" xr:uid="{00000000-0005-0000-0000-000015330000}"/>
    <cellStyle name="Comma 2 4 23 6 2" xfId="13081" xr:uid="{00000000-0005-0000-0000-000016330000}"/>
    <cellStyle name="Comma 2 4 23 7" xfId="13082" xr:uid="{00000000-0005-0000-0000-000017330000}"/>
    <cellStyle name="Comma 2 4 23 8" xfId="13083" xr:uid="{00000000-0005-0000-0000-000018330000}"/>
    <cellStyle name="Comma 2 4 23 9" xfId="13084" xr:uid="{00000000-0005-0000-0000-000019330000}"/>
    <cellStyle name="Comma 2 4 24" xfId="13085" xr:uid="{00000000-0005-0000-0000-00001A330000}"/>
    <cellStyle name="Comma 2 4 24 10" xfId="13086" xr:uid="{00000000-0005-0000-0000-00001B330000}"/>
    <cellStyle name="Comma 2 4 24 2" xfId="13087" xr:uid="{00000000-0005-0000-0000-00001C330000}"/>
    <cellStyle name="Comma 2 4 24 2 2" xfId="13088" xr:uid="{00000000-0005-0000-0000-00001D330000}"/>
    <cellStyle name="Comma 2 4 24 2 2 2" xfId="13089" xr:uid="{00000000-0005-0000-0000-00001E330000}"/>
    <cellStyle name="Comma 2 4 24 2 2 3" xfId="13090" xr:uid="{00000000-0005-0000-0000-00001F330000}"/>
    <cellStyle name="Comma 2 4 24 2 3" xfId="13091" xr:uid="{00000000-0005-0000-0000-000020330000}"/>
    <cellStyle name="Comma 2 4 24 2 4" xfId="13092" xr:uid="{00000000-0005-0000-0000-000021330000}"/>
    <cellStyle name="Comma 2 4 24 2 5" xfId="13093" xr:uid="{00000000-0005-0000-0000-000022330000}"/>
    <cellStyle name="Comma 2 4 24 2 6" xfId="13094" xr:uid="{00000000-0005-0000-0000-000023330000}"/>
    <cellStyle name="Comma 2 4 24 3" xfId="13095" xr:uid="{00000000-0005-0000-0000-000024330000}"/>
    <cellStyle name="Comma 2 4 24 3 2" xfId="13096" xr:uid="{00000000-0005-0000-0000-000025330000}"/>
    <cellStyle name="Comma 2 4 24 3 2 2" xfId="13097" xr:uid="{00000000-0005-0000-0000-000026330000}"/>
    <cellStyle name="Comma 2 4 24 3 2 3" xfId="13098" xr:uid="{00000000-0005-0000-0000-000027330000}"/>
    <cellStyle name="Comma 2 4 24 3 3" xfId="13099" xr:uid="{00000000-0005-0000-0000-000028330000}"/>
    <cellStyle name="Comma 2 4 24 3 4" xfId="13100" xr:uid="{00000000-0005-0000-0000-000029330000}"/>
    <cellStyle name="Comma 2 4 24 3 5" xfId="13101" xr:uid="{00000000-0005-0000-0000-00002A330000}"/>
    <cellStyle name="Comma 2 4 24 3 6" xfId="13102" xr:uid="{00000000-0005-0000-0000-00002B330000}"/>
    <cellStyle name="Comma 2 4 24 4" xfId="13103" xr:uid="{00000000-0005-0000-0000-00002C330000}"/>
    <cellStyle name="Comma 2 4 24 4 2" xfId="13104" xr:uid="{00000000-0005-0000-0000-00002D330000}"/>
    <cellStyle name="Comma 2 4 24 4 2 2" xfId="13105" xr:uid="{00000000-0005-0000-0000-00002E330000}"/>
    <cellStyle name="Comma 2 4 24 4 3" xfId="13106" xr:uid="{00000000-0005-0000-0000-00002F330000}"/>
    <cellStyle name="Comma 2 4 24 4 4" xfId="13107" xr:uid="{00000000-0005-0000-0000-000030330000}"/>
    <cellStyle name="Comma 2 4 24 4 5" xfId="13108" xr:uid="{00000000-0005-0000-0000-000031330000}"/>
    <cellStyle name="Comma 2 4 24 5" xfId="13109" xr:uid="{00000000-0005-0000-0000-000032330000}"/>
    <cellStyle name="Comma 2 4 24 5 2" xfId="13110" xr:uid="{00000000-0005-0000-0000-000033330000}"/>
    <cellStyle name="Comma 2 4 24 5 3" xfId="13111" xr:uid="{00000000-0005-0000-0000-000034330000}"/>
    <cellStyle name="Comma 2 4 24 5 4" xfId="13112" xr:uid="{00000000-0005-0000-0000-000035330000}"/>
    <cellStyle name="Comma 2 4 24 6" xfId="13113" xr:uid="{00000000-0005-0000-0000-000036330000}"/>
    <cellStyle name="Comma 2 4 24 6 2" xfId="13114" xr:uid="{00000000-0005-0000-0000-000037330000}"/>
    <cellStyle name="Comma 2 4 24 7" xfId="13115" xr:uid="{00000000-0005-0000-0000-000038330000}"/>
    <cellStyle name="Comma 2 4 24 8" xfId="13116" xr:uid="{00000000-0005-0000-0000-000039330000}"/>
    <cellStyle name="Comma 2 4 24 9" xfId="13117" xr:uid="{00000000-0005-0000-0000-00003A330000}"/>
    <cellStyle name="Comma 2 4 25" xfId="13118" xr:uid="{00000000-0005-0000-0000-00003B330000}"/>
    <cellStyle name="Comma 2 4 25 10" xfId="13119" xr:uid="{00000000-0005-0000-0000-00003C330000}"/>
    <cellStyle name="Comma 2 4 25 2" xfId="13120" xr:uid="{00000000-0005-0000-0000-00003D330000}"/>
    <cellStyle name="Comma 2 4 25 2 2" xfId="13121" xr:uid="{00000000-0005-0000-0000-00003E330000}"/>
    <cellStyle name="Comma 2 4 25 2 2 2" xfId="13122" xr:uid="{00000000-0005-0000-0000-00003F330000}"/>
    <cellStyle name="Comma 2 4 25 2 2 3" xfId="13123" xr:uid="{00000000-0005-0000-0000-000040330000}"/>
    <cellStyle name="Comma 2 4 25 2 3" xfId="13124" xr:uid="{00000000-0005-0000-0000-000041330000}"/>
    <cellStyle name="Comma 2 4 25 2 4" xfId="13125" xr:uid="{00000000-0005-0000-0000-000042330000}"/>
    <cellStyle name="Comma 2 4 25 2 5" xfId="13126" xr:uid="{00000000-0005-0000-0000-000043330000}"/>
    <cellStyle name="Comma 2 4 25 2 6" xfId="13127" xr:uid="{00000000-0005-0000-0000-000044330000}"/>
    <cellStyle name="Comma 2 4 25 3" xfId="13128" xr:uid="{00000000-0005-0000-0000-000045330000}"/>
    <cellStyle name="Comma 2 4 25 3 2" xfId="13129" xr:uid="{00000000-0005-0000-0000-000046330000}"/>
    <cellStyle name="Comma 2 4 25 3 2 2" xfId="13130" xr:uid="{00000000-0005-0000-0000-000047330000}"/>
    <cellStyle name="Comma 2 4 25 3 2 3" xfId="13131" xr:uid="{00000000-0005-0000-0000-000048330000}"/>
    <cellStyle name="Comma 2 4 25 3 3" xfId="13132" xr:uid="{00000000-0005-0000-0000-000049330000}"/>
    <cellStyle name="Comma 2 4 25 3 4" xfId="13133" xr:uid="{00000000-0005-0000-0000-00004A330000}"/>
    <cellStyle name="Comma 2 4 25 3 5" xfId="13134" xr:uid="{00000000-0005-0000-0000-00004B330000}"/>
    <cellStyle name="Comma 2 4 25 3 6" xfId="13135" xr:uid="{00000000-0005-0000-0000-00004C330000}"/>
    <cellStyle name="Comma 2 4 25 4" xfId="13136" xr:uid="{00000000-0005-0000-0000-00004D330000}"/>
    <cellStyle name="Comma 2 4 25 4 2" xfId="13137" xr:uid="{00000000-0005-0000-0000-00004E330000}"/>
    <cellStyle name="Comma 2 4 25 4 2 2" xfId="13138" xr:uid="{00000000-0005-0000-0000-00004F330000}"/>
    <cellStyle name="Comma 2 4 25 4 3" xfId="13139" xr:uid="{00000000-0005-0000-0000-000050330000}"/>
    <cellStyle name="Comma 2 4 25 4 4" xfId="13140" xr:uid="{00000000-0005-0000-0000-000051330000}"/>
    <cellStyle name="Comma 2 4 25 4 5" xfId="13141" xr:uid="{00000000-0005-0000-0000-000052330000}"/>
    <cellStyle name="Comma 2 4 25 5" xfId="13142" xr:uid="{00000000-0005-0000-0000-000053330000}"/>
    <cellStyle name="Comma 2 4 25 5 2" xfId="13143" xr:uid="{00000000-0005-0000-0000-000054330000}"/>
    <cellStyle name="Comma 2 4 25 5 3" xfId="13144" xr:uid="{00000000-0005-0000-0000-000055330000}"/>
    <cellStyle name="Comma 2 4 25 5 4" xfId="13145" xr:uid="{00000000-0005-0000-0000-000056330000}"/>
    <cellStyle name="Comma 2 4 25 6" xfId="13146" xr:uid="{00000000-0005-0000-0000-000057330000}"/>
    <cellStyle name="Comma 2 4 25 6 2" xfId="13147" xr:uid="{00000000-0005-0000-0000-000058330000}"/>
    <cellStyle name="Comma 2 4 25 7" xfId="13148" xr:uid="{00000000-0005-0000-0000-000059330000}"/>
    <cellStyle name="Comma 2 4 25 8" xfId="13149" xr:uid="{00000000-0005-0000-0000-00005A330000}"/>
    <cellStyle name="Comma 2 4 25 9" xfId="13150" xr:uid="{00000000-0005-0000-0000-00005B330000}"/>
    <cellStyle name="Comma 2 4 26" xfId="13151" xr:uid="{00000000-0005-0000-0000-00005C330000}"/>
    <cellStyle name="Comma 2 4 26 10" xfId="13152" xr:uid="{00000000-0005-0000-0000-00005D330000}"/>
    <cellStyle name="Comma 2 4 26 2" xfId="13153" xr:uid="{00000000-0005-0000-0000-00005E330000}"/>
    <cellStyle name="Comma 2 4 26 2 2" xfId="13154" xr:uid="{00000000-0005-0000-0000-00005F330000}"/>
    <cellStyle name="Comma 2 4 26 2 2 2" xfId="13155" xr:uid="{00000000-0005-0000-0000-000060330000}"/>
    <cellStyle name="Comma 2 4 26 2 2 3" xfId="13156" xr:uid="{00000000-0005-0000-0000-000061330000}"/>
    <cellStyle name="Comma 2 4 26 2 3" xfId="13157" xr:uid="{00000000-0005-0000-0000-000062330000}"/>
    <cellStyle name="Comma 2 4 26 2 4" xfId="13158" xr:uid="{00000000-0005-0000-0000-000063330000}"/>
    <cellStyle name="Comma 2 4 26 2 5" xfId="13159" xr:uid="{00000000-0005-0000-0000-000064330000}"/>
    <cellStyle name="Comma 2 4 26 2 6" xfId="13160" xr:uid="{00000000-0005-0000-0000-000065330000}"/>
    <cellStyle name="Comma 2 4 26 3" xfId="13161" xr:uid="{00000000-0005-0000-0000-000066330000}"/>
    <cellStyle name="Comma 2 4 26 3 2" xfId="13162" xr:uid="{00000000-0005-0000-0000-000067330000}"/>
    <cellStyle name="Comma 2 4 26 3 2 2" xfId="13163" xr:uid="{00000000-0005-0000-0000-000068330000}"/>
    <cellStyle name="Comma 2 4 26 3 2 3" xfId="13164" xr:uid="{00000000-0005-0000-0000-000069330000}"/>
    <cellStyle name="Comma 2 4 26 3 3" xfId="13165" xr:uid="{00000000-0005-0000-0000-00006A330000}"/>
    <cellStyle name="Comma 2 4 26 3 4" xfId="13166" xr:uid="{00000000-0005-0000-0000-00006B330000}"/>
    <cellStyle name="Comma 2 4 26 3 5" xfId="13167" xr:uid="{00000000-0005-0000-0000-00006C330000}"/>
    <cellStyle name="Comma 2 4 26 3 6" xfId="13168" xr:uid="{00000000-0005-0000-0000-00006D330000}"/>
    <cellStyle name="Comma 2 4 26 4" xfId="13169" xr:uid="{00000000-0005-0000-0000-00006E330000}"/>
    <cellStyle name="Comma 2 4 26 4 2" xfId="13170" xr:uid="{00000000-0005-0000-0000-00006F330000}"/>
    <cellStyle name="Comma 2 4 26 4 2 2" xfId="13171" xr:uid="{00000000-0005-0000-0000-000070330000}"/>
    <cellStyle name="Comma 2 4 26 4 3" xfId="13172" xr:uid="{00000000-0005-0000-0000-000071330000}"/>
    <cellStyle name="Comma 2 4 26 4 4" xfId="13173" xr:uid="{00000000-0005-0000-0000-000072330000}"/>
    <cellStyle name="Comma 2 4 26 4 5" xfId="13174" xr:uid="{00000000-0005-0000-0000-000073330000}"/>
    <cellStyle name="Comma 2 4 26 5" xfId="13175" xr:uid="{00000000-0005-0000-0000-000074330000}"/>
    <cellStyle name="Comma 2 4 26 5 2" xfId="13176" xr:uid="{00000000-0005-0000-0000-000075330000}"/>
    <cellStyle name="Comma 2 4 26 5 3" xfId="13177" xr:uid="{00000000-0005-0000-0000-000076330000}"/>
    <cellStyle name="Comma 2 4 26 5 4" xfId="13178" xr:uid="{00000000-0005-0000-0000-000077330000}"/>
    <cellStyle name="Comma 2 4 26 6" xfId="13179" xr:uid="{00000000-0005-0000-0000-000078330000}"/>
    <cellStyle name="Comma 2 4 26 6 2" xfId="13180" xr:uid="{00000000-0005-0000-0000-000079330000}"/>
    <cellStyle name="Comma 2 4 26 7" xfId="13181" xr:uid="{00000000-0005-0000-0000-00007A330000}"/>
    <cellStyle name="Comma 2 4 26 8" xfId="13182" xr:uid="{00000000-0005-0000-0000-00007B330000}"/>
    <cellStyle name="Comma 2 4 26 9" xfId="13183" xr:uid="{00000000-0005-0000-0000-00007C330000}"/>
    <cellStyle name="Comma 2 4 27" xfId="13184" xr:uid="{00000000-0005-0000-0000-00007D330000}"/>
    <cellStyle name="Comma 2 4 27 10" xfId="13185" xr:uid="{00000000-0005-0000-0000-00007E330000}"/>
    <cellStyle name="Comma 2 4 27 2" xfId="13186" xr:uid="{00000000-0005-0000-0000-00007F330000}"/>
    <cellStyle name="Comma 2 4 27 2 2" xfId="13187" xr:uid="{00000000-0005-0000-0000-000080330000}"/>
    <cellStyle name="Comma 2 4 27 2 2 2" xfId="13188" xr:uid="{00000000-0005-0000-0000-000081330000}"/>
    <cellStyle name="Comma 2 4 27 2 2 3" xfId="13189" xr:uid="{00000000-0005-0000-0000-000082330000}"/>
    <cellStyle name="Comma 2 4 27 2 3" xfId="13190" xr:uid="{00000000-0005-0000-0000-000083330000}"/>
    <cellStyle name="Comma 2 4 27 2 4" xfId="13191" xr:uid="{00000000-0005-0000-0000-000084330000}"/>
    <cellStyle name="Comma 2 4 27 2 5" xfId="13192" xr:uid="{00000000-0005-0000-0000-000085330000}"/>
    <cellStyle name="Comma 2 4 27 2 6" xfId="13193" xr:uid="{00000000-0005-0000-0000-000086330000}"/>
    <cellStyle name="Comma 2 4 27 3" xfId="13194" xr:uid="{00000000-0005-0000-0000-000087330000}"/>
    <cellStyle name="Comma 2 4 27 3 2" xfId="13195" xr:uid="{00000000-0005-0000-0000-000088330000}"/>
    <cellStyle name="Comma 2 4 27 3 2 2" xfId="13196" xr:uid="{00000000-0005-0000-0000-000089330000}"/>
    <cellStyle name="Comma 2 4 27 3 2 3" xfId="13197" xr:uid="{00000000-0005-0000-0000-00008A330000}"/>
    <cellStyle name="Comma 2 4 27 3 3" xfId="13198" xr:uid="{00000000-0005-0000-0000-00008B330000}"/>
    <cellStyle name="Comma 2 4 27 3 4" xfId="13199" xr:uid="{00000000-0005-0000-0000-00008C330000}"/>
    <cellStyle name="Comma 2 4 27 3 5" xfId="13200" xr:uid="{00000000-0005-0000-0000-00008D330000}"/>
    <cellStyle name="Comma 2 4 27 3 6" xfId="13201" xr:uid="{00000000-0005-0000-0000-00008E330000}"/>
    <cellStyle name="Comma 2 4 27 4" xfId="13202" xr:uid="{00000000-0005-0000-0000-00008F330000}"/>
    <cellStyle name="Comma 2 4 27 4 2" xfId="13203" xr:uid="{00000000-0005-0000-0000-000090330000}"/>
    <cellStyle name="Comma 2 4 27 4 2 2" xfId="13204" xr:uid="{00000000-0005-0000-0000-000091330000}"/>
    <cellStyle name="Comma 2 4 27 4 3" xfId="13205" xr:uid="{00000000-0005-0000-0000-000092330000}"/>
    <cellStyle name="Comma 2 4 27 4 4" xfId="13206" xr:uid="{00000000-0005-0000-0000-000093330000}"/>
    <cellStyle name="Comma 2 4 27 4 5" xfId="13207" xr:uid="{00000000-0005-0000-0000-000094330000}"/>
    <cellStyle name="Comma 2 4 27 5" xfId="13208" xr:uid="{00000000-0005-0000-0000-000095330000}"/>
    <cellStyle name="Comma 2 4 27 5 2" xfId="13209" xr:uid="{00000000-0005-0000-0000-000096330000}"/>
    <cellStyle name="Comma 2 4 27 5 3" xfId="13210" xr:uid="{00000000-0005-0000-0000-000097330000}"/>
    <cellStyle name="Comma 2 4 27 5 4" xfId="13211" xr:uid="{00000000-0005-0000-0000-000098330000}"/>
    <cellStyle name="Comma 2 4 27 6" xfId="13212" xr:uid="{00000000-0005-0000-0000-000099330000}"/>
    <cellStyle name="Comma 2 4 27 6 2" xfId="13213" xr:uid="{00000000-0005-0000-0000-00009A330000}"/>
    <cellStyle name="Comma 2 4 27 7" xfId="13214" xr:uid="{00000000-0005-0000-0000-00009B330000}"/>
    <cellStyle name="Comma 2 4 27 8" xfId="13215" xr:uid="{00000000-0005-0000-0000-00009C330000}"/>
    <cellStyle name="Comma 2 4 27 9" xfId="13216" xr:uid="{00000000-0005-0000-0000-00009D330000}"/>
    <cellStyle name="Comma 2 4 28" xfId="13217" xr:uid="{00000000-0005-0000-0000-00009E330000}"/>
    <cellStyle name="Comma 2 4 28 10" xfId="13218" xr:uid="{00000000-0005-0000-0000-00009F330000}"/>
    <cellStyle name="Comma 2 4 28 2" xfId="13219" xr:uid="{00000000-0005-0000-0000-0000A0330000}"/>
    <cellStyle name="Comma 2 4 28 2 2" xfId="13220" xr:uid="{00000000-0005-0000-0000-0000A1330000}"/>
    <cellStyle name="Comma 2 4 28 2 2 2" xfId="13221" xr:uid="{00000000-0005-0000-0000-0000A2330000}"/>
    <cellStyle name="Comma 2 4 28 2 2 3" xfId="13222" xr:uid="{00000000-0005-0000-0000-0000A3330000}"/>
    <cellStyle name="Comma 2 4 28 2 3" xfId="13223" xr:uid="{00000000-0005-0000-0000-0000A4330000}"/>
    <cellStyle name="Comma 2 4 28 2 4" xfId="13224" xr:uid="{00000000-0005-0000-0000-0000A5330000}"/>
    <cellStyle name="Comma 2 4 28 2 5" xfId="13225" xr:uid="{00000000-0005-0000-0000-0000A6330000}"/>
    <cellStyle name="Comma 2 4 28 2 6" xfId="13226" xr:uid="{00000000-0005-0000-0000-0000A7330000}"/>
    <cellStyle name="Comma 2 4 28 3" xfId="13227" xr:uid="{00000000-0005-0000-0000-0000A8330000}"/>
    <cellStyle name="Comma 2 4 28 3 2" xfId="13228" xr:uid="{00000000-0005-0000-0000-0000A9330000}"/>
    <cellStyle name="Comma 2 4 28 3 2 2" xfId="13229" xr:uid="{00000000-0005-0000-0000-0000AA330000}"/>
    <cellStyle name="Comma 2 4 28 3 2 3" xfId="13230" xr:uid="{00000000-0005-0000-0000-0000AB330000}"/>
    <cellStyle name="Comma 2 4 28 3 3" xfId="13231" xr:uid="{00000000-0005-0000-0000-0000AC330000}"/>
    <cellStyle name="Comma 2 4 28 3 4" xfId="13232" xr:uid="{00000000-0005-0000-0000-0000AD330000}"/>
    <cellStyle name="Comma 2 4 28 3 5" xfId="13233" xr:uid="{00000000-0005-0000-0000-0000AE330000}"/>
    <cellStyle name="Comma 2 4 28 3 6" xfId="13234" xr:uid="{00000000-0005-0000-0000-0000AF330000}"/>
    <cellStyle name="Comma 2 4 28 4" xfId="13235" xr:uid="{00000000-0005-0000-0000-0000B0330000}"/>
    <cellStyle name="Comma 2 4 28 4 2" xfId="13236" xr:uid="{00000000-0005-0000-0000-0000B1330000}"/>
    <cellStyle name="Comma 2 4 28 4 2 2" xfId="13237" xr:uid="{00000000-0005-0000-0000-0000B2330000}"/>
    <cellStyle name="Comma 2 4 28 4 3" xfId="13238" xr:uid="{00000000-0005-0000-0000-0000B3330000}"/>
    <cellStyle name="Comma 2 4 28 4 4" xfId="13239" xr:uid="{00000000-0005-0000-0000-0000B4330000}"/>
    <cellStyle name="Comma 2 4 28 4 5" xfId="13240" xr:uid="{00000000-0005-0000-0000-0000B5330000}"/>
    <cellStyle name="Comma 2 4 28 5" xfId="13241" xr:uid="{00000000-0005-0000-0000-0000B6330000}"/>
    <cellStyle name="Comma 2 4 28 5 2" xfId="13242" xr:uid="{00000000-0005-0000-0000-0000B7330000}"/>
    <cellStyle name="Comma 2 4 28 5 3" xfId="13243" xr:uid="{00000000-0005-0000-0000-0000B8330000}"/>
    <cellStyle name="Comma 2 4 28 5 4" xfId="13244" xr:uid="{00000000-0005-0000-0000-0000B9330000}"/>
    <cellStyle name="Comma 2 4 28 6" xfId="13245" xr:uid="{00000000-0005-0000-0000-0000BA330000}"/>
    <cellStyle name="Comma 2 4 28 6 2" xfId="13246" xr:uid="{00000000-0005-0000-0000-0000BB330000}"/>
    <cellStyle name="Comma 2 4 28 7" xfId="13247" xr:uid="{00000000-0005-0000-0000-0000BC330000}"/>
    <cellStyle name="Comma 2 4 28 8" xfId="13248" xr:uid="{00000000-0005-0000-0000-0000BD330000}"/>
    <cellStyle name="Comma 2 4 28 9" xfId="13249" xr:uid="{00000000-0005-0000-0000-0000BE330000}"/>
    <cellStyle name="Comma 2 4 29" xfId="13250" xr:uid="{00000000-0005-0000-0000-0000BF330000}"/>
    <cellStyle name="Comma 2 4 29 2" xfId="13251" xr:uid="{00000000-0005-0000-0000-0000C0330000}"/>
    <cellStyle name="Comma 2 4 29 2 2" xfId="13252" xr:uid="{00000000-0005-0000-0000-0000C1330000}"/>
    <cellStyle name="Comma 2 4 29 2 2 2" xfId="13253" xr:uid="{00000000-0005-0000-0000-0000C2330000}"/>
    <cellStyle name="Comma 2 4 29 2 2 3" xfId="13254" xr:uid="{00000000-0005-0000-0000-0000C3330000}"/>
    <cellStyle name="Comma 2 4 29 2 3" xfId="13255" xr:uid="{00000000-0005-0000-0000-0000C4330000}"/>
    <cellStyle name="Comma 2 4 29 2 4" xfId="13256" xr:uid="{00000000-0005-0000-0000-0000C5330000}"/>
    <cellStyle name="Comma 2 4 29 2 5" xfId="13257" xr:uid="{00000000-0005-0000-0000-0000C6330000}"/>
    <cellStyle name="Comma 2 4 29 2 6" xfId="13258" xr:uid="{00000000-0005-0000-0000-0000C7330000}"/>
    <cellStyle name="Comma 2 4 29 3" xfId="13259" xr:uid="{00000000-0005-0000-0000-0000C8330000}"/>
    <cellStyle name="Comma 2 4 29 3 2" xfId="13260" xr:uid="{00000000-0005-0000-0000-0000C9330000}"/>
    <cellStyle name="Comma 2 4 29 3 2 2" xfId="13261" xr:uid="{00000000-0005-0000-0000-0000CA330000}"/>
    <cellStyle name="Comma 2 4 29 3 3" xfId="13262" xr:uid="{00000000-0005-0000-0000-0000CB330000}"/>
    <cellStyle name="Comma 2 4 29 3 4" xfId="13263" xr:uid="{00000000-0005-0000-0000-0000CC330000}"/>
    <cellStyle name="Comma 2 4 29 3 5" xfId="13264" xr:uid="{00000000-0005-0000-0000-0000CD330000}"/>
    <cellStyle name="Comma 2 4 29 4" xfId="13265" xr:uid="{00000000-0005-0000-0000-0000CE330000}"/>
    <cellStyle name="Comma 2 4 29 4 2" xfId="13266" xr:uid="{00000000-0005-0000-0000-0000CF330000}"/>
    <cellStyle name="Comma 2 4 29 4 3" xfId="13267" xr:uid="{00000000-0005-0000-0000-0000D0330000}"/>
    <cellStyle name="Comma 2 4 29 4 4" xfId="13268" xr:uid="{00000000-0005-0000-0000-0000D1330000}"/>
    <cellStyle name="Comma 2 4 29 5" xfId="13269" xr:uid="{00000000-0005-0000-0000-0000D2330000}"/>
    <cellStyle name="Comma 2 4 29 5 2" xfId="13270" xr:uid="{00000000-0005-0000-0000-0000D3330000}"/>
    <cellStyle name="Comma 2 4 29 6" xfId="13271" xr:uid="{00000000-0005-0000-0000-0000D4330000}"/>
    <cellStyle name="Comma 2 4 29 7" xfId="13272" xr:uid="{00000000-0005-0000-0000-0000D5330000}"/>
    <cellStyle name="Comma 2 4 29 8" xfId="13273" xr:uid="{00000000-0005-0000-0000-0000D6330000}"/>
    <cellStyle name="Comma 2 4 29 9" xfId="13274" xr:uid="{00000000-0005-0000-0000-0000D7330000}"/>
    <cellStyle name="Comma 2 4 3" xfId="13275" xr:uid="{00000000-0005-0000-0000-0000D8330000}"/>
    <cellStyle name="Comma 2 4 3 10" xfId="13276" xr:uid="{00000000-0005-0000-0000-0000D9330000}"/>
    <cellStyle name="Comma 2 4 3 10 10" xfId="13277" xr:uid="{00000000-0005-0000-0000-0000DA330000}"/>
    <cellStyle name="Comma 2 4 3 10 2" xfId="13278" xr:uid="{00000000-0005-0000-0000-0000DB330000}"/>
    <cellStyle name="Comma 2 4 3 10 2 2" xfId="13279" xr:uid="{00000000-0005-0000-0000-0000DC330000}"/>
    <cellStyle name="Comma 2 4 3 10 2 2 2" xfId="13280" xr:uid="{00000000-0005-0000-0000-0000DD330000}"/>
    <cellStyle name="Comma 2 4 3 10 2 2 3" xfId="13281" xr:uid="{00000000-0005-0000-0000-0000DE330000}"/>
    <cellStyle name="Comma 2 4 3 10 2 3" xfId="13282" xr:uid="{00000000-0005-0000-0000-0000DF330000}"/>
    <cellStyle name="Comma 2 4 3 10 2 4" xfId="13283" xr:uid="{00000000-0005-0000-0000-0000E0330000}"/>
    <cellStyle name="Comma 2 4 3 10 2 5" xfId="13284" xr:uid="{00000000-0005-0000-0000-0000E1330000}"/>
    <cellStyle name="Comma 2 4 3 10 2 6" xfId="13285" xr:uid="{00000000-0005-0000-0000-0000E2330000}"/>
    <cellStyle name="Comma 2 4 3 10 3" xfId="13286" xr:uid="{00000000-0005-0000-0000-0000E3330000}"/>
    <cellStyle name="Comma 2 4 3 10 3 2" xfId="13287" xr:uid="{00000000-0005-0000-0000-0000E4330000}"/>
    <cellStyle name="Comma 2 4 3 10 3 2 2" xfId="13288" xr:uid="{00000000-0005-0000-0000-0000E5330000}"/>
    <cellStyle name="Comma 2 4 3 10 3 2 3" xfId="13289" xr:uid="{00000000-0005-0000-0000-0000E6330000}"/>
    <cellStyle name="Comma 2 4 3 10 3 3" xfId="13290" xr:uid="{00000000-0005-0000-0000-0000E7330000}"/>
    <cellStyle name="Comma 2 4 3 10 3 4" xfId="13291" xr:uid="{00000000-0005-0000-0000-0000E8330000}"/>
    <cellStyle name="Comma 2 4 3 10 3 5" xfId="13292" xr:uid="{00000000-0005-0000-0000-0000E9330000}"/>
    <cellStyle name="Comma 2 4 3 10 3 6" xfId="13293" xr:uid="{00000000-0005-0000-0000-0000EA330000}"/>
    <cellStyle name="Comma 2 4 3 10 4" xfId="13294" xr:uid="{00000000-0005-0000-0000-0000EB330000}"/>
    <cellStyle name="Comma 2 4 3 10 4 2" xfId="13295" xr:uid="{00000000-0005-0000-0000-0000EC330000}"/>
    <cellStyle name="Comma 2 4 3 10 4 2 2" xfId="13296" xr:uid="{00000000-0005-0000-0000-0000ED330000}"/>
    <cellStyle name="Comma 2 4 3 10 4 3" xfId="13297" xr:uid="{00000000-0005-0000-0000-0000EE330000}"/>
    <cellStyle name="Comma 2 4 3 10 4 4" xfId="13298" xr:uid="{00000000-0005-0000-0000-0000EF330000}"/>
    <cellStyle name="Comma 2 4 3 10 4 5" xfId="13299" xr:uid="{00000000-0005-0000-0000-0000F0330000}"/>
    <cellStyle name="Comma 2 4 3 10 5" xfId="13300" xr:uid="{00000000-0005-0000-0000-0000F1330000}"/>
    <cellStyle name="Comma 2 4 3 10 5 2" xfId="13301" xr:uid="{00000000-0005-0000-0000-0000F2330000}"/>
    <cellStyle name="Comma 2 4 3 10 5 3" xfId="13302" xr:uid="{00000000-0005-0000-0000-0000F3330000}"/>
    <cellStyle name="Comma 2 4 3 10 5 4" xfId="13303" xr:uid="{00000000-0005-0000-0000-0000F4330000}"/>
    <cellStyle name="Comma 2 4 3 10 6" xfId="13304" xr:uid="{00000000-0005-0000-0000-0000F5330000}"/>
    <cellStyle name="Comma 2 4 3 10 6 2" xfId="13305" xr:uid="{00000000-0005-0000-0000-0000F6330000}"/>
    <cellStyle name="Comma 2 4 3 10 7" xfId="13306" xr:uid="{00000000-0005-0000-0000-0000F7330000}"/>
    <cellStyle name="Comma 2 4 3 10 8" xfId="13307" xr:uid="{00000000-0005-0000-0000-0000F8330000}"/>
    <cellStyle name="Comma 2 4 3 10 9" xfId="13308" xr:uid="{00000000-0005-0000-0000-0000F9330000}"/>
    <cellStyle name="Comma 2 4 3 11" xfId="13309" xr:uid="{00000000-0005-0000-0000-0000FA330000}"/>
    <cellStyle name="Comma 2 4 3 11 10" xfId="13310" xr:uid="{00000000-0005-0000-0000-0000FB330000}"/>
    <cellStyle name="Comma 2 4 3 11 2" xfId="13311" xr:uid="{00000000-0005-0000-0000-0000FC330000}"/>
    <cellStyle name="Comma 2 4 3 11 2 2" xfId="13312" xr:uid="{00000000-0005-0000-0000-0000FD330000}"/>
    <cellStyle name="Comma 2 4 3 11 2 2 2" xfId="13313" xr:uid="{00000000-0005-0000-0000-0000FE330000}"/>
    <cellStyle name="Comma 2 4 3 11 2 2 3" xfId="13314" xr:uid="{00000000-0005-0000-0000-0000FF330000}"/>
    <cellStyle name="Comma 2 4 3 11 2 3" xfId="13315" xr:uid="{00000000-0005-0000-0000-000000340000}"/>
    <cellStyle name="Comma 2 4 3 11 2 4" xfId="13316" xr:uid="{00000000-0005-0000-0000-000001340000}"/>
    <cellStyle name="Comma 2 4 3 11 2 5" xfId="13317" xr:uid="{00000000-0005-0000-0000-000002340000}"/>
    <cellStyle name="Comma 2 4 3 11 2 6" xfId="13318" xr:uid="{00000000-0005-0000-0000-000003340000}"/>
    <cellStyle name="Comma 2 4 3 11 3" xfId="13319" xr:uid="{00000000-0005-0000-0000-000004340000}"/>
    <cellStyle name="Comma 2 4 3 11 3 2" xfId="13320" xr:uid="{00000000-0005-0000-0000-000005340000}"/>
    <cellStyle name="Comma 2 4 3 11 3 2 2" xfId="13321" xr:uid="{00000000-0005-0000-0000-000006340000}"/>
    <cellStyle name="Comma 2 4 3 11 3 2 3" xfId="13322" xr:uid="{00000000-0005-0000-0000-000007340000}"/>
    <cellStyle name="Comma 2 4 3 11 3 3" xfId="13323" xr:uid="{00000000-0005-0000-0000-000008340000}"/>
    <cellStyle name="Comma 2 4 3 11 3 4" xfId="13324" xr:uid="{00000000-0005-0000-0000-000009340000}"/>
    <cellStyle name="Comma 2 4 3 11 3 5" xfId="13325" xr:uid="{00000000-0005-0000-0000-00000A340000}"/>
    <cellStyle name="Comma 2 4 3 11 3 6" xfId="13326" xr:uid="{00000000-0005-0000-0000-00000B340000}"/>
    <cellStyle name="Comma 2 4 3 11 4" xfId="13327" xr:uid="{00000000-0005-0000-0000-00000C340000}"/>
    <cellStyle name="Comma 2 4 3 11 4 2" xfId="13328" xr:uid="{00000000-0005-0000-0000-00000D340000}"/>
    <cellStyle name="Comma 2 4 3 11 4 2 2" xfId="13329" xr:uid="{00000000-0005-0000-0000-00000E340000}"/>
    <cellStyle name="Comma 2 4 3 11 4 3" xfId="13330" xr:uid="{00000000-0005-0000-0000-00000F340000}"/>
    <cellStyle name="Comma 2 4 3 11 4 4" xfId="13331" xr:uid="{00000000-0005-0000-0000-000010340000}"/>
    <cellStyle name="Comma 2 4 3 11 4 5" xfId="13332" xr:uid="{00000000-0005-0000-0000-000011340000}"/>
    <cellStyle name="Comma 2 4 3 11 5" xfId="13333" xr:uid="{00000000-0005-0000-0000-000012340000}"/>
    <cellStyle name="Comma 2 4 3 11 5 2" xfId="13334" xr:uid="{00000000-0005-0000-0000-000013340000}"/>
    <cellStyle name="Comma 2 4 3 11 5 3" xfId="13335" xr:uid="{00000000-0005-0000-0000-000014340000}"/>
    <cellStyle name="Comma 2 4 3 11 5 4" xfId="13336" xr:uid="{00000000-0005-0000-0000-000015340000}"/>
    <cellStyle name="Comma 2 4 3 11 6" xfId="13337" xr:uid="{00000000-0005-0000-0000-000016340000}"/>
    <cellStyle name="Comma 2 4 3 11 6 2" xfId="13338" xr:uid="{00000000-0005-0000-0000-000017340000}"/>
    <cellStyle name="Comma 2 4 3 11 7" xfId="13339" xr:uid="{00000000-0005-0000-0000-000018340000}"/>
    <cellStyle name="Comma 2 4 3 11 8" xfId="13340" xr:uid="{00000000-0005-0000-0000-000019340000}"/>
    <cellStyle name="Comma 2 4 3 11 9" xfId="13341" xr:uid="{00000000-0005-0000-0000-00001A340000}"/>
    <cellStyle name="Comma 2 4 3 12" xfId="13342" xr:uid="{00000000-0005-0000-0000-00001B340000}"/>
    <cellStyle name="Comma 2 4 3 12 10" xfId="13343" xr:uid="{00000000-0005-0000-0000-00001C340000}"/>
    <cellStyle name="Comma 2 4 3 12 2" xfId="13344" xr:uid="{00000000-0005-0000-0000-00001D340000}"/>
    <cellStyle name="Comma 2 4 3 12 2 2" xfId="13345" xr:uid="{00000000-0005-0000-0000-00001E340000}"/>
    <cellStyle name="Comma 2 4 3 12 2 2 2" xfId="13346" xr:uid="{00000000-0005-0000-0000-00001F340000}"/>
    <cellStyle name="Comma 2 4 3 12 2 2 3" xfId="13347" xr:uid="{00000000-0005-0000-0000-000020340000}"/>
    <cellStyle name="Comma 2 4 3 12 2 3" xfId="13348" xr:uid="{00000000-0005-0000-0000-000021340000}"/>
    <cellStyle name="Comma 2 4 3 12 2 4" xfId="13349" xr:uid="{00000000-0005-0000-0000-000022340000}"/>
    <cellStyle name="Comma 2 4 3 12 2 5" xfId="13350" xr:uid="{00000000-0005-0000-0000-000023340000}"/>
    <cellStyle name="Comma 2 4 3 12 2 6" xfId="13351" xr:uid="{00000000-0005-0000-0000-000024340000}"/>
    <cellStyle name="Comma 2 4 3 12 3" xfId="13352" xr:uid="{00000000-0005-0000-0000-000025340000}"/>
    <cellStyle name="Comma 2 4 3 12 3 2" xfId="13353" xr:uid="{00000000-0005-0000-0000-000026340000}"/>
    <cellStyle name="Comma 2 4 3 12 3 2 2" xfId="13354" xr:uid="{00000000-0005-0000-0000-000027340000}"/>
    <cellStyle name="Comma 2 4 3 12 3 2 3" xfId="13355" xr:uid="{00000000-0005-0000-0000-000028340000}"/>
    <cellStyle name="Comma 2 4 3 12 3 3" xfId="13356" xr:uid="{00000000-0005-0000-0000-000029340000}"/>
    <cellStyle name="Comma 2 4 3 12 3 4" xfId="13357" xr:uid="{00000000-0005-0000-0000-00002A340000}"/>
    <cellStyle name="Comma 2 4 3 12 3 5" xfId="13358" xr:uid="{00000000-0005-0000-0000-00002B340000}"/>
    <cellStyle name="Comma 2 4 3 12 3 6" xfId="13359" xr:uid="{00000000-0005-0000-0000-00002C340000}"/>
    <cellStyle name="Comma 2 4 3 12 4" xfId="13360" xr:uid="{00000000-0005-0000-0000-00002D340000}"/>
    <cellStyle name="Comma 2 4 3 12 4 2" xfId="13361" xr:uid="{00000000-0005-0000-0000-00002E340000}"/>
    <cellStyle name="Comma 2 4 3 12 4 2 2" xfId="13362" xr:uid="{00000000-0005-0000-0000-00002F340000}"/>
    <cellStyle name="Comma 2 4 3 12 4 3" xfId="13363" xr:uid="{00000000-0005-0000-0000-000030340000}"/>
    <cellStyle name="Comma 2 4 3 12 4 4" xfId="13364" xr:uid="{00000000-0005-0000-0000-000031340000}"/>
    <cellStyle name="Comma 2 4 3 12 4 5" xfId="13365" xr:uid="{00000000-0005-0000-0000-000032340000}"/>
    <cellStyle name="Comma 2 4 3 12 5" xfId="13366" xr:uid="{00000000-0005-0000-0000-000033340000}"/>
    <cellStyle name="Comma 2 4 3 12 5 2" xfId="13367" xr:uid="{00000000-0005-0000-0000-000034340000}"/>
    <cellStyle name="Comma 2 4 3 12 5 3" xfId="13368" xr:uid="{00000000-0005-0000-0000-000035340000}"/>
    <cellStyle name="Comma 2 4 3 12 5 4" xfId="13369" xr:uid="{00000000-0005-0000-0000-000036340000}"/>
    <cellStyle name="Comma 2 4 3 12 6" xfId="13370" xr:uid="{00000000-0005-0000-0000-000037340000}"/>
    <cellStyle name="Comma 2 4 3 12 6 2" xfId="13371" xr:uid="{00000000-0005-0000-0000-000038340000}"/>
    <cellStyle name="Comma 2 4 3 12 7" xfId="13372" xr:uid="{00000000-0005-0000-0000-000039340000}"/>
    <cellStyle name="Comma 2 4 3 12 8" xfId="13373" xr:uid="{00000000-0005-0000-0000-00003A340000}"/>
    <cellStyle name="Comma 2 4 3 12 9" xfId="13374" xr:uid="{00000000-0005-0000-0000-00003B340000}"/>
    <cellStyle name="Comma 2 4 3 13" xfId="13375" xr:uid="{00000000-0005-0000-0000-00003C340000}"/>
    <cellStyle name="Comma 2 4 3 13 2" xfId="13376" xr:uid="{00000000-0005-0000-0000-00003D340000}"/>
    <cellStyle name="Comma 2 4 3 13 2 2" xfId="13377" xr:uid="{00000000-0005-0000-0000-00003E340000}"/>
    <cellStyle name="Comma 2 4 3 13 2 2 2" xfId="13378" xr:uid="{00000000-0005-0000-0000-00003F340000}"/>
    <cellStyle name="Comma 2 4 3 13 2 2 3" xfId="13379" xr:uid="{00000000-0005-0000-0000-000040340000}"/>
    <cellStyle name="Comma 2 4 3 13 2 3" xfId="13380" xr:uid="{00000000-0005-0000-0000-000041340000}"/>
    <cellStyle name="Comma 2 4 3 13 2 4" xfId="13381" xr:uid="{00000000-0005-0000-0000-000042340000}"/>
    <cellStyle name="Comma 2 4 3 13 2 5" xfId="13382" xr:uid="{00000000-0005-0000-0000-000043340000}"/>
    <cellStyle name="Comma 2 4 3 13 2 6" xfId="13383" xr:uid="{00000000-0005-0000-0000-000044340000}"/>
    <cellStyle name="Comma 2 4 3 13 3" xfId="13384" xr:uid="{00000000-0005-0000-0000-000045340000}"/>
    <cellStyle name="Comma 2 4 3 13 3 2" xfId="13385" xr:uid="{00000000-0005-0000-0000-000046340000}"/>
    <cellStyle name="Comma 2 4 3 13 3 2 2" xfId="13386" xr:uid="{00000000-0005-0000-0000-000047340000}"/>
    <cellStyle name="Comma 2 4 3 13 3 3" xfId="13387" xr:uid="{00000000-0005-0000-0000-000048340000}"/>
    <cellStyle name="Comma 2 4 3 13 3 4" xfId="13388" xr:uid="{00000000-0005-0000-0000-000049340000}"/>
    <cellStyle name="Comma 2 4 3 13 3 5" xfId="13389" xr:uid="{00000000-0005-0000-0000-00004A340000}"/>
    <cellStyle name="Comma 2 4 3 13 4" xfId="13390" xr:uid="{00000000-0005-0000-0000-00004B340000}"/>
    <cellStyle name="Comma 2 4 3 13 4 2" xfId="13391" xr:uid="{00000000-0005-0000-0000-00004C340000}"/>
    <cellStyle name="Comma 2 4 3 13 4 3" xfId="13392" xr:uid="{00000000-0005-0000-0000-00004D340000}"/>
    <cellStyle name="Comma 2 4 3 13 4 4" xfId="13393" xr:uid="{00000000-0005-0000-0000-00004E340000}"/>
    <cellStyle name="Comma 2 4 3 13 5" xfId="13394" xr:uid="{00000000-0005-0000-0000-00004F340000}"/>
    <cellStyle name="Comma 2 4 3 13 5 2" xfId="13395" xr:uid="{00000000-0005-0000-0000-000050340000}"/>
    <cellStyle name="Comma 2 4 3 13 6" xfId="13396" xr:uid="{00000000-0005-0000-0000-000051340000}"/>
    <cellStyle name="Comma 2 4 3 13 7" xfId="13397" xr:uid="{00000000-0005-0000-0000-000052340000}"/>
    <cellStyle name="Comma 2 4 3 13 8" xfId="13398" xr:uid="{00000000-0005-0000-0000-000053340000}"/>
    <cellStyle name="Comma 2 4 3 13 9" xfId="13399" xr:uid="{00000000-0005-0000-0000-000054340000}"/>
    <cellStyle name="Comma 2 4 3 14" xfId="13400" xr:uid="{00000000-0005-0000-0000-000055340000}"/>
    <cellStyle name="Comma 2 4 3 14 2" xfId="13401" xr:uid="{00000000-0005-0000-0000-000056340000}"/>
    <cellStyle name="Comma 2 4 3 14 2 2" xfId="13402" xr:uid="{00000000-0005-0000-0000-000057340000}"/>
    <cellStyle name="Comma 2 4 3 14 2 2 2" xfId="13403" xr:uid="{00000000-0005-0000-0000-000058340000}"/>
    <cellStyle name="Comma 2 4 3 14 2 2 3" xfId="13404" xr:uid="{00000000-0005-0000-0000-000059340000}"/>
    <cellStyle name="Comma 2 4 3 14 2 3" xfId="13405" xr:uid="{00000000-0005-0000-0000-00005A340000}"/>
    <cellStyle name="Comma 2 4 3 14 2 4" xfId="13406" xr:uid="{00000000-0005-0000-0000-00005B340000}"/>
    <cellStyle name="Comma 2 4 3 14 2 5" xfId="13407" xr:uid="{00000000-0005-0000-0000-00005C340000}"/>
    <cellStyle name="Comma 2 4 3 14 2 6" xfId="13408" xr:uid="{00000000-0005-0000-0000-00005D340000}"/>
    <cellStyle name="Comma 2 4 3 14 3" xfId="13409" xr:uid="{00000000-0005-0000-0000-00005E340000}"/>
    <cellStyle name="Comma 2 4 3 14 3 2" xfId="13410" xr:uid="{00000000-0005-0000-0000-00005F340000}"/>
    <cellStyle name="Comma 2 4 3 14 3 2 2" xfId="13411" xr:uid="{00000000-0005-0000-0000-000060340000}"/>
    <cellStyle name="Comma 2 4 3 14 3 3" xfId="13412" xr:uid="{00000000-0005-0000-0000-000061340000}"/>
    <cellStyle name="Comma 2 4 3 14 3 4" xfId="13413" xr:uid="{00000000-0005-0000-0000-000062340000}"/>
    <cellStyle name="Comma 2 4 3 14 3 5" xfId="13414" xr:uid="{00000000-0005-0000-0000-000063340000}"/>
    <cellStyle name="Comma 2 4 3 14 4" xfId="13415" xr:uid="{00000000-0005-0000-0000-000064340000}"/>
    <cellStyle name="Comma 2 4 3 14 4 2" xfId="13416" xr:uid="{00000000-0005-0000-0000-000065340000}"/>
    <cellStyle name="Comma 2 4 3 14 4 3" xfId="13417" xr:uid="{00000000-0005-0000-0000-000066340000}"/>
    <cellStyle name="Comma 2 4 3 14 4 4" xfId="13418" xr:uid="{00000000-0005-0000-0000-000067340000}"/>
    <cellStyle name="Comma 2 4 3 14 5" xfId="13419" xr:uid="{00000000-0005-0000-0000-000068340000}"/>
    <cellStyle name="Comma 2 4 3 14 5 2" xfId="13420" xr:uid="{00000000-0005-0000-0000-000069340000}"/>
    <cellStyle name="Comma 2 4 3 14 6" xfId="13421" xr:uid="{00000000-0005-0000-0000-00006A340000}"/>
    <cellStyle name="Comma 2 4 3 14 7" xfId="13422" xr:uid="{00000000-0005-0000-0000-00006B340000}"/>
    <cellStyle name="Comma 2 4 3 14 8" xfId="13423" xr:uid="{00000000-0005-0000-0000-00006C340000}"/>
    <cellStyle name="Comma 2 4 3 14 9" xfId="13424" xr:uid="{00000000-0005-0000-0000-00006D340000}"/>
    <cellStyle name="Comma 2 4 3 15" xfId="13425" xr:uid="{00000000-0005-0000-0000-00006E340000}"/>
    <cellStyle name="Comma 2 4 3 15 2" xfId="13426" xr:uid="{00000000-0005-0000-0000-00006F340000}"/>
    <cellStyle name="Comma 2 4 3 15 2 2" xfId="13427" xr:uid="{00000000-0005-0000-0000-000070340000}"/>
    <cellStyle name="Comma 2 4 3 15 2 3" xfId="13428" xr:uid="{00000000-0005-0000-0000-000071340000}"/>
    <cellStyle name="Comma 2 4 3 15 3" xfId="13429" xr:uid="{00000000-0005-0000-0000-000072340000}"/>
    <cellStyle name="Comma 2 4 3 15 4" xfId="13430" xr:uid="{00000000-0005-0000-0000-000073340000}"/>
    <cellStyle name="Comma 2 4 3 15 5" xfId="13431" xr:uid="{00000000-0005-0000-0000-000074340000}"/>
    <cellStyle name="Comma 2 4 3 15 6" xfId="13432" xr:uid="{00000000-0005-0000-0000-000075340000}"/>
    <cellStyle name="Comma 2 4 3 16" xfId="13433" xr:uid="{00000000-0005-0000-0000-000076340000}"/>
    <cellStyle name="Comma 2 4 3 16 2" xfId="13434" xr:uid="{00000000-0005-0000-0000-000077340000}"/>
    <cellStyle name="Comma 2 4 3 16 2 2" xfId="13435" xr:uid="{00000000-0005-0000-0000-000078340000}"/>
    <cellStyle name="Comma 2 4 3 16 3" xfId="13436" xr:uid="{00000000-0005-0000-0000-000079340000}"/>
    <cellStyle name="Comma 2 4 3 16 4" xfId="13437" xr:uid="{00000000-0005-0000-0000-00007A340000}"/>
    <cellStyle name="Comma 2 4 3 16 5" xfId="13438" xr:uid="{00000000-0005-0000-0000-00007B340000}"/>
    <cellStyle name="Comma 2 4 3 17" xfId="13439" xr:uid="{00000000-0005-0000-0000-00007C340000}"/>
    <cellStyle name="Comma 2 4 3 17 2" xfId="13440" xr:uid="{00000000-0005-0000-0000-00007D340000}"/>
    <cellStyle name="Comma 2 4 3 17 2 2" xfId="13441" xr:uid="{00000000-0005-0000-0000-00007E340000}"/>
    <cellStyle name="Comma 2 4 3 17 3" xfId="13442" xr:uid="{00000000-0005-0000-0000-00007F340000}"/>
    <cellStyle name="Comma 2 4 3 17 4" xfId="13443" xr:uid="{00000000-0005-0000-0000-000080340000}"/>
    <cellStyle name="Comma 2 4 3 17 5" xfId="13444" xr:uid="{00000000-0005-0000-0000-000081340000}"/>
    <cellStyle name="Comma 2 4 3 18" xfId="13445" xr:uid="{00000000-0005-0000-0000-000082340000}"/>
    <cellStyle name="Comma 2 4 3 18 2" xfId="13446" xr:uid="{00000000-0005-0000-0000-000083340000}"/>
    <cellStyle name="Comma 2 4 3 19" xfId="13447" xr:uid="{00000000-0005-0000-0000-000084340000}"/>
    <cellStyle name="Comma 2 4 3 2" xfId="13448" xr:uid="{00000000-0005-0000-0000-000085340000}"/>
    <cellStyle name="Comma 2 4 3 2 10" xfId="13449" xr:uid="{00000000-0005-0000-0000-000086340000}"/>
    <cellStyle name="Comma 2 4 3 2 11" xfId="13450" xr:uid="{00000000-0005-0000-0000-000087340000}"/>
    <cellStyle name="Comma 2 4 3 2 2" xfId="13451" xr:uid="{00000000-0005-0000-0000-000088340000}"/>
    <cellStyle name="Comma 2 4 3 2 2 2" xfId="13452" xr:uid="{00000000-0005-0000-0000-000089340000}"/>
    <cellStyle name="Comma 2 4 3 2 2 2 2" xfId="13453" xr:uid="{00000000-0005-0000-0000-00008A340000}"/>
    <cellStyle name="Comma 2 4 3 2 2 2 2 2" xfId="13454" xr:uid="{00000000-0005-0000-0000-00008B340000}"/>
    <cellStyle name="Comma 2 4 3 2 2 2 2 3" xfId="13455" xr:uid="{00000000-0005-0000-0000-00008C340000}"/>
    <cellStyle name="Comma 2 4 3 2 2 2 3" xfId="13456" xr:uid="{00000000-0005-0000-0000-00008D340000}"/>
    <cellStyle name="Comma 2 4 3 2 2 2 4" xfId="13457" xr:uid="{00000000-0005-0000-0000-00008E340000}"/>
    <cellStyle name="Comma 2 4 3 2 2 2 5" xfId="13458" xr:uid="{00000000-0005-0000-0000-00008F340000}"/>
    <cellStyle name="Comma 2 4 3 2 2 2 6" xfId="13459" xr:uid="{00000000-0005-0000-0000-000090340000}"/>
    <cellStyle name="Comma 2 4 3 2 2 3" xfId="13460" xr:uid="{00000000-0005-0000-0000-000091340000}"/>
    <cellStyle name="Comma 2 4 3 2 2 3 2" xfId="13461" xr:uid="{00000000-0005-0000-0000-000092340000}"/>
    <cellStyle name="Comma 2 4 3 2 2 3 2 2" xfId="13462" xr:uid="{00000000-0005-0000-0000-000093340000}"/>
    <cellStyle name="Comma 2 4 3 2 2 3 3" xfId="13463" xr:uid="{00000000-0005-0000-0000-000094340000}"/>
    <cellStyle name="Comma 2 4 3 2 2 3 4" xfId="13464" xr:uid="{00000000-0005-0000-0000-000095340000}"/>
    <cellStyle name="Comma 2 4 3 2 2 3 5" xfId="13465" xr:uid="{00000000-0005-0000-0000-000096340000}"/>
    <cellStyle name="Comma 2 4 3 2 2 4" xfId="13466" xr:uid="{00000000-0005-0000-0000-000097340000}"/>
    <cellStyle name="Comma 2 4 3 2 2 4 2" xfId="13467" xr:uid="{00000000-0005-0000-0000-000098340000}"/>
    <cellStyle name="Comma 2 4 3 2 2 4 3" xfId="13468" xr:uid="{00000000-0005-0000-0000-000099340000}"/>
    <cellStyle name="Comma 2 4 3 2 2 4 4" xfId="13469" xr:uid="{00000000-0005-0000-0000-00009A340000}"/>
    <cellStyle name="Comma 2 4 3 2 2 5" xfId="13470" xr:uid="{00000000-0005-0000-0000-00009B340000}"/>
    <cellStyle name="Comma 2 4 3 2 2 5 2" xfId="13471" xr:uid="{00000000-0005-0000-0000-00009C340000}"/>
    <cellStyle name="Comma 2 4 3 2 2 6" xfId="13472" xr:uid="{00000000-0005-0000-0000-00009D340000}"/>
    <cellStyle name="Comma 2 4 3 2 2 7" xfId="13473" xr:uid="{00000000-0005-0000-0000-00009E340000}"/>
    <cellStyle name="Comma 2 4 3 2 2 8" xfId="13474" xr:uid="{00000000-0005-0000-0000-00009F340000}"/>
    <cellStyle name="Comma 2 4 3 2 2 9" xfId="13475" xr:uid="{00000000-0005-0000-0000-0000A0340000}"/>
    <cellStyle name="Comma 2 4 3 2 3" xfId="13476" xr:uid="{00000000-0005-0000-0000-0000A1340000}"/>
    <cellStyle name="Comma 2 4 3 2 3 2" xfId="13477" xr:uid="{00000000-0005-0000-0000-0000A2340000}"/>
    <cellStyle name="Comma 2 4 3 2 3 2 2" xfId="13478" xr:uid="{00000000-0005-0000-0000-0000A3340000}"/>
    <cellStyle name="Comma 2 4 3 2 3 2 2 2" xfId="13479" xr:uid="{00000000-0005-0000-0000-0000A4340000}"/>
    <cellStyle name="Comma 2 4 3 2 3 2 2 3" xfId="13480" xr:uid="{00000000-0005-0000-0000-0000A5340000}"/>
    <cellStyle name="Comma 2 4 3 2 3 2 3" xfId="13481" xr:uid="{00000000-0005-0000-0000-0000A6340000}"/>
    <cellStyle name="Comma 2 4 3 2 3 2 4" xfId="13482" xr:uid="{00000000-0005-0000-0000-0000A7340000}"/>
    <cellStyle name="Comma 2 4 3 2 3 2 5" xfId="13483" xr:uid="{00000000-0005-0000-0000-0000A8340000}"/>
    <cellStyle name="Comma 2 4 3 2 3 2 6" xfId="13484" xr:uid="{00000000-0005-0000-0000-0000A9340000}"/>
    <cellStyle name="Comma 2 4 3 2 3 3" xfId="13485" xr:uid="{00000000-0005-0000-0000-0000AA340000}"/>
    <cellStyle name="Comma 2 4 3 2 3 3 2" xfId="13486" xr:uid="{00000000-0005-0000-0000-0000AB340000}"/>
    <cellStyle name="Comma 2 4 3 2 3 3 2 2" xfId="13487" xr:uid="{00000000-0005-0000-0000-0000AC340000}"/>
    <cellStyle name="Comma 2 4 3 2 3 3 3" xfId="13488" xr:uid="{00000000-0005-0000-0000-0000AD340000}"/>
    <cellStyle name="Comma 2 4 3 2 3 3 4" xfId="13489" xr:uid="{00000000-0005-0000-0000-0000AE340000}"/>
    <cellStyle name="Comma 2 4 3 2 3 3 5" xfId="13490" xr:uid="{00000000-0005-0000-0000-0000AF340000}"/>
    <cellStyle name="Comma 2 4 3 2 3 4" xfId="13491" xr:uid="{00000000-0005-0000-0000-0000B0340000}"/>
    <cellStyle name="Comma 2 4 3 2 3 4 2" xfId="13492" xr:uid="{00000000-0005-0000-0000-0000B1340000}"/>
    <cellStyle name="Comma 2 4 3 2 3 4 3" xfId="13493" xr:uid="{00000000-0005-0000-0000-0000B2340000}"/>
    <cellStyle name="Comma 2 4 3 2 3 4 4" xfId="13494" xr:uid="{00000000-0005-0000-0000-0000B3340000}"/>
    <cellStyle name="Comma 2 4 3 2 3 5" xfId="13495" xr:uid="{00000000-0005-0000-0000-0000B4340000}"/>
    <cellStyle name="Comma 2 4 3 2 3 5 2" xfId="13496" xr:uid="{00000000-0005-0000-0000-0000B5340000}"/>
    <cellStyle name="Comma 2 4 3 2 3 6" xfId="13497" xr:uid="{00000000-0005-0000-0000-0000B6340000}"/>
    <cellStyle name="Comma 2 4 3 2 3 7" xfId="13498" xr:uid="{00000000-0005-0000-0000-0000B7340000}"/>
    <cellStyle name="Comma 2 4 3 2 3 8" xfId="13499" xr:uid="{00000000-0005-0000-0000-0000B8340000}"/>
    <cellStyle name="Comma 2 4 3 2 3 9" xfId="13500" xr:uid="{00000000-0005-0000-0000-0000B9340000}"/>
    <cellStyle name="Comma 2 4 3 2 4" xfId="13501" xr:uid="{00000000-0005-0000-0000-0000BA340000}"/>
    <cellStyle name="Comma 2 4 3 2 4 2" xfId="13502" xr:uid="{00000000-0005-0000-0000-0000BB340000}"/>
    <cellStyle name="Comma 2 4 3 2 4 2 2" xfId="13503" xr:uid="{00000000-0005-0000-0000-0000BC340000}"/>
    <cellStyle name="Comma 2 4 3 2 4 2 3" xfId="13504" xr:uid="{00000000-0005-0000-0000-0000BD340000}"/>
    <cellStyle name="Comma 2 4 3 2 4 3" xfId="13505" xr:uid="{00000000-0005-0000-0000-0000BE340000}"/>
    <cellStyle name="Comma 2 4 3 2 4 4" xfId="13506" xr:uid="{00000000-0005-0000-0000-0000BF340000}"/>
    <cellStyle name="Comma 2 4 3 2 4 5" xfId="13507" xr:uid="{00000000-0005-0000-0000-0000C0340000}"/>
    <cellStyle name="Comma 2 4 3 2 4 6" xfId="13508" xr:uid="{00000000-0005-0000-0000-0000C1340000}"/>
    <cellStyle name="Comma 2 4 3 2 5" xfId="13509" xr:uid="{00000000-0005-0000-0000-0000C2340000}"/>
    <cellStyle name="Comma 2 4 3 2 5 2" xfId="13510" xr:uid="{00000000-0005-0000-0000-0000C3340000}"/>
    <cellStyle name="Comma 2 4 3 2 5 2 2" xfId="13511" xr:uid="{00000000-0005-0000-0000-0000C4340000}"/>
    <cellStyle name="Comma 2 4 3 2 5 3" xfId="13512" xr:uid="{00000000-0005-0000-0000-0000C5340000}"/>
    <cellStyle name="Comma 2 4 3 2 5 4" xfId="13513" xr:uid="{00000000-0005-0000-0000-0000C6340000}"/>
    <cellStyle name="Comma 2 4 3 2 5 5" xfId="13514" xr:uid="{00000000-0005-0000-0000-0000C7340000}"/>
    <cellStyle name="Comma 2 4 3 2 6" xfId="13515" xr:uid="{00000000-0005-0000-0000-0000C8340000}"/>
    <cellStyle name="Comma 2 4 3 2 6 2" xfId="13516" xr:uid="{00000000-0005-0000-0000-0000C9340000}"/>
    <cellStyle name="Comma 2 4 3 2 6 3" xfId="13517" xr:uid="{00000000-0005-0000-0000-0000CA340000}"/>
    <cellStyle name="Comma 2 4 3 2 6 4" xfId="13518" xr:uid="{00000000-0005-0000-0000-0000CB340000}"/>
    <cellStyle name="Comma 2 4 3 2 7" xfId="13519" xr:uid="{00000000-0005-0000-0000-0000CC340000}"/>
    <cellStyle name="Comma 2 4 3 2 7 2" xfId="13520" xr:uid="{00000000-0005-0000-0000-0000CD340000}"/>
    <cellStyle name="Comma 2 4 3 2 8" xfId="13521" xr:uid="{00000000-0005-0000-0000-0000CE340000}"/>
    <cellStyle name="Comma 2 4 3 2 9" xfId="13522" xr:uid="{00000000-0005-0000-0000-0000CF340000}"/>
    <cellStyle name="Comma 2 4 3 20" xfId="13523" xr:uid="{00000000-0005-0000-0000-0000D0340000}"/>
    <cellStyle name="Comma 2 4 3 21" xfId="13524" xr:uid="{00000000-0005-0000-0000-0000D1340000}"/>
    <cellStyle name="Comma 2 4 3 22" xfId="13525" xr:uid="{00000000-0005-0000-0000-0000D2340000}"/>
    <cellStyle name="Comma 2 4 3 3" xfId="13526" xr:uid="{00000000-0005-0000-0000-0000D3340000}"/>
    <cellStyle name="Comma 2 4 3 3 10" xfId="13527" xr:uid="{00000000-0005-0000-0000-0000D4340000}"/>
    <cellStyle name="Comma 2 4 3 3 11" xfId="13528" xr:uid="{00000000-0005-0000-0000-0000D5340000}"/>
    <cellStyle name="Comma 2 4 3 3 2" xfId="13529" xr:uid="{00000000-0005-0000-0000-0000D6340000}"/>
    <cellStyle name="Comma 2 4 3 3 2 2" xfId="13530" xr:uid="{00000000-0005-0000-0000-0000D7340000}"/>
    <cellStyle name="Comma 2 4 3 3 2 2 2" xfId="13531" xr:uid="{00000000-0005-0000-0000-0000D8340000}"/>
    <cellStyle name="Comma 2 4 3 3 2 2 2 2" xfId="13532" xr:uid="{00000000-0005-0000-0000-0000D9340000}"/>
    <cellStyle name="Comma 2 4 3 3 2 2 2 3" xfId="13533" xr:uid="{00000000-0005-0000-0000-0000DA340000}"/>
    <cellStyle name="Comma 2 4 3 3 2 2 3" xfId="13534" xr:uid="{00000000-0005-0000-0000-0000DB340000}"/>
    <cellStyle name="Comma 2 4 3 3 2 2 4" xfId="13535" xr:uid="{00000000-0005-0000-0000-0000DC340000}"/>
    <cellStyle name="Comma 2 4 3 3 2 2 5" xfId="13536" xr:uid="{00000000-0005-0000-0000-0000DD340000}"/>
    <cellStyle name="Comma 2 4 3 3 2 2 6" xfId="13537" xr:uid="{00000000-0005-0000-0000-0000DE340000}"/>
    <cellStyle name="Comma 2 4 3 3 2 3" xfId="13538" xr:uid="{00000000-0005-0000-0000-0000DF340000}"/>
    <cellStyle name="Comma 2 4 3 3 2 3 2" xfId="13539" xr:uid="{00000000-0005-0000-0000-0000E0340000}"/>
    <cellStyle name="Comma 2 4 3 3 2 3 2 2" xfId="13540" xr:uid="{00000000-0005-0000-0000-0000E1340000}"/>
    <cellStyle name="Comma 2 4 3 3 2 3 3" xfId="13541" xr:uid="{00000000-0005-0000-0000-0000E2340000}"/>
    <cellStyle name="Comma 2 4 3 3 2 3 4" xfId="13542" xr:uid="{00000000-0005-0000-0000-0000E3340000}"/>
    <cellStyle name="Comma 2 4 3 3 2 3 5" xfId="13543" xr:uid="{00000000-0005-0000-0000-0000E4340000}"/>
    <cellStyle name="Comma 2 4 3 3 2 4" xfId="13544" xr:uid="{00000000-0005-0000-0000-0000E5340000}"/>
    <cellStyle name="Comma 2 4 3 3 2 4 2" xfId="13545" xr:uid="{00000000-0005-0000-0000-0000E6340000}"/>
    <cellStyle name="Comma 2 4 3 3 2 4 3" xfId="13546" xr:uid="{00000000-0005-0000-0000-0000E7340000}"/>
    <cellStyle name="Comma 2 4 3 3 2 4 4" xfId="13547" xr:uid="{00000000-0005-0000-0000-0000E8340000}"/>
    <cellStyle name="Comma 2 4 3 3 2 5" xfId="13548" xr:uid="{00000000-0005-0000-0000-0000E9340000}"/>
    <cellStyle name="Comma 2 4 3 3 2 5 2" xfId="13549" xr:uid="{00000000-0005-0000-0000-0000EA340000}"/>
    <cellStyle name="Comma 2 4 3 3 2 6" xfId="13550" xr:uid="{00000000-0005-0000-0000-0000EB340000}"/>
    <cellStyle name="Comma 2 4 3 3 2 7" xfId="13551" xr:uid="{00000000-0005-0000-0000-0000EC340000}"/>
    <cellStyle name="Comma 2 4 3 3 2 8" xfId="13552" xr:uid="{00000000-0005-0000-0000-0000ED340000}"/>
    <cellStyle name="Comma 2 4 3 3 2 9" xfId="13553" xr:uid="{00000000-0005-0000-0000-0000EE340000}"/>
    <cellStyle name="Comma 2 4 3 3 3" xfId="13554" xr:uid="{00000000-0005-0000-0000-0000EF340000}"/>
    <cellStyle name="Comma 2 4 3 3 3 2" xfId="13555" xr:uid="{00000000-0005-0000-0000-0000F0340000}"/>
    <cellStyle name="Comma 2 4 3 3 3 2 2" xfId="13556" xr:uid="{00000000-0005-0000-0000-0000F1340000}"/>
    <cellStyle name="Comma 2 4 3 3 3 2 2 2" xfId="13557" xr:uid="{00000000-0005-0000-0000-0000F2340000}"/>
    <cellStyle name="Comma 2 4 3 3 3 2 2 3" xfId="13558" xr:uid="{00000000-0005-0000-0000-0000F3340000}"/>
    <cellStyle name="Comma 2 4 3 3 3 2 3" xfId="13559" xr:uid="{00000000-0005-0000-0000-0000F4340000}"/>
    <cellStyle name="Comma 2 4 3 3 3 2 4" xfId="13560" xr:uid="{00000000-0005-0000-0000-0000F5340000}"/>
    <cellStyle name="Comma 2 4 3 3 3 2 5" xfId="13561" xr:uid="{00000000-0005-0000-0000-0000F6340000}"/>
    <cellStyle name="Comma 2 4 3 3 3 2 6" xfId="13562" xr:uid="{00000000-0005-0000-0000-0000F7340000}"/>
    <cellStyle name="Comma 2 4 3 3 3 3" xfId="13563" xr:uid="{00000000-0005-0000-0000-0000F8340000}"/>
    <cellStyle name="Comma 2 4 3 3 3 3 2" xfId="13564" xr:uid="{00000000-0005-0000-0000-0000F9340000}"/>
    <cellStyle name="Comma 2 4 3 3 3 3 2 2" xfId="13565" xr:uid="{00000000-0005-0000-0000-0000FA340000}"/>
    <cellStyle name="Comma 2 4 3 3 3 3 3" xfId="13566" xr:uid="{00000000-0005-0000-0000-0000FB340000}"/>
    <cellStyle name="Comma 2 4 3 3 3 3 4" xfId="13567" xr:uid="{00000000-0005-0000-0000-0000FC340000}"/>
    <cellStyle name="Comma 2 4 3 3 3 3 5" xfId="13568" xr:uid="{00000000-0005-0000-0000-0000FD340000}"/>
    <cellStyle name="Comma 2 4 3 3 3 4" xfId="13569" xr:uid="{00000000-0005-0000-0000-0000FE340000}"/>
    <cellStyle name="Comma 2 4 3 3 3 4 2" xfId="13570" xr:uid="{00000000-0005-0000-0000-0000FF340000}"/>
    <cellStyle name="Comma 2 4 3 3 3 4 3" xfId="13571" xr:uid="{00000000-0005-0000-0000-000000350000}"/>
    <cellStyle name="Comma 2 4 3 3 3 4 4" xfId="13572" xr:uid="{00000000-0005-0000-0000-000001350000}"/>
    <cellStyle name="Comma 2 4 3 3 3 5" xfId="13573" xr:uid="{00000000-0005-0000-0000-000002350000}"/>
    <cellStyle name="Comma 2 4 3 3 3 5 2" xfId="13574" xr:uid="{00000000-0005-0000-0000-000003350000}"/>
    <cellStyle name="Comma 2 4 3 3 3 6" xfId="13575" xr:uid="{00000000-0005-0000-0000-000004350000}"/>
    <cellStyle name="Comma 2 4 3 3 3 7" xfId="13576" xr:uid="{00000000-0005-0000-0000-000005350000}"/>
    <cellStyle name="Comma 2 4 3 3 3 8" xfId="13577" xr:uid="{00000000-0005-0000-0000-000006350000}"/>
    <cellStyle name="Comma 2 4 3 3 3 9" xfId="13578" xr:uid="{00000000-0005-0000-0000-000007350000}"/>
    <cellStyle name="Comma 2 4 3 3 4" xfId="13579" xr:uid="{00000000-0005-0000-0000-000008350000}"/>
    <cellStyle name="Comma 2 4 3 3 4 2" xfId="13580" xr:uid="{00000000-0005-0000-0000-000009350000}"/>
    <cellStyle name="Comma 2 4 3 3 4 2 2" xfId="13581" xr:uid="{00000000-0005-0000-0000-00000A350000}"/>
    <cellStyle name="Comma 2 4 3 3 4 2 3" xfId="13582" xr:uid="{00000000-0005-0000-0000-00000B350000}"/>
    <cellStyle name="Comma 2 4 3 3 4 3" xfId="13583" xr:uid="{00000000-0005-0000-0000-00000C350000}"/>
    <cellStyle name="Comma 2 4 3 3 4 4" xfId="13584" xr:uid="{00000000-0005-0000-0000-00000D350000}"/>
    <cellStyle name="Comma 2 4 3 3 4 5" xfId="13585" xr:uid="{00000000-0005-0000-0000-00000E350000}"/>
    <cellStyle name="Comma 2 4 3 3 4 6" xfId="13586" xr:uid="{00000000-0005-0000-0000-00000F350000}"/>
    <cellStyle name="Comma 2 4 3 3 5" xfId="13587" xr:uid="{00000000-0005-0000-0000-000010350000}"/>
    <cellStyle name="Comma 2 4 3 3 5 2" xfId="13588" xr:uid="{00000000-0005-0000-0000-000011350000}"/>
    <cellStyle name="Comma 2 4 3 3 5 2 2" xfId="13589" xr:uid="{00000000-0005-0000-0000-000012350000}"/>
    <cellStyle name="Comma 2 4 3 3 5 3" xfId="13590" xr:uid="{00000000-0005-0000-0000-000013350000}"/>
    <cellStyle name="Comma 2 4 3 3 5 4" xfId="13591" xr:uid="{00000000-0005-0000-0000-000014350000}"/>
    <cellStyle name="Comma 2 4 3 3 5 5" xfId="13592" xr:uid="{00000000-0005-0000-0000-000015350000}"/>
    <cellStyle name="Comma 2 4 3 3 6" xfId="13593" xr:uid="{00000000-0005-0000-0000-000016350000}"/>
    <cellStyle name="Comma 2 4 3 3 6 2" xfId="13594" xr:uid="{00000000-0005-0000-0000-000017350000}"/>
    <cellStyle name="Comma 2 4 3 3 6 3" xfId="13595" xr:uid="{00000000-0005-0000-0000-000018350000}"/>
    <cellStyle name="Comma 2 4 3 3 6 4" xfId="13596" xr:uid="{00000000-0005-0000-0000-000019350000}"/>
    <cellStyle name="Comma 2 4 3 3 7" xfId="13597" xr:uid="{00000000-0005-0000-0000-00001A350000}"/>
    <cellStyle name="Comma 2 4 3 3 7 2" xfId="13598" xr:uid="{00000000-0005-0000-0000-00001B350000}"/>
    <cellStyle name="Comma 2 4 3 3 8" xfId="13599" xr:uid="{00000000-0005-0000-0000-00001C350000}"/>
    <cellStyle name="Comma 2 4 3 3 9" xfId="13600" xr:uid="{00000000-0005-0000-0000-00001D350000}"/>
    <cellStyle name="Comma 2 4 3 4" xfId="13601" xr:uid="{00000000-0005-0000-0000-00001E350000}"/>
    <cellStyle name="Comma 2 4 3 4 10" xfId="13602" xr:uid="{00000000-0005-0000-0000-00001F350000}"/>
    <cellStyle name="Comma 2 4 3 4 11" xfId="13603" xr:uid="{00000000-0005-0000-0000-000020350000}"/>
    <cellStyle name="Comma 2 4 3 4 2" xfId="13604" xr:uid="{00000000-0005-0000-0000-000021350000}"/>
    <cellStyle name="Comma 2 4 3 4 2 2" xfId="13605" xr:uid="{00000000-0005-0000-0000-000022350000}"/>
    <cellStyle name="Comma 2 4 3 4 2 2 2" xfId="13606" xr:uid="{00000000-0005-0000-0000-000023350000}"/>
    <cellStyle name="Comma 2 4 3 4 2 2 2 2" xfId="13607" xr:uid="{00000000-0005-0000-0000-000024350000}"/>
    <cellStyle name="Comma 2 4 3 4 2 2 2 3" xfId="13608" xr:uid="{00000000-0005-0000-0000-000025350000}"/>
    <cellStyle name="Comma 2 4 3 4 2 2 3" xfId="13609" xr:uid="{00000000-0005-0000-0000-000026350000}"/>
    <cellStyle name="Comma 2 4 3 4 2 2 4" xfId="13610" xr:uid="{00000000-0005-0000-0000-000027350000}"/>
    <cellStyle name="Comma 2 4 3 4 2 2 5" xfId="13611" xr:uid="{00000000-0005-0000-0000-000028350000}"/>
    <cellStyle name="Comma 2 4 3 4 2 2 6" xfId="13612" xr:uid="{00000000-0005-0000-0000-000029350000}"/>
    <cellStyle name="Comma 2 4 3 4 2 3" xfId="13613" xr:uid="{00000000-0005-0000-0000-00002A350000}"/>
    <cellStyle name="Comma 2 4 3 4 2 3 2" xfId="13614" xr:uid="{00000000-0005-0000-0000-00002B350000}"/>
    <cellStyle name="Comma 2 4 3 4 2 3 2 2" xfId="13615" xr:uid="{00000000-0005-0000-0000-00002C350000}"/>
    <cellStyle name="Comma 2 4 3 4 2 3 3" xfId="13616" xr:uid="{00000000-0005-0000-0000-00002D350000}"/>
    <cellStyle name="Comma 2 4 3 4 2 3 4" xfId="13617" xr:uid="{00000000-0005-0000-0000-00002E350000}"/>
    <cellStyle name="Comma 2 4 3 4 2 3 5" xfId="13618" xr:uid="{00000000-0005-0000-0000-00002F350000}"/>
    <cellStyle name="Comma 2 4 3 4 2 4" xfId="13619" xr:uid="{00000000-0005-0000-0000-000030350000}"/>
    <cellStyle name="Comma 2 4 3 4 2 4 2" xfId="13620" xr:uid="{00000000-0005-0000-0000-000031350000}"/>
    <cellStyle name="Comma 2 4 3 4 2 4 3" xfId="13621" xr:uid="{00000000-0005-0000-0000-000032350000}"/>
    <cellStyle name="Comma 2 4 3 4 2 4 4" xfId="13622" xr:uid="{00000000-0005-0000-0000-000033350000}"/>
    <cellStyle name="Comma 2 4 3 4 2 5" xfId="13623" xr:uid="{00000000-0005-0000-0000-000034350000}"/>
    <cellStyle name="Comma 2 4 3 4 2 5 2" xfId="13624" xr:uid="{00000000-0005-0000-0000-000035350000}"/>
    <cellStyle name="Comma 2 4 3 4 2 6" xfId="13625" xr:uid="{00000000-0005-0000-0000-000036350000}"/>
    <cellStyle name="Comma 2 4 3 4 2 7" xfId="13626" xr:uid="{00000000-0005-0000-0000-000037350000}"/>
    <cellStyle name="Comma 2 4 3 4 2 8" xfId="13627" xr:uid="{00000000-0005-0000-0000-000038350000}"/>
    <cellStyle name="Comma 2 4 3 4 2 9" xfId="13628" xr:uid="{00000000-0005-0000-0000-000039350000}"/>
    <cellStyle name="Comma 2 4 3 4 3" xfId="13629" xr:uid="{00000000-0005-0000-0000-00003A350000}"/>
    <cellStyle name="Comma 2 4 3 4 3 2" xfId="13630" xr:uid="{00000000-0005-0000-0000-00003B350000}"/>
    <cellStyle name="Comma 2 4 3 4 3 2 2" xfId="13631" xr:uid="{00000000-0005-0000-0000-00003C350000}"/>
    <cellStyle name="Comma 2 4 3 4 3 2 2 2" xfId="13632" xr:uid="{00000000-0005-0000-0000-00003D350000}"/>
    <cellStyle name="Comma 2 4 3 4 3 2 2 3" xfId="13633" xr:uid="{00000000-0005-0000-0000-00003E350000}"/>
    <cellStyle name="Comma 2 4 3 4 3 2 3" xfId="13634" xr:uid="{00000000-0005-0000-0000-00003F350000}"/>
    <cellStyle name="Comma 2 4 3 4 3 2 4" xfId="13635" xr:uid="{00000000-0005-0000-0000-000040350000}"/>
    <cellStyle name="Comma 2 4 3 4 3 2 5" xfId="13636" xr:uid="{00000000-0005-0000-0000-000041350000}"/>
    <cellStyle name="Comma 2 4 3 4 3 2 6" xfId="13637" xr:uid="{00000000-0005-0000-0000-000042350000}"/>
    <cellStyle name="Comma 2 4 3 4 3 3" xfId="13638" xr:uid="{00000000-0005-0000-0000-000043350000}"/>
    <cellStyle name="Comma 2 4 3 4 3 3 2" xfId="13639" xr:uid="{00000000-0005-0000-0000-000044350000}"/>
    <cellStyle name="Comma 2 4 3 4 3 3 2 2" xfId="13640" xr:uid="{00000000-0005-0000-0000-000045350000}"/>
    <cellStyle name="Comma 2 4 3 4 3 3 3" xfId="13641" xr:uid="{00000000-0005-0000-0000-000046350000}"/>
    <cellStyle name="Comma 2 4 3 4 3 3 4" xfId="13642" xr:uid="{00000000-0005-0000-0000-000047350000}"/>
    <cellStyle name="Comma 2 4 3 4 3 3 5" xfId="13643" xr:uid="{00000000-0005-0000-0000-000048350000}"/>
    <cellStyle name="Comma 2 4 3 4 3 4" xfId="13644" xr:uid="{00000000-0005-0000-0000-000049350000}"/>
    <cellStyle name="Comma 2 4 3 4 3 4 2" xfId="13645" xr:uid="{00000000-0005-0000-0000-00004A350000}"/>
    <cellStyle name="Comma 2 4 3 4 3 4 3" xfId="13646" xr:uid="{00000000-0005-0000-0000-00004B350000}"/>
    <cellStyle name="Comma 2 4 3 4 3 4 4" xfId="13647" xr:uid="{00000000-0005-0000-0000-00004C350000}"/>
    <cellStyle name="Comma 2 4 3 4 3 5" xfId="13648" xr:uid="{00000000-0005-0000-0000-00004D350000}"/>
    <cellStyle name="Comma 2 4 3 4 3 5 2" xfId="13649" xr:uid="{00000000-0005-0000-0000-00004E350000}"/>
    <cellStyle name="Comma 2 4 3 4 3 6" xfId="13650" xr:uid="{00000000-0005-0000-0000-00004F350000}"/>
    <cellStyle name="Comma 2 4 3 4 3 7" xfId="13651" xr:uid="{00000000-0005-0000-0000-000050350000}"/>
    <cellStyle name="Comma 2 4 3 4 3 8" xfId="13652" xr:uid="{00000000-0005-0000-0000-000051350000}"/>
    <cellStyle name="Comma 2 4 3 4 3 9" xfId="13653" xr:uid="{00000000-0005-0000-0000-000052350000}"/>
    <cellStyle name="Comma 2 4 3 4 4" xfId="13654" xr:uid="{00000000-0005-0000-0000-000053350000}"/>
    <cellStyle name="Comma 2 4 3 4 4 2" xfId="13655" xr:uid="{00000000-0005-0000-0000-000054350000}"/>
    <cellStyle name="Comma 2 4 3 4 4 2 2" xfId="13656" xr:uid="{00000000-0005-0000-0000-000055350000}"/>
    <cellStyle name="Comma 2 4 3 4 4 2 3" xfId="13657" xr:uid="{00000000-0005-0000-0000-000056350000}"/>
    <cellStyle name="Comma 2 4 3 4 4 3" xfId="13658" xr:uid="{00000000-0005-0000-0000-000057350000}"/>
    <cellStyle name="Comma 2 4 3 4 4 4" xfId="13659" xr:uid="{00000000-0005-0000-0000-000058350000}"/>
    <cellStyle name="Comma 2 4 3 4 4 5" xfId="13660" xr:uid="{00000000-0005-0000-0000-000059350000}"/>
    <cellStyle name="Comma 2 4 3 4 4 6" xfId="13661" xr:uid="{00000000-0005-0000-0000-00005A350000}"/>
    <cellStyle name="Comma 2 4 3 4 5" xfId="13662" xr:uid="{00000000-0005-0000-0000-00005B350000}"/>
    <cellStyle name="Comma 2 4 3 4 5 2" xfId="13663" xr:uid="{00000000-0005-0000-0000-00005C350000}"/>
    <cellStyle name="Comma 2 4 3 4 5 2 2" xfId="13664" xr:uid="{00000000-0005-0000-0000-00005D350000}"/>
    <cellStyle name="Comma 2 4 3 4 5 3" xfId="13665" xr:uid="{00000000-0005-0000-0000-00005E350000}"/>
    <cellStyle name="Comma 2 4 3 4 5 4" xfId="13666" xr:uid="{00000000-0005-0000-0000-00005F350000}"/>
    <cellStyle name="Comma 2 4 3 4 5 5" xfId="13667" xr:uid="{00000000-0005-0000-0000-000060350000}"/>
    <cellStyle name="Comma 2 4 3 4 6" xfId="13668" xr:uid="{00000000-0005-0000-0000-000061350000}"/>
    <cellStyle name="Comma 2 4 3 4 6 2" xfId="13669" xr:uid="{00000000-0005-0000-0000-000062350000}"/>
    <cellStyle name="Comma 2 4 3 4 6 3" xfId="13670" xr:uid="{00000000-0005-0000-0000-000063350000}"/>
    <cellStyle name="Comma 2 4 3 4 6 4" xfId="13671" xr:uid="{00000000-0005-0000-0000-000064350000}"/>
    <cellStyle name="Comma 2 4 3 4 7" xfId="13672" xr:uid="{00000000-0005-0000-0000-000065350000}"/>
    <cellStyle name="Comma 2 4 3 4 7 2" xfId="13673" xr:uid="{00000000-0005-0000-0000-000066350000}"/>
    <cellStyle name="Comma 2 4 3 4 8" xfId="13674" xr:uid="{00000000-0005-0000-0000-000067350000}"/>
    <cellStyle name="Comma 2 4 3 4 9" xfId="13675" xr:uid="{00000000-0005-0000-0000-000068350000}"/>
    <cellStyle name="Comma 2 4 3 5" xfId="13676" xr:uid="{00000000-0005-0000-0000-000069350000}"/>
    <cellStyle name="Comma 2 4 3 5 10" xfId="13677" xr:uid="{00000000-0005-0000-0000-00006A350000}"/>
    <cellStyle name="Comma 2 4 3 5 11" xfId="13678" xr:uid="{00000000-0005-0000-0000-00006B350000}"/>
    <cellStyle name="Comma 2 4 3 5 2" xfId="13679" xr:uid="{00000000-0005-0000-0000-00006C350000}"/>
    <cellStyle name="Comma 2 4 3 5 2 2" xfId="13680" xr:uid="{00000000-0005-0000-0000-00006D350000}"/>
    <cellStyle name="Comma 2 4 3 5 2 2 2" xfId="13681" xr:uid="{00000000-0005-0000-0000-00006E350000}"/>
    <cellStyle name="Comma 2 4 3 5 2 2 2 2" xfId="13682" xr:uid="{00000000-0005-0000-0000-00006F350000}"/>
    <cellStyle name="Comma 2 4 3 5 2 2 2 3" xfId="13683" xr:uid="{00000000-0005-0000-0000-000070350000}"/>
    <cellStyle name="Comma 2 4 3 5 2 2 3" xfId="13684" xr:uid="{00000000-0005-0000-0000-000071350000}"/>
    <cellStyle name="Comma 2 4 3 5 2 2 4" xfId="13685" xr:uid="{00000000-0005-0000-0000-000072350000}"/>
    <cellStyle name="Comma 2 4 3 5 2 2 5" xfId="13686" xr:uid="{00000000-0005-0000-0000-000073350000}"/>
    <cellStyle name="Comma 2 4 3 5 2 2 6" xfId="13687" xr:uid="{00000000-0005-0000-0000-000074350000}"/>
    <cellStyle name="Comma 2 4 3 5 2 3" xfId="13688" xr:uid="{00000000-0005-0000-0000-000075350000}"/>
    <cellStyle name="Comma 2 4 3 5 2 3 2" xfId="13689" xr:uid="{00000000-0005-0000-0000-000076350000}"/>
    <cellStyle name="Comma 2 4 3 5 2 3 2 2" xfId="13690" xr:uid="{00000000-0005-0000-0000-000077350000}"/>
    <cellStyle name="Comma 2 4 3 5 2 3 3" xfId="13691" xr:uid="{00000000-0005-0000-0000-000078350000}"/>
    <cellStyle name="Comma 2 4 3 5 2 3 4" xfId="13692" xr:uid="{00000000-0005-0000-0000-000079350000}"/>
    <cellStyle name="Comma 2 4 3 5 2 3 5" xfId="13693" xr:uid="{00000000-0005-0000-0000-00007A350000}"/>
    <cellStyle name="Comma 2 4 3 5 2 4" xfId="13694" xr:uid="{00000000-0005-0000-0000-00007B350000}"/>
    <cellStyle name="Comma 2 4 3 5 2 4 2" xfId="13695" xr:uid="{00000000-0005-0000-0000-00007C350000}"/>
    <cellStyle name="Comma 2 4 3 5 2 4 3" xfId="13696" xr:uid="{00000000-0005-0000-0000-00007D350000}"/>
    <cellStyle name="Comma 2 4 3 5 2 4 4" xfId="13697" xr:uid="{00000000-0005-0000-0000-00007E350000}"/>
    <cellStyle name="Comma 2 4 3 5 2 5" xfId="13698" xr:uid="{00000000-0005-0000-0000-00007F350000}"/>
    <cellStyle name="Comma 2 4 3 5 2 5 2" xfId="13699" xr:uid="{00000000-0005-0000-0000-000080350000}"/>
    <cellStyle name="Comma 2 4 3 5 2 6" xfId="13700" xr:uid="{00000000-0005-0000-0000-000081350000}"/>
    <cellStyle name="Comma 2 4 3 5 2 7" xfId="13701" xr:uid="{00000000-0005-0000-0000-000082350000}"/>
    <cellStyle name="Comma 2 4 3 5 2 8" xfId="13702" xr:uid="{00000000-0005-0000-0000-000083350000}"/>
    <cellStyle name="Comma 2 4 3 5 2 9" xfId="13703" xr:uid="{00000000-0005-0000-0000-000084350000}"/>
    <cellStyle name="Comma 2 4 3 5 3" xfId="13704" xr:uid="{00000000-0005-0000-0000-000085350000}"/>
    <cellStyle name="Comma 2 4 3 5 3 2" xfId="13705" xr:uid="{00000000-0005-0000-0000-000086350000}"/>
    <cellStyle name="Comma 2 4 3 5 3 2 2" xfId="13706" xr:uid="{00000000-0005-0000-0000-000087350000}"/>
    <cellStyle name="Comma 2 4 3 5 3 2 2 2" xfId="13707" xr:uid="{00000000-0005-0000-0000-000088350000}"/>
    <cellStyle name="Comma 2 4 3 5 3 2 2 3" xfId="13708" xr:uid="{00000000-0005-0000-0000-000089350000}"/>
    <cellStyle name="Comma 2 4 3 5 3 2 3" xfId="13709" xr:uid="{00000000-0005-0000-0000-00008A350000}"/>
    <cellStyle name="Comma 2 4 3 5 3 2 4" xfId="13710" xr:uid="{00000000-0005-0000-0000-00008B350000}"/>
    <cellStyle name="Comma 2 4 3 5 3 2 5" xfId="13711" xr:uid="{00000000-0005-0000-0000-00008C350000}"/>
    <cellStyle name="Comma 2 4 3 5 3 2 6" xfId="13712" xr:uid="{00000000-0005-0000-0000-00008D350000}"/>
    <cellStyle name="Comma 2 4 3 5 3 3" xfId="13713" xr:uid="{00000000-0005-0000-0000-00008E350000}"/>
    <cellStyle name="Comma 2 4 3 5 3 3 2" xfId="13714" xr:uid="{00000000-0005-0000-0000-00008F350000}"/>
    <cellStyle name="Comma 2 4 3 5 3 3 2 2" xfId="13715" xr:uid="{00000000-0005-0000-0000-000090350000}"/>
    <cellStyle name="Comma 2 4 3 5 3 3 3" xfId="13716" xr:uid="{00000000-0005-0000-0000-000091350000}"/>
    <cellStyle name="Comma 2 4 3 5 3 3 4" xfId="13717" xr:uid="{00000000-0005-0000-0000-000092350000}"/>
    <cellStyle name="Comma 2 4 3 5 3 3 5" xfId="13718" xr:uid="{00000000-0005-0000-0000-000093350000}"/>
    <cellStyle name="Comma 2 4 3 5 3 4" xfId="13719" xr:uid="{00000000-0005-0000-0000-000094350000}"/>
    <cellStyle name="Comma 2 4 3 5 3 4 2" xfId="13720" xr:uid="{00000000-0005-0000-0000-000095350000}"/>
    <cellStyle name="Comma 2 4 3 5 3 4 3" xfId="13721" xr:uid="{00000000-0005-0000-0000-000096350000}"/>
    <cellStyle name="Comma 2 4 3 5 3 4 4" xfId="13722" xr:uid="{00000000-0005-0000-0000-000097350000}"/>
    <cellStyle name="Comma 2 4 3 5 3 5" xfId="13723" xr:uid="{00000000-0005-0000-0000-000098350000}"/>
    <cellStyle name="Comma 2 4 3 5 3 5 2" xfId="13724" xr:uid="{00000000-0005-0000-0000-000099350000}"/>
    <cellStyle name="Comma 2 4 3 5 3 6" xfId="13725" xr:uid="{00000000-0005-0000-0000-00009A350000}"/>
    <cellStyle name="Comma 2 4 3 5 3 7" xfId="13726" xr:uid="{00000000-0005-0000-0000-00009B350000}"/>
    <cellStyle name="Comma 2 4 3 5 3 8" xfId="13727" xr:uid="{00000000-0005-0000-0000-00009C350000}"/>
    <cellStyle name="Comma 2 4 3 5 3 9" xfId="13728" xr:uid="{00000000-0005-0000-0000-00009D350000}"/>
    <cellStyle name="Comma 2 4 3 5 4" xfId="13729" xr:uid="{00000000-0005-0000-0000-00009E350000}"/>
    <cellStyle name="Comma 2 4 3 5 4 2" xfId="13730" xr:uid="{00000000-0005-0000-0000-00009F350000}"/>
    <cellStyle name="Comma 2 4 3 5 4 2 2" xfId="13731" xr:uid="{00000000-0005-0000-0000-0000A0350000}"/>
    <cellStyle name="Comma 2 4 3 5 4 2 3" xfId="13732" xr:uid="{00000000-0005-0000-0000-0000A1350000}"/>
    <cellStyle name="Comma 2 4 3 5 4 3" xfId="13733" xr:uid="{00000000-0005-0000-0000-0000A2350000}"/>
    <cellStyle name="Comma 2 4 3 5 4 4" xfId="13734" xr:uid="{00000000-0005-0000-0000-0000A3350000}"/>
    <cellStyle name="Comma 2 4 3 5 4 5" xfId="13735" xr:uid="{00000000-0005-0000-0000-0000A4350000}"/>
    <cellStyle name="Comma 2 4 3 5 4 6" xfId="13736" xr:uid="{00000000-0005-0000-0000-0000A5350000}"/>
    <cellStyle name="Comma 2 4 3 5 5" xfId="13737" xr:uid="{00000000-0005-0000-0000-0000A6350000}"/>
    <cellStyle name="Comma 2 4 3 5 5 2" xfId="13738" xr:uid="{00000000-0005-0000-0000-0000A7350000}"/>
    <cellStyle name="Comma 2 4 3 5 5 2 2" xfId="13739" xr:uid="{00000000-0005-0000-0000-0000A8350000}"/>
    <cellStyle name="Comma 2 4 3 5 5 3" xfId="13740" xr:uid="{00000000-0005-0000-0000-0000A9350000}"/>
    <cellStyle name="Comma 2 4 3 5 5 4" xfId="13741" xr:uid="{00000000-0005-0000-0000-0000AA350000}"/>
    <cellStyle name="Comma 2 4 3 5 5 5" xfId="13742" xr:uid="{00000000-0005-0000-0000-0000AB350000}"/>
    <cellStyle name="Comma 2 4 3 5 6" xfId="13743" xr:uid="{00000000-0005-0000-0000-0000AC350000}"/>
    <cellStyle name="Comma 2 4 3 5 6 2" xfId="13744" xr:uid="{00000000-0005-0000-0000-0000AD350000}"/>
    <cellStyle name="Comma 2 4 3 5 6 3" xfId="13745" xr:uid="{00000000-0005-0000-0000-0000AE350000}"/>
    <cellStyle name="Comma 2 4 3 5 6 4" xfId="13746" xr:uid="{00000000-0005-0000-0000-0000AF350000}"/>
    <cellStyle name="Comma 2 4 3 5 7" xfId="13747" xr:uid="{00000000-0005-0000-0000-0000B0350000}"/>
    <cellStyle name="Comma 2 4 3 5 7 2" xfId="13748" xr:uid="{00000000-0005-0000-0000-0000B1350000}"/>
    <cellStyle name="Comma 2 4 3 5 8" xfId="13749" xr:uid="{00000000-0005-0000-0000-0000B2350000}"/>
    <cellStyle name="Comma 2 4 3 5 9" xfId="13750" xr:uid="{00000000-0005-0000-0000-0000B3350000}"/>
    <cellStyle name="Comma 2 4 3 6" xfId="13751" xr:uid="{00000000-0005-0000-0000-0000B4350000}"/>
    <cellStyle name="Comma 2 4 3 6 10" xfId="13752" xr:uid="{00000000-0005-0000-0000-0000B5350000}"/>
    <cellStyle name="Comma 2 4 3 6 11" xfId="13753" xr:uid="{00000000-0005-0000-0000-0000B6350000}"/>
    <cellStyle name="Comma 2 4 3 6 2" xfId="13754" xr:uid="{00000000-0005-0000-0000-0000B7350000}"/>
    <cellStyle name="Comma 2 4 3 6 2 2" xfId="13755" xr:uid="{00000000-0005-0000-0000-0000B8350000}"/>
    <cellStyle name="Comma 2 4 3 6 2 2 2" xfId="13756" xr:uid="{00000000-0005-0000-0000-0000B9350000}"/>
    <cellStyle name="Comma 2 4 3 6 2 2 2 2" xfId="13757" xr:uid="{00000000-0005-0000-0000-0000BA350000}"/>
    <cellStyle name="Comma 2 4 3 6 2 2 2 3" xfId="13758" xr:uid="{00000000-0005-0000-0000-0000BB350000}"/>
    <cellStyle name="Comma 2 4 3 6 2 2 3" xfId="13759" xr:uid="{00000000-0005-0000-0000-0000BC350000}"/>
    <cellStyle name="Comma 2 4 3 6 2 2 4" xfId="13760" xr:uid="{00000000-0005-0000-0000-0000BD350000}"/>
    <cellStyle name="Comma 2 4 3 6 2 2 5" xfId="13761" xr:uid="{00000000-0005-0000-0000-0000BE350000}"/>
    <cellStyle name="Comma 2 4 3 6 2 2 6" xfId="13762" xr:uid="{00000000-0005-0000-0000-0000BF350000}"/>
    <cellStyle name="Comma 2 4 3 6 2 3" xfId="13763" xr:uid="{00000000-0005-0000-0000-0000C0350000}"/>
    <cellStyle name="Comma 2 4 3 6 2 3 2" xfId="13764" xr:uid="{00000000-0005-0000-0000-0000C1350000}"/>
    <cellStyle name="Comma 2 4 3 6 2 3 2 2" xfId="13765" xr:uid="{00000000-0005-0000-0000-0000C2350000}"/>
    <cellStyle name="Comma 2 4 3 6 2 3 3" xfId="13766" xr:uid="{00000000-0005-0000-0000-0000C3350000}"/>
    <cellStyle name="Comma 2 4 3 6 2 3 4" xfId="13767" xr:uid="{00000000-0005-0000-0000-0000C4350000}"/>
    <cellStyle name="Comma 2 4 3 6 2 3 5" xfId="13768" xr:uid="{00000000-0005-0000-0000-0000C5350000}"/>
    <cellStyle name="Comma 2 4 3 6 2 4" xfId="13769" xr:uid="{00000000-0005-0000-0000-0000C6350000}"/>
    <cellStyle name="Comma 2 4 3 6 2 4 2" xfId="13770" xr:uid="{00000000-0005-0000-0000-0000C7350000}"/>
    <cellStyle name="Comma 2 4 3 6 2 4 3" xfId="13771" xr:uid="{00000000-0005-0000-0000-0000C8350000}"/>
    <cellStyle name="Comma 2 4 3 6 2 4 4" xfId="13772" xr:uid="{00000000-0005-0000-0000-0000C9350000}"/>
    <cellStyle name="Comma 2 4 3 6 2 5" xfId="13773" xr:uid="{00000000-0005-0000-0000-0000CA350000}"/>
    <cellStyle name="Comma 2 4 3 6 2 5 2" xfId="13774" xr:uid="{00000000-0005-0000-0000-0000CB350000}"/>
    <cellStyle name="Comma 2 4 3 6 2 6" xfId="13775" xr:uid="{00000000-0005-0000-0000-0000CC350000}"/>
    <cellStyle name="Comma 2 4 3 6 2 7" xfId="13776" xr:uid="{00000000-0005-0000-0000-0000CD350000}"/>
    <cellStyle name="Comma 2 4 3 6 2 8" xfId="13777" xr:uid="{00000000-0005-0000-0000-0000CE350000}"/>
    <cellStyle name="Comma 2 4 3 6 2 9" xfId="13778" xr:uid="{00000000-0005-0000-0000-0000CF350000}"/>
    <cellStyle name="Comma 2 4 3 6 3" xfId="13779" xr:uid="{00000000-0005-0000-0000-0000D0350000}"/>
    <cellStyle name="Comma 2 4 3 6 3 2" xfId="13780" xr:uid="{00000000-0005-0000-0000-0000D1350000}"/>
    <cellStyle name="Comma 2 4 3 6 3 2 2" xfId="13781" xr:uid="{00000000-0005-0000-0000-0000D2350000}"/>
    <cellStyle name="Comma 2 4 3 6 3 2 2 2" xfId="13782" xr:uid="{00000000-0005-0000-0000-0000D3350000}"/>
    <cellStyle name="Comma 2 4 3 6 3 2 2 3" xfId="13783" xr:uid="{00000000-0005-0000-0000-0000D4350000}"/>
    <cellStyle name="Comma 2 4 3 6 3 2 3" xfId="13784" xr:uid="{00000000-0005-0000-0000-0000D5350000}"/>
    <cellStyle name="Comma 2 4 3 6 3 2 4" xfId="13785" xr:uid="{00000000-0005-0000-0000-0000D6350000}"/>
    <cellStyle name="Comma 2 4 3 6 3 2 5" xfId="13786" xr:uid="{00000000-0005-0000-0000-0000D7350000}"/>
    <cellStyle name="Comma 2 4 3 6 3 2 6" xfId="13787" xr:uid="{00000000-0005-0000-0000-0000D8350000}"/>
    <cellStyle name="Comma 2 4 3 6 3 3" xfId="13788" xr:uid="{00000000-0005-0000-0000-0000D9350000}"/>
    <cellStyle name="Comma 2 4 3 6 3 3 2" xfId="13789" xr:uid="{00000000-0005-0000-0000-0000DA350000}"/>
    <cellStyle name="Comma 2 4 3 6 3 3 2 2" xfId="13790" xr:uid="{00000000-0005-0000-0000-0000DB350000}"/>
    <cellStyle name="Comma 2 4 3 6 3 3 3" xfId="13791" xr:uid="{00000000-0005-0000-0000-0000DC350000}"/>
    <cellStyle name="Comma 2 4 3 6 3 3 4" xfId="13792" xr:uid="{00000000-0005-0000-0000-0000DD350000}"/>
    <cellStyle name="Comma 2 4 3 6 3 3 5" xfId="13793" xr:uid="{00000000-0005-0000-0000-0000DE350000}"/>
    <cellStyle name="Comma 2 4 3 6 3 4" xfId="13794" xr:uid="{00000000-0005-0000-0000-0000DF350000}"/>
    <cellStyle name="Comma 2 4 3 6 3 4 2" xfId="13795" xr:uid="{00000000-0005-0000-0000-0000E0350000}"/>
    <cellStyle name="Comma 2 4 3 6 3 4 3" xfId="13796" xr:uid="{00000000-0005-0000-0000-0000E1350000}"/>
    <cellStyle name="Comma 2 4 3 6 3 4 4" xfId="13797" xr:uid="{00000000-0005-0000-0000-0000E2350000}"/>
    <cellStyle name="Comma 2 4 3 6 3 5" xfId="13798" xr:uid="{00000000-0005-0000-0000-0000E3350000}"/>
    <cellStyle name="Comma 2 4 3 6 3 5 2" xfId="13799" xr:uid="{00000000-0005-0000-0000-0000E4350000}"/>
    <cellStyle name="Comma 2 4 3 6 3 6" xfId="13800" xr:uid="{00000000-0005-0000-0000-0000E5350000}"/>
    <cellStyle name="Comma 2 4 3 6 3 7" xfId="13801" xr:uid="{00000000-0005-0000-0000-0000E6350000}"/>
    <cellStyle name="Comma 2 4 3 6 3 8" xfId="13802" xr:uid="{00000000-0005-0000-0000-0000E7350000}"/>
    <cellStyle name="Comma 2 4 3 6 3 9" xfId="13803" xr:uid="{00000000-0005-0000-0000-0000E8350000}"/>
    <cellStyle name="Comma 2 4 3 6 4" xfId="13804" xr:uid="{00000000-0005-0000-0000-0000E9350000}"/>
    <cellStyle name="Comma 2 4 3 6 4 2" xfId="13805" xr:uid="{00000000-0005-0000-0000-0000EA350000}"/>
    <cellStyle name="Comma 2 4 3 6 4 2 2" xfId="13806" xr:uid="{00000000-0005-0000-0000-0000EB350000}"/>
    <cellStyle name="Comma 2 4 3 6 4 2 3" xfId="13807" xr:uid="{00000000-0005-0000-0000-0000EC350000}"/>
    <cellStyle name="Comma 2 4 3 6 4 3" xfId="13808" xr:uid="{00000000-0005-0000-0000-0000ED350000}"/>
    <cellStyle name="Comma 2 4 3 6 4 4" xfId="13809" xr:uid="{00000000-0005-0000-0000-0000EE350000}"/>
    <cellStyle name="Comma 2 4 3 6 4 5" xfId="13810" xr:uid="{00000000-0005-0000-0000-0000EF350000}"/>
    <cellStyle name="Comma 2 4 3 6 4 6" xfId="13811" xr:uid="{00000000-0005-0000-0000-0000F0350000}"/>
    <cellStyle name="Comma 2 4 3 6 5" xfId="13812" xr:uid="{00000000-0005-0000-0000-0000F1350000}"/>
    <cellStyle name="Comma 2 4 3 6 5 2" xfId="13813" xr:uid="{00000000-0005-0000-0000-0000F2350000}"/>
    <cellStyle name="Comma 2 4 3 6 5 2 2" xfId="13814" xr:uid="{00000000-0005-0000-0000-0000F3350000}"/>
    <cellStyle name="Comma 2 4 3 6 5 3" xfId="13815" xr:uid="{00000000-0005-0000-0000-0000F4350000}"/>
    <cellStyle name="Comma 2 4 3 6 5 4" xfId="13816" xr:uid="{00000000-0005-0000-0000-0000F5350000}"/>
    <cellStyle name="Comma 2 4 3 6 5 5" xfId="13817" xr:uid="{00000000-0005-0000-0000-0000F6350000}"/>
    <cellStyle name="Comma 2 4 3 6 6" xfId="13818" xr:uid="{00000000-0005-0000-0000-0000F7350000}"/>
    <cellStyle name="Comma 2 4 3 6 6 2" xfId="13819" xr:uid="{00000000-0005-0000-0000-0000F8350000}"/>
    <cellStyle name="Comma 2 4 3 6 6 3" xfId="13820" xr:uid="{00000000-0005-0000-0000-0000F9350000}"/>
    <cellStyle name="Comma 2 4 3 6 6 4" xfId="13821" xr:uid="{00000000-0005-0000-0000-0000FA350000}"/>
    <cellStyle name="Comma 2 4 3 6 7" xfId="13822" xr:uid="{00000000-0005-0000-0000-0000FB350000}"/>
    <cellStyle name="Comma 2 4 3 6 7 2" xfId="13823" xr:uid="{00000000-0005-0000-0000-0000FC350000}"/>
    <cellStyle name="Comma 2 4 3 6 8" xfId="13824" xr:uid="{00000000-0005-0000-0000-0000FD350000}"/>
    <cellStyle name="Comma 2 4 3 6 9" xfId="13825" xr:uid="{00000000-0005-0000-0000-0000FE350000}"/>
    <cellStyle name="Comma 2 4 3 7" xfId="13826" xr:uid="{00000000-0005-0000-0000-0000FF350000}"/>
    <cellStyle name="Comma 2 4 3 7 10" xfId="13827" xr:uid="{00000000-0005-0000-0000-000000360000}"/>
    <cellStyle name="Comma 2 4 3 7 11" xfId="13828" xr:uid="{00000000-0005-0000-0000-000001360000}"/>
    <cellStyle name="Comma 2 4 3 7 2" xfId="13829" xr:uid="{00000000-0005-0000-0000-000002360000}"/>
    <cellStyle name="Comma 2 4 3 7 2 2" xfId="13830" xr:uid="{00000000-0005-0000-0000-000003360000}"/>
    <cellStyle name="Comma 2 4 3 7 2 2 2" xfId="13831" xr:uid="{00000000-0005-0000-0000-000004360000}"/>
    <cellStyle name="Comma 2 4 3 7 2 2 2 2" xfId="13832" xr:uid="{00000000-0005-0000-0000-000005360000}"/>
    <cellStyle name="Comma 2 4 3 7 2 2 2 3" xfId="13833" xr:uid="{00000000-0005-0000-0000-000006360000}"/>
    <cellStyle name="Comma 2 4 3 7 2 2 3" xfId="13834" xr:uid="{00000000-0005-0000-0000-000007360000}"/>
    <cellStyle name="Comma 2 4 3 7 2 2 4" xfId="13835" xr:uid="{00000000-0005-0000-0000-000008360000}"/>
    <cellStyle name="Comma 2 4 3 7 2 2 5" xfId="13836" xr:uid="{00000000-0005-0000-0000-000009360000}"/>
    <cellStyle name="Comma 2 4 3 7 2 2 6" xfId="13837" xr:uid="{00000000-0005-0000-0000-00000A360000}"/>
    <cellStyle name="Comma 2 4 3 7 2 3" xfId="13838" xr:uid="{00000000-0005-0000-0000-00000B360000}"/>
    <cellStyle name="Comma 2 4 3 7 2 3 2" xfId="13839" xr:uid="{00000000-0005-0000-0000-00000C360000}"/>
    <cellStyle name="Comma 2 4 3 7 2 3 2 2" xfId="13840" xr:uid="{00000000-0005-0000-0000-00000D360000}"/>
    <cellStyle name="Comma 2 4 3 7 2 3 3" xfId="13841" xr:uid="{00000000-0005-0000-0000-00000E360000}"/>
    <cellStyle name="Comma 2 4 3 7 2 3 4" xfId="13842" xr:uid="{00000000-0005-0000-0000-00000F360000}"/>
    <cellStyle name="Comma 2 4 3 7 2 3 5" xfId="13843" xr:uid="{00000000-0005-0000-0000-000010360000}"/>
    <cellStyle name="Comma 2 4 3 7 2 4" xfId="13844" xr:uid="{00000000-0005-0000-0000-000011360000}"/>
    <cellStyle name="Comma 2 4 3 7 2 4 2" xfId="13845" xr:uid="{00000000-0005-0000-0000-000012360000}"/>
    <cellStyle name="Comma 2 4 3 7 2 4 3" xfId="13846" xr:uid="{00000000-0005-0000-0000-000013360000}"/>
    <cellStyle name="Comma 2 4 3 7 2 4 4" xfId="13847" xr:uid="{00000000-0005-0000-0000-000014360000}"/>
    <cellStyle name="Comma 2 4 3 7 2 5" xfId="13848" xr:uid="{00000000-0005-0000-0000-000015360000}"/>
    <cellStyle name="Comma 2 4 3 7 2 5 2" xfId="13849" xr:uid="{00000000-0005-0000-0000-000016360000}"/>
    <cellStyle name="Comma 2 4 3 7 2 6" xfId="13850" xr:uid="{00000000-0005-0000-0000-000017360000}"/>
    <cellStyle name="Comma 2 4 3 7 2 7" xfId="13851" xr:uid="{00000000-0005-0000-0000-000018360000}"/>
    <cellStyle name="Comma 2 4 3 7 2 8" xfId="13852" xr:uid="{00000000-0005-0000-0000-000019360000}"/>
    <cellStyle name="Comma 2 4 3 7 2 9" xfId="13853" xr:uid="{00000000-0005-0000-0000-00001A360000}"/>
    <cellStyle name="Comma 2 4 3 7 3" xfId="13854" xr:uid="{00000000-0005-0000-0000-00001B360000}"/>
    <cellStyle name="Comma 2 4 3 7 3 2" xfId="13855" xr:uid="{00000000-0005-0000-0000-00001C360000}"/>
    <cellStyle name="Comma 2 4 3 7 3 2 2" xfId="13856" xr:uid="{00000000-0005-0000-0000-00001D360000}"/>
    <cellStyle name="Comma 2 4 3 7 3 2 2 2" xfId="13857" xr:uid="{00000000-0005-0000-0000-00001E360000}"/>
    <cellStyle name="Comma 2 4 3 7 3 2 2 3" xfId="13858" xr:uid="{00000000-0005-0000-0000-00001F360000}"/>
    <cellStyle name="Comma 2 4 3 7 3 2 3" xfId="13859" xr:uid="{00000000-0005-0000-0000-000020360000}"/>
    <cellStyle name="Comma 2 4 3 7 3 2 4" xfId="13860" xr:uid="{00000000-0005-0000-0000-000021360000}"/>
    <cellStyle name="Comma 2 4 3 7 3 2 5" xfId="13861" xr:uid="{00000000-0005-0000-0000-000022360000}"/>
    <cellStyle name="Comma 2 4 3 7 3 2 6" xfId="13862" xr:uid="{00000000-0005-0000-0000-000023360000}"/>
    <cellStyle name="Comma 2 4 3 7 3 3" xfId="13863" xr:uid="{00000000-0005-0000-0000-000024360000}"/>
    <cellStyle name="Comma 2 4 3 7 3 3 2" xfId="13864" xr:uid="{00000000-0005-0000-0000-000025360000}"/>
    <cellStyle name="Comma 2 4 3 7 3 3 2 2" xfId="13865" xr:uid="{00000000-0005-0000-0000-000026360000}"/>
    <cellStyle name="Comma 2 4 3 7 3 3 3" xfId="13866" xr:uid="{00000000-0005-0000-0000-000027360000}"/>
    <cellStyle name="Comma 2 4 3 7 3 3 4" xfId="13867" xr:uid="{00000000-0005-0000-0000-000028360000}"/>
    <cellStyle name="Comma 2 4 3 7 3 3 5" xfId="13868" xr:uid="{00000000-0005-0000-0000-000029360000}"/>
    <cellStyle name="Comma 2 4 3 7 3 4" xfId="13869" xr:uid="{00000000-0005-0000-0000-00002A360000}"/>
    <cellStyle name="Comma 2 4 3 7 3 4 2" xfId="13870" xr:uid="{00000000-0005-0000-0000-00002B360000}"/>
    <cellStyle name="Comma 2 4 3 7 3 4 3" xfId="13871" xr:uid="{00000000-0005-0000-0000-00002C360000}"/>
    <cellStyle name="Comma 2 4 3 7 3 4 4" xfId="13872" xr:uid="{00000000-0005-0000-0000-00002D360000}"/>
    <cellStyle name="Comma 2 4 3 7 3 5" xfId="13873" xr:uid="{00000000-0005-0000-0000-00002E360000}"/>
    <cellStyle name="Comma 2 4 3 7 3 5 2" xfId="13874" xr:uid="{00000000-0005-0000-0000-00002F360000}"/>
    <cellStyle name="Comma 2 4 3 7 3 6" xfId="13875" xr:uid="{00000000-0005-0000-0000-000030360000}"/>
    <cellStyle name="Comma 2 4 3 7 3 7" xfId="13876" xr:uid="{00000000-0005-0000-0000-000031360000}"/>
    <cellStyle name="Comma 2 4 3 7 3 8" xfId="13877" xr:uid="{00000000-0005-0000-0000-000032360000}"/>
    <cellStyle name="Comma 2 4 3 7 3 9" xfId="13878" xr:uid="{00000000-0005-0000-0000-000033360000}"/>
    <cellStyle name="Comma 2 4 3 7 4" xfId="13879" xr:uid="{00000000-0005-0000-0000-000034360000}"/>
    <cellStyle name="Comma 2 4 3 7 4 2" xfId="13880" xr:uid="{00000000-0005-0000-0000-000035360000}"/>
    <cellStyle name="Comma 2 4 3 7 4 2 2" xfId="13881" xr:uid="{00000000-0005-0000-0000-000036360000}"/>
    <cellStyle name="Comma 2 4 3 7 4 2 3" xfId="13882" xr:uid="{00000000-0005-0000-0000-000037360000}"/>
    <cellStyle name="Comma 2 4 3 7 4 3" xfId="13883" xr:uid="{00000000-0005-0000-0000-000038360000}"/>
    <cellStyle name="Comma 2 4 3 7 4 4" xfId="13884" xr:uid="{00000000-0005-0000-0000-000039360000}"/>
    <cellStyle name="Comma 2 4 3 7 4 5" xfId="13885" xr:uid="{00000000-0005-0000-0000-00003A360000}"/>
    <cellStyle name="Comma 2 4 3 7 4 6" xfId="13886" xr:uid="{00000000-0005-0000-0000-00003B360000}"/>
    <cellStyle name="Comma 2 4 3 7 5" xfId="13887" xr:uid="{00000000-0005-0000-0000-00003C360000}"/>
    <cellStyle name="Comma 2 4 3 7 5 2" xfId="13888" xr:uid="{00000000-0005-0000-0000-00003D360000}"/>
    <cellStyle name="Comma 2 4 3 7 5 2 2" xfId="13889" xr:uid="{00000000-0005-0000-0000-00003E360000}"/>
    <cellStyle name="Comma 2 4 3 7 5 3" xfId="13890" xr:uid="{00000000-0005-0000-0000-00003F360000}"/>
    <cellStyle name="Comma 2 4 3 7 5 4" xfId="13891" xr:uid="{00000000-0005-0000-0000-000040360000}"/>
    <cellStyle name="Comma 2 4 3 7 5 5" xfId="13892" xr:uid="{00000000-0005-0000-0000-000041360000}"/>
    <cellStyle name="Comma 2 4 3 7 6" xfId="13893" xr:uid="{00000000-0005-0000-0000-000042360000}"/>
    <cellStyle name="Comma 2 4 3 7 6 2" xfId="13894" xr:uid="{00000000-0005-0000-0000-000043360000}"/>
    <cellStyle name="Comma 2 4 3 7 6 3" xfId="13895" xr:uid="{00000000-0005-0000-0000-000044360000}"/>
    <cellStyle name="Comma 2 4 3 7 6 4" xfId="13896" xr:uid="{00000000-0005-0000-0000-000045360000}"/>
    <cellStyle name="Comma 2 4 3 7 7" xfId="13897" xr:uid="{00000000-0005-0000-0000-000046360000}"/>
    <cellStyle name="Comma 2 4 3 7 7 2" xfId="13898" xr:uid="{00000000-0005-0000-0000-000047360000}"/>
    <cellStyle name="Comma 2 4 3 7 8" xfId="13899" xr:uid="{00000000-0005-0000-0000-000048360000}"/>
    <cellStyle name="Comma 2 4 3 7 9" xfId="13900" xr:uid="{00000000-0005-0000-0000-000049360000}"/>
    <cellStyle name="Comma 2 4 3 8" xfId="13901" xr:uid="{00000000-0005-0000-0000-00004A360000}"/>
    <cellStyle name="Comma 2 4 3 8 10" xfId="13902" xr:uid="{00000000-0005-0000-0000-00004B360000}"/>
    <cellStyle name="Comma 2 4 3 8 2" xfId="13903" xr:uid="{00000000-0005-0000-0000-00004C360000}"/>
    <cellStyle name="Comma 2 4 3 8 2 2" xfId="13904" xr:uid="{00000000-0005-0000-0000-00004D360000}"/>
    <cellStyle name="Comma 2 4 3 8 2 2 2" xfId="13905" xr:uid="{00000000-0005-0000-0000-00004E360000}"/>
    <cellStyle name="Comma 2 4 3 8 2 2 3" xfId="13906" xr:uid="{00000000-0005-0000-0000-00004F360000}"/>
    <cellStyle name="Comma 2 4 3 8 2 3" xfId="13907" xr:uid="{00000000-0005-0000-0000-000050360000}"/>
    <cellStyle name="Comma 2 4 3 8 2 4" xfId="13908" xr:uid="{00000000-0005-0000-0000-000051360000}"/>
    <cellStyle name="Comma 2 4 3 8 2 5" xfId="13909" xr:uid="{00000000-0005-0000-0000-000052360000}"/>
    <cellStyle name="Comma 2 4 3 8 2 6" xfId="13910" xr:uid="{00000000-0005-0000-0000-000053360000}"/>
    <cellStyle name="Comma 2 4 3 8 3" xfId="13911" xr:uid="{00000000-0005-0000-0000-000054360000}"/>
    <cellStyle name="Comma 2 4 3 8 3 2" xfId="13912" xr:uid="{00000000-0005-0000-0000-000055360000}"/>
    <cellStyle name="Comma 2 4 3 8 3 2 2" xfId="13913" xr:uid="{00000000-0005-0000-0000-000056360000}"/>
    <cellStyle name="Comma 2 4 3 8 3 2 3" xfId="13914" xr:uid="{00000000-0005-0000-0000-000057360000}"/>
    <cellStyle name="Comma 2 4 3 8 3 3" xfId="13915" xr:uid="{00000000-0005-0000-0000-000058360000}"/>
    <cellStyle name="Comma 2 4 3 8 3 4" xfId="13916" xr:uid="{00000000-0005-0000-0000-000059360000}"/>
    <cellStyle name="Comma 2 4 3 8 3 5" xfId="13917" xr:uid="{00000000-0005-0000-0000-00005A360000}"/>
    <cellStyle name="Comma 2 4 3 8 3 6" xfId="13918" xr:uid="{00000000-0005-0000-0000-00005B360000}"/>
    <cellStyle name="Comma 2 4 3 8 4" xfId="13919" xr:uid="{00000000-0005-0000-0000-00005C360000}"/>
    <cellStyle name="Comma 2 4 3 8 4 2" xfId="13920" xr:uid="{00000000-0005-0000-0000-00005D360000}"/>
    <cellStyle name="Comma 2 4 3 8 4 2 2" xfId="13921" xr:uid="{00000000-0005-0000-0000-00005E360000}"/>
    <cellStyle name="Comma 2 4 3 8 4 3" xfId="13922" xr:uid="{00000000-0005-0000-0000-00005F360000}"/>
    <cellStyle name="Comma 2 4 3 8 4 4" xfId="13923" xr:uid="{00000000-0005-0000-0000-000060360000}"/>
    <cellStyle name="Comma 2 4 3 8 4 5" xfId="13924" xr:uid="{00000000-0005-0000-0000-000061360000}"/>
    <cellStyle name="Comma 2 4 3 8 5" xfId="13925" xr:uid="{00000000-0005-0000-0000-000062360000}"/>
    <cellStyle name="Comma 2 4 3 8 5 2" xfId="13926" xr:uid="{00000000-0005-0000-0000-000063360000}"/>
    <cellStyle name="Comma 2 4 3 8 5 3" xfId="13927" xr:uid="{00000000-0005-0000-0000-000064360000}"/>
    <cellStyle name="Comma 2 4 3 8 5 4" xfId="13928" xr:uid="{00000000-0005-0000-0000-000065360000}"/>
    <cellStyle name="Comma 2 4 3 8 6" xfId="13929" xr:uid="{00000000-0005-0000-0000-000066360000}"/>
    <cellStyle name="Comma 2 4 3 8 6 2" xfId="13930" xr:uid="{00000000-0005-0000-0000-000067360000}"/>
    <cellStyle name="Comma 2 4 3 8 7" xfId="13931" xr:uid="{00000000-0005-0000-0000-000068360000}"/>
    <cellStyle name="Comma 2 4 3 8 8" xfId="13932" xr:uid="{00000000-0005-0000-0000-000069360000}"/>
    <cellStyle name="Comma 2 4 3 8 9" xfId="13933" xr:uid="{00000000-0005-0000-0000-00006A360000}"/>
    <cellStyle name="Comma 2 4 3 9" xfId="13934" xr:uid="{00000000-0005-0000-0000-00006B360000}"/>
    <cellStyle name="Comma 2 4 3 9 10" xfId="13935" xr:uid="{00000000-0005-0000-0000-00006C360000}"/>
    <cellStyle name="Comma 2 4 3 9 2" xfId="13936" xr:uid="{00000000-0005-0000-0000-00006D360000}"/>
    <cellStyle name="Comma 2 4 3 9 2 2" xfId="13937" xr:uid="{00000000-0005-0000-0000-00006E360000}"/>
    <cellStyle name="Comma 2 4 3 9 2 2 2" xfId="13938" xr:uid="{00000000-0005-0000-0000-00006F360000}"/>
    <cellStyle name="Comma 2 4 3 9 2 2 3" xfId="13939" xr:uid="{00000000-0005-0000-0000-000070360000}"/>
    <cellStyle name="Comma 2 4 3 9 2 3" xfId="13940" xr:uid="{00000000-0005-0000-0000-000071360000}"/>
    <cellStyle name="Comma 2 4 3 9 2 4" xfId="13941" xr:uid="{00000000-0005-0000-0000-000072360000}"/>
    <cellStyle name="Comma 2 4 3 9 2 5" xfId="13942" xr:uid="{00000000-0005-0000-0000-000073360000}"/>
    <cellStyle name="Comma 2 4 3 9 2 6" xfId="13943" xr:uid="{00000000-0005-0000-0000-000074360000}"/>
    <cellStyle name="Comma 2 4 3 9 3" xfId="13944" xr:uid="{00000000-0005-0000-0000-000075360000}"/>
    <cellStyle name="Comma 2 4 3 9 3 2" xfId="13945" xr:uid="{00000000-0005-0000-0000-000076360000}"/>
    <cellStyle name="Comma 2 4 3 9 3 2 2" xfId="13946" xr:uid="{00000000-0005-0000-0000-000077360000}"/>
    <cellStyle name="Comma 2 4 3 9 3 2 3" xfId="13947" xr:uid="{00000000-0005-0000-0000-000078360000}"/>
    <cellStyle name="Comma 2 4 3 9 3 3" xfId="13948" xr:uid="{00000000-0005-0000-0000-000079360000}"/>
    <cellStyle name="Comma 2 4 3 9 3 4" xfId="13949" xr:uid="{00000000-0005-0000-0000-00007A360000}"/>
    <cellStyle name="Comma 2 4 3 9 3 5" xfId="13950" xr:uid="{00000000-0005-0000-0000-00007B360000}"/>
    <cellStyle name="Comma 2 4 3 9 3 6" xfId="13951" xr:uid="{00000000-0005-0000-0000-00007C360000}"/>
    <cellStyle name="Comma 2 4 3 9 4" xfId="13952" xr:uid="{00000000-0005-0000-0000-00007D360000}"/>
    <cellStyle name="Comma 2 4 3 9 4 2" xfId="13953" xr:uid="{00000000-0005-0000-0000-00007E360000}"/>
    <cellStyle name="Comma 2 4 3 9 4 2 2" xfId="13954" xr:uid="{00000000-0005-0000-0000-00007F360000}"/>
    <cellStyle name="Comma 2 4 3 9 4 3" xfId="13955" xr:uid="{00000000-0005-0000-0000-000080360000}"/>
    <cellStyle name="Comma 2 4 3 9 4 4" xfId="13956" xr:uid="{00000000-0005-0000-0000-000081360000}"/>
    <cellStyle name="Comma 2 4 3 9 4 5" xfId="13957" xr:uid="{00000000-0005-0000-0000-000082360000}"/>
    <cellStyle name="Comma 2 4 3 9 5" xfId="13958" xr:uid="{00000000-0005-0000-0000-000083360000}"/>
    <cellStyle name="Comma 2 4 3 9 5 2" xfId="13959" xr:uid="{00000000-0005-0000-0000-000084360000}"/>
    <cellStyle name="Comma 2 4 3 9 5 3" xfId="13960" xr:uid="{00000000-0005-0000-0000-000085360000}"/>
    <cellStyle name="Comma 2 4 3 9 5 4" xfId="13961" xr:uid="{00000000-0005-0000-0000-000086360000}"/>
    <cellStyle name="Comma 2 4 3 9 6" xfId="13962" xr:uid="{00000000-0005-0000-0000-000087360000}"/>
    <cellStyle name="Comma 2 4 3 9 6 2" xfId="13963" xr:uid="{00000000-0005-0000-0000-000088360000}"/>
    <cellStyle name="Comma 2 4 3 9 7" xfId="13964" xr:uid="{00000000-0005-0000-0000-000089360000}"/>
    <cellStyle name="Comma 2 4 3 9 8" xfId="13965" xr:uid="{00000000-0005-0000-0000-00008A360000}"/>
    <cellStyle name="Comma 2 4 3 9 9" xfId="13966" xr:uid="{00000000-0005-0000-0000-00008B360000}"/>
    <cellStyle name="Comma 2 4 30" xfId="13967" xr:uid="{00000000-0005-0000-0000-00008C360000}"/>
    <cellStyle name="Comma 2 4 30 2" xfId="13968" xr:uid="{00000000-0005-0000-0000-00008D360000}"/>
    <cellStyle name="Comma 2 4 30 2 2" xfId="13969" xr:uid="{00000000-0005-0000-0000-00008E360000}"/>
    <cellStyle name="Comma 2 4 30 2 2 2" xfId="13970" xr:uid="{00000000-0005-0000-0000-00008F360000}"/>
    <cellStyle name="Comma 2 4 30 2 2 3" xfId="13971" xr:uid="{00000000-0005-0000-0000-000090360000}"/>
    <cellStyle name="Comma 2 4 30 2 3" xfId="13972" xr:uid="{00000000-0005-0000-0000-000091360000}"/>
    <cellStyle name="Comma 2 4 30 2 4" xfId="13973" xr:uid="{00000000-0005-0000-0000-000092360000}"/>
    <cellStyle name="Comma 2 4 30 2 5" xfId="13974" xr:uid="{00000000-0005-0000-0000-000093360000}"/>
    <cellStyle name="Comma 2 4 30 2 6" xfId="13975" xr:uid="{00000000-0005-0000-0000-000094360000}"/>
    <cellStyle name="Comma 2 4 30 3" xfId="13976" xr:uid="{00000000-0005-0000-0000-000095360000}"/>
    <cellStyle name="Comma 2 4 30 3 2" xfId="13977" xr:uid="{00000000-0005-0000-0000-000096360000}"/>
    <cellStyle name="Comma 2 4 30 3 2 2" xfId="13978" xr:uid="{00000000-0005-0000-0000-000097360000}"/>
    <cellStyle name="Comma 2 4 30 3 3" xfId="13979" xr:uid="{00000000-0005-0000-0000-000098360000}"/>
    <cellStyle name="Comma 2 4 30 3 4" xfId="13980" xr:uid="{00000000-0005-0000-0000-000099360000}"/>
    <cellStyle name="Comma 2 4 30 3 5" xfId="13981" xr:uid="{00000000-0005-0000-0000-00009A360000}"/>
    <cellStyle name="Comma 2 4 30 4" xfId="13982" xr:uid="{00000000-0005-0000-0000-00009B360000}"/>
    <cellStyle name="Comma 2 4 30 4 2" xfId="13983" xr:uid="{00000000-0005-0000-0000-00009C360000}"/>
    <cellStyle name="Comma 2 4 30 4 3" xfId="13984" xr:uid="{00000000-0005-0000-0000-00009D360000}"/>
    <cellStyle name="Comma 2 4 30 4 4" xfId="13985" xr:uid="{00000000-0005-0000-0000-00009E360000}"/>
    <cellStyle name="Comma 2 4 30 5" xfId="13986" xr:uid="{00000000-0005-0000-0000-00009F360000}"/>
    <cellStyle name="Comma 2 4 30 5 2" xfId="13987" xr:uid="{00000000-0005-0000-0000-0000A0360000}"/>
    <cellStyle name="Comma 2 4 30 6" xfId="13988" xr:uid="{00000000-0005-0000-0000-0000A1360000}"/>
    <cellStyle name="Comma 2 4 30 7" xfId="13989" xr:uid="{00000000-0005-0000-0000-0000A2360000}"/>
    <cellStyle name="Comma 2 4 30 8" xfId="13990" xr:uid="{00000000-0005-0000-0000-0000A3360000}"/>
    <cellStyle name="Comma 2 4 30 9" xfId="13991" xr:uid="{00000000-0005-0000-0000-0000A4360000}"/>
    <cellStyle name="Comma 2 4 31" xfId="13992" xr:uid="{00000000-0005-0000-0000-0000A5360000}"/>
    <cellStyle name="Comma 2 4 31 2" xfId="13993" xr:uid="{00000000-0005-0000-0000-0000A6360000}"/>
    <cellStyle name="Comma 2 4 31 2 2" xfId="13994" xr:uid="{00000000-0005-0000-0000-0000A7360000}"/>
    <cellStyle name="Comma 2 4 31 2 3" xfId="13995" xr:uid="{00000000-0005-0000-0000-0000A8360000}"/>
    <cellStyle name="Comma 2 4 31 3" xfId="13996" xr:uid="{00000000-0005-0000-0000-0000A9360000}"/>
    <cellStyle name="Comma 2 4 31 4" xfId="13997" xr:uid="{00000000-0005-0000-0000-0000AA360000}"/>
    <cellStyle name="Comma 2 4 31 5" xfId="13998" xr:uid="{00000000-0005-0000-0000-0000AB360000}"/>
    <cellStyle name="Comma 2 4 31 6" xfId="13999" xr:uid="{00000000-0005-0000-0000-0000AC360000}"/>
    <cellStyle name="Comma 2 4 32" xfId="14000" xr:uid="{00000000-0005-0000-0000-0000AD360000}"/>
    <cellStyle name="Comma 2 4 32 2" xfId="14001" xr:uid="{00000000-0005-0000-0000-0000AE360000}"/>
    <cellStyle name="Comma 2 4 32 2 2" xfId="14002" xr:uid="{00000000-0005-0000-0000-0000AF360000}"/>
    <cellStyle name="Comma 2 4 32 3" xfId="14003" xr:uid="{00000000-0005-0000-0000-0000B0360000}"/>
    <cellStyle name="Comma 2 4 32 4" xfId="14004" xr:uid="{00000000-0005-0000-0000-0000B1360000}"/>
    <cellStyle name="Comma 2 4 32 5" xfId="14005" xr:uid="{00000000-0005-0000-0000-0000B2360000}"/>
    <cellStyle name="Comma 2 4 33" xfId="14006" xr:uid="{00000000-0005-0000-0000-0000B3360000}"/>
    <cellStyle name="Comma 2 4 33 2" xfId="14007" xr:uid="{00000000-0005-0000-0000-0000B4360000}"/>
    <cellStyle name="Comma 2 4 33 2 2" xfId="14008" xr:uid="{00000000-0005-0000-0000-0000B5360000}"/>
    <cellStyle name="Comma 2 4 33 3" xfId="14009" xr:uid="{00000000-0005-0000-0000-0000B6360000}"/>
    <cellStyle name="Comma 2 4 33 4" xfId="14010" xr:uid="{00000000-0005-0000-0000-0000B7360000}"/>
    <cellStyle name="Comma 2 4 33 5" xfId="14011" xr:uid="{00000000-0005-0000-0000-0000B8360000}"/>
    <cellStyle name="Comma 2 4 34" xfId="14012" xr:uid="{00000000-0005-0000-0000-0000B9360000}"/>
    <cellStyle name="Comma 2 4 34 2" xfId="14013" xr:uid="{00000000-0005-0000-0000-0000BA360000}"/>
    <cellStyle name="Comma 2 4 35" xfId="14014" xr:uid="{00000000-0005-0000-0000-0000BB360000}"/>
    <cellStyle name="Comma 2 4 36" xfId="14015" xr:uid="{00000000-0005-0000-0000-0000BC360000}"/>
    <cellStyle name="Comma 2 4 37" xfId="14016" xr:uid="{00000000-0005-0000-0000-0000BD360000}"/>
    <cellStyle name="Comma 2 4 38" xfId="14017" xr:uid="{00000000-0005-0000-0000-0000BE360000}"/>
    <cellStyle name="Comma 2 4 4" xfId="14018" xr:uid="{00000000-0005-0000-0000-0000BF360000}"/>
    <cellStyle name="Comma 2 4 4 10" xfId="14019" xr:uid="{00000000-0005-0000-0000-0000C0360000}"/>
    <cellStyle name="Comma 2 4 4 11" xfId="14020" xr:uid="{00000000-0005-0000-0000-0000C1360000}"/>
    <cellStyle name="Comma 2 4 4 2" xfId="14021" xr:uid="{00000000-0005-0000-0000-0000C2360000}"/>
    <cellStyle name="Comma 2 4 4 2 2" xfId="14022" xr:uid="{00000000-0005-0000-0000-0000C3360000}"/>
    <cellStyle name="Comma 2 4 4 2 2 2" xfId="14023" xr:uid="{00000000-0005-0000-0000-0000C4360000}"/>
    <cellStyle name="Comma 2 4 4 2 2 2 2" xfId="14024" xr:uid="{00000000-0005-0000-0000-0000C5360000}"/>
    <cellStyle name="Comma 2 4 4 2 2 2 3" xfId="14025" xr:uid="{00000000-0005-0000-0000-0000C6360000}"/>
    <cellStyle name="Comma 2 4 4 2 2 3" xfId="14026" xr:uid="{00000000-0005-0000-0000-0000C7360000}"/>
    <cellStyle name="Comma 2 4 4 2 2 4" xfId="14027" xr:uid="{00000000-0005-0000-0000-0000C8360000}"/>
    <cellStyle name="Comma 2 4 4 2 2 5" xfId="14028" xr:uid="{00000000-0005-0000-0000-0000C9360000}"/>
    <cellStyle name="Comma 2 4 4 2 2 6" xfId="14029" xr:uid="{00000000-0005-0000-0000-0000CA360000}"/>
    <cellStyle name="Comma 2 4 4 2 3" xfId="14030" xr:uid="{00000000-0005-0000-0000-0000CB360000}"/>
    <cellStyle name="Comma 2 4 4 2 3 2" xfId="14031" xr:uid="{00000000-0005-0000-0000-0000CC360000}"/>
    <cellStyle name="Comma 2 4 4 2 3 2 2" xfId="14032" xr:uid="{00000000-0005-0000-0000-0000CD360000}"/>
    <cellStyle name="Comma 2 4 4 2 3 3" xfId="14033" xr:uid="{00000000-0005-0000-0000-0000CE360000}"/>
    <cellStyle name="Comma 2 4 4 2 3 4" xfId="14034" xr:uid="{00000000-0005-0000-0000-0000CF360000}"/>
    <cellStyle name="Comma 2 4 4 2 3 5" xfId="14035" xr:uid="{00000000-0005-0000-0000-0000D0360000}"/>
    <cellStyle name="Comma 2 4 4 2 4" xfId="14036" xr:uid="{00000000-0005-0000-0000-0000D1360000}"/>
    <cellStyle name="Comma 2 4 4 2 4 2" xfId="14037" xr:uid="{00000000-0005-0000-0000-0000D2360000}"/>
    <cellStyle name="Comma 2 4 4 2 4 3" xfId="14038" xr:uid="{00000000-0005-0000-0000-0000D3360000}"/>
    <cellStyle name="Comma 2 4 4 2 4 4" xfId="14039" xr:uid="{00000000-0005-0000-0000-0000D4360000}"/>
    <cellStyle name="Comma 2 4 4 2 5" xfId="14040" xr:uid="{00000000-0005-0000-0000-0000D5360000}"/>
    <cellStyle name="Comma 2 4 4 2 5 2" xfId="14041" xr:uid="{00000000-0005-0000-0000-0000D6360000}"/>
    <cellStyle name="Comma 2 4 4 2 6" xfId="14042" xr:uid="{00000000-0005-0000-0000-0000D7360000}"/>
    <cellStyle name="Comma 2 4 4 2 7" xfId="14043" xr:uid="{00000000-0005-0000-0000-0000D8360000}"/>
    <cellStyle name="Comma 2 4 4 2 8" xfId="14044" xr:uid="{00000000-0005-0000-0000-0000D9360000}"/>
    <cellStyle name="Comma 2 4 4 2 9" xfId="14045" xr:uid="{00000000-0005-0000-0000-0000DA360000}"/>
    <cellStyle name="Comma 2 4 4 3" xfId="14046" xr:uid="{00000000-0005-0000-0000-0000DB360000}"/>
    <cellStyle name="Comma 2 4 4 3 2" xfId="14047" xr:uid="{00000000-0005-0000-0000-0000DC360000}"/>
    <cellStyle name="Comma 2 4 4 3 2 2" xfId="14048" xr:uid="{00000000-0005-0000-0000-0000DD360000}"/>
    <cellStyle name="Comma 2 4 4 3 2 2 2" xfId="14049" xr:uid="{00000000-0005-0000-0000-0000DE360000}"/>
    <cellStyle name="Comma 2 4 4 3 2 2 3" xfId="14050" xr:uid="{00000000-0005-0000-0000-0000DF360000}"/>
    <cellStyle name="Comma 2 4 4 3 2 3" xfId="14051" xr:uid="{00000000-0005-0000-0000-0000E0360000}"/>
    <cellStyle name="Comma 2 4 4 3 2 4" xfId="14052" xr:uid="{00000000-0005-0000-0000-0000E1360000}"/>
    <cellStyle name="Comma 2 4 4 3 2 5" xfId="14053" xr:uid="{00000000-0005-0000-0000-0000E2360000}"/>
    <cellStyle name="Comma 2 4 4 3 2 6" xfId="14054" xr:uid="{00000000-0005-0000-0000-0000E3360000}"/>
    <cellStyle name="Comma 2 4 4 3 3" xfId="14055" xr:uid="{00000000-0005-0000-0000-0000E4360000}"/>
    <cellStyle name="Comma 2 4 4 3 3 2" xfId="14056" xr:uid="{00000000-0005-0000-0000-0000E5360000}"/>
    <cellStyle name="Comma 2 4 4 3 3 2 2" xfId="14057" xr:uid="{00000000-0005-0000-0000-0000E6360000}"/>
    <cellStyle name="Comma 2 4 4 3 3 3" xfId="14058" xr:uid="{00000000-0005-0000-0000-0000E7360000}"/>
    <cellStyle name="Comma 2 4 4 3 3 4" xfId="14059" xr:uid="{00000000-0005-0000-0000-0000E8360000}"/>
    <cellStyle name="Comma 2 4 4 3 3 5" xfId="14060" xr:uid="{00000000-0005-0000-0000-0000E9360000}"/>
    <cellStyle name="Comma 2 4 4 3 4" xfId="14061" xr:uid="{00000000-0005-0000-0000-0000EA360000}"/>
    <cellStyle name="Comma 2 4 4 3 4 2" xfId="14062" xr:uid="{00000000-0005-0000-0000-0000EB360000}"/>
    <cellStyle name="Comma 2 4 4 3 4 3" xfId="14063" xr:uid="{00000000-0005-0000-0000-0000EC360000}"/>
    <cellStyle name="Comma 2 4 4 3 4 4" xfId="14064" xr:uid="{00000000-0005-0000-0000-0000ED360000}"/>
    <cellStyle name="Comma 2 4 4 3 5" xfId="14065" xr:uid="{00000000-0005-0000-0000-0000EE360000}"/>
    <cellStyle name="Comma 2 4 4 3 5 2" xfId="14066" xr:uid="{00000000-0005-0000-0000-0000EF360000}"/>
    <cellStyle name="Comma 2 4 4 3 6" xfId="14067" xr:uid="{00000000-0005-0000-0000-0000F0360000}"/>
    <cellStyle name="Comma 2 4 4 3 7" xfId="14068" xr:uid="{00000000-0005-0000-0000-0000F1360000}"/>
    <cellStyle name="Comma 2 4 4 3 8" xfId="14069" xr:uid="{00000000-0005-0000-0000-0000F2360000}"/>
    <cellStyle name="Comma 2 4 4 3 9" xfId="14070" xr:uid="{00000000-0005-0000-0000-0000F3360000}"/>
    <cellStyle name="Comma 2 4 4 4" xfId="14071" xr:uid="{00000000-0005-0000-0000-0000F4360000}"/>
    <cellStyle name="Comma 2 4 4 4 2" xfId="14072" xr:uid="{00000000-0005-0000-0000-0000F5360000}"/>
    <cellStyle name="Comma 2 4 4 4 2 2" xfId="14073" xr:uid="{00000000-0005-0000-0000-0000F6360000}"/>
    <cellStyle name="Comma 2 4 4 4 2 3" xfId="14074" xr:uid="{00000000-0005-0000-0000-0000F7360000}"/>
    <cellStyle name="Comma 2 4 4 4 3" xfId="14075" xr:uid="{00000000-0005-0000-0000-0000F8360000}"/>
    <cellStyle name="Comma 2 4 4 4 4" xfId="14076" xr:uid="{00000000-0005-0000-0000-0000F9360000}"/>
    <cellStyle name="Comma 2 4 4 4 5" xfId="14077" xr:uid="{00000000-0005-0000-0000-0000FA360000}"/>
    <cellStyle name="Comma 2 4 4 4 6" xfId="14078" xr:uid="{00000000-0005-0000-0000-0000FB360000}"/>
    <cellStyle name="Comma 2 4 4 5" xfId="14079" xr:uid="{00000000-0005-0000-0000-0000FC360000}"/>
    <cellStyle name="Comma 2 4 4 5 2" xfId="14080" xr:uid="{00000000-0005-0000-0000-0000FD360000}"/>
    <cellStyle name="Comma 2 4 4 5 2 2" xfId="14081" xr:uid="{00000000-0005-0000-0000-0000FE360000}"/>
    <cellStyle name="Comma 2 4 4 5 3" xfId="14082" xr:uid="{00000000-0005-0000-0000-0000FF360000}"/>
    <cellStyle name="Comma 2 4 4 5 4" xfId="14083" xr:uid="{00000000-0005-0000-0000-000000370000}"/>
    <cellStyle name="Comma 2 4 4 5 5" xfId="14084" xr:uid="{00000000-0005-0000-0000-000001370000}"/>
    <cellStyle name="Comma 2 4 4 6" xfId="14085" xr:uid="{00000000-0005-0000-0000-000002370000}"/>
    <cellStyle name="Comma 2 4 4 6 2" xfId="14086" xr:uid="{00000000-0005-0000-0000-000003370000}"/>
    <cellStyle name="Comma 2 4 4 6 3" xfId="14087" xr:uid="{00000000-0005-0000-0000-000004370000}"/>
    <cellStyle name="Comma 2 4 4 6 4" xfId="14088" xr:uid="{00000000-0005-0000-0000-000005370000}"/>
    <cellStyle name="Comma 2 4 4 7" xfId="14089" xr:uid="{00000000-0005-0000-0000-000006370000}"/>
    <cellStyle name="Comma 2 4 4 7 2" xfId="14090" xr:uid="{00000000-0005-0000-0000-000007370000}"/>
    <cellStyle name="Comma 2 4 4 8" xfId="14091" xr:uid="{00000000-0005-0000-0000-000008370000}"/>
    <cellStyle name="Comma 2 4 4 9" xfId="14092" xr:uid="{00000000-0005-0000-0000-000009370000}"/>
    <cellStyle name="Comma 2 4 5" xfId="14093" xr:uid="{00000000-0005-0000-0000-00000A370000}"/>
    <cellStyle name="Comma 2 4 5 10" xfId="14094" xr:uid="{00000000-0005-0000-0000-00000B370000}"/>
    <cellStyle name="Comma 2 4 5 11" xfId="14095" xr:uid="{00000000-0005-0000-0000-00000C370000}"/>
    <cellStyle name="Comma 2 4 5 2" xfId="14096" xr:uid="{00000000-0005-0000-0000-00000D370000}"/>
    <cellStyle name="Comma 2 4 5 2 2" xfId="14097" xr:uid="{00000000-0005-0000-0000-00000E370000}"/>
    <cellStyle name="Comma 2 4 5 2 2 2" xfId="14098" xr:uid="{00000000-0005-0000-0000-00000F370000}"/>
    <cellStyle name="Comma 2 4 5 2 2 2 2" xfId="14099" xr:uid="{00000000-0005-0000-0000-000010370000}"/>
    <cellStyle name="Comma 2 4 5 2 2 2 3" xfId="14100" xr:uid="{00000000-0005-0000-0000-000011370000}"/>
    <cellStyle name="Comma 2 4 5 2 2 3" xfId="14101" xr:uid="{00000000-0005-0000-0000-000012370000}"/>
    <cellStyle name="Comma 2 4 5 2 2 4" xfId="14102" xr:uid="{00000000-0005-0000-0000-000013370000}"/>
    <cellStyle name="Comma 2 4 5 2 2 5" xfId="14103" xr:uid="{00000000-0005-0000-0000-000014370000}"/>
    <cellStyle name="Comma 2 4 5 2 2 6" xfId="14104" xr:uid="{00000000-0005-0000-0000-000015370000}"/>
    <cellStyle name="Comma 2 4 5 2 3" xfId="14105" xr:uid="{00000000-0005-0000-0000-000016370000}"/>
    <cellStyle name="Comma 2 4 5 2 3 2" xfId="14106" xr:uid="{00000000-0005-0000-0000-000017370000}"/>
    <cellStyle name="Comma 2 4 5 2 3 2 2" xfId="14107" xr:uid="{00000000-0005-0000-0000-000018370000}"/>
    <cellStyle name="Comma 2 4 5 2 3 3" xfId="14108" xr:uid="{00000000-0005-0000-0000-000019370000}"/>
    <cellStyle name="Comma 2 4 5 2 3 4" xfId="14109" xr:uid="{00000000-0005-0000-0000-00001A370000}"/>
    <cellStyle name="Comma 2 4 5 2 3 5" xfId="14110" xr:uid="{00000000-0005-0000-0000-00001B370000}"/>
    <cellStyle name="Comma 2 4 5 2 4" xfId="14111" xr:uid="{00000000-0005-0000-0000-00001C370000}"/>
    <cellStyle name="Comma 2 4 5 2 4 2" xfId="14112" xr:uid="{00000000-0005-0000-0000-00001D370000}"/>
    <cellStyle name="Comma 2 4 5 2 4 3" xfId="14113" xr:uid="{00000000-0005-0000-0000-00001E370000}"/>
    <cellStyle name="Comma 2 4 5 2 4 4" xfId="14114" xr:uid="{00000000-0005-0000-0000-00001F370000}"/>
    <cellStyle name="Comma 2 4 5 2 5" xfId="14115" xr:uid="{00000000-0005-0000-0000-000020370000}"/>
    <cellStyle name="Comma 2 4 5 2 5 2" xfId="14116" xr:uid="{00000000-0005-0000-0000-000021370000}"/>
    <cellStyle name="Comma 2 4 5 2 6" xfId="14117" xr:uid="{00000000-0005-0000-0000-000022370000}"/>
    <cellStyle name="Comma 2 4 5 2 7" xfId="14118" xr:uid="{00000000-0005-0000-0000-000023370000}"/>
    <cellStyle name="Comma 2 4 5 2 8" xfId="14119" xr:uid="{00000000-0005-0000-0000-000024370000}"/>
    <cellStyle name="Comma 2 4 5 2 9" xfId="14120" xr:uid="{00000000-0005-0000-0000-000025370000}"/>
    <cellStyle name="Comma 2 4 5 3" xfId="14121" xr:uid="{00000000-0005-0000-0000-000026370000}"/>
    <cellStyle name="Comma 2 4 5 3 2" xfId="14122" xr:uid="{00000000-0005-0000-0000-000027370000}"/>
    <cellStyle name="Comma 2 4 5 3 2 2" xfId="14123" xr:uid="{00000000-0005-0000-0000-000028370000}"/>
    <cellStyle name="Comma 2 4 5 3 2 2 2" xfId="14124" xr:uid="{00000000-0005-0000-0000-000029370000}"/>
    <cellStyle name="Comma 2 4 5 3 2 2 3" xfId="14125" xr:uid="{00000000-0005-0000-0000-00002A370000}"/>
    <cellStyle name="Comma 2 4 5 3 2 3" xfId="14126" xr:uid="{00000000-0005-0000-0000-00002B370000}"/>
    <cellStyle name="Comma 2 4 5 3 2 4" xfId="14127" xr:uid="{00000000-0005-0000-0000-00002C370000}"/>
    <cellStyle name="Comma 2 4 5 3 2 5" xfId="14128" xr:uid="{00000000-0005-0000-0000-00002D370000}"/>
    <cellStyle name="Comma 2 4 5 3 2 6" xfId="14129" xr:uid="{00000000-0005-0000-0000-00002E370000}"/>
    <cellStyle name="Comma 2 4 5 3 3" xfId="14130" xr:uid="{00000000-0005-0000-0000-00002F370000}"/>
    <cellStyle name="Comma 2 4 5 3 3 2" xfId="14131" xr:uid="{00000000-0005-0000-0000-000030370000}"/>
    <cellStyle name="Comma 2 4 5 3 3 2 2" xfId="14132" xr:uid="{00000000-0005-0000-0000-000031370000}"/>
    <cellStyle name="Comma 2 4 5 3 3 3" xfId="14133" xr:uid="{00000000-0005-0000-0000-000032370000}"/>
    <cellStyle name="Comma 2 4 5 3 3 4" xfId="14134" xr:uid="{00000000-0005-0000-0000-000033370000}"/>
    <cellStyle name="Comma 2 4 5 3 3 5" xfId="14135" xr:uid="{00000000-0005-0000-0000-000034370000}"/>
    <cellStyle name="Comma 2 4 5 3 4" xfId="14136" xr:uid="{00000000-0005-0000-0000-000035370000}"/>
    <cellStyle name="Comma 2 4 5 3 4 2" xfId="14137" xr:uid="{00000000-0005-0000-0000-000036370000}"/>
    <cellStyle name="Comma 2 4 5 3 4 3" xfId="14138" xr:uid="{00000000-0005-0000-0000-000037370000}"/>
    <cellStyle name="Comma 2 4 5 3 4 4" xfId="14139" xr:uid="{00000000-0005-0000-0000-000038370000}"/>
    <cellStyle name="Comma 2 4 5 3 5" xfId="14140" xr:uid="{00000000-0005-0000-0000-000039370000}"/>
    <cellStyle name="Comma 2 4 5 3 5 2" xfId="14141" xr:uid="{00000000-0005-0000-0000-00003A370000}"/>
    <cellStyle name="Comma 2 4 5 3 6" xfId="14142" xr:uid="{00000000-0005-0000-0000-00003B370000}"/>
    <cellStyle name="Comma 2 4 5 3 7" xfId="14143" xr:uid="{00000000-0005-0000-0000-00003C370000}"/>
    <cellStyle name="Comma 2 4 5 3 8" xfId="14144" xr:uid="{00000000-0005-0000-0000-00003D370000}"/>
    <cellStyle name="Comma 2 4 5 3 9" xfId="14145" xr:uid="{00000000-0005-0000-0000-00003E370000}"/>
    <cellStyle name="Comma 2 4 5 4" xfId="14146" xr:uid="{00000000-0005-0000-0000-00003F370000}"/>
    <cellStyle name="Comma 2 4 5 4 2" xfId="14147" xr:uid="{00000000-0005-0000-0000-000040370000}"/>
    <cellStyle name="Comma 2 4 5 4 2 2" xfId="14148" xr:uid="{00000000-0005-0000-0000-000041370000}"/>
    <cellStyle name="Comma 2 4 5 4 2 3" xfId="14149" xr:uid="{00000000-0005-0000-0000-000042370000}"/>
    <cellStyle name="Comma 2 4 5 4 3" xfId="14150" xr:uid="{00000000-0005-0000-0000-000043370000}"/>
    <cellStyle name="Comma 2 4 5 4 4" xfId="14151" xr:uid="{00000000-0005-0000-0000-000044370000}"/>
    <cellStyle name="Comma 2 4 5 4 5" xfId="14152" xr:uid="{00000000-0005-0000-0000-000045370000}"/>
    <cellStyle name="Comma 2 4 5 4 6" xfId="14153" xr:uid="{00000000-0005-0000-0000-000046370000}"/>
    <cellStyle name="Comma 2 4 5 5" xfId="14154" xr:uid="{00000000-0005-0000-0000-000047370000}"/>
    <cellStyle name="Comma 2 4 5 5 2" xfId="14155" xr:uid="{00000000-0005-0000-0000-000048370000}"/>
    <cellStyle name="Comma 2 4 5 5 2 2" xfId="14156" xr:uid="{00000000-0005-0000-0000-000049370000}"/>
    <cellStyle name="Comma 2 4 5 5 3" xfId="14157" xr:uid="{00000000-0005-0000-0000-00004A370000}"/>
    <cellStyle name="Comma 2 4 5 5 4" xfId="14158" xr:uid="{00000000-0005-0000-0000-00004B370000}"/>
    <cellStyle name="Comma 2 4 5 5 5" xfId="14159" xr:uid="{00000000-0005-0000-0000-00004C370000}"/>
    <cellStyle name="Comma 2 4 5 6" xfId="14160" xr:uid="{00000000-0005-0000-0000-00004D370000}"/>
    <cellStyle name="Comma 2 4 5 6 2" xfId="14161" xr:uid="{00000000-0005-0000-0000-00004E370000}"/>
    <cellStyle name="Comma 2 4 5 6 3" xfId="14162" xr:uid="{00000000-0005-0000-0000-00004F370000}"/>
    <cellStyle name="Comma 2 4 5 6 4" xfId="14163" xr:uid="{00000000-0005-0000-0000-000050370000}"/>
    <cellStyle name="Comma 2 4 5 7" xfId="14164" xr:uid="{00000000-0005-0000-0000-000051370000}"/>
    <cellStyle name="Comma 2 4 5 7 2" xfId="14165" xr:uid="{00000000-0005-0000-0000-000052370000}"/>
    <cellStyle name="Comma 2 4 5 8" xfId="14166" xr:uid="{00000000-0005-0000-0000-000053370000}"/>
    <cellStyle name="Comma 2 4 5 9" xfId="14167" xr:uid="{00000000-0005-0000-0000-000054370000}"/>
    <cellStyle name="Comma 2 4 6" xfId="14168" xr:uid="{00000000-0005-0000-0000-000055370000}"/>
    <cellStyle name="Comma 2 4 6 10" xfId="14169" xr:uid="{00000000-0005-0000-0000-000056370000}"/>
    <cellStyle name="Comma 2 4 6 11" xfId="14170" xr:uid="{00000000-0005-0000-0000-000057370000}"/>
    <cellStyle name="Comma 2 4 6 2" xfId="14171" xr:uid="{00000000-0005-0000-0000-000058370000}"/>
    <cellStyle name="Comma 2 4 6 2 2" xfId="14172" xr:uid="{00000000-0005-0000-0000-000059370000}"/>
    <cellStyle name="Comma 2 4 6 2 2 2" xfId="14173" xr:uid="{00000000-0005-0000-0000-00005A370000}"/>
    <cellStyle name="Comma 2 4 6 2 2 2 2" xfId="14174" xr:uid="{00000000-0005-0000-0000-00005B370000}"/>
    <cellStyle name="Comma 2 4 6 2 2 2 3" xfId="14175" xr:uid="{00000000-0005-0000-0000-00005C370000}"/>
    <cellStyle name="Comma 2 4 6 2 2 3" xfId="14176" xr:uid="{00000000-0005-0000-0000-00005D370000}"/>
    <cellStyle name="Comma 2 4 6 2 2 4" xfId="14177" xr:uid="{00000000-0005-0000-0000-00005E370000}"/>
    <cellStyle name="Comma 2 4 6 2 2 5" xfId="14178" xr:uid="{00000000-0005-0000-0000-00005F370000}"/>
    <cellStyle name="Comma 2 4 6 2 2 6" xfId="14179" xr:uid="{00000000-0005-0000-0000-000060370000}"/>
    <cellStyle name="Comma 2 4 6 2 3" xfId="14180" xr:uid="{00000000-0005-0000-0000-000061370000}"/>
    <cellStyle name="Comma 2 4 6 2 3 2" xfId="14181" xr:uid="{00000000-0005-0000-0000-000062370000}"/>
    <cellStyle name="Comma 2 4 6 2 3 2 2" xfId="14182" xr:uid="{00000000-0005-0000-0000-000063370000}"/>
    <cellStyle name="Comma 2 4 6 2 3 3" xfId="14183" xr:uid="{00000000-0005-0000-0000-000064370000}"/>
    <cellStyle name="Comma 2 4 6 2 3 4" xfId="14184" xr:uid="{00000000-0005-0000-0000-000065370000}"/>
    <cellStyle name="Comma 2 4 6 2 3 5" xfId="14185" xr:uid="{00000000-0005-0000-0000-000066370000}"/>
    <cellStyle name="Comma 2 4 6 2 4" xfId="14186" xr:uid="{00000000-0005-0000-0000-000067370000}"/>
    <cellStyle name="Comma 2 4 6 2 4 2" xfId="14187" xr:uid="{00000000-0005-0000-0000-000068370000}"/>
    <cellStyle name="Comma 2 4 6 2 4 3" xfId="14188" xr:uid="{00000000-0005-0000-0000-000069370000}"/>
    <cellStyle name="Comma 2 4 6 2 4 4" xfId="14189" xr:uid="{00000000-0005-0000-0000-00006A370000}"/>
    <cellStyle name="Comma 2 4 6 2 5" xfId="14190" xr:uid="{00000000-0005-0000-0000-00006B370000}"/>
    <cellStyle name="Comma 2 4 6 2 5 2" xfId="14191" xr:uid="{00000000-0005-0000-0000-00006C370000}"/>
    <cellStyle name="Comma 2 4 6 2 6" xfId="14192" xr:uid="{00000000-0005-0000-0000-00006D370000}"/>
    <cellStyle name="Comma 2 4 6 2 7" xfId="14193" xr:uid="{00000000-0005-0000-0000-00006E370000}"/>
    <cellStyle name="Comma 2 4 6 2 8" xfId="14194" xr:uid="{00000000-0005-0000-0000-00006F370000}"/>
    <cellStyle name="Comma 2 4 6 2 9" xfId="14195" xr:uid="{00000000-0005-0000-0000-000070370000}"/>
    <cellStyle name="Comma 2 4 6 3" xfId="14196" xr:uid="{00000000-0005-0000-0000-000071370000}"/>
    <cellStyle name="Comma 2 4 6 3 2" xfId="14197" xr:uid="{00000000-0005-0000-0000-000072370000}"/>
    <cellStyle name="Comma 2 4 6 3 2 2" xfId="14198" xr:uid="{00000000-0005-0000-0000-000073370000}"/>
    <cellStyle name="Comma 2 4 6 3 2 2 2" xfId="14199" xr:uid="{00000000-0005-0000-0000-000074370000}"/>
    <cellStyle name="Comma 2 4 6 3 2 2 3" xfId="14200" xr:uid="{00000000-0005-0000-0000-000075370000}"/>
    <cellStyle name="Comma 2 4 6 3 2 3" xfId="14201" xr:uid="{00000000-0005-0000-0000-000076370000}"/>
    <cellStyle name="Comma 2 4 6 3 2 4" xfId="14202" xr:uid="{00000000-0005-0000-0000-000077370000}"/>
    <cellStyle name="Comma 2 4 6 3 2 5" xfId="14203" xr:uid="{00000000-0005-0000-0000-000078370000}"/>
    <cellStyle name="Comma 2 4 6 3 2 6" xfId="14204" xr:uid="{00000000-0005-0000-0000-000079370000}"/>
    <cellStyle name="Comma 2 4 6 3 3" xfId="14205" xr:uid="{00000000-0005-0000-0000-00007A370000}"/>
    <cellStyle name="Comma 2 4 6 3 3 2" xfId="14206" xr:uid="{00000000-0005-0000-0000-00007B370000}"/>
    <cellStyle name="Comma 2 4 6 3 3 2 2" xfId="14207" xr:uid="{00000000-0005-0000-0000-00007C370000}"/>
    <cellStyle name="Comma 2 4 6 3 3 3" xfId="14208" xr:uid="{00000000-0005-0000-0000-00007D370000}"/>
    <cellStyle name="Comma 2 4 6 3 3 4" xfId="14209" xr:uid="{00000000-0005-0000-0000-00007E370000}"/>
    <cellStyle name="Comma 2 4 6 3 3 5" xfId="14210" xr:uid="{00000000-0005-0000-0000-00007F370000}"/>
    <cellStyle name="Comma 2 4 6 3 4" xfId="14211" xr:uid="{00000000-0005-0000-0000-000080370000}"/>
    <cellStyle name="Comma 2 4 6 3 4 2" xfId="14212" xr:uid="{00000000-0005-0000-0000-000081370000}"/>
    <cellStyle name="Comma 2 4 6 3 4 3" xfId="14213" xr:uid="{00000000-0005-0000-0000-000082370000}"/>
    <cellStyle name="Comma 2 4 6 3 4 4" xfId="14214" xr:uid="{00000000-0005-0000-0000-000083370000}"/>
    <cellStyle name="Comma 2 4 6 3 5" xfId="14215" xr:uid="{00000000-0005-0000-0000-000084370000}"/>
    <cellStyle name="Comma 2 4 6 3 5 2" xfId="14216" xr:uid="{00000000-0005-0000-0000-000085370000}"/>
    <cellStyle name="Comma 2 4 6 3 6" xfId="14217" xr:uid="{00000000-0005-0000-0000-000086370000}"/>
    <cellStyle name="Comma 2 4 6 3 7" xfId="14218" xr:uid="{00000000-0005-0000-0000-000087370000}"/>
    <cellStyle name="Comma 2 4 6 3 8" xfId="14219" xr:uid="{00000000-0005-0000-0000-000088370000}"/>
    <cellStyle name="Comma 2 4 6 3 9" xfId="14220" xr:uid="{00000000-0005-0000-0000-000089370000}"/>
    <cellStyle name="Comma 2 4 6 4" xfId="14221" xr:uid="{00000000-0005-0000-0000-00008A370000}"/>
    <cellStyle name="Comma 2 4 6 4 2" xfId="14222" xr:uid="{00000000-0005-0000-0000-00008B370000}"/>
    <cellStyle name="Comma 2 4 6 4 2 2" xfId="14223" xr:uid="{00000000-0005-0000-0000-00008C370000}"/>
    <cellStyle name="Comma 2 4 6 4 2 3" xfId="14224" xr:uid="{00000000-0005-0000-0000-00008D370000}"/>
    <cellStyle name="Comma 2 4 6 4 3" xfId="14225" xr:uid="{00000000-0005-0000-0000-00008E370000}"/>
    <cellStyle name="Comma 2 4 6 4 4" xfId="14226" xr:uid="{00000000-0005-0000-0000-00008F370000}"/>
    <cellStyle name="Comma 2 4 6 4 5" xfId="14227" xr:uid="{00000000-0005-0000-0000-000090370000}"/>
    <cellStyle name="Comma 2 4 6 4 6" xfId="14228" xr:uid="{00000000-0005-0000-0000-000091370000}"/>
    <cellStyle name="Comma 2 4 6 5" xfId="14229" xr:uid="{00000000-0005-0000-0000-000092370000}"/>
    <cellStyle name="Comma 2 4 6 5 2" xfId="14230" xr:uid="{00000000-0005-0000-0000-000093370000}"/>
    <cellStyle name="Comma 2 4 6 5 2 2" xfId="14231" xr:uid="{00000000-0005-0000-0000-000094370000}"/>
    <cellStyle name="Comma 2 4 6 5 3" xfId="14232" xr:uid="{00000000-0005-0000-0000-000095370000}"/>
    <cellStyle name="Comma 2 4 6 5 4" xfId="14233" xr:uid="{00000000-0005-0000-0000-000096370000}"/>
    <cellStyle name="Comma 2 4 6 5 5" xfId="14234" xr:uid="{00000000-0005-0000-0000-000097370000}"/>
    <cellStyle name="Comma 2 4 6 6" xfId="14235" xr:uid="{00000000-0005-0000-0000-000098370000}"/>
    <cellStyle name="Comma 2 4 6 6 2" xfId="14236" xr:uid="{00000000-0005-0000-0000-000099370000}"/>
    <cellStyle name="Comma 2 4 6 6 3" xfId="14237" xr:uid="{00000000-0005-0000-0000-00009A370000}"/>
    <cellStyle name="Comma 2 4 6 6 4" xfId="14238" xr:uid="{00000000-0005-0000-0000-00009B370000}"/>
    <cellStyle name="Comma 2 4 6 7" xfId="14239" xr:uid="{00000000-0005-0000-0000-00009C370000}"/>
    <cellStyle name="Comma 2 4 6 7 2" xfId="14240" xr:uid="{00000000-0005-0000-0000-00009D370000}"/>
    <cellStyle name="Comma 2 4 6 8" xfId="14241" xr:uid="{00000000-0005-0000-0000-00009E370000}"/>
    <cellStyle name="Comma 2 4 6 9" xfId="14242" xr:uid="{00000000-0005-0000-0000-00009F370000}"/>
    <cellStyle name="Comma 2 4 7" xfId="14243" xr:uid="{00000000-0005-0000-0000-0000A0370000}"/>
    <cellStyle name="Comma 2 4 7 10" xfId="14244" xr:uid="{00000000-0005-0000-0000-0000A1370000}"/>
    <cellStyle name="Comma 2 4 7 11" xfId="14245" xr:uid="{00000000-0005-0000-0000-0000A2370000}"/>
    <cellStyle name="Comma 2 4 7 2" xfId="14246" xr:uid="{00000000-0005-0000-0000-0000A3370000}"/>
    <cellStyle name="Comma 2 4 7 2 2" xfId="14247" xr:uid="{00000000-0005-0000-0000-0000A4370000}"/>
    <cellStyle name="Comma 2 4 7 2 2 2" xfId="14248" xr:uid="{00000000-0005-0000-0000-0000A5370000}"/>
    <cellStyle name="Comma 2 4 7 2 2 2 2" xfId="14249" xr:uid="{00000000-0005-0000-0000-0000A6370000}"/>
    <cellStyle name="Comma 2 4 7 2 2 2 3" xfId="14250" xr:uid="{00000000-0005-0000-0000-0000A7370000}"/>
    <cellStyle name="Comma 2 4 7 2 2 3" xfId="14251" xr:uid="{00000000-0005-0000-0000-0000A8370000}"/>
    <cellStyle name="Comma 2 4 7 2 2 4" xfId="14252" xr:uid="{00000000-0005-0000-0000-0000A9370000}"/>
    <cellStyle name="Comma 2 4 7 2 2 5" xfId="14253" xr:uid="{00000000-0005-0000-0000-0000AA370000}"/>
    <cellStyle name="Comma 2 4 7 2 2 6" xfId="14254" xr:uid="{00000000-0005-0000-0000-0000AB370000}"/>
    <cellStyle name="Comma 2 4 7 2 3" xfId="14255" xr:uid="{00000000-0005-0000-0000-0000AC370000}"/>
    <cellStyle name="Comma 2 4 7 2 3 2" xfId="14256" xr:uid="{00000000-0005-0000-0000-0000AD370000}"/>
    <cellStyle name="Comma 2 4 7 2 3 2 2" xfId="14257" xr:uid="{00000000-0005-0000-0000-0000AE370000}"/>
    <cellStyle name="Comma 2 4 7 2 3 3" xfId="14258" xr:uid="{00000000-0005-0000-0000-0000AF370000}"/>
    <cellStyle name="Comma 2 4 7 2 3 4" xfId="14259" xr:uid="{00000000-0005-0000-0000-0000B0370000}"/>
    <cellStyle name="Comma 2 4 7 2 3 5" xfId="14260" xr:uid="{00000000-0005-0000-0000-0000B1370000}"/>
    <cellStyle name="Comma 2 4 7 2 4" xfId="14261" xr:uid="{00000000-0005-0000-0000-0000B2370000}"/>
    <cellStyle name="Comma 2 4 7 2 4 2" xfId="14262" xr:uid="{00000000-0005-0000-0000-0000B3370000}"/>
    <cellStyle name="Comma 2 4 7 2 4 3" xfId="14263" xr:uid="{00000000-0005-0000-0000-0000B4370000}"/>
    <cellStyle name="Comma 2 4 7 2 4 4" xfId="14264" xr:uid="{00000000-0005-0000-0000-0000B5370000}"/>
    <cellStyle name="Comma 2 4 7 2 5" xfId="14265" xr:uid="{00000000-0005-0000-0000-0000B6370000}"/>
    <cellStyle name="Comma 2 4 7 2 5 2" xfId="14266" xr:uid="{00000000-0005-0000-0000-0000B7370000}"/>
    <cellStyle name="Comma 2 4 7 2 6" xfId="14267" xr:uid="{00000000-0005-0000-0000-0000B8370000}"/>
    <cellStyle name="Comma 2 4 7 2 7" xfId="14268" xr:uid="{00000000-0005-0000-0000-0000B9370000}"/>
    <cellStyle name="Comma 2 4 7 2 8" xfId="14269" xr:uid="{00000000-0005-0000-0000-0000BA370000}"/>
    <cellStyle name="Comma 2 4 7 2 9" xfId="14270" xr:uid="{00000000-0005-0000-0000-0000BB370000}"/>
    <cellStyle name="Comma 2 4 7 3" xfId="14271" xr:uid="{00000000-0005-0000-0000-0000BC370000}"/>
    <cellStyle name="Comma 2 4 7 3 2" xfId="14272" xr:uid="{00000000-0005-0000-0000-0000BD370000}"/>
    <cellStyle name="Comma 2 4 7 3 2 2" xfId="14273" xr:uid="{00000000-0005-0000-0000-0000BE370000}"/>
    <cellStyle name="Comma 2 4 7 3 2 2 2" xfId="14274" xr:uid="{00000000-0005-0000-0000-0000BF370000}"/>
    <cellStyle name="Comma 2 4 7 3 2 2 3" xfId="14275" xr:uid="{00000000-0005-0000-0000-0000C0370000}"/>
    <cellStyle name="Comma 2 4 7 3 2 3" xfId="14276" xr:uid="{00000000-0005-0000-0000-0000C1370000}"/>
    <cellStyle name="Comma 2 4 7 3 2 4" xfId="14277" xr:uid="{00000000-0005-0000-0000-0000C2370000}"/>
    <cellStyle name="Comma 2 4 7 3 2 5" xfId="14278" xr:uid="{00000000-0005-0000-0000-0000C3370000}"/>
    <cellStyle name="Comma 2 4 7 3 2 6" xfId="14279" xr:uid="{00000000-0005-0000-0000-0000C4370000}"/>
    <cellStyle name="Comma 2 4 7 3 3" xfId="14280" xr:uid="{00000000-0005-0000-0000-0000C5370000}"/>
    <cellStyle name="Comma 2 4 7 3 3 2" xfId="14281" xr:uid="{00000000-0005-0000-0000-0000C6370000}"/>
    <cellStyle name="Comma 2 4 7 3 3 2 2" xfId="14282" xr:uid="{00000000-0005-0000-0000-0000C7370000}"/>
    <cellStyle name="Comma 2 4 7 3 3 3" xfId="14283" xr:uid="{00000000-0005-0000-0000-0000C8370000}"/>
    <cellStyle name="Comma 2 4 7 3 3 4" xfId="14284" xr:uid="{00000000-0005-0000-0000-0000C9370000}"/>
    <cellStyle name="Comma 2 4 7 3 3 5" xfId="14285" xr:uid="{00000000-0005-0000-0000-0000CA370000}"/>
    <cellStyle name="Comma 2 4 7 3 4" xfId="14286" xr:uid="{00000000-0005-0000-0000-0000CB370000}"/>
    <cellStyle name="Comma 2 4 7 3 4 2" xfId="14287" xr:uid="{00000000-0005-0000-0000-0000CC370000}"/>
    <cellStyle name="Comma 2 4 7 3 4 3" xfId="14288" xr:uid="{00000000-0005-0000-0000-0000CD370000}"/>
    <cellStyle name="Comma 2 4 7 3 4 4" xfId="14289" xr:uid="{00000000-0005-0000-0000-0000CE370000}"/>
    <cellStyle name="Comma 2 4 7 3 5" xfId="14290" xr:uid="{00000000-0005-0000-0000-0000CF370000}"/>
    <cellStyle name="Comma 2 4 7 3 5 2" xfId="14291" xr:uid="{00000000-0005-0000-0000-0000D0370000}"/>
    <cellStyle name="Comma 2 4 7 3 6" xfId="14292" xr:uid="{00000000-0005-0000-0000-0000D1370000}"/>
    <cellStyle name="Comma 2 4 7 3 7" xfId="14293" xr:uid="{00000000-0005-0000-0000-0000D2370000}"/>
    <cellStyle name="Comma 2 4 7 3 8" xfId="14294" xr:uid="{00000000-0005-0000-0000-0000D3370000}"/>
    <cellStyle name="Comma 2 4 7 3 9" xfId="14295" xr:uid="{00000000-0005-0000-0000-0000D4370000}"/>
    <cellStyle name="Comma 2 4 7 4" xfId="14296" xr:uid="{00000000-0005-0000-0000-0000D5370000}"/>
    <cellStyle name="Comma 2 4 7 4 2" xfId="14297" xr:uid="{00000000-0005-0000-0000-0000D6370000}"/>
    <cellStyle name="Comma 2 4 7 4 2 2" xfId="14298" xr:uid="{00000000-0005-0000-0000-0000D7370000}"/>
    <cellStyle name="Comma 2 4 7 4 2 3" xfId="14299" xr:uid="{00000000-0005-0000-0000-0000D8370000}"/>
    <cellStyle name="Comma 2 4 7 4 3" xfId="14300" xr:uid="{00000000-0005-0000-0000-0000D9370000}"/>
    <cellStyle name="Comma 2 4 7 4 4" xfId="14301" xr:uid="{00000000-0005-0000-0000-0000DA370000}"/>
    <cellStyle name="Comma 2 4 7 4 5" xfId="14302" xr:uid="{00000000-0005-0000-0000-0000DB370000}"/>
    <cellStyle name="Comma 2 4 7 4 6" xfId="14303" xr:uid="{00000000-0005-0000-0000-0000DC370000}"/>
    <cellStyle name="Comma 2 4 7 5" xfId="14304" xr:uid="{00000000-0005-0000-0000-0000DD370000}"/>
    <cellStyle name="Comma 2 4 7 5 2" xfId="14305" xr:uid="{00000000-0005-0000-0000-0000DE370000}"/>
    <cellStyle name="Comma 2 4 7 5 2 2" xfId="14306" xr:uid="{00000000-0005-0000-0000-0000DF370000}"/>
    <cellStyle name="Comma 2 4 7 5 3" xfId="14307" xr:uid="{00000000-0005-0000-0000-0000E0370000}"/>
    <cellStyle name="Comma 2 4 7 5 4" xfId="14308" xr:uid="{00000000-0005-0000-0000-0000E1370000}"/>
    <cellStyle name="Comma 2 4 7 5 5" xfId="14309" xr:uid="{00000000-0005-0000-0000-0000E2370000}"/>
    <cellStyle name="Comma 2 4 7 6" xfId="14310" xr:uid="{00000000-0005-0000-0000-0000E3370000}"/>
    <cellStyle name="Comma 2 4 7 6 2" xfId="14311" xr:uid="{00000000-0005-0000-0000-0000E4370000}"/>
    <cellStyle name="Comma 2 4 7 6 3" xfId="14312" xr:uid="{00000000-0005-0000-0000-0000E5370000}"/>
    <cellStyle name="Comma 2 4 7 6 4" xfId="14313" xr:uid="{00000000-0005-0000-0000-0000E6370000}"/>
    <cellStyle name="Comma 2 4 7 7" xfId="14314" xr:uid="{00000000-0005-0000-0000-0000E7370000}"/>
    <cellStyle name="Comma 2 4 7 7 2" xfId="14315" xr:uid="{00000000-0005-0000-0000-0000E8370000}"/>
    <cellStyle name="Comma 2 4 7 8" xfId="14316" xr:uid="{00000000-0005-0000-0000-0000E9370000}"/>
    <cellStyle name="Comma 2 4 7 9" xfId="14317" xr:uid="{00000000-0005-0000-0000-0000EA370000}"/>
    <cellStyle name="Comma 2 4 8" xfId="14318" xr:uid="{00000000-0005-0000-0000-0000EB370000}"/>
    <cellStyle name="Comma 2 4 8 10" xfId="14319" xr:uid="{00000000-0005-0000-0000-0000EC370000}"/>
    <cellStyle name="Comma 2 4 8 11" xfId="14320" xr:uid="{00000000-0005-0000-0000-0000ED370000}"/>
    <cellStyle name="Comma 2 4 8 2" xfId="14321" xr:uid="{00000000-0005-0000-0000-0000EE370000}"/>
    <cellStyle name="Comma 2 4 8 2 2" xfId="14322" xr:uid="{00000000-0005-0000-0000-0000EF370000}"/>
    <cellStyle name="Comma 2 4 8 2 2 2" xfId="14323" xr:uid="{00000000-0005-0000-0000-0000F0370000}"/>
    <cellStyle name="Comma 2 4 8 2 2 2 2" xfId="14324" xr:uid="{00000000-0005-0000-0000-0000F1370000}"/>
    <cellStyle name="Comma 2 4 8 2 2 2 3" xfId="14325" xr:uid="{00000000-0005-0000-0000-0000F2370000}"/>
    <cellStyle name="Comma 2 4 8 2 2 3" xfId="14326" xr:uid="{00000000-0005-0000-0000-0000F3370000}"/>
    <cellStyle name="Comma 2 4 8 2 2 4" xfId="14327" xr:uid="{00000000-0005-0000-0000-0000F4370000}"/>
    <cellStyle name="Comma 2 4 8 2 2 5" xfId="14328" xr:uid="{00000000-0005-0000-0000-0000F5370000}"/>
    <cellStyle name="Comma 2 4 8 2 2 6" xfId="14329" xr:uid="{00000000-0005-0000-0000-0000F6370000}"/>
    <cellStyle name="Comma 2 4 8 2 3" xfId="14330" xr:uid="{00000000-0005-0000-0000-0000F7370000}"/>
    <cellStyle name="Comma 2 4 8 2 3 2" xfId="14331" xr:uid="{00000000-0005-0000-0000-0000F8370000}"/>
    <cellStyle name="Comma 2 4 8 2 3 2 2" xfId="14332" xr:uid="{00000000-0005-0000-0000-0000F9370000}"/>
    <cellStyle name="Comma 2 4 8 2 3 3" xfId="14333" xr:uid="{00000000-0005-0000-0000-0000FA370000}"/>
    <cellStyle name="Comma 2 4 8 2 3 4" xfId="14334" xr:uid="{00000000-0005-0000-0000-0000FB370000}"/>
    <cellStyle name="Comma 2 4 8 2 3 5" xfId="14335" xr:uid="{00000000-0005-0000-0000-0000FC370000}"/>
    <cellStyle name="Comma 2 4 8 2 4" xfId="14336" xr:uid="{00000000-0005-0000-0000-0000FD370000}"/>
    <cellStyle name="Comma 2 4 8 2 4 2" xfId="14337" xr:uid="{00000000-0005-0000-0000-0000FE370000}"/>
    <cellStyle name="Comma 2 4 8 2 4 3" xfId="14338" xr:uid="{00000000-0005-0000-0000-0000FF370000}"/>
    <cellStyle name="Comma 2 4 8 2 4 4" xfId="14339" xr:uid="{00000000-0005-0000-0000-000000380000}"/>
    <cellStyle name="Comma 2 4 8 2 5" xfId="14340" xr:uid="{00000000-0005-0000-0000-000001380000}"/>
    <cellStyle name="Comma 2 4 8 2 5 2" xfId="14341" xr:uid="{00000000-0005-0000-0000-000002380000}"/>
    <cellStyle name="Comma 2 4 8 2 6" xfId="14342" xr:uid="{00000000-0005-0000-0000-000003380000}"/>
    <cellStyle name="Comma 2 4 8 2 7" xfId="14343" xr:uid="{00000000-0005-0000-0000-000004380000}"/>
    <cellStyle name="Comma 2 4 8 2 8" xfId="14344" xr:uid="{00000000-0005-0000-0000-000005380000}"/>
    <cellStyle name="Comma 2 4 8 2 9" xfId="14345" xr:uid="{00000000-0005-0000-0000-000006380000}"/>
    <cellStyle name="Comma 2 4 8 3" xfId="14346" xr:uid="{00000000-0005-0000-0000-000007380000}"/>
    <cellStyle name="Comma 2 4 8 3 2" xfId="14347" xr:uid="{00000000-0005-0000-0000-000008380000}"/>
    <cellStyle name="Comma 2 4 8 3 2 2" xfId="14348" xr:uid="{00000000-0005-0000-0000-000009380000}"/>
    <cellStyle name="Comma 2 4 8 3 2 2 2" xfId="14349" xr:uid="{00000000-0005-0000-0000-00000A380000}"/>
    <cellStyle name="Comma 2 4 8 3 2 2 3" xfId="14350" xr:uid="{00000000-0005-0000-0000-00000B380000}"/>
    <cellStyle name="Comma 2 4 8 3 2 3" xfId="14351" xr:uid="{00000000-0005-0000-0000-00000C380000}"/>
    <cellStyle name="Comma 2 4 8 3 2 4" xfId="14352" xr:uid="{00000000-0005-0000-0000-00000D380000}"/>
    <cellStyle name="Comma 2 4 8 3 2 5" xfId="14353" xr:uid="{00000000-0005-0000-0000-00000E380000}"/>
    <cellStyle name="Comma 2 4 8 3 2 6" xfId="14354" xr:uid="{00000000-0005-0000-0000-00000F380000}"/>
    <cellStyle name="Comma 2 4 8 3 3" xfId="14355" xr:uid="{00000000-0005-0000-0000-000010380000}"/>
    <cellStyle name="Comma 2 4 8 3 3 2" xfId="14356" xr:uid="{00000000-0005-0000-0000-000011380000}"/>
    <cellStyle name="Comma 2 4 8 3 3 2 2" xfId="14357" xr:uid="{00000000-0005-0000-0000-000012380000}"/>
    <cellStyle name="Comma 2 4 8 3 3 3" xfId="14358" xr:uid="{00000000-0005-0000-0000-000013380000}"/>
    <cellStyle name="Comma 2 4 8 3 3 4" xfId="14359" xr:uid="{00000000-0005-0000-0000-000014380000}"/>
    <cellStyle name="Comma 2 4 8 3 3 5" xfId="14360" xr:uid="{00000000-0005-0000-0000-000015380000}"/>
    <cellStyle name="Comma 2 4 8 3 4" xfId="14361" xr:uid="{00000000-0005-0000-0000-000016380000}"/>
    <cellStyle name="Comma 2 4 8 3 4 2" xfId="14362" xr:uid="{00000000-0005-0000-0000-000017380000}"/>
    <cellStyle name="Comma 2 4 8 3 4 3" xfId="14363" xr:uid="{00000000-0005-0000-0000-000018380000}"/>
    <cellStyle name="Comma 2 4 8 3 4 4" xfId="14364" xr:uid="{00000000-0005-0000-0000-000019380000}"/>
    <cellStyle name="Comma 2 4 8 3 5" xfId="14365" xr:uid="{00000000-0005-0000-0000-00001A380000}"/>
    <cellStyle name="Comma 2 4 8 3 5 2" xfId="14366" xr:uid="{00000000-0005-0000-0000-00001B380000}"/>
    <cellStyle name="Comma 2 4 8 3 6" xfId="14367" xr:uid="{00000000-0005-0000-0000-00001C380000}"/>
    <cellStyle name="Comma 2 4 8 3 7" xfId="14368" xr:uid="{00000000-0005-0000-0000-00001D380000}"/>
    <cellStyle name="Comma 2 4 8 3 8" xfId="14369" xr:uid="{00000000-0005-0000-0000-00001E380000}"/>
    <cellStyle name="Comma 2 4 8 3 9" xfId="14370" xr:uid="{00000000-0005-0000-0000-00001F380000}"/>
    <cellStyle name="Comma 2 4 8 4" xfId="14371" xr:uid="{00000000-0005-0000-0000-000020380000}"/>
    <cellStyle name="Comma 2 4 8 4 2" xfId="14372" xr:uid="{00000000-0005-0000-0000-000021380000}"/>
    <cellStyle name="Comma 2 4 8 4 2 2" xfId="14373" xr:uid="{00000000-0005-0000-0000-000022380000}"/>
    <cellStyle name="Comma 2 4 8 4 2 3" xfId="14374" xr:uid="{00000000-0005-0000-0000-000023380000}"/>
    <cellStyle name="Comma 2 4 8 4 3" xfId="14375" xr:uid="{00000000-0005-0000-0000-000024380000}"/>
    <cellStyle name="Comma 2 4 8 4 4" xfId="14376" xr:uid="{00000000-0005-0000-0000-000025380000}"/>
    <cellStyle name="Comma 2 4 8 4 5" xfId="14377" xr:uid="{00000000-0005-0000-0000-000026380000}"/>
    <cellStyle name="Comma 2 4 8 4 6" xfId="14378" xr:uid="{00000000-0005-0000-0000-000027380000}"/>
    <cellStyle name="Comma 2 4 8 5" xfId="14379" xr:uid="{00000000-0005-0000-0000-000028380000}"/>
    <cellStyle name="Comma 2 4 8 5 2" xfId="14380" xr:uid="{00000000-0005-0000-0000-000029380000}"/>
    <cellStyle name="Comma 2 4 8 5 2 2" xfId="14381" xr:uid="{00000000-0005-0000-0000-00002A380000}"/>
    <cellStyle name="Comma 2 4 8 5 3" xfId="14382" xr:uid="{00000000-0005-0000-0000-00002B380000}"/>
    <cellStyle name="Comma 2 4 8 5 4" xfId="14383" xr:uid="{00000000-0005-0000-0000-00002C380000}"/>
    <cellStyle name="Comma 2 4 8 5 5" xfId="14384" xr:uid="{00000000-0005-0000-0000-00002D380000}"/>
    <cellStyle name="Comma 2 4 8 6" xfId="14385" xr:uid="{00000000-0005-0000-0000-00002E380000}"/>
    <cellStyle name="Comma 2 4 8 6 2" xfId="14386" xr:uid="{00000000-0005-0000-0000-00002F380000}"/>
    <cellStyle name="Comma 2 4 8 6 3" xfId="14387" xr:uid="{00000000-0005-0000-0000-000030380000}"/>
    <cellStyle name="Comma 2 4 8 6 4" xfId="14388" xr:uid="{00000000-0005-0000-0000-000031380000}"/>
    <cellStyle name="Comma 2 4 8 7" xfId="14389" xr:uid="{00000000-0005-0000-0000-000032380000}"/>
    <cellStyle name="Comma 2 4 8 7 2" xfId="14390" xr:uid="{00000000-0005-0000-0000-000033380000}"/>
    <cellStyle name="Comma 2 4 8 8" xfId="14391" xr:uid="{00000000-0005-0000-0000-000034380000}"/>
    <cellStyle name="Comma 2 4 8 9" xfId="14392" xr:uid="{00000000-0005-0000-0000-000035380000}"/>
    <cellStyle name="Comma 2 4 9" xfId="14393" xr:uid="{00000000-0005-0000-0000-000036380000}"/>
    <cellStyle name="Comma 2 4 9 10" xfId="14394" xr:uid="{00000000-0005-0000-0000-000037380000}"/>
    <cellStyle name="Comma 2 4 9 11" xfId="14395" xr:uid="{00000000-0005-0000-0000-000038380000}"/>
    <cellStyle name="Comma 2 4 9 2" xfId="14396" xr:uid="{00000000-0005-0000-0000-000039380000}"/>
    <cellStyle name="Comma 2 4 9 2 2" xfId="14397" xr:uid="{00000000-0005-0000-0000-00003A380000}"/>
    <cellStyle name="Comma 2 4 9 2 2 2" xfId="14398" xr:uid="{00000000-0005-0000-0000-00003B380000}"/>
    <cellStyle name="Comma 2 4 9 2 2 2 2" xfId="14399" xr:uid="{00000000-0005-0000-0000-00003C380000}"/>
    <cellStyle name="Comma 2 4 9 2 2 2 3" xfId="14400" xr:uid="{00000000-0005-0000-0000-00003D380000}"/>
    <cellStyle name="Comma 2 4 9 2 2 3" xfId="14401" xr:uid="{00000000-0005-0000-0000-00003E380000}"/>
    <cellStyle name="Comma 2 4 9 2 2 4" xfId="14402" xr:uid="{00000000-0005-0000-0000-00003F380000}"/>
    <cellStyle name="Comma 2 4 9 2 2 5" xfId="14403" xr:uid="{00000000-0005-0000-0000-000040380000}"/>
    <cellStyle name="Comma 2 4 9 2 2 6" xfId="14404" xr:uid="{00000000-0005-0000-0000-000041380000}"/>
    <cellStyle name="Comma 2 4 9 2 3" xfId="14405" xr:uid="{00000000-0005-0000-0000-000042380000}"/>
    <cellStyle name="Comma 2 4 9 2 3 2" xfId="14406" xr:uid="{00000000-0005-0000-0000-000043380000}"/>
    <cellStyle name="Comma 2 4 9 2 3 2 2" xfId="14407" xr:uid="{00000000-0005-0000-0000-000044380000}"/>
    <cellStyle name="Comma 2 4 9 2 3 3" xfId="14408" xr:uid="{00000000-0005-0000-0000-000045380000}"/>
    <cellStyle name="Comma 2 4 9 2 3 4" xfId="14409" xr:uid="{00000000-0005-0000-0000-000046380000}"/>
    <cellStyle name="Comma 2 4 9 2 3 5" xfId="14410" xr:uid="{00000000-0005-0000-0000-000047380000}"/>
    <cellStyle name="Comma 2 4 9 2 4" xfId="14411" xr:uid="{00000000-0005-0000-0000-000048380000}"/>
    <cellStyle name="Comma 2 4 9 2 4 2" xfId="14412" xr:uid="{00000000-0005-0000-0000-000049380000}"/>
    <cellStyle name="Comma 2 4 9 2 4 3" xfId="14413" xr:uid="{00000000-0005-0000-0000-00004A380000}"/>
    <cellStyle name="Comma 2 4 9 2 4 4" xfId="14414" xr:uid="{00000000-0005-0000-0000-00004B380000}"/>
    <cellStyle name="Comma 2 4 9 2 5" xfId="14415" xr:uid="{00000000-0005-0000-0000-00004C380000}"/>
    <cellStyle name="Comma 2 4 9 2 5 2" xfId="14416" xr:uid="{00000000-0005-0000-0000-00004D380000}"/>
    <cellStyle name="Comma 2 4 9 2 6" xfId="14417" xr:uid="{00000000-0005-0000-0000-00004E380000}"/>
    <cellStyle name="Comma 2 4 9 2 7" xfId="14418" xr:uid="{00000000-0005-0000-0000-00004F380000}"/>
    <cellStyle name="Comma 2 4 9 2 8" xfId="14419" xr:uid="{00000000-0005-0000-0000-000050380000}"/>
    <cellStyle name="Comma 2 4 9 2 9" xfId="14420" xr:uid="{00000000-0005-0000-0000-000051380000}"/>
    <cellStyle name="Comma 2 4 9 3" xfId="14421" xr:uid="{00000000-0005-0000-0000-000052380000}"/>
    <cellStyle name="Comma 2 4 9 3 2" xfId="14422" xr:uid="{00000000-0005-0000-0000-000053380000}"/>
    <cellStyle name="Comma 2 4 9 3 2 2" xfId="14423" xr:uid="{00000000-0005-0000-0000-000054380000}"/>
    <cellStyle name="Comma 2 4 9 3 2 2 2" xfId="14424" xr:uid="{00000000-0005-0000-0000-000055380000}"/>
    <cellStyle name="Comma 2 4 9 3 2 2 3" xfId="14425" xr:uid="{00000000-0005-0000-0000-000056380000}"/>
    <cellStyle name="Comma 2 4 9 3 2 3" xfId="14426" xr:uid="{00000000-0005-0000-0000-000057380000}"/>
    <cellStyle name="Comma 2 4 9 3 2 4" xfId="14427" xr:uid="{00000000-0005-0000-0000-000058380000}"/>
    <cellStyle name="Comma 2 4 9 3 2 5" xfId="14428" xr:uid="{00000000-0005-0000-0000-000059380000}"/>
    <cellStyle name="Comma 2 4 9 3 2 6" xfId="14429" xr:uid="{00000000-0005-0000-0000-00005A380000}"/>
    <cellStyle name="Comma 2 4 9 3 3" xfId="14430" xr:uid="{00000000-0005-0000-0000-00005B380000}"/>
    <cellStyle name="Comma 2 4 9 3 3 2" xfId="14431" xr:uid="{00000000-0005-0000-0000-00005C380000}"/>
    <cellStyle name="Comma 2 4 9 3 3 2 2" xfId="14432" xr:uid="{00000000-0005-0000-0000-00005D380000}"/>
    <cellStyle name="Comma 2 4 9 3 3 3" xfId="14433" xr:uid="{00000000-0005-0000-0000-00005E380000}"/>
    <cellStyle name="Comma 2 4 9 3 3 4" xfId="14434" xr:uid="{00000000-0005-0000-0000-00005F380000}"/>
    <cellStyle name="Comma 2 4 9 3 3 5" xfId="14435" xr:uid="{00000000-0005-0000-0000-000060380000}"/>
    <cellStyle name="Comma 2 4 9 3 4" xfId="14436" xr:uid="{00000000-0005-0000-0000-000061380000}"/>
    <cellStyle name="Comma 2 4 9 3 4 2" xfId="14437" xr:uid="{00000000-0005-0000-0000-000062380000}"/>
    <cellStyle name="Comma 2 4 9 3 4 3" xfId="14438" xr:uid="{00000000-0005-0000-0000-000063380000}"/>
    <cellStyle name="Comma 2 4 9 3 4 4" xfId="14439" xr:uid="{00000000-0005-0000-0000-000064380000}"/>
    <cellStyle name="Comma 2 4 9 3 5" xfId="14440" xr:uid="{00000000-0005-0000-0000-000065380000}"/>
    <cellStyle name="Comma 2 4 9 3 5 2" xfId="14441" xr:uid="{00000000-0005-0000-0000-000066380000}"/>
    <cellStyle name="Comma 2 4 9 3 6" xfId="14442" xr:uid="{00000000-0005-0000-0000-000067380000}"/>
    <cellStyle name="Comma 2 4 9 3 7" xfId="14443" xr:uid="{00000000-0005-0000-0000-000068380000}"/>
    <cellStyle name="Comma 2 4 9 3 8" xfId="14444" xr:uid="{00000000-0005-0000-0000-000069380000}"/>
    <cellStyle name="Comma 2 4 9 3 9" xfId="14445" xr:uid="{00000000-0005-0000-0000-00006A380000}"/>
    <cellStyle name="Comma 2 4 9 4" xfId="14446" xr:uid="{00000000-0005-0000-0000-00006B380000}"/>
    <cellStyle name="Comma 2 4 9 4 2" xfId="14447" xr:uid="{00000000-0005-0000-0000-00006C380000}"/>
    <cellStyle name="Comma 2 4 9 4 2 2" xfId="14448" xr:uid="{00000000-0005-0000-0000-00006D380000}"/>
    <cellStyle name="Comma 2 4 9 4 2 3" xfId="14449" xr:uid="{00000000-0005-0000-0000-00006E380000}"/>
    <cellStyle name="Comma 2 4 9 4 3" xfId="14450" xr:uid="{00000000-0005-0000-0000-00006F380000}"/>
    <cellStyle name="Comma 2 4 9 4 4" xfId="14451" xr:uid="{00000000-0005-0000-0000-000070380000}"/>
    <cellStyle name="Comma 2 4 9 4 5" xfId="14452" xr:uid="{00000000-0005-0000-0000-000071380000}"/>
    <cellStyle name="Comma 2 4 9 4 6" xfId="14453" xr:uid="{00000000-0005-0000-0000-000072380000}"/>
    <cellStyle name="Comma 2 4 9 5" xfId="14454" xr:uid="{00000000-0005-0000-0000-000073380000}"/>
    <cellStyle name="Comma 2 4 9 5 2" xfId="14455" xr:uid="{00000000-0005-0000-0000-000074380000}"/>
    <cellStyle name="Comma 2 4 9 5 2 2" xfId="14456" xr:uid="{00000000-0005-0000-0000-000075380000}"/>
    <cellStyle name="Comma 2 4 9 5 3" xfId="14457" xr:uid="{00000000-0005-0000-0000-000076380000}"/>
    <cellStyle name="Comma 2 4 9 5 4" xfId="14458" xr:uid="{00000000-0005-0000-0000-000077380000}"/>
    <cellStyle name="Comma 2 4 9 5 5" xfId="14459" xr:uid="{00000000-0005-0000-0000-000078380000}"/>
    <cellStyle name="Comma 2 4 9 6" xfId="14460" xr:uid="{00000000-0005-0000-0000-000079380000}"/>
    <cellStyle name="Comma 2 4 9 6 2" xfId="14461" xr:uid="{00000000-0005-0000-0000-00007A380000}"/>
    <cellStyle name="Comma 2 4 9 6 3" xfId="14462" xr:uid="{00000000-0005-0000-0000-00007B380000}"/>
    <cellStyle name="Comma 2 4 9 6 4" xfId="14463" xr:uid="{00000000-0005-0000-0000-00007C380000}"/>
    <cellStyle name="Comma 2 4 9 7" xfId="14464" xr:uid="{00000000-0005-0000-0000-00007D380000}"/>
    <cellStyle name="Comma 2 4 9 7 2" xfId="14465" xr:uid="{00000000-0005-0000-0000-00007E380000}"/>
    <cellStyle name="Comma 2 4 9 8" xfId="14466" xr:uid="{00000000-0005-0000-0000-00007F380000}"/>
    <cellStyle name="Comma 2 4 9 9" xfId="14467" xr:uid="{00000000-0005-0000-0000-000080380000}"/>
    <cellStyle name="Comma 2 40" xfId="14468" xr:uid="{00000000-0005-0000-0000-000081380000}"/>
    <cellStyle name="Comma 2 40 10" xfId="14469" xr:uid="{00000000-0005-0000-0000-000082380000}"/>
    <cellStyle name="Comma 2 40 2" xfId="14470" xr:uid="{00000000-0005-0000-0000-000083380000}"/>
    <cellStyle name="Comma 2 40 2 2" xfId="14471" xr:uid="{00000000-0005-0000-0000-000084380000}"/>
    <cellStyle name="Comma 2 40 2 2 2" xfId="14472" xr:uid="{00000000-0005-0000-0000-000085380000}"/>
    <cellStyle name="Comma 2 40 2 3" xfId="14473" xr:uid="{00000000-0005-0000-0000-000086380000}"/>
    <cellStyle name="Comma 2 40 2 4" xfId="14474" xr:uid="{00000000-0005-0000-0000-000087380000}"/>
    <cellStyle name="Comma 2 40 3" xfId="14475" xr:uid="{00000000-0005-0000-0000-000088380000}"/>
    <cellStyle name="Comma 2 40 3 2" xfId="14476" xr:uid="{00000000-0005-0000-0000-000089380000}"/>
    <cellStyle name="Comma 2 40 4" xfId="14477" xr:uid="{00000000-0005-0000-0000-00008A380000}"/>
    <cellStyle name="Comma 2 40 4 2" xfId="14478" xr:uid="{00000000-0005-0000-0000-00008B380000}"/>
    <cellStyle name="Comma 2 40 5" xfId="14479" xr:uid="{00000000-0005-0000-0000-00008C380000}"/>
    <cellStyle name="Comma 2 40 6" xfId="14480" xr:uid="{00000000-0005-0000-0000-00008D380000}"/>
    <cellStyle name="Comma 2 40 7" xfId="14481" xr:uid="{00000000-0005-0000-0000-00008E380000}"/>
    <cellStyle name="Comma 2 40 8" xfId="14482" xr:uid="{00000000-0005-0000-0000-00008F380000}"/>
    <cellStyle name="Comma 2 40 9" xfId="14483" xr:uid="{00000000-0005-0000-0000-000090380000}"/>
    <cellStyle name="Comma 2 41" xfId="14484" xr:uid="{00000000-0005-0000-0000-000091380000}"/>
    <cellStyle name="Comma 2 41 2" xfId="14485" xr:uid="{00000000-0005-0000-0000-000092380000}"/>
    <cellStyle name="Comma 2 41 2 2" xfId="14486" xr:uid="{00000000-0005-0000-0000-000093380000}"/>
    <cellStyle name="Comma 2 41 2 3" xfId="14487" xr:uid="{00000000-0005-0000-0000-000094380000}"/>
    <cellStyle name="Comma 2 41 3" xfId="14488" xr:uid="{00000000-0005-0000-0000-000095380000}"/>
    <cellStyle name="Comma 2 41 3 2" xfId="14489" xr:uid="{00000000-0005-0000-0000-000096380000}"/>
    <cellStyle name="Comma 2 41 4" xfId="14490" xr:uid="{00000000-0005-0000-0000-000097380000}"/>
    <cellStyle name="Comma 2 41 5" xfId="14491" xr:uid="{00000000-0005-0000-0000-000098380000}"/>
    <cellStyle name="Comma 2 41 6" xfId="14492" xr:uid="{00000000-0005-0000-0000-000099380000}"/>
    <cellStyle name="Comma 2 41 7" xfId="14493" xr:uid="{00000000-0005-0000-0000-00009A380000}"/>
    <cellStyle name="Comma 2 41 8" xfId="14494" xr:uid="{00000000-0005-0000-0000-00009B380000}"/>
    <cellStyle name="Comma 2 41 9" xfId="14495" xr:uid="{00000000-0005-0000-0000-00009C380000}"/>
    <cellStyle name="Comma 2 42" xfId="14496" xr:uid="{00000000-0005-0000-0000-00009D380000}"/>
    <cellStyle name="Comma 2 42 2" xfId="14497" xr:uid="{00000000-0005-0000-0000-00009E380000}"/>
    <cellStyle name="Comma 2 42 2 2" xfId="14498" xr:uid="{00000000-0005-0000-0000-00009F380000}"/>
    <cellStyle name="Comma 2 42 3" xfId="14499" xr:uid="{00000000-0005-0000-0000-0000A0380000}"/>
    <cellStyle name="Comma 2 42 3 2" xfId="14500" xr:uid="{00000000-0005-0000-0000-0000A1380000}"/>
    <cellStyle name="Comma 2 42 4" xfId="14501" xr:uid="{00000000-0005-0000-0000-0000A2380000}"/>
    <cellStyle name="Comma 2 42 5" xfId="14502" xr:uid="{00000000-0005-0000-0000-0000A3380000}"/>
    <cellStyle name="Comma 2 42 6" xfId="14503" xr:uid="{00000000-0005-0000-0000-0000A4380000}"/>
    <cellStyle name="Comma 2 42 7" xfId="14504" xr:uid="{00000000-0005-0000-0000-0000A5380000}"/>
    <cellStyle name="Comma 2 42 8" xfId="14505" xr:uid="{00000000-0005-0000-0000-0000A6380000}"/>
    <cellStyle name="Comma 2 42 9" xfId="14506" xr:uid="{00000000-0005-0000-0000-0000A7380000}"/>
    <cellStyle name="Comma 2 43" xfId="14507" xr:uid="{00000000-0005-0000-0000-0000A8380000}"/>
    <cellStyle name="Comma 2 43 2" xfId="14508" xr:uid="{00000000-0005-0000-0000-0000A9380000}"/>
    <cellStyle name="Comma 2 43 2 2" xfId="14509" xr:uid="{00000000-0005-0000-0000-0000AA380000}"/>
    <cellStyle name="Comma 2 43 3" xfId="14510" xr:uid="{00000000-0005-0000-0000-0000AB380000}"/>
    <cellStyle name="Comma 2 43 3 2" xfId="14511" xr:uid="{00000000-0005-0000-0000-0000AC380000}"/>
    <cellStyle name="Comma 2 43 4" xfId="14512" xr:uid="{00000000-0005-0000-0000-0000AD380000}"/>
    <cellStyle name="Comma 2 43 5" xfId="14513" xr:uid="{00000000-0005-0000-0000-0000AE380000}"/>
    <cellStyle name="Comma 2 43 6" xfId="14514" xr:uid="{00000000-0005-0000-0000-0000AF380000}"/>
    <cellStyle name="Comma 2 43 7" xfId="14515" xr:uid="{00000000-0005-0000-0000-0000B0380000}"/>
    <cellStyle name="Comma 2 43 8" xfId="14516" xr:uid="{00000000-0005-0000-0000-0000B1380000}"/>
    <cellStyle name="Comma 2 44" xfId="14517" xr:uid="{00000000-0005-0000-0000-0000B2380000}"/>
    <cellStyle name="Comma 2 44 2" xfId="14518" xr:uid="{00000000-0005-0000-0000-0000B3380000}"/>
    <cellStyle name="Comma 2 44 2 2" xfId="14519" xr:uid="{00000000-0005-0000-0000-0000B4380000}"/>
    <cellStyle name="Comma 2 44 3" xfId="14520" xr:uid="{00000000-0005-0000-0000-0000B5380000}"/>
    <cellStyle name="Comma 2 44 4" xfId="14521" xr:uid="{00000000-0005-0000-0000-0000B6380000}"/>
    <cellStyle name="Comma 2 44 5" xfId="14522" xr:uid="{00000000-0005-0000-0000-0000B7380000}"/>
    <cellStyle name="Comma 2 44 6" xfId="14523" xr:uid="{00000000-0005-0000-0000-0000B8380000}"/>
    <cellStyle name="Comma 2 44 7" xfId="14524" xr:uid="{00000000-0005-0000-0000-0000B9380000}"/>
    <cellStyle name="Comma 2 45" xfId="14525" xr:uid="{00000000-0005-0000-0000-0000BA380000}"/>
    <cellStyle name="Comma 2 45 2" xfId="14526" xr:uid="{00000000-0005-0000-0000-0000BB380000}"/>
    <cellStyle name="Comma 2 45 2 2" xfId="14527" xr:uid="{00000000-0005-0000-0000-0000BC380000}"/>
    <cellStyle name="Comma 2 45 3" xfId="14528" xr:uid="{00000000-0005-0000-0000-0000BD380000}"/>
    <cellStyle name="Comma 2 45 4" xfId="14529" xr:uid="{00000000-0005-0000-0000-0000BE380000}"/>
    <cellStyle name="Comma 2 45 5" xfId="14530" xr:uid="{00000000-0005-0000-0000-0000BF380000}"/>
    <cellStyle name="Comma 2 45 6" xfId="14531" xr:uid="{00000000-0005-0000-0000-0000C0380000}"/>
    <cellStyle name="Comma 2 45 7" xfId="14532" xr:uid="{00000000-0005-0000-0000-0000C1380000}"/>
    <cellStyle name="Comma 2 46" xfId="14533" xr:uid="{00000000-0005-0000-0000-0000C2380000}"/>
    <cellStyle name="Comma 2 46 2" xfId="14534" xr:uid="{00000000-0005-0000-0000-0000C3380000}"/>
    <cellStyle name="Comma 2 46 2 2" xfId="14535" xr:uid="{00000000-0005-0000-0000-0000C4380000}"/>
    <cellStyle name="Comma 2 46 3" xfId="14536" xr:uid="{00000000-0005-0000-0000-0000C5380000}"/>
    <cellStyle name="Comma 2 46 4" xfId="14537" xr:uid="{00000000-0005-0000-0000-0000C6380000}"/>
    <cellStyle name="Comma 2 46 5" xfId="14538" xr:uid="{00000000-0005-0000-0000-0000C7380000}"/>
    <cellStyle name="Comma 2 46 6" xfId="14539" xr:uid="{00000000-0005-0000-0000-0000C8380000}"/>
    <cellStyle name="Comma 2 46 7" xfId="14540" xr:uid="{00000000-0005-0000-0000-0000C9380000}"/>
    <cellStyle name="Comma 2 47" xfId="14541" xr:uid="{00000000-0005-0000-0000-0000CA380000}"/>
    <cellStyle name="Comma 2 47 2" xfId="14542" xr:uid="{00000000-0005-0000-0000-0000CB380000}"/>
    <cellStyle name="Comma 2 47 2 2" xfId="14543" xr:uid="{00000000-0005-0000-0000-0000CC380000}"/>
    <cellStyle name="Comma 2 47 3" xfId="14544" xr:uid="{00000000-0005-0000-0000-0000CD380000}"/>
    <cellStyle name="Comma 2 47 4" xfId="14545" xr:uid="{00000000-0005-0000-0000-0000CE380000}"/>
    <cellStyle name="Comma 2 47 5" xfId="14546" xr:uid="{00000000-0005-0000-0000-0000CF380000}"/>
    <cellStyle name="Comma 2 47 6" xfId="14547" xr:uid="{00000000-0005-0000-0000-0000D0380000}"/>
    <cellStyle name="Comma 2 47 7" xfId="14548" xr:uid="{00000000-0005-0000-0000-0000D1380000}"/>
    <cellStyle name="Comma 2 48" xfId="14549" xr:uid="{00000000-0005-0000-0000-0000D2380000}"/>
    <cellStyle name="Comma 2 48 2" xfId="14550" xr:uid="{00000000-0005-0000-0000-0000D3380000}"/>
    <cellStyle name="Comma 2 48 2 2" xfId="14551" xr:uid="{00000000-0005-0000-0000-0000D4380000}"/>
    <cellStyle name="Comma 2 48 3" xfId="14552" xr:uid="{00000000-0005-0000-0000-0000D5380000}"/>
    <cellStyle name="Comma 2 48 4" xfId="14553" xr:uid="{00000000-0005-0000-0000-0000D6380000}"/>
    <cellStyle name="Comma 2 48 5" xfId="14554" xr:uid="{00000000-0005-0000-0000-0000D7380000}"/>
    <cellStyle name="Comma 2 48 6" xfId="14555" xr:uid="{00000000-0005-0000-0000-0000D8380000}"/>
    <cellStyle name="Comma 2 48 7" xfId="14556" xr:uid="{00000000-0005-0000-0000-0000D9380000}"/>
    <cellStyle name="Comma 2 49" xfId="14557" xr:uid="{00000000-0005-0000-0000-0000DA380000}"/>
    <cellStyle name="Comma 2 49 2" xfId="14558" xr:uid="{00000000-0005-0000-0000-0000DB380000}"/>
    <cellStyle name="Comma 2 49 2 2" xfId="14559" xr:uid="{00000000-0005-0000-0000-0000DC380000}"/>
    <cellStyle name="Comma 2 49 3" xfId="14560" xr:uid="{00000000-0005-0000-0000-0000DD380000}"/>
    <cellStyle name="Comma 2 49 4" xfId="14561" xr:uid="{00000000-0005-0000-0000-0000DE380000}"/>
    <cellStyle name="Comma 2 49 5" xfId="14562" xr:uid="{00000000-0005-0000-0000-0000DF380000}"/>
    <cellStyle name="Comma 2 49 6" xfId="14563" xr:uid="{00000000-0005-0000-0000-0000E0380000}"/>
    <cellStyle name="Comma 2 49 7" xfId="14564" xr:uid="{00000000-0005-0000-0000-0000E1380000}"/>
    <cellStyle name="Comma 2 5" xfId="14565" xr:uid="{00000000-0005-0000-0000-0000E2380000}"/>
    <cellStyle name="Comma 2 5 10" xfId="14566" xr:uid="{00000000-0005-0000-0000-0000E3380000}"/>
    <cellStyle name="Comma 2 5 10 10" xfId="14567" xr:uid="{00000000-0005-0000-0000-0000E4380000}"/>
    <cellStyle name="Comma 2 5 10 2" xfId="14568" xr:uid="{00000000-0005-0000-0000-0000E5380000}"/>
    <cellStyle name="Comma 2 5 10 2 2" xfId="14569" xr:uid="{00000000-0005-0000-0000-0000E6380000}"/>
    <cellStyle name="Comma 2 5 10 2 2 2" xfId="14570" xr:uid="{00000000-0005-0000-0000-0000E7380000}"/>
    <cellStyle name="Comma 2 5 10 2 2 3" xfId="14571" xr:uid="{00000000-0005-0000-0000-0000E8380000}"/>
    <cellStyle name="Comma 2 5 10 2 3" xfId="14572" xr:uid="{00000000-0005-0000-0000-0000E9380000}"/>
    <cellStyle name="Comma 2 5 10 2 4" xfId="14573" xr:uid="{00000000-0005-0000-0000-0000EA380000}"/>
    <cellStyle name="Comma 2 5 10 2 5" xfId="14574" xr:uid="{00000000-0005-0000-0000-0000EB380000}"/>
    <cellStyle name="Comma 2 5 10 2 6" xfId="14575" xr:uid="{00000000-0005-0000-0000-0000EC380000}"/>
    <cellStyle name="Comma 2 5 10 3" xfId="14576" xr:uid="{00000000-0005-0000-0000-0000ED380000}"/>
    <cellStyle name="Comma 2 5 10 3 2" xfId="14577" xr:uid="{00000000-0005-0000-0000-0000EE380000}"/>
    <cellStyle name="Comma 2 5 10 3 2 2" xfId="14578" xr:uid="{00000000-0005-0000-0000-0000EF380000}"/>
    <cellStyle name="Comma 2 5 10 3 2 3" xfId="14579" xr:uid="{00000000-0005-0000-0000-0000F0380000}"/>
    <cellStyle name="Comma 2 5 10 3 3" xfId="14580" xr:uid="{00000000-0005-0000-0000-0000F1380000}"/>
    <cellStyle name="Comma 2 5 10 3 4" xfId="14581" xr:uid="{00000000-0005-0000-0000-0000F2380000}"/>
    <cellStyle name="Comma 2 5 10 3 5" xfId="14582" xr:uid="{00000000-0005-0000-0000-0000F3380000}"/>
    <cellStyle name="Comma 2 5 10 3 6" xfId="14583" xr:uid="{00000000-0005-0000-0000-0000F4380000}"/>
    <cellStyle name="Comma 2 5 10 4" xfId="14584" xr:uid="{00000000-0005-0000-0000-0000F5380000}"/>
    <cellStyle name="Comma 2 5 10 4 2" xfId="14585" xr:uid="{00000000-0005-0000-0000-0000F6380000}"/>
    <cellStyle name="Comma 2 5 10 4 2 2" xfId="14586" xr:uid="{00000000-0005-0000-0000-0000F7380000}"/>
    <cellStyle name="Comma 2 5 10 4 3" xfId="14587" xr:uid="{00000000-0005-0000-0000-0000F8380000}"/>
    <cellStyle name="Comma 2 5 10 4 4" xfId="14588" xr:uid="{00000000-0005-0000-0000-0000F9380000}"/>
    <cellStyle name="Comma 2 5 10 4 5" xfId="14589" xr:uid="{00000000-0005-0000-0000-0000FA380000}"/>
    <cellStyle name="Comma 2 5 10 5" xfId="14590" xr:uid="{00000000-0005-0000-0000-0000FB380000}"/>
    <cellStyle name="Comma 2 5 10 5 2" xfId="14591" xr:uid="{00000000-0005-0000-0000-0000FC380000}"/>
    <cellStyle name="Comma 2 5 10 5 3" xfId="14592" xr:uid="{00000000-0005-0000-0000-0000FD380000}"/>
    <cellStyle name="Comma 2 5 10 5 4" xfId="14593" xr:uid="{00000000-0005-0000-0000-0000FE380000}"/>
    <cellStyle name="Comma 2 5 10 6" xfId="14594" xr:uid="{00000000-0005-0000-0000-0000FF380000}"/>
    <cellStyle name="Comma 2 5 10 6 2" xfId="14595" xr:uid="{00000000-0005-0000-0000-000000390000}"/>
    <cellStyle name="Comma 2 5 10 7" xfId="14596" xr:uid="{00000000-0005-0000-0000-000001390000}"/>
    <cellStyle name="Comma 2 5 10 8" xfId="14597" xr:uid="{00000000-0005-0000-0000-000002390000}"/>
    <cellStyle name="Comma 2 5 10 9" xfId="14598" xr:uid="{00000000-0005-0000-0000-000003390000}"/>
    <cellStyle name="Comma 2 5 11" xfId="14599" xr:uid="{00000000-0005-0000-0000-000004390000}"/>
    <cellStyle name="Comma 2 5 11 10" xfId="14600" xr:uid="{00000000-0005-0000-0000-000005390000}"/>
    <cellStyle name="Comma 2 5 11 2" xfId="14601" xr:uid="{00000000-0005-0000-0000-000006390000}"/>
    <cellStyle name="Comma 2 5 11 2 2" xfId="14602" xr:uid="{00000000-0005-0000-0000-000007390000}"/>
    <cellStyle name="Comma 2 5 11 2 2 2" xfId="14603" xr:uid="{00000000-0005-0000-0000-000008390000}"/>
    <cellStyle name="Comma 2 5 11 2 2 3" xfId="14604" xr:uid="{00000000-0005-0000-0000-000009390000}"/>
    <cellStyle name="Comma 2 5 11 2 3" xfId="14605" xr:uid="{00000000-0005-0000-0000-00000A390000}"/>
    <cellStyle name="Comma 2 5 11 2 4" xfId="14606" xr:uid="{00000000-0005-0000-0000-00000B390000}"/>
    <cellStyle name="Comma 2 5 11 2 5" xfId="14607" xr:uid="{00000000-0005-0000-0000-00000C390000}"/>
    <cellStyle name="Comma 2 5 11 2 6" xfId="14608" xr:uid="{00000000-0005-0000-0000-00000D390000}"/>
    <cellStyle name="Comma 2 5 11 3" xfId="14609" xr:uid="{00000000-0005-0000-0000-00000E390000}"/>
    <cellStyle name="Comma 2 5 11 3 2" xfId="14610" xr:uid="{00000000-0005-0000-0000-00000F390000}"/>
    <cellStyle name="Comma 2 5 11 3 2 2" xfId="14611" xr:uid="{00000000-0005-0000-0000-000010390000}"/>
    <cellStyle name="Comma 2 5 11 3 2 3" xfId="14612" xr:uid="{00000000-0005-0000-0000-000011390000}"/>
    <cellStyle name="Comma 2 5 11 3 3" xfId="14613" xr:uid="{00000000-0005-0000-0000-000012390000}"/>
    <cellStyle name="Comma 2 5 11 3 4" xfId="14614" xr:uid="{00000000-0005-0000-0000-000013390000}"/>
    <cellStyle name="Comma 2 5 11 3 5" xfId="14615" xr:uid="{00000000-0005-0000-0000-000014390000}"/>
    <cellStyle name="Comma 2 5 11 3 6" xfId="14616" xr:uid="{00000000-0005-0000-0000-000015390000}"/>
    <cellStyle name="Comma 2 5 11 4" xfId="14617" xr:uid="{00000000-0005-0000-0000-000016390000}"/>
    <cellStyle name="Comma 2 5 11 4 2" xfId="14618" xr:uid="{00000000-0005-0000-0000-000017390000}"/>
    <cellStyle name="Comma 2 5 11 4 2 2" xfId="14619" xr:uid="{00000000-0005-0000-0000-000018390000}"/>
    <cellStyle name="Comma 2 5 11 4 3" xfId="14620" xr:uid="{00000000-0005-0000-0000-000019390000}"/>
    <cellStyle name="Comma 2 5 11 4 4" xfId="14621" xr:uid="{00000000-0005-0000-0000-00001A390000}"/>
    <cellStyle name="Comma 2 5 11 4 5" xfId="14622" xr:uid="{00000000-0005-0000-0000-00001B390000}"/>
    <cellStyle name="Comma 2 5 11 5" xfId="14623" xr:uid="{00000000-0005-0000-0000-00001C390000}"/>
    <cellStyle name="Comma 2 5 11 5 2" xfId="14624" xr:uid="{00000000-0005-0000-0000-00001D390000}"/>
    <cellStyle name="Comma 2 5 11 5 3" xfId="14625" xr:uid="{00000000-0005-0000-0000-00001E390000}"/>
    <cellStyle name="Comma 2 5 11 5 4" xfId="14626" xr:uid="{00000000-0005-0000-0000-00001F390000}"/>
    <cellStyle name="Comma 2 5 11 6" xfId="14627" xr:uid="{00000000-0005-0000-0000-000020390000}"/>
    <cellStyle name="Comma 2 5 11 6 2" xfId="14628" xr:uid="{00000000-0005-0000-0000-000021390000}"/>
    <cellStyle name="Comma 2 5 11 7" xfId="14629" xr:uid="{00000000-0005-0000-0000-000022390000}"/>
    <cellStyle name="Comma 2 5 11 8" xfId="14630" xr:uid="{00000000-0005-0000-0000-000023390000}"/>
    <cellStyle name="Comma 2 5 11 9" xfId="14631" xr:uid="{00000000-0005-0000-0000-000024390000}"/>
    <cellStyle name="Comma 2 5 12" xfId="14632" xr:uid="{00000000-0005-0000-0000-000025390000}"/>
    <cellStyle name="Comma 2 5 12 10" xfId="14633" xr:uid="{00000000-0005-0000-0000-000026390000}"/>
    <cellStyle name="Comma 2 5 12 2" xfId="14634" xr:uid="{00000000-0005-0000-0000-000027390000}"/>
    <cellStyle name="Comma 2 5 12 2 2" xfId="14635" xr:uid="{00000000-0005-0000-0000-000028390000}"/>
    <cellStyle name="Comma 2 5 12 2 2 2" xfId="14636" xr:uid="{00000000-0005-0000-0000-000029390000}"/>
    <cellStyle name="Comma 2 5 12 2 2 3" xfId="14637" xr:uid="{00000000-0005-0000-0000-00002A390000}"/>
    <cellStyle name="Comma 2 5 12 2 3" xfId="14638" xr:uid="{00000000-0005-0000-0000-00002B390000}"/>
    <cellStyle name="Comma 2 5 12 2 4" xfId="14639" xr:uid="{00000000-0005-0000-0000-00002C390000}"/>
    <cellStyle name="Comma 2 5 12 2 5" xfId="14640" xr:uid="{00000000-0005-0000-0000-00002D390000}"/>
    <cellStyle name="Comma 2 5 12 2 6" xfId="14641" xr:uid="{00000000-0005-0000-0000-00002E390000}"/>
    <cellStyle name="Comma 2 5 12 3" xfId="14642" xr:uid="{00000000-0005-0000-0000-00002F390000}"/>
    <cellStyle name="Comma 2 5 12 3 2" xfId="14643" xr:uid="{00000000-0005-0000-0000-000030390000}"/>
    <cellStyle name="Comma 2 5 12 3 2 2" xfId="14644" xr:uid="{00000000-0005-0000-0000-000031390000}"/>
    <cellStyle name="Comma 2 5 12 3 2 3" xfId="14645" xr:uid="{00000000-0005-0000-0000-000032390000}"/>
    <cellStyle name="Comma 2 5 12 3 3" xfId="14646" xr:uid="{00000000-0005-0000-0000-000033390000}"/>
    <cellStyle name="Comma 2 5 12 3 4" xfId="14647" xr:uid="{00000000-0005-0000-0000-000034390000}"/>
    <cellStyle name="Comma 2 5 12 3 5" xfId="14648" xr:uid="{00000000-0005-0000-0000-000035390000}"/>
    <cellStyle name="Comma 2 5 12 3 6" xfId="14649" xr:uid="{00000000-0005-0000-0000-000036390000}"/>
    <cellStyle name="Comma 2 5 12 4" xfId="14650" xr:uid="{00000000-0005-0000-0000-000037390000}"/>
    <cellStyle name="Comma 2 5 12 4 2" xfId="14651" xr:uid="{00000000-0005-0000-0000-000038390000}"/>
    <cellStyle name="Comma 2 5 12 4 2 2" xfId="14652" xr:uid="{00000000-0005-0000-0000-000039390000}"/>
    <cellStyle name="Comma 2 5 12 4 3" xfId="14653" xr:uid="{00000000-0005-0000-0000-00003A390000}"/>
    <cellStyle name="Comma 2 5 12 4 4" xfId="14654" xr:uid="{00000000-0005-0000-0000-00003B390000}"/>
    <cellStyle name="Comma 2 5 12 4 5" xfId="14655" xr:uid="{00000000-0005-0000-0000-00003C390000}"/>
    <cellStyle name="Comma 2 5 12 5" xfId="14656" xr:uid="{00000000-0005-0000-0000-00003D390000}"/>
    <cellStyle name="Comma 2 5 12 5 2" xfId="14657" xr:uid="{00000000-0005-0000-0000-00003E390000}"/>
    <cellStyle name="Comma 2 5 12 5 3" xfId="14658" xr:uid="{00000000-0005-0000-0000-00003F390000}"/>
    <cellStyle name="Comma 2 5 12 5 4" xfId="14659" xr:uid="{00000000-0005-0000-0000-000040390000}"/>
    <cellStyle name="Comma 2 5 12 6" xfId="14660" xr:uid="{00000000-0005-0000-0000-000041390000}"/>
    <cellStyle name="Comma 2 5 12 6 2" xfId="14661" xr:uid="{00000000-0005-0000-0000-000042390000}"/>
    <cellStyle name="Comma 2 5 12 7" xfId="14662" xr:uid="{00000000-0005-0000-0000-000043390000}"/>
    <cellStyle name="Comma 2 5 12 8" xfId="14663" xr:uid="{00000000-0005-0000-0000-000044390000}"/>
    <cellStyle name="Comma 2 5 12 9" xfId="14664" xr:uid="{00000000-0005-0000-0000-000045390000}"/>
    <cellStyle name="Comma 2 5 13" xfId="14665" xr:uid="{00000000-0005-0000-0000-000046390000}"/>
    <cellStyle name="Comma 2 5 13 2" xfId="14666" xr:uid="{00000000-0005-0000-0000-000047390000}"/>
    <cellStyle name="Comma 2 5 13 2 2" xfId="14667" xr:uid="{00000000-0005-0000-0000-000048390000}"/>
    <cellStyle name="Comma 2 5 13 2 2 2" xfId="14668" xr:uid="{00000000-0005-0000-0000-000049390000}"/>
    <cellStyle name="Comma 2 5 13 2 2 3" xfId="14669" xr:uid="{00000000-0005-0000-0000-00004A390000}"/>
    <cellStyle name="Comma 2 5 13 2 3" xfId="14670" xr:uid="{00000000-0005-0000-0000-00004B390000}"/>
    <cellStyle name="Comma 2 5 13 2 4" xfId="14671" xr:uid="{00000000-0005-0000-0000-00004C390000}"/>
    <cellStyle name="Comma 2 5 13 2 5" xfId="14672" xr:uid="{00000000-0005-0000-0000-00004D390000}"/>
    <cellStyle name="Comma 2 5 13 2 6" xfId="14673" xr:uid="{00000000-0005-0000-0000-00004E390000}"/>
    <cellStyle name="Comma 2 5 13 3" xfId="14674" xr:uid="{00000000-0005-0000-0000-00004F390000}"/>
    <cellStyle name="Comma 2 5 13 3 2" xfId="14675" xr:uid="{00000000-0005-0000-0000-000050390000}"/>
    <cellStyle name="Comma 2 5 13 3 2 2" xfId="14676" xr:uid="{00000000-0005-0000-0000-000051390000}"/>
    <cellStyle name="Comma 2 5 13 3 3" xfId="14677" xr:uid="{00000000-0005-0000-0000-000052390000}"/>
    <cellStyle name="Comma 2 5 13 3 4" xfId="14678" xr:uid="{00000000-0005-0000-0000-000053390000}"/>
    <cellStyle name="Comma 2 5 13 3 5" xfId="14679" xr:uid="{00000000-0005-0000-0000-000054390000}"/>
    <cellStyle name="Comma 2 5 13 4" xfId="14680" xr:uid="{00000000-0005-0000-0000-000055390000}"/>
    <cellStyle name="Comma 2 5 13 4 2" xfId="14681" xr:uid="{00000000-0005-0000-0000-000056390000}"/>
    <cellStyle name="Comma 2 5 13 4 3" xfId="14682" xr:uid="{00000000-0005-0000-0000-000057390000}"/>
    <cellStyle name="Comma 2 5 13 4 4" xfId="14683" xr:uid="{00000000-0005-0000-0000-000058390000}"/>
    <cellStyle name="Comma 2 5 13 5" xfId="14684" xr:uid="{00000000-0005-0000-0000-000059390000}"/>
    <cellStyle name="Comma 2 5 13 5 2" xfId="14685" xr:uid="{00000000-0005-0000-0000-00005A390000}"/>
    <cellStyle name="Comma 2 5 13 6" xfId="14686" xr:uid="{00000000-0005-0000-0000-00005B390000}"/>
    <cellStyle name="Comma 2 5 13 7" xfId="14687" xr:uid="{00000000-0005-0000-0000-00005C390000}"/>
    <cellStyle name="Comma 2 5 13 8" xfId="14688" xr:uid="{00000000-0005-0000-0000-00005D390000}"/>
    <cellStyle name="Comma 2 5 13 9" xfId="14689" xr:uid="{00000000-0005-0000-0000-00005E390000}"/>
    <cellStyle name="Comma 2 5 14" xfId="14690" xr:uid="{00000000-0005-0000-0000-00005F390000}"/>
    <cellStyle name="Comma 2 5 14 2" xfId="14691" xr:uid="{00000000-0005-0000-0000-000060390000}"/>
    <cellStyle name="Comma 2 5 14 2 2" xfId="14692" xr:uid="{00000000-0005-0000-0000-000061390000}"/>
    <cellStyle name="Comma 2 5 14 2 2 2" xfId="14693" xr:uid="{00000000-0005-0000-0000-000062390000}"/>
    <cellStyle name="Comma 2 5 14 2 2 3" xfId="14694" xr:uid="{00000000-0005-0000-0000-000063390000}"/>
    <cellStyle name="Comma 2 5 14 2 3" xfId="14695" xr:uid="{00000000-0005-0000-0000-000064390000}"/>
    <cellStyle name="Comma 2 5 14 2 4" xfId="14696" xr:uid="{00000000-0005-0000-0000-000065390000}"/>
    <cellStyle name="Comma 2 5 14 2 5" xfId="14697" xr:uid="{00000000-0005-0000-0000-000066390000}"/>
    <cellStyle name="Comma 2 5 14 2 6" xfId="14698" xr:uid="{00000000-0005-0000-0000-000067390000}"/>
    <cellStyle name="Comma 2 5 14 3" xfId="14699" xr:uid="{00000000-0005-0000-0000-000068390000}"/>
    <cellStyle name="Comma 2 5 14 3 2" xfId="14700" xr:uid="{00000000-0005-0000-0000-000069390000}"/>
    <cellStyle name="Comma 2 5 14 3 2 2" xfId="14701" xr:uid="{00000000-0005-0000-0000-00006A390000}"/>
    <cellStyle name="Comma 2 5 14 3 3" xfId="14702" xr:uid="{00000000-0005-0000-0000-00006B390000}"/>
    <cellStyle name="Comma 2 5 14 3 4" xfId="14703" xr:uid="{00000000-0005-0000-0000-00006C390000}"/>
    <cellStyle name="Comma 2 5 14 3 5" xfId="14704" xr:uid="{00000000-0005-0000-0000-00006D390000}"/>
    <cellStyle name="Comma 2 5 14 4" xfId="14705" xr:uid="{00000000-0005-0000-0000-00006E390000}"/>
    <cellStyle name="Comma 2 5 14 4 2" xfId="14706" xr:uid="{00000000-0005-0000-0000-00006F390000}"/>
    <cellStyle name="Comma 2 5 14 4 3" xfId="14707" xr:uid="{00000000-0005-0000-0000-000070390000}"/>
    <cellStyle name="Comma 2 5 14 4 4" xfId="14708" xr:uid="{00000000-0005-0000-0000-000071390000}"/>
    <cellStyle name="Comma 2 5 14 5" xfId="14709" xr:uid="{00000000-0005-0000-0000-000072390000}"/>
    <cellStyle name="Comma 2 5 14 5 2" xfId="14710" xr:uid="{00000000-0005-0000-0000-000073390000}"/>
    <cellStyle name="Comma 2 5 14 6" xfId="14711" xr:uid="{00000000-0005-0000-0000-000074390000}"/>
    <cellStyle name="Comma 2 5 14 7" xfId="14712" xr:uid="{00000000-0005-0000-0000-000075390000}"/>
    <cellStyle name="Comma 2 5 14 8" xfId="14713" xr:uid="{00000000-0005-0000-0000-000076390000}"/>
    <cellStyle name="Comma 2 5 14 9" xfId="14714" xr:uid="{00000000-0005-0000-0000-000077390000}"/>
    <cellStyle name="Comma 2 5 15" xfId="14715" xr:uid="{00000000-0005-0000-0000-000078390000}"/>
    <cellStyle name="Comma 2 5 15 2" xfId="14716" xr:uid="{00000000-0005-0000-0000-000079390000}"/>
    <cellStyle name="Comma 2 5 15 2 2" xfId="14717" xr:uid="{00000000-0005-0000-0000-00007A390000}"/>
    <cellStyle name="Comma 2 5 15 2 3" xfId="14718" xr:uid="{00000000-0005-0000-0000-00007B390000}"/>
    <cellStyle name="Comma 2 5 15 3" xfId="14719" xr:uid="{00000000-0005-0000-0000-00007C390000}"/>
    <cellStyle name="Comma 2 5 15 4" xfId="14720" xr:uid="{00000000-0005-0000-0000-00007D390000}"/>
    <cellStyle name="Comma 2 5 15 5" xfId="14721" xr:uid="{00000000-0005-0000-0000-00007E390000}"/>
    <cellStyle name="Comma 2 5 15 6" xfId="14722" xr:uid="{00000000-0005-0000-0000-00007F390000}"/>
    <cellStyle name="Comma 2 5 16" xfId="14723" xr:uid="{00000000-0005-0000-0000-000080390000}"/>
    <cellStyle name="Comma 2 5 16 2" xfId="14724" xr:uid="{00000000-0005-0000-0000-000081390000}"/>
    <cellStyle name="Comma 2 5 16 2 2" xfId="14725" xr:uid="{00000000-0005-0000-0000-000082390000}"/>
    <cellStyle name="Comma 2 5 16 3" xfId="14726" xr:uid="{00000000-0005-0000-0000-000083390000}"/>
    <cellStyle name="Comma 2 5 16 4" xfId="14727" xr:uid="{00000000-0005-0000-0000-000084390000}"/>
    <cellStyle name="Comma 2 5 16 5" xfId="14728" xr:uid="{00000000-0005-0000-0000-000085390000}"/>
    <cellStyle name="Comma 2 5 17" xfId="14729" xr:uid="{00000000-0005-0000-0000-000086390000}"/>
    <cellStyle name="Comma 2 5 17 2" xfId="14730" xr:uid="{00000000-0005-0000-0000-000087390000}"/>
    <cellStyle name="Comma 2 5 17 2 2" xfId="14731" xr:uid="{00000000-0005-0000-0000-000088390000}"/>
    <cellStyle name="Comma 2 5 17 3" xfId="14732" xr:uid="{00000000-0005-0000-0000-000089390000}"/>
    <cellStyle name="Comma 2 5 17 4" xfId="14733" xr:uid="{00000000-0005-0000-0000-00008A390000}"/>
    <cellStyle name="Comma 2 5 17 5" xfId="14734" xr:uid="{00000000-0005-0000-0000-00008B390000}"/>
    <cellStyle name="Comma 2 5 18" xfId="14735" xr:uid="{00000000-0005-0000-0000-00008C390000}"/>
    <cellStyle name="Comma 2 5 18 2" xfId="14736" xr:uid="{00000000-0005-0000-0000-00008D390000}"/>
    <cellStyle name="Comma 2 5 19" xfId="14737" xr:uid="{00000000-0005-0000-0000-00008E390000}"/>
    <cellStyle name="Comma 2 5 2" xfId="14738" xr:uid="{00000000-0005-0000-0000-00008F390000}"/>
    <cellStyle name="Comma 2 5 2 10" xfId="14739" xr:uid="{00000000-0005-0000-0000-000090390000}"/>
    <cellStyle name="Comma 2 5 2 11" xfId="14740" xr:uid="{00000000-0005-0000-0000-000091390000}"/>
    <cellStyle name="Comma 2 5 2 2" xfId="14741" xr:uid="{00000000-0005-0000-0000-000092390000}"/>
    <cellStyle name="Comma 2 5 2 2 2" xfId="14742" xr:uid="{00000000-0005-0000-0000-000093390000}"/>
    <cellStyle name="Comma 2 5 2 2 2 2" xfId="14743" xr:uid="{00000000-0005-0000-0000-000094390000}"/>
    <cellStyle name="Comma 2 5 2 2 2 2 2" xfId="14744" xr:uid="{00000000-0005-0000-0000-000095390000}"/>
    <cellStyle name="Comma 2 5 2 2 2 2 3" xfId="14745" xr:uid="{00000000-0005-0000-0000-000096390000}"/>
    <cellStyle name="Comma 2 5 2 2 2 3" xfId="14746" xr:uid="{00000000-0005-0000-0000-000097390000}"/>
    <cellStyle name="Comma 2 5 2 2 2 4" xfId="14747" xr:uid="{00000000-0005-0000-0000-000098390000}"/>
    <cellStyle name="Comma 2 5 2 2 2 5" xfId="14748" xr:uid="{00000000-0005-0000-0000-000099390000}"/>
    <cellStyle name="Comma 2 5 2 2 2 6" xfId="14749" xr:uid="{00000000-0005-0000-0000-00009A390000}"/>
    <cellStyle name="Comma 2 5 2 2 3" xfId="14750" xr:uid="{00000000-0005-0000-0000-00009B390000}"/>
    <cellStyle name="Comma 2 5 2 2 3 2" xfId="14751" xr:uid="{00000000-0005-0000-0000-00009C390000}"/>
    <cellStyle name="Comma 2 5 2 2 3 2 2" xfId="14752" xr:uid="{00000000-0005-0000-0000-00009D390000}"/>
    <cellStyle name="Comma 2 5 2 2 3 3" xfId="14753" xr:uid="{00000000-0005-0000-0000-00009E390000}"/>
    <cellStyle name="Comma 2 5 2 2 3 4" xfId="14754" xr:uid="{00000000-0005-0000-0000-00009F390000}"/>
    <cellStyle name="Comma 2 5 2 2 3 5" xfId="14755" xr:uid="{00000000-0005-0000-0000-0000A0390000}"/>
    <cellStyle name="Comma 2 5 2 2 4" xfId="14756" xr:uid="{00000000-0005-0000-0000-0000A1390000}"/>
    <cellStyle name="Comma 2 5 2 2 4 2" xfId="14757" xr:uid="{00000000-0005-0000-0000-0000A2390000}"/>
    <cellStyle name="Comma 2 5 2 2 4 3" xfId="14758" xr:uid="{00000000-0005-0000-0000-0000A3390000}"/>
    <cellStyle name="Comma 2 5 2 2 4 4" xfId="14759" xr:uid="{00000000-0005-0000-0000-0000A4390000}"/>
    <cellStyle name="Comma 2 5 2 2 5" xfId="14760" xr:uid="{00000000-0005-0000-0000-0000A5390000}"/>
    <cellStyle name="Comma 2 5 2 2 5 2" xfId="14761" xr:uid="{00000000-0005-0000-0000-0000A6390000}"/>
    <cellStyle name="Comma 2 5 2 2 6" xfId="14762" xr:uid="{00000000-0005-0000-0000-0000A7390000}"/>
    <cellStyle name="Comma 2 5 2 2 7" xfId="14763" xr:uid="{00000000-0005-0000-0000-0000A8390000}"/>
    <cellStyle name="Comma 2 5 2 2 8" xfId="14764" xr:uid="{00000000-0005-0000-0000-0000A9390000}"/>
    <cellStyle name="Comma 2 5 2 2 9" xfId="14765" xr:uid="{00000000-0005-0000-0000-0000AA390000}"/>
    <cellStyle name="Comma 2 5 2 3" xfId="14766" xr:uid="{00000000-0005-0000-0000-0000AB390000}"/>
    <cellStyle name="Comma 2 5 2 3 2" xfId="14767" xr:uid="{00000000-0005-0000-0000-0000AC390000}"/>
    <cellStyle name="Comma 2 5 2 3 2 2" xfId="14768" xr:uid="{00000000-0005-0000-0000-0000AD390000}"/>
    <cellStyle name="Comma 2 5 2 3 2 2 2" xfId="14769" xr:uid="{00000000-0005-0000-0000-0000AE390000}"/>
    <cellStyle name="Comma 2 5 2 3 2 2 3" xfId="14770" xr:uid="{00000000-0005-0000-0000-0000AF390000}"/>
    <cellStyle name="Comma 2 5 2 3 2 3" xfId="14771" xr:uid="{00000000-0005-0000-0000-0000B0390000}"/>
    <cellStyle name="Comma 2 5 2 3 2 4" xfId="14772" xr:uid="{00000000-0005-0000-0000-0000B1390000}"/>
    <cellStyle name="Comma 2 5 2 3 2 5" xfId="14773" xr:uid="{00000000-0005-0000-0000-0000B2390000}"/>
    <cellStyle name="Comma 2 5 2 3 2 6" xfId="14774" xr:uid="{00000000-0005-0000-0000-0000B3390000}"/>
    <cellStyle name="Comma 2 5 2 3 3" xfId="14775" xr:uid="{00000000-0005-0000-0000-0000B4390000}"/>
    <cellStyle name="Comma 2 5 2 3 3 2" xfId="14776" xr:uid="{00000000-0005-0000-0000-0000B5390000}"/>
    <cellStyle name="Comma 2 5 2 3 3 2 2" xfId="14777" xr:uid="{00000000-0005-0000-0000-0000B6390000}"/>
    <cellStyle name="Comma 2 5 2 3 3 3" xfId="14778" xr:uid="{00000000-0005-0000-0000-0000B7390000}"/>
    <cellStyle name="Comma 2 5 2 3 3 4" xfId="14779" xr:uid="{00000000-0005-0000-0000-0000B8390000}"/>
    <cellStyle name="Comma 2 5 2 3 3 5" xfId="14780" xr:uid="{00000000-0005-0000-0000-0000B9390000}"/>
    <cellStyle name="Comma 2 5 2 3 4" xfId="14781" xr:uid="{00000000-0005-0000-0000-0000BA390000}"/>
    <cellStyle name="Comma 2 5 2 3 4 2" xfId="14782" xr:uid="{00000000-0005-0000-0000-0000BB390000}"/>
    <cellStyle name="Comma 2 5 2 3 4 3" xfId="14783" xr:uid="{00000000-0005-0000-0000-0000BC390000}"/>
    <cellStyle name="Comma 2 5 2 3 4 4" xfId="14784" xr:uid="{00000000-0005-0000-0000-0000BD390000}"/>
    <cellStyle name="Comma 2 5 2 3 5" xfId="14785" xr:uid="{00000000-0005-0000-0000-0000BE390000}"/>
    <cellStyle name="Comma 2 5 2 3 5 2" xfId="14786" xr:uid="{00000000-0005-0000-0000-0000BF390000}"/>
    <cellStyle name="Comma 2 5 2 3 6" xfId="14787" xr:uid="{00000000-0005-0000-0000-0000C0390000}"/>
    <cellStyle name="Comma 2 5 2 3 7" xfId="14788" xr:uid="{00000000-0005-0000-0000-0000C1390000}"/>
    <cellStyle name="Comma 2 5 2 3 8" xfId="14789" xr:uid="{00000000-0005-0000-0000-0000C2390000}"/>
    <cellStyle name="Comma 2 5 2 3 9" xfId="14790" xr:uid="{00000000-0005-0000-0000-0000C3390000}"/>
    <cellStyle name="Comma 2 5 2 4" xfId="14791" xr:uid="{00000000-0005-0000-0000-0000C4390000}"/>
    <cellStyle name="Comma 2 5 2 4 2" xfId="14792" xr:uid="{00000000-0005-0000-0000-0000C5390000}"/>
    <cellStyle name="Comma 2 5 2 4 2 2" xfId="14793" xr:uid="{00000000-0005-0000-0000-0000C6390000}"/>
    <cellStyle name="Comma 2 5 2 4 2 3" xfId="14794" xr:uid="{00000000-0005-0000-0000-0000C7390000}"/>
    <cellStyle name="Comma 2 5 2 4 3" xfId="14795" xr:uid="{00000000-0005-0000-0000-0000C8390000}"/>
    <cellStyle name="Comma 2 5 2 4 4" xfId="14796" xr:uid="{00000000-0005-0000-0000-0000C9390000}"/>
    <cellStyle name="Comma 2 5 2 4 5" xfId="14797" xr:uid="{00000000-0005-0000-0000-0000CA390000}"/>
    <cellStyle name="Comma 2 5 2 4 6" xfId="14798" xr:uid="{00000000-0005-0000-0000-0000CB390000}"/>
    <cellStyle name="Comma 2 5 2 5" xfId="14799" xr:uid="{00000000-0005-0000-0000-0000CC390000}"/>
    <cellStyle name="Comma 2 5 2 5 2" xfId="14800" xr:uid="{00000000-0005-0000-0000-0000CD390000}"/>
    <cellStyle name="Comma 2 5 2 5 2 2" xfId="14801" xr:uid="{00000000-0005-0000-0000-0000CE390000}"/>
    <cellStyle name="Comma 2 5 2 5 3" xfId="14802" xr:uid="{00000000-0005-0000-0000-0000CF390000}"/>
    <cellStyle name="Comma 2 5 2 5 4" xfId="14803" xr:uid="{00000000-0005-0000-0000-0000D0390000}"/>
    <cellStyle name="Comma 2 5 2 5 5" xfId="14804" xr:uid="{00000000-0005-0000-0000-0000D1390000}"/>
    <cellStyle name="Comma 2 5 2 6" xfId="14805" xr:uid="{00000000-0005-0000-0000-0000D2390000}"/>
    <cellStyle name="Comma 2 5 2 6 2" xfId="14806" xr:uid="{00000000-0005-0000-0000-0000D3390000}"/>
    <cellStyle name="Comma 2 5 2 6 3" xfId="14807" xr:uid="{00000000-0005-0000-0000-0000D4390000}"/>
    <cellStyle name="Comma 2 5 2 6 4" xfId="14808" xr:uid="{00000000-0005-0000-0000-0000D5390000}"/>
    <cellStyle name="Comma 2 5 2 7" xfId="14809" xr:uid="{00000000-0005-0000-0000-0000D6390000}"/>
    <cellStyle name="Comma 2 5 2 7 2" xfId="14810" xr:uid="{00000000-0005-0000-0000-0000D7390000}"/>
    <cellStyle name="Comma 2 5 2 8" xfId="14811" xr:uid="{00000000-0005-0000-0000-0000D8390000}"/>
    <cellStyle name="Comma 2 5 2 9" xfId="14812" xr:uid="{00000000-0005-0000-0000-0000D9390000}"/>
    <cellStyle name="Comma 2 5 20" xfId="14813" xr:uid="{00000000-0005-0000-0000-0000DA390000}"/>
    <cellStyle name="Comma 2 5 21" xfId="14814" xr:uid="{00000000-0005-0000-0000-0000DB390000}"/>
    <cellStyle name="Comma 2 5 22" xfId="14815" xr:uid="{00000000-0005-0000-0000-0000DC390000}"/>
    <cellStyle name="Comma 2 5 3" xfId="14816" xr:uid="{00000000-0005-0000-0000-0000DD390000}"/>
    <cellStyle name="Comma 2 5 3 10" xfId="14817" xr:uid="{00000000-0005-0000-0000-0000DE390000}"/>
    <cellStyle name="Comma 2 5 3 11" xfId="14818" xr:uid="{00000000-0005-0000-0000-0000DF390000}"/>
    <cellStyle name="Comma 2 5 3 2" xfId="14819" xr:uid="{00000000-0005-0000-0000-0000E0390000}"/>
    <cellStyle name="Comma 2 5 3 2 2" xfId="14820" xr:uid="{00000000-0005-0000-0000-0000E1390000}"/>
    <cellStyle name="Comma 2 5 3 2 2 2" xfId="14821" xr:uid="{00000000-0005-0000-0000-0000E2390000}"/>
    <cellStyle name="Comma 2 5 3 2 2 2 2" xfId="14822" xr:uid="{00000000-0005-0000-0000-0000E3390000}"/>
    <cellStyle name="Comma 2 5 3 2 2 2 3" xfId="14823" xr:uid="{00000000-0005-0000-0000-0000E4390000}"/>
    <cellStyle name="Comma 2 5 3 2 2 3" xfId="14824" xr:uid="{00000000-0005-0000-0000-0000E5390000}"/>
    <cellStyle name="Comma 2 5 3 2 2 4" xfId="14825" xr:uid="{00000000-0005-0000-0000-0000E6390000}"/>
    <cellStyle name="Comma 2 5 3 2 2 5" xfId="14826" xr:uid="{00000000-0005-0000-0000-0000E7390000}"/>
    <cellStyle name="Comma 2 5 3 2 2 6" xfId="14827" xr:uid="{00000000-0005-0000-0000-0000E8390000}"/>
    <cellStyle name="Comma 2 5 3 2 3" xfId="14828" xr:uid="{00000000-0005-0000-0000-0000E9390000}"/>
    <cellStyle name="Comma 2 5 3 2 3 2" xfId="14829" xr:uid="{00000000-0005-0000-0000-0000EA390000}"/>
    <cellStyle name="Comma 2 5 3 2 3 2 2" xfId="14830" xr:uid="{00000000-0005-0000-0000-0000EB390000}"/>
    <cellStyle name="Comma 2 5 3 2 3 3" xfId="14831" xr:uid="{00000000-0005-0000-0000-0000EC390000}"/>
    <cellStyle name="Comma 2 5 3 2 3 4" xfId="14832" xr:uid="{00000000-0005-0000-0000-0000ED390000}"/>
    <cellStyle name="Comma 2 5 3 2 3 5" xfId="14833" xr:uid="{00000000-0005-0000-0000-0000EE390000}"/>
    <cellStyle name="Comma 2 5 3 2 4" xfId="14834" xr:uid="{00000000-0005-0000-0000-0000EF390000}"/>
    <cellStyle name="Comma 2 5 3 2 4 2" xfId="14835" xr:uid="{00000000-0005-0000-0000-0000F0390000}"/>
    <cellStyle name="Comma 2 5 3 2 4 3" xfId="14836" xr:uid="{00000000-0005-0000-0000-0000F1390000}"/>
    <cellStyle name="Comma 2 5 3 2 4 4" xfId="14837" xr:uid="{00000000-0005-0000-0000-0000F2390000}"/>
    <cellStyle name="Comma 2 5 3 2 5" xfId="14838" xr:uid="{00000000-0005-0000-0000-0000F3390000}"/>
    <cellStyle name="Comma 2 5 3 2 5 2" xfId="14839" xr:uid="{00000000-0005-0000-0000-0000F4390000}"/>
    <cellStyle name="Comma 2 5 3 2 6" xfId="14840" xr:uid="{00000000-0005-0000-0000-0000F5390000}"/>
    <cellStyle name="Comma 2 5 3 2 7" xfId="14841" xr:uid="{00000000-0005-0000-0000-0000F6390000}"/>
    <cellStyle name="Comma 2 5 3 2 8" xfId="14842" xr:uid="{00000000-0005-0000-0000-0000F7390000}"/>
    <cellStyle name="Comma 2 5 3 2 9" xfId="14843" xr:uid="{00000000-0005-0000-0000-0000F8390000}"/>
    <cellStyle name="Comma 2 5 3 3" xfId="14844" xr:uid="{00000000-0005-0000-0000-0000F9390000}"/>
    <cellStyle name="Comma 2 5 3 3 2" xfId="14845" xr:uid="{00000000-0005-0000-0000-0000FA390000}"/>
    <cellStyle name="Comma 2 5 3 3 2 2" xfId="14846" xr:uid="{00000000-0005-0000-0000-0000FB390000}"/>
    <cellStyle name="Comma 2 5 3 3 2 2 2" xfId="14847" xr:uid="{00000000-0005-0000-0000-0000FC390000}"/>
    <cellStyle name="Comma 2 5 3 3 2 2 3" xfId="14848" xr:uid="{00000000-0005-0000-0000-0000FD390000}"/>
    <cellStyle name="Comma 2 5 3 3 2 3" xfId="14849" xr:uid="{00000000-0005-0000-0000-0000FE390000}"/>
    <cellStyle name="Comma 2 5 3 3 2 4" xfId="14850" xr:uid="{00000000-0005-0000-0000-0000FF390000}"/>
    <cellStyle name="Comma 2 5 3 3 2 5" xfId="14851" xr:uid="{00000000-0005-0000-0000-0000003A0000}"/>
    <cellStyle name="Comma 2 5 3 3 2 6" xfId="14852" xr:uid="{00000000-0005-0000-0000-0000013A0000}"/>
    <cellStyle name="Comma 2 5 3 3 3" xfId="14853" xr:uid="{00000000-0005-0000-0000-0000023A0000}"/>
    <cellStyle name="Comma 2 5 3 3 3 2" xfId="14854" xr:uid="{00000000-0005-0000-0000-0000033A0000}"/>
    <cellStyle name="Comma 2 5 3 3 3 2 2" xfId="14855" xr:uid="{00000000-0005-0000-0000-0000043A0000}"/>
    <cellStyle name="Comma 2 5 3 3 3 3" xfId="14856" xr:uid="{00000000-0005-0000-0000-0000053A0000}"/>
    <cellStyle name="Comma 2 5 3 3 3 4" xfId="14857" xr:uid="{00000000-0005-0000-0000-0000063A0000}"/>
    <cellStyle name="Comma 2 5 3 3 3 5" xfId="14858" xr:uid="{00000000-0005-0000-0000-0000073A0000}"/>
    <cellStyle name="Comma 2 5 3 3 4" xfId="14859" xr:uid="{00000000-0005-0000-0000-0000083A0000}"/>
    <cellStyle name="Comma 2 5 3 3 4 2" xfId="14860" xr:uid="{00000000-0005-0000-0000-0000093A0000}"/>
    <cellStyle name="Comma 2 5 3 3 4 3" xfId="14861" xr:uid="{00000000-0005-0000-0000-00000A3A0000}"/>
    <cellStyle name="Comma 2 5 3 3 4 4" xfId="14862" xr:uid="{00000000-0005-0000-0000-00000B3A0000}"/>
    <cellStyle name="Comma 2 5 3 3 5" xfId="14863" xr:uid="{00000000-0005-0000-0000-00000C3A0000}"/>
    <cellStyle name="Comma 2 5 3 3 5 2" xfId="14864" xr:uid="{00000000-0005-0000-0000-00000D3A0000}"/>
    <cellStyle name="Comma 2 5 3 3 6" xfId="14865" xr:uid="{00000000-0005-0000-0000-00000E3A0000}"/>
    <cellStyle name="Comma 2 5 3 3 7" xfId="14866" xr:uid="{00000000-0005-0000-0000-00000F3A0000}"/>
    <cellStyle name="Comma 2 5 3 3 8" xfId="14867" xr:uid="{00000000-0005-0000-0000-0000103A0000}"/>
    <cellStyle name="Comma 2 5 3 3 9" xfId="14868" xr:uid="{00000000-0005-0000-0000-0000113A0000}"/>
    <cellStyle name="Comma 2 5 3 4" xfId="14869" xr:uid="{00000000-0005-0000-0000-0000123A0000}"/>
    <cellStyle name="Comma 2 5 3 4 2" xfId="14870" xr:uid="{00000000-0005-0000-0000-0000133A0000}"/>
    <cellStyle name="Comma 2 5 3 4 2 2" xfId="14871" xr:uid="{00000000-0005-0000-0000-0000143A0000}"/>
    <cellStyle name="Comma 2 5 3 4 2 3" xfId="14872" xr:uid="{00000000-0005-0000-0000-0000153A0000}"/>
    <cellStyle name="Comma 2 5 3 4 3" xfId="14873" xr:uid="{00000000-0005-0000-0000-0000163A0000}"/>
    <cellStyle name="Comma 2 5 3 4 4" xfId="14874" xr:uid="{00000000-0005-0000-0000-0000173A0000}"/>
    <cellStyle name="Comma 2 5 3 4 5" xfId="14875" xr:uid="{00000000-0005-0000-0000-0000183A0000}"/>
    <cellStyle name="Comma 2 5 3 4 6" xfId="14876" xr:uid="{00000000-0005-0000-0000-0000193A0000}"/>
    <cellStyle name="Comma 2 5 3 5" xfId="14877" xr:uid="{00000000-0005-0000-0000-00001A3A0000}"/>
    <cellStyle name="Comma 2 5 3 5 2" xfId="14878" xr:uid="{00000000-0005-0000-0000-00001B3A0000}"/>
    <cellStyle name="Comma 2 5 3 5 2 2" xfId="14879" xr:uid="{00000000-0005-0000-0000-00001C3A0000}"/>
    <cellStyle name="Comma 2 5 3 5 3" xfId="14880" xr:uid="{00000000-0005-0000-0000-00001D3A0000}"/>
    <cellStyle name="Comma 2 5 3 5 4" xfId="14881" xr:uid="{00000000-0005-0000-0000-00001E3A0000}"/>
    <cellStyle name="Comma 2 5 3 5 5" xfId="14882" xr:uid="{00000000-0005-0000-0000-00001F3A0000}"/>
    <cellStyle name="Comma 2 5 3 6" xfId="14883" xr:uid="{00000000-0005-0000-0000-0000203A0000}"/>
    <cellStyle name="Comma 2 5 3 6 2" xfId="14884" xr:uid="{00000000-0005-0000-0000-0000213A0000}"/>
    <cellStyle name="Comma 2 5 3 6 3" xfId="14885" xr:uid="{00000000-0005-0000-0000-0000223A0000}"/>
    <cellStyle name="Comma 2 5 3 6 4" xfId="14886" xr:uid="{00000000-0005-0000-0000-0000233A0000}"/>
    <cellStyle name="Comma 2 5 3 7" xfId="14887" xr:uid="{00000000-0005-0000-0000-0000243A0000}"/>
    <cellStyle name="Comma 2 5 3 7 2" xfId="14888" xr:uid="{00000000-0005-0000-0000-0000253A0000}"/>
    <cellStyle name="Comma 2 5 3 8" xfId="14889" xr:uid="{00000000-0005-0000-0000-0000263A0000}"/>
    <cellStyle name="Comma 2 5 3 9" xfId="14890" xr:uid="{00000000-0005-0000-0000-0000273A0000}"/>
    <cellStyle name="Comma 2 5 4" xfId="14891" xr:uid="{00000000-0005-0000-0000-0000283A0000}"/>
    <cellStyle name="Comma 2 5 4 10" xfId="14892" xr:uid="{00000000-0005-0000-0000-0000293A0000}"/>
    <cellStyle name="Comma 2 5 4 11" xfId="14893" xr:uid="{00000000-0005-0000-0000-00002A3A0000}"/>
    <cellStyle name="Comma 2 5 4 2" xfId="14894" xr:uid="{00000000-0005-0000-0000-00002B3A0000}"/>
    <cellStyle name="Comma 2 5 4 2 2" xfId="14895" xr:uid="{00000000-0005-0000-0000-00002C3A0000}"/>
    <cellStyle name="Comma 2 5 4 2 2 2" xfId="14896" xr:uid="{00000000-0005-0000-0000-00002D3A0000}"/>
    <cellStyle name="Comma 2 5 4 2 2 2 2" xfId="14897" xr:uid="{00000000-0005-0000-0000-00002E3A0000}"/>
    <cellStyle name="Comma 2 5 4 2 2 2 3" xfId="14898" xr:uid="{00000000-0005-0000-0000-00002F3A0000}"/>
    <cellStyle name="Comma 2 5 4 2 2 3" xfId="14899" xr:uid="{00000000-0005-0000-0000-0000303A0000}"/>
    <cellStyle name="Comma 2 5 4 2 2 4" xfId="14900" xr:uid="{00000000-0005-0000-0000-0000313A0000}"/>
    <cellStyle name="Comma 2 5 4 2 2 5" xfId="14901" xr:uid="{00000000-0005-0000-0000-0000323A0000}"/>
    <cellStyle name="Comma 2 5 4 2 2 6" xfId="14902" xr:uid="{00000000-0005-0000-0000-0000333A0000}"/>
    <cellStyle name="Comma 2 5 4 2 3" xfId="14903" xr:uid="{00000000-0005-0000-0000-0000343A0000}"/>
    <cellStyle name="Comma 2 5 4 2 3 2" xfId="14904" xr:uid="{00000000-0005-0000-0000-0000353A0000}"/>
    <cellStyle name="Comma 2 5 4 2 3 2 2" xfId="14905" xr:uid="{00000000-0005-0000-0000-0000363A0000}"/>
    <cellStyle name="Comma 2 5 4 2 3 3" xfId="14906" xr:uid="{00000000-0005-0000-0000-0000373A0000}"/>
    <cellStyle name="Comma 2 5 4 2 3 4" xfId="14907" xr:uid="{00000000-0005-0000-0000-0000383A0000}"/>
    <cellStyle name="Comma 2 5 4 2 3 5" xfId="14908" xr:uid="{00000000-0005-0000-0000-0000393A0000}"/>
    <cellStyle name="Comma 2 5 4 2 4" xfId="14909" xr:uid="{00000000-0005-0000-0000-00003A3A0000}"/>
    <cellStyle name="Comma 2 5 4 2 4 2" xfId="14910" xr:uid="{00000000-0005-0000-0000-00003B3A0000}"/>
    <cellStyle name="Comma 2 5 4 2 4 3" xfId="14911" xr:uid="{00000000-0005-0000-0000-00003C3A0000}"/>
    <cellStyle name="Comma 2 5 4 2 4 4" xfId="14912" xr:uid="{00000000-0005-0000-0000-00003D3A0000}"/>
    <cellStyle name="Comma 2 5 4 2 5" xfId="14913" xr:uid="{00000000-0005-0000-0000-00003E3A0000}"/>
    <cellStyle name="Comma 2 5 4 2 5 2" xfId="14914" xr:uid="{00000000-0005-0000-0000-00003F3A0000}"/>
    <cellStyle name="Comma 2 5 4 2 6" xfId="14915" xr:uid="{00000000-0005-0000-0000-0000403A0000}"/>
    <cellStyle name="Comma 2 5 4 2 7" xfId="14916" xr:uid="{00000000-0005-0000-0000-0000413A0000}"/>
    <cellStyle name="Comma 2 5 4 2 8" xfId="14917" xr:uid="{00000000-0005-0000-0000-0000423A0000}"/>
    <cellStyle name="Comma 2 5 4 2 9" xfId="14918" xr:uid="{00000000-0005-0000-0000-0000433A0000}"/>
    <cellStyle name="Comma 2 5 4 3" xfId="14919" xr:uid="{00000000-0005-0000-0000-0000443A0000}"/>
    <cellStyle name="Comma 2 5 4 3 2" xfId="14920" xr:uid="{00000000-0005-0000-0000-0000453A0000}"/>
    <cellStyle name="Comma 2 5 4 3 2 2" xfId="14921" xr:uid="{00000000-0005-0000-0000-0000463A0000}"/>
    <cellStyle name="Comma 2 5 4 3 2 2 2" xfId="14922" xr:uid="{00000000-0005-0000-0000-0000473A0000}"/>
    <cellStyle name="Comma 2 5 4 3 2 2 3" xfId="14923" xr:uid="{00000000-0005-0000-0000-0000483A0000}"/>
    <cellStyle name="Comma 2 5 4 3 2 3" xfId="14924" xr:uid="{00000000-0005-0000-0000-0000493A0000}"/>
    <cellStyle name="Comma 2 5 4 3 2 4" xfId="14925" xr:uid="{00000000-0005-0000-0000-00004A3A0000}"/>
    <cellStyle name="Comma 2 5 4 3 2 5" xfId="14926" xr:uid="{00000000-0005-0000-0000-00004B3A0000}"/>
    <cellStyle name="Comma 2 5 4 3 2 6" xfId="14927" xr:uid="{00000000-0005-0000-0000-00004C3A0000}"/>
    <cellStyle name="Comma 2 5 4 3 3" xfId="14928" xr:uid="{00000000-0005-0000-0000-00004D3A0000}"/>
    <cellStyle name="Comma 2 5 4 3 3 2" xfId="14929" xr:uid="{00000000-0005-0000-0000-00004E3A0000}"/>
    <cellStyle name="Comma 2 5 4 3 3 2 2" xfId="14930" xr:uid="{00000000-0005-0000-0000-00004F3A0000}"/>
    <cellStyle name="Comma 2 5 4 3 3 3" xfId="14931" xr:uid="{00000000-0005-0000-0000-0000503A0000}"/>
    <cellStyle name="Comma 2 5 4 3 3 4" xfId="14932" xr:uid="{00000000-0005-0000-0000-0000513A0000}"/>
    <cellStyle name="Comma 2 5 4 3 3 5" xfId="14933" xr:uid="{00000000-0005-0000-0000-0000523A0000}"/>
    <cellStyle name="Comma 2 5 4 3 4" xfId="14934" xr:uid="{00000000-0005-0000-0000-0000533A0000}"/>
    <cellStyle name="Comma 2 5 4 3 4 2" xfId="14935" xr:uid="{00000000-0005-0000-0000-0000543A0000}"/>
    <cellStyle name="Comma 2 5 4 3 4 3" xfId="14936" xr:uid="{00000000-0005-0000-0000-0000553A0000}"/>
    <cellStyle name="Comma 2 5 4 3 4 4" xfId="14937" xr:uid="{00000000-0005-0000-0000-0000563A0000}"/>
    <cellStyle name="Comma 2 5 4 3 5" xfId="14938" xr:uid="{00000000-0005-0000-0000-0000573A0000}"/>
    <cellStyle name="Comma 2 5 4 3 5 2" xfId="14939" xr:uid="{00000000-0005-0000-0000-0000583A0000}"/>
    <cellStyle name="Comma 2 5 4 3 6" xfId="14940" xr:uid="{00000000-0005-0000-0000-0000593A0000}"/>
    <cellStyle name="Comma 2 5 4 3 7" xfId="14941" xr:uid="{00000000-0005-0000-0000-00005A3A0000}"/>
    <cellStyle name="Comma 2 5 4 3 8" xfId="14942" xr:uid="{00000000-0005-0000-0000-00005B3A0000}"/>
    <cellStyle name="Comma 2 5 4 3 9" xfId="14943" xr:uid="{00000000-0005-0000-0000-00005C3A0000}"/>
    <cellStyle name="Comma 2 5 4 4" xfId="14944" xr:uid="{00000000-0005-0000-0000-00005D3A0000}"/>
    <cellStyle name="Comma 2 5 4 4 2" xfId="14945" xr:uid="{00000000-0005-0000-0000-00005E3A0000}"/>
    <cellStyle name="Comma 2 5 4 4 2 2" xfId="14946" xr:uid="{00000000-0005-0000-0000-00005F3A0000}"/>
    <cellStyle name="Comma 2 5 4 4 2 3" xfId="14947" xr:uid="{00000000-0005-0000-0000-0000603A0000}"/>
    <cellStyle name="Comma 2 5 4 4 3" xfId="14948" xr:uid="{00000000-0005-0000-0000-0000613A0000}"/>
    <cellStyle name="Comma 2 5 4 4 4" xfId="14949" xr:uid="{00000000-0005-0000-0000-0000623A0000}"/>
    <cellStyle name="Comma 2 5 4 4 5" xfId="14950" xr:uid="{00000000-0005-0000-0000-0000633A0000}"/>
    <cellStyle name="Comma 2 5 4 4 6" xfId="14951" xr:uid="{00000000-0005-0000-0000-0000643A0000}"/>
    <cellStyle name="Comma 2 5 4 5" xfId="14952" xr:uid="{00000000-0005-0000-0000-0000653A0000}"/>
    <cellStyle name="Comma 2 5 4 5 2" xfId="14953" xr:uid="{00000000-0005-0000-0000-0000663A0000}"/>
    <cellStyle name="Comma 2 5 4 5 2 2" xfId="14954" xr:uid="{00000000-0005-0000-0000-0000673A0000}"/>
    <cellStyle name="Comma 2 5 4 5 3" xfId="14955" xr:uid="{00000000-0005-0000-0000-0000683A0000}"/>
    <cellStyle name="Comma 2 5 4 5 4" xfId="14956" xr:uid="{00000000-0005-0000-0000-0000693A0000}"/>
    <cellStyle name="Comma 2 5 4 5 5" xfId="14957" xr:uid="{00000000-0005-0000-0000-00006A3A0000}"/>
    <cellStyle name="Comma 2 5 4 6" xfId="14958" xr:uid="{00000000-0005-0000-0000-00006B3A0000}"/>
    <cellStyle name="Comma 2 5 4 6 2" xfId="14959" xr:uid="{00000000-0005-0000-0000-00006C3A0000}"/>
    <cellStyle name="Comma 2 5 4 6 3" xfId="14960" xr:uid="{00000000-0005-0000-0000-00006D3A0000}"/>
    <cellStyle name="Comma 2 5 4 6 4" xfId="14961" xr:uid="{00000000-0005-0000-0000-00006E3A0000}"/>
    <cellStyle name="Comma 2 5 4 7" xfId="14962" xr:uid="{00000000-0005-0000-0000-00006F3A0000}"/>
    <cellStyle name="Comma 2 5 4 7 2" xfId="14963" xr:uid="{00000000-0005-0000-0000-0000703A0000}"/>
    <cellStyle name="Comma 2 5 4 8" xfId="14964" xr:uid="{00000000-0005-0000-0000-0000713A0000}"/>
    <cellStyle name="Comma 2 5 4 9" xfId="14965" xr:uid="{00000000-0005-0000-0000-0000723A0000}"/>
    <cellStyle name="Comma 2 5 5" xfId="14966" xr:uid="{00000000-0005-0000-0000-0000733A0000}"/>
    <cellStyle name="Comma 2 5 5 10" xfId="14967" xr:uid="{00000000-0005-0000-0000-0000743A0000}"/>
    <cellStyle name="Comma 2 5 5 11" xfId="14968" xr:uid="{00000000-0005-0000-0000-0000753A0000}"/>
    <cellStyle name="Comma 2 5 5 2" xfId="14969" xr:uid="{00000000-0005-0000-0000-0000763A0000}"/>
    <cellStyle name="Comma 2 5 5 2 2" xfId="14970" xr:uid="{00000000-0005-0000-0000-0000773A0000}"/>
    <cellStyle name="Comma 2 5 5 2 2 2" xfId="14971" xr:uid="{00000000-0005-0000-0000-0000783A0000}"/>
    <cellStyle name="Comma 2 5 5 2 2 2 2" xfId="14972" xr:uid="{00000000-0005-0000-0000-0000793A0000}"/>
    <cellStyle name="Comma 2 5 5 2 2 2 3" xfId="14973" xr:uid="{00000000-0005-0000-0000-00007A3A0000}"/>
    <cellStyle name="Comma 2 5 5 2 2 3" xfId="14974" xr:uid="{00000000-0005-0000-0000-00007B3A0000}"/>
    <cellStyle name="Comma 2 5 5 2 2 4" xfId="14975" xr:uid="{00000000-0005-0000-0000-00007C3A0000}"/>
    <cellStyle name="Comma 2 5 5 2 2 5" xfId="14976" xr:uid="{00000000-0005-0000-0000-00007D3A0000}"/>
    <cellStyle name="Comma 2 5 5 2 2 6" xfId="14977" xr:uid="{00000000-0005-0000-0000-00007E3A0000}"/>
    <cellStyle name="Comma 2 5 5 2 3" xfId="14978" xr:uid="{00000000-0005-0000-0000-00007F3A0000}"/>
    <cellStyle name="Comma 2 5 5 2 3 2" xfId="14979" xr:uid="{00000000-0005-0000-0000-0000803A0000}"/>
    <cellStyle name="Comma 2 5 5 2 3 2 2" xfId="14980" xr:uid="{00000000-0005-0000-0000-0000813A0000}"/>
    <cellStyle name="Comma 2 5 5 2 3 3" xfId="14981" xr:uid="{00000000-0005-0000-0000-0000823A0000}"/>
    <cellStyle name="Comma 2 5 5 2 3 4" xfId="14982" xr:uid="{00000000-0005-0000-0000-0000833A0000}"/>
    <cellStyle name="Comma 2 5 5 2 3 5" xfId="14983" xr:uid="{00000000-0005-0000-0000-0000843A0000}"/>
    <cellStyle name="Comma 2 5 5 2 4" xfId="14984" xr:uid="{00000000-0005-0000-0000-0000853A0000}"/>
    <cellStyle name="Comma 2 5 5 2 4 2" xfId="14985" xr:uid="{00000000-0005-0000-0000-0000863A0000}"/>
    <cellStyle name="Comma 2 5 5 2 4 3" xfId="14986" xr:uid="{00000000-0005-0000-0000-0000873A0000}"/>
    <cellStyle name="Comma 2 5 5 2 4 4" xfId="14987" xr:uid="{00000000-0005-0000-0000-0000883A0000}"/>
    <cellStyle name="Comma 2 5 5 2 5" xfId="14988" xr:uid="{00000000-0005-0000-0000-0000893A0000}"/>
    <cellStyle name="Comma 2 5 5 2 5 2" xfId="14989" xr:uid="{00000000-0005-0000-0000-00008A3A0000}"/>
    <cellStyle name="Comma 2 5 5 2 6" xfId="14990" xr:uid="{00000000-0005-0000-0000-00008B3A0000}"/>
    <cellStyle name="Comma 2 5 5 2 7" xfId="14991" xr:uid="{00000000-0005-0000-0000-00008C3A0000}"/>
    <cellStyle name="Comma 2 5 5 2 8" xfId="14992" xr:uid="{00000000-0005-0000-0000-00008D3A0000}"/>
    <cellStyle name="Comma 2 5 5 2 9" xfId="14993" xr:uid="{00000000-0005-0000-0000-00008E3A0000}"/>
    <cellStyle name="Comma 2 5 5 3" xfId="14994" xr:uid="{00000000-0005-0000-0000-00008F3A0000}"/>
    <cellStyle name="Comma 2 5 5 3 2" xfId="14995" xr:uid="{00000000-0005-0000-0000-0000903A0000}"/>
    <cellStyle name="Comma 2 5 5 3 2 2" xfId="14996" xr:uid="{00000000-0005-0000-0000-0000913A0000}"/>
    <cellStyle name="Comma 2 5 5 3 2 2 2" xfId="14997" xr:uid="{00000000-0005-0000-0000-0000923A0000}"/>
    <cellStyle name="Comma 2 5 5 3 2 2 3" xfId="14998" xr:uid="{00000000-0005-0000-0000-0000933A0000}"/>
    <cellStyle name="Comma 2 5 5 3 2 3" xfId="14999" xr:uid="{00000000-0005-0000-0000-0000943A0000}"/>
    <cellStyle name="Comma 2 5 5 3 2 4" xfId="15000" xr:uid="{00000000-0005-0000-0000-0000953A0000}"/>
    <cellStyle name="Comma 2 5 5 3 2 5" xfId="15001" xr:uid="{00000000-0005-0000-0000-0000963A0000}"/>
    <cellStyle name="Comma 2 5 5 3 2 6" xfId="15002" xr:uid="{00000000-0005-0000-0000-0000973A0000}"/>
    <cellStyle name="Comma 2 5 5 3 3" xfId="15003" xr:uid="{00000000-0005-0000-0000-0000983A0000}"/>
    <cellStyle name="Comma 2 5 5 3 3 2" xfId="15004" xr:uid="{00000000-0005-0000-0000-0000993A0000}"/>
    <cellStyle name="Comma 2 5 5 3 3 2 2" xfId="15005" xr:uid="{00000000-0005-0000-0000-00009A3A0000}"/>
    <cellStyle name="Comma 2 5 5 3 3 3" xfId="15006" xr:uid="{00000000-0005-0000-0000-00009B3A0000}"/>
    <cellStyle name="Comma 2 5 5 3 3 4" xfId="15007" xr:uid="{00000000-0005-0000-0000-00009C3A0000}"/>
    <cellStyle name="Comma 2 5 5 3 3 5" xfId="15008" xr:uid="{00000000-0005-0000-0000-00009D3A0000}"/>
    <cellStyle name="Comma 2 5 5 3 4" xfId="15009" xr:uid="{00000000-0005-0000-0000-00009E3A0000}"/>
    <cellStyle name="Comma 2 5 5 3 4 2" xfId="15010" xr:uid="{00000000-0005-0000-0000-00009F3A0000}"/>
    <cellStyle name="Comma 2 5 5 3 4 3" xfId="15011" xr:uid="{00000000-0005-0000-0000-0000A03A0000}"/>
    <cellStyle name="Comma 2 5 5 3 4 4" xfId="15012" xr:uid="{00000000-0005-0000-0000-0000A13A0000}"/>
    <cellStyle name="Comma 2 5 5 3 5" xfId="15013" xr:uid="{00000000-0005-0000-0000-0000A23A0000}"/>
    <cellStyle name="Comma 2 5 5 3 5 2" xfId="15014" xr:uid="{00000000-0005-0000-0000-0000A33A0000}"/>
    <cellStyle name="Comma 2 5 5 3 6" xfId="15015" xr:uid="{00000000-0005-0000-0000-0000A43A0000}"/>
    <cellStyle name="Comma 2 5 5 3 7" xfId="15016" xr:uid="{00000000-0005-0000-0000-0000A53A0000}"/>
    <cellStyle name="Comma 2 5 5 3 8" xfId="15017" xr:uid="{00000000-0005-0000-0000-0000A63A0000}"/>
    <cellStyle name="Comma 2 5 5 3 9" xfId="15018" xr:uid="{00000000-0005-0000-0000-0000A73A0000}"/>
    <cellStyle name="Comma 2 5 5 4" xfId="15019" xr:uid="{00000000-0005-0000-0000-0000A83A0000}"/>
    <cellStyle name="Comma 2 5 5 4 2" xfId="15020" xr:uid="{00000000-0005-0000-0000-0000A93A0000}"/>
    <cellStyle name="Comma 2 5 5 4 2 2" xfId="15021" xr:uid="{00000000-0005-0000-0000-0000AA3A0000}"/>
    <cellStyle name="Comma 2 5 5 4 2 3" xfId="15022" xr:uid="{00000000-0005-0000-0000-0000AB3A0000}"/>
    <cellStyle name="Comma 2 5 5 4 3" xfId="15023" xr:uid="{00000000-0005-0000-0000-0000AC3A0000}"/>
    <cellStyle name="Comma 2 5 5 4 4" xfId="15024" xr:uid="{00000000-0005-0000-0000-0000AD3A0000}"/>
    <cellStyle name="Comma 2 5 5 4 5" xfId="15025" xr:uid="{00000000-0005-0000-0000-0000AE3A0000}"/>
    <cellStyle name="Comma 2 5 5 4 6" xfId="15026" xr:uid="{00000000-0005-0000-0000-0000AF3A0000}"/>
    <cellStyle name="Comma 2 5 5 5" xfId="15027" xr:uid="{00000000-0005-0000-0000-0000B03A0000}"/>
    <cellStyle name="Comma 2 5 5 5 2" xfId="15028" xr:uid="{00000000-0005-0000-0000-0000B13A0000}"/>
    <cellStyle name="Comma 2 5 5 5 2 2" xfId="15029" xr:uid="{00000000-0005-0000-0000-0000B23A0000}"/>
    <cellStyle name="Comma 2 5 5 5 3" xfId="15030" xr:uid="{00000000-0005-0000-0000-0000B33A0000}"/>
    <cellStyle name="Comma 2 5 5 5 4" xfId="15031" xr:uid="{00000000-0005-0000-0000-0000B43A0000}"/>
    <cellStyle name="Comma 2 5 5 5 5" xfId="15032" xr:uid="{00000000-0005-0000-0000-0000B53A0000}"/>
    <cellStyle name="Comma 2 5 5 6" xfId="15033" xr:uid="{00000000-0005-0000-0000-0000B63A0000}"/>
    <cellStyle name="Comma 2 5 5 6 2" xfId="15034" xr:uid="{00000000-0005-0000-0000-0000B73A0000}"/>
    <cellStyle name="Comma 2 5 5 6 3" xfId="15035" xr:uid="{00000000-0005-0000-0000-0000B83A0000}"/>
    <cellStyle name="Comma 2 5 5 6 4" xfId="15036" xr:uid="{00000000-0005-0000-0000-0000B93A0000}"/>
    <cellStyle name="Comma 2 5 5 7" xfId="15037" xr:uid="{00000000-0005-0000-0000-0000BA3A0000}"/>
    <cellStyle name="Comma 2 5 5 7 2" xfId="15038" xr:uid="{00000000-0005-0000-0000-0000BB3A0000}"/>
    <cellStyle name="Comma 2 5 5 8" xfId="15039" xr:uid="{00000000-0005-0000-0000-0000BC3A0000}"/>
    <cellStyle name="Comma 2 5 5 9" xfId="15040" xr:uid="{00000000-0005-0000-0000-0000BD3A0000}"/>
    <cellStyle name="Comma 2 5 6" xfId="15041" xr:uid="{00000000-0005-0000-0000-0000BE3A0000}"/>
    <cellStyle name="Comma 2 5 6 10" xfId="15042" xr:uid="{00000000-0005-0000-0000-0000BF3A0000}"/>
    <cellStyle name="Comma 2 5 6 11" xfId="15043" xr:uid="{00000000-0005-0000-0000-0000C03A0000}"/>
    <cellStyle name="Comma 2 5 6 2" xfId="15044" xr:uid="{00000000-0005-0000-0000-0000C13A0000}"/>
    <cellStyle name="Comma 2 5 6 2 2" xfId="15045" xr:uid="{00000000-0005-0000-0000-0000C23A0000}"/>
    <cellStyle name="Comma 2 5 6 2 2 2" xfId="15046" xr:uid="{00000000-0005-0000-0000-0000C33A0000}"/>
    <cellStyle name="Comma 2 5 6 2 2 2 2" xfId="15047" xr:uid="{00000000-0005-0000-0000-0000C43A0000}"/>
    <cellStyle name="Comma 2 5 6 2 2 2 3" xfId="15048" xr:uid="{00000000-0005-0000-0000-0000C53A0000}"/>
    <cellStyle name="Comma 2 5 6 2 2 3" xfId="15049" xr:uid="{00000000-0005-0000-0000-0000C63A0000}"/>
    <cellStyle name="Comma 2 5 6 2 2 4" xfId="15050" xr:uid="{00000000-0005-0000-0000-0000C73A0000}"/>
    <cellStyle name="Comma 2 5 6 2 2 5" xfId="15051" xr:uid="{00000000-0005-0000-0000-0000C83A0000}"/>
    <cellStyle name="Comma 2 5 6 2 2 6" xfId="15052" xr:uid="{00000000-0005-0000-0000-0000C93A0000}"/>
    <cellStyle name="Comma 2 5 6 2 3" xfId="15053" xr:uid="{00000000-0005-0000-0000-0000CA3A0000}"/>
    <cellStyle name="Comma 2 5 6 2 3 2" xfId="15054" xr:uid="{00000000-0005-0000-0000-0000CB3A0000}"/>
    <cellStyle name="Comma 2 5 6 2 3 2 2" xfId="15055" xr:uid="{00000000-0005-0000-0000-0000CC3A0000}"/>
    <cellStyle name="Comma 2 5 6 2 3 3" xfId="15056" xr:uid="{00000000-0005-0000-0000-0000CD3A0000}"/>
    <cellStyle name="Comma 2 5 6 2 3 4" xfId="15057" xr:uid="{00000000-0005-0000-0000-0000CE3A0000}"/>
    <cellStyle name="Comma 2 5 6 2 3 5" xfId="15058" xr:uid="{00000000-0005-0000-0000-0000CF3A0000}"/>
    <cellStyle name="Comma 2 5 6 2 4" xfId="15059" xr:uid="{00000000-0005-0000-0000-0000D03A0000}"/>
    <cellStyle name="Comma 2 5 6 2 4 2" xfId="15060" xr:uid="{00000000-0005-0000-0000-0000D13A0000}"/>
    <cellStyle name="Comma 2 5 6 2 4 3" xfId="15061" xr:uid="{00000000-0005-0000-0000-0000D23A0000}"/>
    <cellStyle name="Comma 2 5 6 2 4 4" xfId="15062" xr:uid="{00000000-0005-0000-0000-0000D33A0000}"/>
    <cellStyle name="Comma 2 5 6 2 5" xfId="15063" xr:uid="{00000000-0005-0000-0000-0000D43A0000}"/>
    <cellStyle name="Comma 2 5 6 2 5 2" xfId="15064" xr:uid="{00000000-0005-0000-0000-0000D53A0000}"/>
    <cellStyle name="Comma 2 5 6 2 6" xfId="15065" xr:uid="{00000000-0005-0000-0000-0000D63A0000}"/>
    <cellStyle name="Comma 2 5 6 2 7" xfId="15066" xr:uid="{00000000-0005-0000-0000-0000D73A0000}"/>
    <cellStyle name="Comma 2 5 6 2 8" xfId="15067" xr:uid="{00000000-0005-0000-0000-0000D83A0000}"/>
    <cellStyle name="Comma 2 5 6 2 9" xfId="15068" xr:uid="{00000000-0005-0000-0000-0000D93A0000}"/>
    <cellStyle name="Comma 2 5 6 3" xfId="15069" xr:uid="{00000000-0005-0000-0000-0000DA3A0000}"/>
    <cellStyle name="Comma 2 5 6 3 2" xfId="15070" xr:uid="{00000000-0005-0000-0000-0000DB3A0000}"/>
    <cellStyle name="Comma 2 5 6 3 2 2" xfId="15071" xr:uid="{00000000-0005-0000-0000-0000DC3A0000}"/>
    <cellStyle name="Comma 2 5 6 3 2 2 2" xfId="15072" xr:uid="{00000000-0005-0000-0000-0000DD3A0000}"/>
    <cellStyle name="Comma 2 5 6 3 2 2 3" xfId="15073" xr:uid="{00000000-0005-0000-0000-0000DE3A0000}"/>
    <cellStyle name="Comma 2 5 6 3 2 3" xfId="15074" xr:uid="{00000000-0005-0000-0000-0000DF3A0000}"/>
    <cellStyle name="Comma 2 5 6 3 2 4" xfId="15075" xr:uid="{00000000-0005-0000-0000-0000E03A0000}"/>
    <cellStyle name="Comma 2 5 6 3 2 5" xfId="15076" xr:uid="{00000000-0005-0000-0000-0000E13A0000}"/>
    <cellStyle name="Comma 2 5 6 3 2 6" xfId="15077" xr:uid="{00000000-0005-0000-0000-0000E23A0000}"/>
    <cellStyle name="Comma 2 5 6 3 3" xfId="15078" xr:uid="{00000000-0005-0000-0000-0000E33A0000}"/>
    <cellStyle name="Comma 2 5 6 3 3 2" xfId="15079" xr:uid="{00000000-0005-0000-0000-0000E43A0000}"/>
    <cellStyle name="Comma 2 5 6 3 3 2 2" xfId="15080" xr:uid="{00000000-0005-0000-0000-0000E53A0000}"/>
    <cellStyle name="Comma 2 5 6 3 3 3" xfId="15081" xr:uid="{00000000-0005-0000-0000-0000E63A0000}"/>
    <cellStyle name="Comma 2 5 6 3 3 4" xfId="15082" xr:uid="{00000000-0005-0000-0000-0000E73A0000}"/>
    <cellStyle name="Comma 2 5 6 3 3 5" xfId="15083" xr:uid="{00000000-0005-0000-0000-0000E83A0000}"/>
    <cellStyle name="Comma 2 5 6 3 4" xfId="15084" xr:uid="{00000000-0005-0000-0000-0000E93A0000}"/>
    <cellStyle name="Comma 2 5 6 3 4 2" xfId="15085" xr:uid="{00000000-0005-0000-0000-0000EA3A0000}"/>
    <cellStyle name="Comma 2 5 6 3 4 3" xfId="15086" xr:uid="{00000000-0005-0000-0000-0000EB3A0000}"/>
    <cellStyle name="Comma 2 5 6 3 4 4" xfId="15087" xr:uid="{00000000-0005-0000-0000-0000EC3A0000}"/>
    <cellStyle name="Comma 2 5 6 3 5" xfId="15088" xr:uid="{00000000-0005-0000-0000-0000ED3A0000}"/>
    <cellStyle name="Comma 2 5 6 3 5 2" xfId="15089" xr:uid="{00000000-0005-0000-0000-0000EE3A0000}"/>
    <cellStyle name="Comma 2 5 6 3 6" xfId="15090" xr:uid="{00000000-0005-0000-0000-0000EF3A0000}"/>
    <cellStyle name="Comma 2 5 6 3 7" xfId="15091" xr:uid="{00000000-0005-0000-0000-0000F03A0000}"/>
    <cellStyle name="Comma 2 5 6 3 8" xfId="15092" xr:uid="{00000000-0005-0000-0000-0000F13A0000}"/>
    <cellStyle name="Comma 2 5 6 3 9" xfId="15093" xr:uid="{00000000-0005-0000-0000-0000F23A0000}"/>
    <cellStyle name="Comma 2 5 6 4" xfId="15094" xr:uid="{00000000-0005-0000-0000-0000F33A0000}"/>
    <cellStyle name="Comma 2 5 6 4 2" xfId="15095" xr:uid="{00000000-0005-0000-0000-0000F43A0000}"/>
    <cellStyle name="Comma 2 5 6 4 2 2" xfId="15096" xr:uid="{00000000-0005-0000-0000-0000F53A0000}"/>
    <cellStyle name="Comma 2 5 6 4 2 3" xfId="15097" xr:uid="{00000000-0005-0000-0000-0000F63A0000}"/>
    <cellStyle name="Comma 2 5 6 4 3" xfId="15098" xr:uid="{00000000-0005-0000-0000-0000F73A0000}"/>
    <cellStyle name="Comma 2 5 6 4 4" xfId="15099" xr:uid="{00000000-0005-0000-0000-0000F83A0000}"/>
    <cellStyle name="Comma 2 5 6 4 5" xfId="15100" xr:uid="{00000000-0005-0000-0000-0000F93A0000}"/>
    <cellStyle name="Comma 2 5 6 4 6" xfId="15101" xr:uid="{00000000-0005-0000-0000-0000FA3A0000}"/>
    <cellStyle name="Comma 2 5 6 5" xfId="15102" xr:uid="{00000000-0005-0000-0000-0000FB3A0000}"/>
    <cellStyle name="Comma 2 5 6 5 2" xfId="15103" xr:uid="{00000000-0005-0000-0000-0000FC3A0000}"/>
    <cellStyle name="Comma 2 5 6 5 2 2" xfId="15104" xr:uid="{00000000-0005-0000-0000-0000FD3A0000}"/>
    <cellStyle name="Comma 2 5 6 5 3" xfId="15105" xr:uid="{00000000-0005-0000-0000-0000FE3A0000}"/>
    <cellStyle name="Comma 2 5 6 5 4" xfId="15106" xr:uid="{00000000-0005-0000-0000-0000FF3A0000}"/>
    <cellStyle name="Comma 2 5 6 5 5" xfId="15107" xr:uid="{00000000-0005-0000-0000-0000003B0000}"/>
    <cellStyle name="Comma 2 5 6 6" xfId="15108" xr:uid="{00000000-0005-0000-0000-0000013B0000}"/>
    <cellStyle name="Comma 2 5 6 6 2" xfId="15109" xr:uid="{00000000-0005-0000-0000-0000023B0000}"/>
    <cellStyle name="Comma 2 5 6 6 3" xfId="15110" xr:uid="{00000000-0005-0000-0000-0000033B0000}"/>
    <cellStyle name="Comma 2 5 6 6 4" xfId="15111" xr:uid="{00000000-0005-0000-0000-0000043B0000}"/>
    <cellStyle name="Comma 2 5 6 7" xfId="15112" xr:uid="{00000000-0005-0000-0000-0000053B0000}"/>
    <cellStyle name="Comma 2 5 6 7 2" xfId="15113" xr:uid="{00000000-0005-0000-0000-0000063B0000}"/>
    <cellStyle name="Comma 2 5 6 8" xfId="15114" xr:uid="{00000000-0005-0000-0000-0000073B0000}"/>
    <cellStyle name="Comma 2 5 6 9" xfId="15115" xr:uid="{00000000-0005-0000-0000-0000083B0000}"/>
    <cellStyle name="Comma 2 5 7" xfId="15116" xr:uid="{00000000-0005-0000-0000-0000093B0000}"/>
    <cellStyle name="Comma 2 5 7 10" xfId="15117" xr:uid="{00000000-0005-0000-0000-00000A3B0000}"/>
    <cellStyle name="Comma 2 5 7 11" xfId="15118" xr:uid="{00000000-0005-0000-0000-00000B3B0000}"/>
    <cellStyle name="Comma 2 5 7 2" xfId="15119" xr:uid="{00000000-0005-0000-0000-00000C3B0000}"/>
    <cellStyle name="Comma 2 5 7 2 2" xfId="15120" xr:uid="{00000000-0005-0000-0000-00000D3B0000}"/>
    <cellStyle name="Comma 2 5 7 2 2 2" xfId="15121" xr:uid="{00000000-0005-0000-0000-00000E3B0000}"/>
    <cellStyle name="Comma 2 5 7 2 2 2 2" xfId="15122" xr:uid="{00000000-0005-0000-0000-00000F3B0000}"/>
    <cellStyle name="Comma 2 5 7 2 2 2 3" xfId="15123" xr:uid="{00000000-0005-0000-0000-0000103B0000}"/>
    <cellStyle name="Comma 2 5 7 2 2 3" xfId="15124" xr:uid="{00000000-0005-0000-0000-0000113B0000}"/>
    <cellStyle name="Comma 2 5 7 2 2 4" xfId="15125" xr:uid="{00000000-0005-0000-0000-0000123B0000}"/>
    <cellStyle name="Comma 2 5 7 2 2 5" xfId="15126" xr:uid="{00000000-0005-0000-0000-0000133B0000}"/>
    <cellStyle name="Comma 2 5 7 2 2 6" xfId="15127" xr:uid="{00000000-0005-0000-0000-0000143B0000}"/>
    <cellStyle name="Comma 2 5 7 2 3" xfId="15128" xr:uid="{00000000-0005-0000-0000-0000153B0000}"/>
    <cellStyle name="Comma 2 5 7 2 3 2" xfId="15129" xr:uid="{00000000-0005-0000-0000-0000163B0000}"/>
    <cellStyle name="Comma 2 5 7 2 3 2 2" xfId="15130" xr:uid="{00000000-0005-0000-0000-0000173B0000}"/>
    <cellStyle name="Comma 2 5 7 2 3 3" xfId="15131" xr:uid="{00000000-0005-0000-0000-0000183B0000}"/>
    <cellStyle name="Comma 2 5 7 2 3 4" xfId="15132" xr:uid="{00000000-0005-0000-0000-0000193B0000}"/>
    <cellStyle name="Comma 2 5 7 2 3 5" xfId="15133" xr:uid="{00000000-0005-0000-0000-00001A3B0000}"/>
    <cellStyle name="Comma 2 5 7 2 4" xfId="15134" xr:uid="{00000000-0005-0000-0000-00001B3B0000}"/>
    <cellStyle name="Comma 2 5 7 2 4 2" xfId="15135" xr:uid="{00000000-0005-0000-0000-00001C3B0000}"/>
    <cellStyle name="Comma 2 5 7 2 4 3" xfId="15136" xr:uid="{00000000-0005-0000-0000-00001D3B0000}"/>
    <cellStyle name="Comma 2 5 7 2 4 4" xfId="15137" xr:uid="{00000000-0005-0000-0000-00001E3B0000}"/>
    <cellStyle name="Comma 2 5 7 2 5" xfId="15138" xr:uid="{00000000-0005-0000-0000-00001F3B0000}"/>
    <cellStyle name="Comma 2 5 7 2 5 2" xfId="15139" xr:uid="{00000000-0005-0000-0000-0000203B0000}"/>
    <cellStyle name="Comma 2 5 7 2 6" xfId="15140" xr:uid="{00000000-0005-0000-0000-0000213B0000}"/>
    <cellStyle name="Comma 2 5 7 2 7" xfId="15141" xr:uid="{00000000-0005-0000-0000-0000223B0000}"/>
    <cellStyle name="Comma 2 5 7 2 8" xfId="15142" xr:uid="{00000000-0005-0000-0000-0000233B0000}"/>
    <cellStyle name="Comma 2 5 7 2 9" xfId="15143" xr:uid="{00000000-0005-0000-0000-0000243B0000}"/>
    <cellStyle name="Comma 2 5 7 3" xfId="15144" xr:uid="{00000000-0005-0000-0000-0000253B0000}"/>
    <cellStyle name="Comma 2 5 7 3 2" xfId="15145" xr:uid="{00000000-0005-0000-0000-0000263B0000}"/>
    <cellStyle name="Comma 2 5 7 3 2 2" xfId="15146" xr:uid="{00000000-0005-0000-0000-0000273B0000}"/>
    <cellStyle name="Comma 2 5 7 3 2 2 2" xfId="15147" xr:uid="{00000000-0005-0000-0000-0000283B0000}"/>
    <cellStyle name="Comma 2 5 7 3 2 2 3" xfId="15148" xr:uid="{00000000-0005-0000-0000-0000293B0000}"/>
    <cellStyle name="Comma 2 5 7 3 2 3" xfId="15149" xr:uid="{00000000-0005-0000-0000-00002A3B0000}"/>
    <cellStyle name="Comma 2 5 7 3 2 4" xfId="15150" xr:uid="{00000000-0005-0000-0000-00002B3B0000}"/>
    <cellStyle name="Comma 2 5 7 3 2 5" xfId="15151" xr:uid="{00000000-0005-0000-0000-00002C3B0000}"/>
    <cellStyle name="Comma 2 5 7 3 2 6" xfId="15152" xr:uid="{00000000-0005-0000-0000-00002D3B0000}"/>
    <cellStyle name="Comma 2 5 7 3 3" xfId="15153" xr:uid="{00000000-0005-0000-0000-00002E3B0000}"/>
    <cellStyle name="Comma 2 5 7 3 3 2" xfId="15154" xr:uid="{00000000-0005-0000-0000-00002F3B0000}"/>
    <cellStyle name="Comma 2 5 7 3 3 2 2" xfId="15155" xr:uid="{00000000-0005-0000-0000-0000303B0000}"/>
    <cellStyle name="Comma 2 5 7 3 3 3" xfId="15156" xr:uid="{00000000-0005-0000-0000-0000313B0000}"/>
    <cellStyle name="Comma 2 5 7 3 3 4" xfId="15157" xr:uid="{00000000-0005-0000-0000-0000323B0000}"/>
    <cellStyle name="Comma 2 5 7 3 3 5" xfId="15158" xr:uid="{00000000-0005-0000-0000-0000333B0000}"/>
    <cellStyle name="Comma 2 5 7 3 4" xfId="15159" xr:uid="{00000000-0005-0000-0000-0000343B0000}"/>
    <cellStyle name="Comma 2 5 7 3 4 2" xfId="15160" xr:uid="{00000000-0005-0000-0000-0000353B0000}"/>
    <cellStyle name="Comma 2 5 7 3 4 3" xfId="15161" xr:uid="{00000000-0005-0000-0000-0000363B0000}"/>
    <cellStyle name="Comma 2 5 7 3 4 4" xfId="15162" xr:uid="{00000000-0005-0000-0000-0000373B0000}"/>
    <cellStyle name="Comma 2 5 7 3 5" xfId="15163" xr:uid="{00000000-0005-0000-0000-0000383B0000}"/>
    <cellStyle name="Comma 2 5 7 3 5 2" xfId="15164" xr:uid="{00000000-0005-0000-0000-0000393B0000}"/>
    <cellStyle name="Comma 2 5 7 3 6" xfId="15165" xr:uid="{00000000-0005-0000-0000-00003A3B0000}"/>
    <cellStyle name="Comma 2 5 7 3 7" xfId="15166" xr:uid="{00000000-0005-0000-0000-00003B3B0000}"/>
    <cellStyle name="Comma 2 5 7 3 8" xfId="15167" xr:uid="{00000000-0005-0000-0000-00003C3B0000}"/>
    <cellStyle name="Comma 2 5 7 3 9" xfId="15168" xr:uid="{00000000-0005-0000-0000-00003D3B0000}"/>
    <cellStyle name="Comma 2 5 7 4" xfId="15169" xr:uid="{00000000-0005-0000-0000-00003E3B0000}"/>
    <cellStyle name="Comma 2 5 7 4 2" xfId="15170" xr:uid="{00000000-0005-0000-0000-00003F3B0000}"/>
    <cellStyle name="Comma 2 5 7 4 2 2" xfId="15171" xr:uid="{00000000-0005-0000-0000-0000403B0000}"/>
    <cellStyle name="Comma 2 5 7 4 2 3" xfId="15172" xr:uid="{00000000-0005-0000-0000-0000413B0000}"/>
    <cellStyle name="Comma 2 5 7 4 3" xfId="15173" xr:uid="{00000000-0005-0000-0000-0000423B0000}"/>
    <cellStyle name="Comma 2 5 7 4 4" xfId="15174" xr:uid="{00000000-0005-0000-0000-0000433B0000}"/>
    <cellStyle name="Comma 2 5 7 4 5" xfId="15175" xr:uid="{00000000-0005-0000-0000-0000443B0000}"/>
    <cellStyle name="Comma 2 5 7 4 6" xfId="15176" xr:uid="{00000000-0005-0000-0000-0000453B0000}"/>
    <cellStyle name="Comma 2 5 7 5" xfId="15177" xr:uid="{00000000-0005-0000-0000-0000463B0000}"/>
    <cellStyle name="Comma 2 5 7 5 2" xfId="15178" xr:uid="{00000000-0005-0000-0000-0000473B0000}"/>
    <cellStyle name="Comma 2 5 7 5 2 2" xfId="15179" xr:uid="{00000000-0005-0000-0000-0000483B0000}"/>
    <cellStyle name="Comma 2 5 7 5 3" xfId="15180" xr:uid="{00000000-0005-0000-0000-0000493B0000}"/>
    <cellStyle name="Comma 2 5 7 5 4" xfId="15181" xr:uid="{00000000-0005-0000-0000-00004A3B0000}"/>
    <cellStyle name="Comma 2 5 7 5 5" xfId="15182" xr:uid="{00000000-0005-0000-0000-00004B3B0000}"/>
    <cellStyle name="Comma 2 5 7 6" xfId="15183" xr:uid="{00000000-0005-0000-0000-00004C3B0000}"/>
    <cellStyle name="Comma 2 5 7 6 2" xfId="15184" xr:uid="{00000000-0005-0000-0000-00004D3B0000}"/>
    <cellStyle name="Comma 2 5 7 6 3" xfId="15185" xr:uid="{00000000-0005-0000-0000-00004E3B0000}"/>
    <cellStyle name="Comma 2 5 7 6 4" xfId="15186" xr:uid="{00000000-0005-0000-0000-00004F3B0000}"/>
    <cellStyle name="Comma 2 5 7 7" xfId="15187" xr:uid="{00000000-0005-0000-0000-0000503B0000}"/>
    <cellStyle name="Comma 2 5 7 7 2" xfId="15188" xr:uid="{00000000-0005-0000-0000-0000513B0000}"/>
    <cellStyle name="Comma 2 5 7 8" xfId="15189" xr:uid="{00000000-0005-0000-0000-0000523B0000}"/>
    <cellStyle name="Comma 2 5 7 9" xfId="15190" xr:uid="{00000000-0005-0000-0000-0000533B0000}"/>
    <cellStyle name="Comma 2 5 8" xfId="15191" xr:uid="{00000000-0005-0000-0000-0000543B0000}"/>
    <cellStyle name="Comma 2 5 8 10" xfId="15192" xr:uid="{00000000-0005-0000-0000-0000553B0000}"/>
    <cellStyle name="Comma 2 5 8 2" xfId="15193" xr:uid="{00000000-0005-0000-0000-0000563B0000}"/>
    <cellStyle name="Comma 2 5 8 2 2" xfId="15194" xr:uid="{00000000-0005-0000-0000-0000573B0000}"/>
    <cellStyle name="Comma 2 5 8 2 2 2" xfId="15195" xr:uid="{00000000-0005-0000-0000-0000583B0000}"/>
    <cellStyle name="Comma 2 5 8 2 2 3" xfId="15196" xr:uid="{00000000-0005-0000-0000-0000593B0000}"/>
    <cellStyle name="Comma 2 5 8 2 3" xfId="15197" xr:uid="{00000000-0005-0000-0000-00005A3B0000}"/>
    <cellStyle name="Comma 2 5 8 2 4" xfId="15198" xr:uid="{00000000-0005-0000-0000-00005B3B0000}"/>
    <cellStyle name="Comma 2 5 8 2 5" xfId="15199" xr:uid="{00000000-0005-0000-0000-00005C3B0000}"/>
    <cellStyle name="Comma 2 5 8 2 6" xfId="15200" xr:uid="{00000000-0005-0000-0000-00005D3B0000}"/>
    <cellStyle name="Comma 2 5 8 3" xfId="15201" xr:uid="{00000000-0005-0000-0000-00005E3B0000}"/>
    <cellStyle name="Comma 2 5 8 3 2" xfId="15202" xr:uid="{00000000-0005-0000-0000-00005F3B0000}"/>
    <cellStyle name="Comma 2 5 8 3 2 2" xfId="15203" xr:uid="{00000000-0005-0000-0000-0000603B0000}"/>
    <cellStyle name="Comma 2 5 8 3 2 3" xfId="15204" xr:uid="{00000000-0005-0000-0000-0000613B0000}"/>
    <cellStyle name="Comma 2 5 8 3 3" xfId="15205" xr:uid="{00000000-0005-0000-0000-0000623B0000}"/>
    <cellStyle name="Comma 2 5 8 3 4" xfId="15206" xr:uid="{00000000-0005-0000-0000-0000633B0000}"/>
    <cellStyle name="Comma 2 5 8 3 5" xfId="15207" xr:uid="{00000000-0005-0000-0000-0000643B0000}"/>
    <cellStyle name="Comma 2 5 8 3 6" xfId="15208" xr:uid="{00000000-0005-0000-0000-0000653B0000}"/>
    <cellStyle name="Comma 2 5 8 4" xfId="15209" xr:uid="{00000000-0005-0000-0000-0000663B0000}"/>
    <cellStyle name="Comma 2 5 8 4 2" xfId="15210" xr:uid="{00000000-0005-0000-0000-0000673B0000}"/>
    <cellStyle name="Comma 2 5 8 4 2 2" xfId="15211" xr:uid="{00000000-0005-0000-0000-0000683B0000}"/>
    <cellStyle name="Comma 2 5 8 4 3" xfId="15212" xr:uid="{00000000-0005-0000-0000-0000693B0000}"/>
    <cellStyle name="Comma 2 5 8 4 4" xfId="15213" xr:uid="{00000000-0005-0000-0000-00006A3B0000}"/>
    <cellStyle name="Comma 2 5 8 4 5" xfId="15214" xr:uid="{00000000-0005-0000-0000-00006B3B0000}"/>
    <cellStyle name="Comma 2 5 8 5" xfId="15215" xr:uid="{00000000-0005-0000-0000-00006C3B0000}"/>
    <cellStyle name="Comma 2 5 8 5 2" xfId="15216" xr:uid="{00000000-0005-0000-0000-00006D3B0000}"/>
    <cellStyle name="Comma 2 5 8 5 3" xfId="15217" xr:uid="{00000000-0005-0000-0000-00006E3B0000}"/>
    <cellStyle name="Comma 2 5 8 5 4" xfId="15218" xr:uid="{00000000-0005-0000-0000-00006F3B0000}"/>
    <cellStyle name="Comma 2 5 8 6" xfId="15219" xr:uid="{00000000-0005-0000-0000-0000703B0000}"/>
    <cellStyle name="Comma 2 5 8 6 2" xfId="15220" xr:uid="{00000000-0005-0000-0000-0000713B0000}"/>
    <cellStyle name="Comma 2 5 8 7" xfId="15221" xr:uid="{00000000-0005-0000-0000-0000723B0000}"/>
    <cellStyle name="Comma 2 5 8 8" xfId="15222" xr:uid="{00000000-0005-0000-0000-0000733B0000}"/>
    <cellStyle name="Comma 2 5 8 9" xfId="15223" xr:uid="{00000000-0005-0000-0000-0000743B0000}"/>
    <cellStyle name="Comma 2 5 9" xfId="15224" xr:uid="{00000000-0005-0000-0000-0000753B0000}"/>
    <cellStyle name="Comma 2 5 9 10" xfId="15225" xr:uid="{00000000-0005-0000-0000-0000763B0000}"/>
    <cellStyle name="Comma 2 5 9 2" xfId="15226" xr:uid="{00000000-0005-0000-0000-0000773B0000}"/>
    <cellStyle name="Comma 2 5 9 2 2" xfId="15227" xr:uid="{00000000-0005-0000-0000-0000783B0000}"/>
    <cellStyle name="Comma 2 5 9 2 2 2" xfId="15228" xr:uid="{00000000-0005-0000-0000-0000793B0000}"/>
    <cellStyle name="Comma 2 5 9 2 2 3" xfId="15229" xr:uid="{00000000-0005-0000-0000-00007A3B0000}"/>
    <cellStyle name="Comma 2 5 9 2 3" xfId="15230" xr:uid="{00000000-0005-0000-0000-00007B3B0000}"/>
    <cellStyle name="Comma 2 5 9 2 4" xfId="15231" xr:uid="{00000000-0005-0000-0000-00007C3B0000}"/>
    <cellStyle name="Comma 2 5 9 2 5" xfId="15232" xr:uid="{00000000-0005-0000-0000-00007D3B0000}"/>
    <cellStyle name="Comma 2 5 9 2 6" xfId="15233" xr:uid="{00000000-0005-0000-0000-00007E3B0000}"/>
    <cellStyle name="Comma 2 5 9 3" xfId="15234" xr:uid="{00000000-0005-0000-0000-00007F3B0000}"/>
    <cellStyle name="Comma 2 5 9 3 2" xfId="15235" xr:uid="{00000000-0005-0000-0000-0000803B0000}"/>
    <cellStyle name="Comma 2 5 9 3 2 2" xfId="15236" xr:uid="{00000000-0005-0000-0000-0000813B0000}"/>
    <cellStyle name="Comma 2 5 9 3 2 3" xfId="15237" xr:uid="{00000000-0005-0000-0000-0000823B0000}"/>
    <cellStyle name="Comma 2 5 9 3 3" xfId="15238" xr:uid="{00000000-0005-0000-0000-0000833B0000}"/>
    <cellStyle name="Comma 2 5 9 3 4" xfId="15239" xr:uid="{00000000-0005-0000-0000-0000843B0000}"/>
    <cellStyle name="Comma 2 5 9 3 5" xfId="15240" xr:uid="{00000000-0005-0000-0000-0000853B0000}"/>
    <cellStyle name="Comma 2 5 9 3 6" xfId="15241" xr:uid="{00000000-0005-0000-0000-0000863B0000}"/>
    <cellStyle name="Comma 2 5 9 4" xfId="15242" xr:uid="{00000000-0005-0000-0000-0000873B0000}"/>
    <cellStyle name="Comma 2 5 9 4 2" xfId="15243" xr:uid="{00000000-0005-0000-0000-0000883B0000}"/>
    <cellStyle name="Comma 2 5 9 4 2 2" xfId="15244" xr:uid="{00000000-0005-0000-0000-0000893B0000}"/>
    <cellStyle name="Comma 2 5 9 4 3" xfId="15245" xr:uid="{00000000-0005-0000-0000-00008A3B0000}"/>
    <cellStyle name="Comma 2 5 9 4 4" xfId="15246" xr:uid="{00000000-0005-0000-0000-00008B3B0000}"/>
    <cellStyle name="Comma 2 5 9 4 5" xfId="15247" xr:uid="{00000000-0005-0000-0000-00008C3B0000}"/>
    <cellStyle name="Comma 2 5 9 5" xfId="15248" xr:uid="{00000000-0005-0000-0000-00008D3B0000}"/>
    <cellStyle name="Comma 2 5 9 5 2" xfId="15249" xr:uid="{00000000-0005-0000-0000-00008E3B0000}"/>
    <cellStyle name="Comma 2 5 9 5 3" xfId="15250" xr:uid="{00000000-0005-0000-0000-00008F3B0000}"/>
    <cellStyle name="Comma 2 5 9 5 4" xfId="15251" xr:uid="{00000000-0005-0000-0000-0000903B0000}"/>
    <cellStyle name="Comma 2 5 9 6" xfId="15252" xr:uid="{00000000-0005-0000-0000-0000913B0000}"/>
    <cellStyle name="Comma 2 5 9 6 2" xfId="15253" xr:uid="{00000000-0005-0000-0000-0000923B0000}"/>
    <cellStyle name="Comma 2 5 9 7" xfId="15254" xr:uid="{00000000-0005-0000-0000-0000933B0000}"/>
    <cellStyle name="Comma 2 5 9 8" xfId="15255" xr:uid="{00000000-0005-0000-0000-0000943B0000}"/>
    <cellStyle name="Comma 2 5 9 9" xfId="15256" xr:uid="{00000000-0005-0000-0000-0000953B0000}"/>
    <cellStyle name="Comma 2 50" xfId="15257" xr:uid="{00000000-0005-0000-0000-0000963B0000}"/>
    <cellStyle name="Comma 2 50 2" xfId="15258" xr:uid="{00000000-0005-0000-0000-0000973B0000}"/>
    <cellStyle name="Comma 2 50 2 2" xfId="15259" xr:uid="{00000000-0005-0000-0000-0000983B0000}"/>
    <cellStyle name="Comma 2 50 3" xfId="15260" xr:uid="{00000000-0005-0000-0000-0000993B0000}"/>
    <cellStyle name="Comma 2 50 4" xfId="15261" xr:uid="{00000000-0005-0000-0000-00009A3B0000}"/>
    <cellStyle name="Comma 2 50 5" xfId="15262" xr:uid="{00000000-0005-0000-0000-00009B3B0000}"/>
    <cellStyle name="Comma 2 50 6" xfId="15263" xr:uid="{00000000-0005-0000-0000-00009C3B0000}"/>
    <cellStyle name="Comma 2 50 7" xfId="15264" xr:uid="{00000000-0005-0000-0000-00009D3B0000}"/>
    <cellStyle name="Comma 2 51" xfId="15265" xr:uid="{00000000-0005-0000-0000-00009E3B0000}"/>
    <cellStyle name="Comma 2 51 2" xfId="15266" xr:uid="{00000000-0005-0000-0000-00009F3B0000}"/>
    <cellStyle name="Comma 2 51 2 2" xfId="15267" xr:uid="{00000000-0005-0000-0000-0000A03B0000}"/>
    <cellStyle name="Comma 2 51 3" xfId="15268" xr:uid="{00000000-0005-0000-0000-0000A13B0000}"/>
    <cellStyle name="Comma 2 51 4" xfId="15269" xr:uid="{00000000-0005-0000-0000-0000A23B0000}"/>
    <cellStyle name="Comma 2 51 5" xfId="15270" xr:uid="{00000000-0005-0000-0000-0000A33B0000}"/>
    <cellStyle name="Comma 2 51 6" xfId="15271" xr:uid="{00000000-0005-0000-0000-0000A43B0000}"/>
    <cellStyle name="Comma 2 51 7" xfId="15272" xr:uid="{00000000-0005-0000-0000-0000A53B0000}"/>
    <cellStyle name="Comma 2 52" xfId="15273" xr:uid="{00000000-0005-0000-0000-0000A63B0000}"/>
    <cellStyle name="Comma 2 52 2" xfId="15274" xr:uid="{00000000-0005-0000-0000-0000A73B0000}"/>
    <cellStyle name="Comma 2 52 2 2" xfId="15275" xr:uid="{00000000-0005-0000-0000-0000A83B0000}"/>
    <cellStyle name="Comma 2 52 3" xfId="15276" xr:uid="{00000000-0005-0000-0000-0000A93B0000}"/>
    <cellStyle name="Comma 2 52 4" xfId="15277" xr:uid="{00000000-0005-0000-0000-0000AA3B0000}"/>
    <cellStyle name="Comma 2 52 5" xfId="15278" xr:uid="{00000000-0005-0000-0000-0000AB3B0000}"/>
    <cellStyle name="Comma 2 52 6" xfId="15279" xr:uid="{00000000-0005-0000-0000-0000AC3B0000}"/>
    <cellStyle name="Comma 2 52 7" xfId="15280" xr:uid="{00000000-0005-0000-0000-0000AD3B0000}"/>
    <cellStyle name="Comma 2 53" xfId="15281" xr:uid="{00000000-0005-0000-0000-0000AE3B0000}"/>
    <cellStyle name="Comma 2 53 2" xfId="15282" xr:uid="{00000000-0005-0000-0000-0000AF3B0000}"/>
    <cellStyle name="Comma 2 53 2 2" xfId="15283" xr:uid="{00000000-0005-0000-0000-0000B03B0000}"/>
    <cellStyle name="Comma 2 53 3" xfId="15284" xr:uid="{00000000-0005-0000-0000-0000B13B0000}"/>
    <cellStyle name="Comma 2 53 4" xfId="15285" xr:uid="{00000000-0005-0000-0000-0000B23B0000}"/>
    <cellStyle name="Comma 2 53 5" xfId="15286" xr:uid="{00000000-0005-0000-0000-0000B33B0000}"/>
    <cellStyle name="Comma 2 53 6" xfId="15287" xr:uid="{00000000-0005-0000-0000-0000B43B0000}"/>
    <cellStyle name="Comma 2 53 7" xfId="15288" xr:uid="{00000000-0005-0000-0000-0000B53B0000}"/>
    <cellStyle name="Comma 2 54" xfId="15289" xr:uid="{00000000-0005-0000-0000-0000B63B0000}"/>
    <cellStyle name="Comma 2 54 2" xfId="15290" xr:uid="{00000000-0005-0000-0000-0000B73B0000}"/>
    <cellStyle name="Comma 2 54 2 2" xfId="15291" xr:uid="{00000000-0005-0000-0000-0000B83B0000}"/>
    <cellStyle name="Comma 2 54 3" xfId="15292" xr:uid="{00000000-0005-0000-0000-0000B93B0000}"/>
    <cellStyle name="Comma 2 54 4" xfId="15293" xr:uid="{00000000-0005-0000-0000-0000BA3B0000}"/>
    <cellStyle name="Comma 2 54 5" xfId="15294" xr:uid="{00000000-0005-0000-0000-0000BB3B0000}"/>
    <cellStyle name="Comma 2 54 6" xfId="15295" xr:uid="{00000000-0005-0000-0000-0000BC3B0000}"/>
    <cellStyle name="Comma 2 54 7" xfId="15296" xr:uid="{00000000-0005-0000-0000-0000BD3B0000}"/>
    <cellStyle name="Comma 2 55" xfId="15297" xr:uid="{00000000-0005-0000-0000-0000BE3B0000}"/>
    <cellStyle name="Comma 2 55 2" xfId="15298" xr:uid="{00000000-0005-0000-0000-0000BF3B0000}"/>
    <cellStyle name="Comma 2 55 2 2" xfId="15299" xr:uid="{00000000-0005-0000-0000-0000C03B0000}"/>
    <cellStyle name="Comma 2 55 3" xfId="15300" xr:uid="{00000000-0005-0000-0000-0000C13B0000}"/>
    <cellStyle name="Comma 2 55 4" xfId="15301" xr:uid="{00000000-0005-0000-0000-0000C23B0000}"/>
    <cellStyle name="Comma 2 55 5" xfId="15302" xr:uid="{00000000-0005-0000-0000-0000C33B0000}"/>
    <cellStyle name="Comma 2 55 6" xfId="15303" xr:uid="{00000000-0005-0000-0000-0000C43B0000}"/>
    <cellStyle name="Comma 2 55 7" xfId="15304" xr:uid="{00000000-0005-0000-0000-0000C53B0000}"/>
    <cellStyle name="Comma 2 56" xfId="15305" xr:uid="{00000000-0005-0000-0000-0000C63B0000}"/>
    <cellStyle name="Comma 2 56 2" xfId="15306" xr:uid="{00000000-0005-0000-0000-0000C73B0000}"/>
    <cellStyle name="Comma 2 57" xfId="15307" xr:uid="{00000000-0005-0000-0000-0000C83B0000}"/>
    <cellStyle name="Comma 2 57 2" xfId="15308" xr:uid="{00000000-0005-0000-0000-0000C93B0000}"/>
    <cellStyle name="Comma 2 58" xfId="15309" xr:uid="{00000000-0005-0000-0000-0000CA3B0000}"/>
    <cellStyle name="Comma 2 58 2" xfId="15310" xr:uid="{00000000-0005-0000-0000-0000CB3B0000}"/>
    <cellStyle name="Comma 2 59" xfId="15311" xr:uid="{00000000-0005-0000-0000-0000CC3B0000}"/>
    <cellStyle name="Comma 2 59 2" xfId="15312" xr:uid="{00000000-0005-0000-0000-0000CD3B0000}"/>
    <cellStyle name="Comma 2 6" xfId="15313" xr:uid="{00000000-0005-0000-0000-0000CE3B0000}"/>
    <cellStyle name="Comma 2 6 10" xfId="15314" xr:uid="{00000000-0005-0000-0000-0000CF3B0000}"/>
    <cellStyle name="Comma 2 6 10 10" xfId="15315" xr:uid="{00000000-0005-0000-0000-0000D03B0000}"/>
    <cellStyle name="Comma 2 6 10 2" xfId="15316" xr:uid="{00000000-0005-0000-0000-0000D13B0000}"/>
    <cellStyle name="Comma 2 6 10 2 2" xfId="15317" xr:uid="{00000000-0005-0000-0000-0000D23B0000}"/>
    <cellStyle name="Comma 2 6 10 2 2 2" xfId="15318" xr:uid="{00000000-0005-0000-0000-0000D33B0000}"/>
    <cellStyle name="Comma 2 6 10 2 2 3" xfId="15319" xr:uid="{00000000-0005-0000-0000-0000D43B0000}"/>
    <cellStyle name="Comma 2 6 10 2 3" xfId="15320" xr:uid="{00000000-0005-0000-0000-0000D53B0000}"/>
    <cellStyle name="Comma 2 6 10 2 4" xfId="15321" xr:uid="{00000000-0005-0000-0000-0000D63B0000}"/>
    <cellStyle name="Comma 2 6 10 2 5" xfId="15322" xr:uid="{00000000-0005-0000-0000-0000D73B0000}"/>
    <cellStyle name="Comma 2 6 10 2 6" xfId="15323" xr:uid="{00000000-0005-0000-0000-0000D83B0000}"/>
    <cellStyle name="Comma 2 6 10 3" xfId="15324" xr:uid="{00000000-0005-0000-0000-0000D93B0000}"/>
    <cellStyle name="Comma 2 6 10 3 2" xfId="15325" xr:uid="{00000000-0005-0000-0000-0000DA3B0000}"/>
    <cellStyle name="Comma 2 6 10 3 2 2" xfId="15326" xr:uid="{00000000-0005-0000-0000-0000DB3B0000}"/>
    <cellStyle name="Comma 2 6 10 3 2 3" xfId="15327" xr:uid="{00000000-0005-0000-0000-0000DC3B0000}"/>
    <cellStyle name="Comma 2 6 10 3 3" xfId="15328" xr:uid="{00000000-0005-0000-0000-0000DD3B0000}"/>
    <cellStyle name="Comma 2 6 10 3 4" xfId="15329" xr:uid="{00000000-0005-0000-0000-0000DE3B0000}"/>
    <cellStyle name="Comma 2 6 10 3 5" xfId="15330" xr:uid="{00000000-0005-0000-0000-0000DF3B0000}"/>
    <cellStyle name="Comma 2 6 10 3 6" xfId="15331" xr:uid="{00000000-0005-0000-0000-0000E03B0000}"/>
    <cellStyle name="Comma 2 6 10 4" xfId="15332" xr:uid="{00000000-0005-0000-0000-0000E13B0000}"/>
    <cellStyle name="Comma 2 6 10 4 2" xfId="15333" xr:uid="{00000000-0005-0000-0000-0000E23B0000}"/>
    <cellStyle name="Comma 2 6 10 4 2 2" xfId="15334" xr:uid="{00000000-0005-0000-0000-0000E33B0000}"/>
    <cellStyle name="Comma 2 6 10 4 3" xfId="15335" xr:uid="{00000000-0005-0000-0000-0000E43B0000}"/>
    <cellStyle name="Comma 2 6 10 4 4" xfId="15336" xr:uid="{00000000-0005-0000-0000-0000E53B0000}"/>
    <cellStyle name="Comma 2 6 10 4 5" xfId="15337" xr:uid="{00000000-0005-0000-0000-0000E63B0000}"/>
    <cellStyle name="Comma 2 6 10 5" xfId="15338" xr:uid="{00000000-0005-0000-0000-0000E73B0000}"/>
    <cellStyle name="Comma 2 6 10 5 2" xfId="15339" xr:uid="{00000000-0005-0000-0000-0000E83B0000}"/>
    <cellStyle name="Comma 2 6 10 5 3" xfId="15340" xr:uid="{00000000-0005-0000-0000-0000E93B0000}"/>
    <cellStyle name="Comma 2 6 10 5 4" xfId="15341" xr:uid="{00000000-0005-0000-0000-0000EA3B0000}"/>
    <cellStyle name="Comma 2 6 10 6" xfId="15342" xr:uid="{00000000-0005-0000-0000-0000EB3B0000}"/>
    <cellStyle name="Comma 2 6 10 6 2" xfId="15343" xr:uid="{00000000-0005-0000-0000-0000EC3B0000}"/>
    <cellStyle name="Comma 2 6 10 7" xfId="15344" xr:uid="{00000000-0005-0000-0000-0000ED3B0000}"/>
    <cellStyle name="Comma 2 6 10 8" xfId="15345" xr:uid="{00000000-0005-0000-0000-0000EE3B0000}"/>
    <cellStyle name="Comma 2 6 10 9" xfId="15346" xr:uid="{00000000-0005-0000-0000-0000EF3B0000}"/>
    <cellStyle name="Comma 2 6 11" xfId="15347" xr:uid="{00000000-0005-0000-0000-0000F03B0000}"/>
    <cellStyle name="Comma 2 6 11 10" xfId="15348" xr:uid="{00000000-0005-0000-0000-0000F13B0000}"/>
    <cellStyle name="Comma 2 6 11 2" xfId="15349" xr:uid="{00000000-0005-0000-0000-0000F23B0000}"/>
    <cellStyle name="Comma 2 6 11 2 2" xfId="15350" xr:uid="{00000000-0005-0000-0000-0000F33B0000}"/>
    <cellStyle name="Comma 2 6 11 2 2 2" xfId="15351" xr:uid="{00000000-0005-0000-0000-0000F43B0000}"/>
    <cellStyle name="Comma 2 6 11 2 2 3" xfId="15352" xr:uid="{00000000-0005-0000-0000-0000F53B0000}"/>
    <cellStyle name="Comma 2 6 11 2 3" xfId="15353" xr:uid="{00000000-0005-0000-0000-0000F63B0000}"/>
    <cellStyle name="Comma 2 6 11 2 4" xfId="15354" xr:uid="{00000000-0005-0000-0000-0000F73B0000}"/>
    <cellStyle name="Comma 2 6 11 2 5" xfId="15355" xr:uid="{00000000-0005-0000-0000-0000F83B0000}"/>
    <cellStyle name="Comma 2 6 11 2 6" xfId="15356" xr:uid="{00000000-0005-0000-0000-0000F93B0000}"/>
    <cellStyle name="Comma 2 6 11 3" xfId="15357" xr:uid="{00000000-0005-0000-0000-0000FA3B0000}"/>
    <cellStyle name="Comma 2 6 11 3 2" xfId="15358" xr:uid="{00000000-0005-0000-0000-0000FB3B0000}"/>
    <cellStyle name="Comma 2 6 11 3 2 2" xfId="15359" xr:uid="{00000000-0005-0000-0000-0000FC3B0000}"/>
    <cellStyle name="Comma 2 6 11 3 2 3" xfId="15360" xr:uid="{00000000-0005-0000-0000-0000FD3B0000}"/>
    <cellStyle name="Comma 2 6 11 3 3" xfId="15361" xr:uid="{00000000-0005-0000-0000-0000FE3B0000}"/>
    <cellStyle name="Comma 2 6 11 3 4" xfId="15362" xr:uid="{00000000-0005-0000-0000-0000FF3B0000}"/>
    <cellStyle name="Comma 2 6 11 3 5" xfId="15363" xr:uid="{00000000-0005-0000-0000-0000003C0000}"/>
    <cellStyle name="Comma 2 6 11 3 6" xfId="15364" xr:uid="{00000000-0005-0000-0000-0000013C0000}"/>
    <cellStyle name="Comma 2 6 11 4" xfId="15365" xr:uid="{00000000-0005-0000-0000-0000023C0000}"/>
    <cellStyle name="Comma 2 6 11 4 2" xfId="15366" xr:uid="{00000000-0005-0000-0000-0000033C0000}"/>
    <cellStyle name="Comma 2 6 11 4 2 2" xfId="15367" xr:uid="{00000000-0005-0000-0000-0000043C0000}"/>
    <cellStyle name="Comma 2 6 11 4 3" xfId="15368" xr:uid="{00000000-0005-0000-0000-0000053C0000}"/>
    <cellStyle name="Comma 2 6 11 4 4" xfId="15369" xr:uid="{00000000-0005-0000-0000-0000063C0000}"/>
    <cellStyle name="Comma 2 6 11 4 5" xfId="15370" xr:uid="{00000000-0005-0000-0000-0000073C0000}"/>
    <cellStyle name="Comma 2 6 11 5" xfId="15371" xr:uid="{00000000-0005-0000-0000-0000083C0000}"/>
    <cellStyle name="Comma 2 6 11 5 2" xfId="15372" xr:uid="{00000000-0005-0000-0000-0000093C0000}"/>
    <cellStyle name="Comma 2 6 11 5 3" xfId="15373" xr:uid="{00000000-0005-0000-0000-00000A3C0000}"/>
    <cellStyle name="Comma 2 6 11 5 4" xfId="15374" xr:uid="{00000000-0005-0000-0000-00000B3C0000}"/>
    <cellStyle name="Comma 2 6 11 6" xfId="15375" xr:uid="{00000000-0005-0000-0000-00000C3C0000}"/>
    <cellStyle name="Comma 2 6 11 6 2" xfId="15376" xr:uid="{00000000-0005-0000-0000-00000D3C0000}"/>
    <cellStyle name="Comma 2 6 11 7" xfId="15377" xr:uid="{00000000-0005-0000-0000-00000E3C0000}"/>
    <cellStyle name="Comma 2 6 11 8" xfId="15378" xr:uid="{00000000-0005-0000-0000-00000F3C0000}"/>
    <cellStyle name="Comma 2 6 11 9" xfId="15379" xr:uid="{00000000-0005-0000-0000-0000103C0000}"/>
    <cellStyle name="Comma 2 6 12" xfId="15380" xr:uid="{00000000-0005-0000-0000-0000113C0000}"/>
    <cellStyle name="Comma 2 6 12 10" xfId="15381" xr:uid="{00000000-0005-0000-0000-0000123C0000}"/>
    <cellStyle name="Comma 2 6 12 2" xfId="15382" xr:uid="{00000000-0005-0000-0000-0000133C0000}"/>
    <cellStyle name="Comma 2 6 12 2 2" xfId="15383" xr:uid="{00000000-0005-0000-0000-0000143C0000}"/>
    <cellStyle name="Comma 2 6 12 2 2 2" xfId="15384" xr:uid="{00000000-0005-0000-0000-0000153C0000}"/>
    <cellStyle name="Comma 2 6 12 2 2 3" xfId="15385" xr:uid="{00000000-0005-0000-0000-0000163C0000}"/>
    <cellStyle name="Comma 2 6 12 2 3" xfId="15386" xr:uid="{00000000-0005-0000-0000-0000173C0000}"/>
    <cellStyle name="Comma 2 6 12 2 4" xfId="15387" xr:uid="{00000000-0005-0000-0000-0000183C0000}"/>
    <cellStyle name="Comma 2 6 12 2 5" xfId="15388" xr:uid="{00000000-0005-0000-0000-0000193C0000}"/>
    <cellStyle name="Comma 2 6 12 2 6" xfId="15389" xr:uid="{00000000-0005-0000-0000-00001A3C0000}"/>
    <cellStyle name="Comma 2 6 12 3" xfId="15390" xr:uid="{00000000-0005-0000-0000-00001B3C0000}"/>
    <cellStyle name="Comma 2 6 12 3 2" xfId="15391" xr:uid="{00000000-0005-0000-0000-00001C3C0000}"/>
    <cellStyle name="Comma 2 6 12 3 2 2" xfId="15392" xr:uid="{00000000-0005-0000-0000-00001D3C0000}"/>
    <cellStyle name="Comma 2 6 12 3 2 3" xfId="15393" xr:uid="{00000000-0005-0000-0000-00001E3C0000}"/>
    <cellStyle name="Comma 2 6 12 3 3" xfId="15394" xr:uid="{00000000-0005-0000-0000-00001F3C0000}"/>
    <cellStyle name="Comma 2 6 12 3 4" xfId="15395" xr:uid="{00000000-0005-0000-0000-0000203C0000}"/>
    <cellStyle name="Comma 2 6 12 3 5" xfId="15396" xr:uid="{00000000-0005-0000-0000-0000213C0000}"/>
    <cellStyle name="Comma 2 6 12 3 6" xfId="15397" xr:uid="{00000000-0005-0000-0000-0000223C0000}"/>
    <cellStyle name="Comma 2 6 12 4" xfId="15398" xr:uid="{00000000-0005-0000-0000-0000233C0000}"/>
    <cellStyle name="Comma 2 6 12 4 2" xfId="15399" xr:uid="{00000000-0005-0000-0000-0000243C0000}"/>
    <cellStyle name="Comma 2 6 12 4 2 2" xfId="15400" xr:uid="{00000000-0005-0000-0000-0000253C0000}"/>
    <cellStyle name="Comma 2 6 12 4 3" xfId="15401" xr:uid="{00000000-0005-0000-0000-0000263C0000}"/>
    <cellStyle name="Comma 2 6 12 4 4" xfId="15402" xr:uid="{00000000-0005-0000-0000-0000273C0000}"/>
    <cellStyle name="Comma 2 6 12 4 5" xfId="15403" xr:uid="{00000000-0005-0000-0000-0000283C0000}"/>
    <cellStyle name="Comma 2 6 12 5" xfId="15404" xr:uid="{00000000-0005-0000-0000-0000293C0000}"/>
    <cellStyle name="Comma 2 6 12 5 2" xfId="15405" xr:uid="{00000000-0005-0000-0000-00002A3C0000}"/>
    <cellStyle name="Comma 2 6 12 5 3" xfId="15406" xr:uid="{00000000-0005-0000-0000-00002B3C0000}"/>
    <cellStyle name="Comma 2 6 12 5 4" xfId="15407" xr:uid="{00000000-0005-0000-0000-00002C3C0000}"/>
    <cellStyle name="Comma 2 6 12 6" xfId="15408" xr:uid="{00000000-0005-0000-0000-00002D3C0000}"/>
    <cellStyle name="Comma 2 6 12 6 2" xfId="15409" xr:uid="{00000000-0005-0000-0000-00002E3C0000}"/>
    <cellStyle name="Comma 2 6 12 7" xfId="15410" xr:uid="{00000000-0005-0000-0000-00002F3C0000}"/>
    <cellStyle name="Comma 2 6 12 8" xfId="15411" xr:uid="{00000000-0005-0000-0000-0000303C0000}"/>
    <cellStyle name="Comma 2 6 12 9" xfId="15412" xr:uid="{00000000-0005-0000-0000-0000313C0000}"/>
    <cellStyle name="Comma 2 6 13" xfId="15413" xr:uid="{00000000-0005-0000-0000-0000323C0000}"/>
    <cellStyle name="Comma 2 6 13 2" xfId="15414" xr:uid="{00000000-0005-0000-0000-0000333C0000}"/>
    <cellStyle name="Comma 2 6 13 2 2" xfId="15415" xr:uid="{00000000-0005-0000-0000-0000343C0000}"/>
    <cellStyle name="Comma 2 6 13 2 2 2" xfId="15416" xr:uid="{00000000-0005-0000-0000-0000353C0000}"/>
    <cellStyle name="Comma 2 6 13 2 2 3" xfId="15417" xr:uid="{00000000-0005-0000-0000-0000363C0000}"/>
    <cellStyle name="Comma 2 6 13 2 3" xfId="15418" xr:uid="{00000000-0005-0000-0000-0000373C0000}"/>
    <cellStyle name="Comma 2 6 13 2 4" xfId="15419" xr:uid="{00000000-0005-0000-0000-0000383C0000}"/>
    <cellStyle name="Comma 2 6 13 2 5" xfId="15420" xr:uid="{00000000-0005-0000-0000-0000393C0000}"/>
    <cellStyle name="Comma 2 6 13 2 6" xfId="15421" xr:uid="{00000000-0005-0000-0000-00003A3C0000}"/>
    <cellStyle name="Comma 2 6 13 3" xfId="15422" xr:uid="{00000000-0005-0000-0000-00003B3C0000}"/>
    <cellStyle name="Comma 2 6 13 3 2" xfId="15423" xr:uid="{00000000-0005-0000-0000-00003C3C0000}"/>
    <cellStyle name="Comma 2 6 13 3 2 2" xfId="15424" xr:uid="{00000000-0005-0000-0000-00003D3C0000}"/>
    <cellStyle name="Comma 2 6 13 3 3" xfId="15425" xr:uid="{00000000-0005-0000-0000-00003E3C0000}"/>
    <cellStyle name="Comma 2 6 13 3 4" xfId="15426" xr:uid="{00000000-0005-0000-0000-00003F3C0000}"/>
    <cellStyle name="Comma 2 6 13 3 5" xfId="15427" xr:uid="{00000000-0005-0000-0000-0000403C0000}"/>
    <cellStyle name="Comma 2 6 13 4" xfId="15428" xr:uid="{00000000-0005-0000-0000-0000413C0000}"/>
    <cellStyle name="Comma 2 6 13 4 2" xfId="15429" xr:uid="{00000000-0005-0000-0000-0000423C0000}"/>
    <cellStyle name="Comma 2 6 13 4 3" xfId="15430" xr:uid="{00000000-0005-0000-0000-0000433C0000}"/>
    <cellStyle name="Comma 2 6 13 4 4" xfId="15431" xr:uid="{00000000-0005-0000-0000-0000443C0000}"/>
    <cellStyle name="Comma 2 6 13 5" xfId="15432" xr:uid="{00000000-0005-0000-0000-0000453C0000}"/>
    <cellStyle name="Comma 2 6 13 5 2" xfId="15433" xr:uid="{00000000-0005-0000-0000-0000463C0000}"/>
    <cellStyle name="Comma 2 6 13 6" xfId="15434" xr:uid="{00000000-0005-0000-0000-0000473C0000}"/>
    <cellStyle name="Comma 2 6 13 7" xfId="15435" xr:uid="{00000000-0005-0000-0000-0000483C0000}"/>
    <cellStyle name="Comma 2 6 13 8" xfId="15436" xr:uid="{00000000-0005-0000-0000-0000493C0000}"/>
    <cellStyle name="Comma 2 6 13 9" xfId="15437" xr:uid="{00000000-0005-0000-0000-00004A3C0000}"/>
    <cellStyle name="Comma 2 6 14" xfId="15438" xr:uid="{00000000-0005-0000-0000-00004B3C0000}"/>
    <cellStyle name="Comma 2 6 14 2" xfId="15439" xr:uid="{00000000-0005-0000-0000-00004C3C0000}"/>
    <cellStyle name="Comma 2 6 14 2 2" xfId="15440" xr:uid="{00000000-0005-0000-0000-00004D3C0000}"/>
    <cellStyle name="Comma 2 6 14 2 2 2" xfId="15441" xr:uid="{00000000-0005-0000-0000-00004E3C0000}"/>
    <cellStyle name="Comma 2 6 14 2 2 3" xfId="15442" xr:uid="{00000000-0005-0000-0000-00004F3C0000}"/>
    <cellStyle name="Comma 2 6 14 2 3" xfId="15443" xr:uid="{00000000-0005-0000-0000-0000503C0000}"/>
    <cellStyle name="Comma 2 6 14 2 4" xfId="15444" xr:uid="{00000000-0005-0000-0000-0000513C0000}"/>
    <cellStyle name="Comma 2 6 14 2 5" xfId="15445" xr:uid="{00000000-0005-0000-0000-0000523C0000}"/>
    <cellStyle name="Comma 2 6 14 2 6" xfId="15446" xr:uid="{00000000-0005-0000-0000-0000533C0000}"/>
    <cellStyle name="Comma 2 6 14 3" xfId="15447" xr:uid="{00000000-0005-0000-0000-0000543C0000}"/>
    <cellStyle name="Comma 2 6 14 3 2" xfId="15448" xr:uid="{00000000-0005-0000-0000-0000553C0000}"/>
    <cellStyle name="Comma 2 6 14 3 2 2" xfId="15449" xr:uid="{00000000-0005-0000-0000-0000563C0000}"/>
    <cellStyle name="Comma 2 6 14 3 3" xfId="15450" xr:uid="{00000000-0005-0000-0000-0000573C0000}"/>
    <cellStyle name="Comma 2 6 14 3 4" xfId="15451" xr:uid="{00000000-0005-0000-0000-0000583C0000}"/>
    <cellStyle name="Comma 2 6 14 3 5" xfId="15452" xr:uid="{00000000-0005-0000-0000-0000593C0000}"/>
    <cellStyle name="Comma 2 6 14 4" xfId="15453" xr:uid="{00000000-0005-0000-0000-00005A3C0000}"/>
    <cellStyle name="Comma 2 6 14 4 2" xfId="15454" xr:uid="{00000000-0005-0000-0000-00005B3C0000}"/>
    <cellStyle name="Comma 2 6 14 4 3" xfId="15455" xr:uid="{00000000-0005-0000-0000-00005C3C0000}"/>
    <cellStyle name="Comma 2 6 14 4 4" xfId="15456" xr:uid="{00000000-0005-0000-0000-00005D3C0000}"/>
    <cellStyle name="Comma 2 6 14 5" xfId="15457" xr:uid="{00000000-0005-0000-0000-00005E3C0000}"/>
    <cellStyle name="Comma 2 6 14 5 2" xfId="15458" xr:uid="{00000000-0005-0000-0000-00005F3C0000}"/>
    <cellStyle name="Comma 2 6 14 6" xfId="15459" xr:uid="{00000000-0005-0000-0000-0000603C0000}"/>
    <cellStyle name="Comma 2 6 14 7" xfId="15460" xr:uid="{00000000-0005-0000-0000-0000613C0000}"/>
    <cellStyle name="Comma 2 6 14 8" xfId="15461" xr:uid="{00000000-0005-0000-0000-0000623C0000}"/>
    <cellStyle name="Comma 2 6 14 9" xfId="15462" xr:uid="{00000000-0005-0000-0000-0000633C0000}"/>
    <cellStyle name="Comma 2 6 15" xfId="15463" xr:uid="{00000000-0005-0000-0000-0000643C0000}"/>
    <cellStyle name="Comma 2 6 15 2" xfId="15464" xr:uid="{00000000-0005-0000-0000-0000653C0000}"/>
    <cellStyle name="Comma 2 6 15 2 2" xfId="15465" xr:uid="{00000000-0005-0000-0000-0000663C0000}"/>
    <cellStyle name="Comma 2 6 15 2 3" xfId="15466" xr:uid="{00000000-0005-0000-0000-0000673C0000}"/>
    <cellStyle name="Comma 2 6 15 3" xfId="15467" xr:uid="{00000000-0005-0000-0000-0000683C0000}"/>
    <cellStyle name="Comma 2 6 15 4" xfId="15468" xr:uid="{00000000-0005-0000-0000-0000693C0000}"/>
    <cellStyle name="Comma 2 6 15 5" xfId="15469" xr:uid="{00000000-0005-0000-0000-00006A3C0000}"/>
    <cellStyle name="Comma 2 6 15 6" xfId="15470" xr:uid="{00000000-0005-0000-0000-00006B3C0000}"/>
    <cellStyle name="Comma 2 6 16" xfId="15471" xr:uid="{00000000-0005-0000-0000-00006C3C0000}"/>
    <cellStyle name="Comma 2 6 16 2" xfId="15472" xr:uid="{00000000-0005-0000-0000-00006D3C0000}"/>
    <cellStyle name="Comma 2 6 16 2 2" xfId="15473" xr:uid="{00000000-0005-0000-0000-00006E3C0000}"/>
    <cellStyle name="Comma 2 6 16 3" xfId="15474" xr:uid="{00000000-0005-0000-0000-00006F3C0000}"/>
    <cellStyle name="Comma 2 6 16 4" xfId="15475" xr:uid="{00000000-0005-0000-0000-0000703C0000}"/>
    <cellStyle name="Comma 2 6 16 5" xfId="15476" xr:uid="{00000000-0005-0000-0000-0000713C0000}"/>
    <cellStyle name="Comma 2 6 17" xfId="15477" xr:uid="{00000000-0005-0000-0000-0000723C0000}"/>
    <cellStyle name="Comma 2 6 17 2" xfId="15478" xr:uid="{00000000-0005-0000-0000-0000733C0000}"/>
    <cellStyle name="Comma 2 6 17 2 2" xfId="15479" xr:uid="{00000000-0005-0000-0000-0000743C0000}"/>
    <cellStyle name="Comma 2 6 17 3" xfId="15480" xr:uid="{00000000-0005-0000-0000-0000753C0000}"/>
    <cellStyle name="Comma 2 6 17 4" xfId="15481" xr:uid="{00000000-0005-0000-0000-0000763C0000}"/>
    <cellStyle name="Comma 2 6 17 5" xfId="15482" xr:uid="{00000000-0005-0000-0000-0000773C0000}"/>
    <cellStyle name="Comma 2 6 18" xfId="15483" xr:uid="{00000000-0005-0000-0000-0000783C0000}"/>
    <cellStyle name="Comma 2 6 18 2" xfId="15484" xr:uid="{00000000-0005-0000-0000-0000793C0000}"/>
    <cellStyle name="Comma 2 6 19" xfId="15485" xr:uid="{00000000-0005-0000-0000-00007A3C0000}"/>
    <cellStyle name="Comma 2 6 2" xfId="15486" xr:uid="{00000000-0005-0000-0000-00007B3C0000}"/>
    <cellStyle name="Comma 2 6 2 10" xfId="15487" xr:uid="{00000000-0005-0000-0000-00007C3C0000}"/>
    <cellStyle name="Comma 2 6 2 11" xfId="15488" xr:uid="{00000000-0005-0000-0000-00007D3C0000}"/>
    <cellStyle name="Comma 2 6 2 2" xfId="15489" xr:uid="{00000000-0005-0000-0000-00007E3C0000}"/>
    <cellStyle name="Comma 2 6 2 2 2" xfId="15490" xr:uid="{00000000-0005-0000-0000-00007F3C0000}"/>
    <cellStyle name="Comma 2 6 2 2 2 2" xfId="15491" xr:uid="{00000000-0005-0000-0000-0000803C0000}"/>
    <cellStyle name="Comma 2 6 2 2 2 2 2" xfId="15492" xr:uid="{00000000-0005-0000-0000-0000813C0000}"/>
    <cellStyle name="Comma 2 6 2 2 2 2 3" xfId="15493" xr:uid="{00000000-0005-0000-0000-0000823C0000}"/>
    <cellStyle name="Comma 2 6 2 2 2 3" xfId="15494" xr:uid="{00000000-0005-0000-0000-0000833C0000}"/>
    <cellStyle name="Comma 2 6 2 2 2 4" xfId="15495" xr:uid="{00000000-0005-0000-0000-0000843C0000}"/>
    <cellStyle name="Comma 2 6 2 2 2 5" xfId="15496" xr:uid="{00000000-0005-0000-0000-0000853C0000}"/>
    <cellStyle name="Comma 2 6 2 2 2 6" xfId="15497" xr:uid="{00000000-0005-0000-0000-0000863C0000}"/>
    <cellStyle name="Comma 2 6 2 2 3" xfId="15498" xr:uid="{00000000-0005-0000-0000-0000873C0000}"/>
    <cellStyle name="Comma 2 6 2 2 3 2" xfId="15499" xr:uid="{00000000-0005-0000-0000-0000883C0000}"/>
    <cellStyle name="Comma 2 6 2 2 3 2 2" xfId="15500" xr:uid="{00000000-0005-0000-0000-0000893C0000}"/>
    <cellStyle name="Comma 2 6 2 2 3 3" xfId="15501" xr:uid="{00000000-0005-0000-0000-00008A3C0000}"/>
    <cellStyle name="Comma 2 6 2 2 3 4" xfId="15502" xr:uid="{00000000-0005-0000-0000-00008B3C0000}"/>
    <cellStyle name="Comma 2 6 2 2 3 5" xfId="15503" xr:uid="{00000000-0005-0000-0000-00008C3C0000}"/>
    <cellStyle name="Comma 2 6 2 2 4" xfId="15504" xr:uid="{00000000-0005-0000-0000-00008D3C0000}"/>
    <cellStyle name="Comma 2 6 2 2 4 2" xfId="15505" xr:uid="{00000000-0005-0000-0000-00008E3C0000}"/>
    <cellStyle name="Comma 2 6 2 2 4 3" xfId="15506" xr:uid="{00000000-0005-0000-0000-00008F3C0000}"/>
    <cellStyle name="Comma 2 6 2 2 4 4" xfId="15507" xr:uid="{00000000-0005-0000-0000-0000903C0000}"/>
    <cellStyle name="Comma 2 6 2 2 5" xfId="15508" xr:uid="{00000000-0005-0000-0000-0000913C0000}"/>
    <cellStyle name="Comma 2 6 2 2 5 2" xfId="15509" xr:uid="{00000000-0005-0000-0000-0000923C0000}"/>
    <cellStyle name="Comma 2 6 2 2 6" xfId="15510" xr:uid="{00000000-0005-0000-0000-0000933C0000}"/>
    <cellStyle name="Comma 2 6 2 2 7" xfId="15511" xr:uid="{00000000-0005-0000-0000-0000943C0000}"/>
    <cellStyle name="Comma 2 6 2 2 8" xfId="15512" xr:uid="{00000000-0005-0000-0000-0000953C0000}"/>
    <cellStyle name="Comma 2 6 2 2 9" xfId="15513" xr:uid="{00000000-0005-0000-0000-0000963C0000}"/>
    <cellStyle name="Comma 2 6 2 3" xfId="15514" xr:uid="{00000000-0005-0000-0000-0000973C0000}"/>
    <cellStyle name="Comma 2 6 2 3 2" xfId="15515" xr:uid="{00000000-0005-0000-0000-0000983C0000}"/>
    <cellStyle name="Comma 2 6 2 3 2 2" xfId="15516" xr:uid="{00000000-0005-0000-0000-0000993C0000}"/>
    <cellStyle name="Comma 2 6 2 3 2 2 2" xfId="15517" xr:uid="{00000000-0005-0000-0000-00009A3C0000}"/>
    <cellStyle name="Comma 2 6 2 3 2 2 3" xfId="15518" xr:uid="{00000000-0005-0000-0000-00009B3C0000}"/>
    <cellStyle name="Comma 2 6 2 3 2 3" xfId="15519" xr:uid="{00000000-0005-0000-0000-00009C3C0000}"/>
    <cellStyle name="Comma 2 6 2 3 2 4" xfId="15520" xr:uid="{00000000-0005-0000-0000-00009D3C0000}"/>
    <cellStyle name="Comma 2 6 2 3 2 5" xfId="15521" xr:uid="{00000000-0005-0000-0000-00009E3C0000}"/>
    <cellStyle name="Comma 2 6 2 3 2 6" xfId="15522" xr:uid="{00000000-0005-0000-0000-00009F3C0000}"/>
    <cellStyle name="Comma 2 6 2 3 3" xfId="15523" xr:uid="{00000000-0005-0000-0000-0000A03C0000}"/>
    <cellStyle name="Comma 2 6 2 3 3 2" xfId="15524" xr:uid="{00000000-0005-0000-0000-0000A13C0000}"/>
    <cellStyle name="Comma 2 6 2 3 3 2 2" xfId="15525" xr:uid="{00000000-0005-0000-0000-0000A23C0000}"/>
    <cellStyle name="Comma 2 6 2 3 3 3" xfId="15526" xr:uid="{00000000-0005-0000-0000-0000A33C0000}"/>
    <cellStyle name="Comma 2 6 2 3 3 4" xfId="15527" xr:uid="{00000000-0005-0000-0000-0000A43C0000}"/>
    <cellStyle name="Comma 2 6 2 3 3 5" xfId="15528" xr:uid="{00000000-0005-0000-0000-0000A53C0000}"/>
    <cellStyle name="Comma 2 6 2 3 4" xfId="15529" xr:uid="{00000000-0005-0000-0000-0000A63C0000}"/>
    <cellStyle name="Comma 2 6 2 3 4 2" xfId="15530" xr:uid="{00000000-0005-0000-0000-0000A73C0000}"/>
    <cellStyle name="Comma 2 6 2 3 4 3" xfId="15531" xr:uid="{00000000-0005-0000-0000-0000A83C0000}"/>
    <cellStyle name="Comma 2 6 2 3 4 4" xfId="15532" xr:uid="{00000000-0005-0000-0000-0000A93C0000}"/>
    <cellStyle name="Comma 2 6 2 3 5" xfId="15533" xr:uid="{00000000-0005-0000-0000-0000AA3C0000}"/>
    <cellStyle name="Comma 2 6 2 3 5 2" xfId="15534" xr:uid="{00000000-0005-0000-0000-0000AB3C0000}"/>
    <cellStyle name="Comma 2 6 2 3 6" xfId="15535" xr:uid="{00000000-0005-0000-0000-0000AC3C0000}"/>
    <cellStyle name="Comma 2 6 2 3 7" xfId="15536" xr:uid="{00000000-0005-0000-0000-0000AD3C0000}"/>
    <cellStyle name="Comma 2 6 2 3 8" xfId="15537" xr:uid="{00000000-0005-0000-0000-0000AE3C0000}"/>
    <cellStyle name="Comma 2 6 2 3 9" xfId="15538" xr:uid="{00000000-0005-0000-0000-0000AF3C0000}"/>
    <cellStyle name="Comma 2 6 2 4" xfId="15539" xr:uid="{00000000-0005-0000-0000-0000B03C0000}"/>
    <cellStyle name="Comma 2 6 2 4 2" xfId="15540" xr:uid="{00000000-0005-0000-0000-0000B13C0000}"/>
    <cellStyle name="Comma 2 6 2 4 2 2" xfId="15541" xr:uid="{00000000-0005-0000-0000-0000B23C0000}"/>
    <cellStyle name="Comma 2 6 2 4 2 3" xfId="15542" xr:uid="{00000000-0005-0000-0000-0000B33C0000}"/>
    <cellStyle name="Comma 2 6 2 4 3" xfId="15543" xr:uid="{00000000-0005-0000-0000-0000B43C0000}"/>
    <cellStyle name="Comma 2 6 2 4 4" xfId="15544" xr:uid="{00000000-0005-0000-0000-0000B53C0000}"/>
    <cellStyle name="Comma 2 6 2 4 5" xfId="15545" xr:uid="{00000000-0005-0000-0000-0000B63C0000}"/>
    <cellStyle name="Comma 2 6 2 4 6" xfId="15546" xr:uid="{00000000-0005-0000-0000-0000B73C0000}"/>
    <cellStyle name="Comma 2 6 2 5" xfId="15547" xr:uid="{00000000-0005-0000-0000-0000B83C0000}"/>
    <cellStyle name="Comma 2 6 2 5 2" xfId="15548" xr:uid="{00000000-0005-0000-0000-0000B93C0000}"/>
    <cellStyle name="Comma 2 6 2 5 2 2" xfId="15549" xr:uid="{00000000-0005-0000-0000-0000BA3C0000}"/>
    <cellStyle name="Comma 2 6 2 5 3" xfId="15550" xr:uid="{00000000-0005-0000-0000-0000BB3C0000}"/>
    <cellStyle name="Comma 2 6 2 5 4" xfId="15551" xr:uid="{00000000-0005-0000-0000-0000BC3C0000}"/>
    <cellStyle name="Comma 2 6 2 5 5" xfId="15552" xr:uid="{00000000-0005-0000-0000-0000BD3C0000}"/>
    <cellStyle name="Comma 2 6 2 6" xfId="15553" xr:uid="{00000000-0005-0000-0000-0000BE3C0000}"/>
    <cellStyle name="Comma 2 6 2 6 2" xfId="15554" xr:uid="{00000000-0005-0000-0000-0000BF3C0000}"/>
    <cellStyle name="Comma 2 6 2 6 3" xfId="15555" xr:uid="{00000000-0005-0000-0000-0000C03C0000}"/>
    <cellStyle name="Comma 2 6 2 6 4" xfId="15556" xr:uid="{00000000-0005-0000-0000-0000C13C0000}"/>
    <cellStyle name="Comma 2 6 2 7" xfId="15557" xr:uid="{00000000-0005-0000-0000-0000C23C0000}"/>
    <cellStyle name="Comma 2 6 2 7 2" xfId="15558" xr:uid="{00000000-0005-0000-0000-0000C33C0000}"/>
    <cellStyle name="Comma 2 6 2 8" xfId="15559" xr:uid="{00000000-0005-0000-0000-0000C43C0000}"/>
    <cellStyle name="Comma 2 6 2 9" xfId="15560" xr:uid="{00000000-0005-0000-0000-0000C53C0000}"/>
    <cellStyle name="Comma 2 6 20" xfId="15561" xr:uid="{00000000-0005-0000-0000-0000C63C0000}"/>
    <cellStyle name="Comma 2 6 21" xfId="15562" xr:uid="{00000000-0005-0000-0000-0000C73C0000}"/>
    <cellStyle name="Comma 2 6 22" xfId="15563" xr:uid="{00000000-0005-0000-0000-0000C83C0000}"/>
    <cellStyle name="Comma 2 6 3" xfId="15564" xr:uid="{00000000-0005-0000-0000-0000C93C0000}"/>
    <cellStyle name="Comma 2 6 3 10" xfId="15565" xr:uid="{00000000-0005-0000-0000-0000CA3C0000}"/>
    <cellStyle name="Comma 2 6 3 11" xfId="15566" xr:uid="{00000000-0005-0000-0000-0000CB3C0000}"/>
    <cellStyle name="Comma 2 6 3 2" xfId="15567" xr:uid="{00000000-0005-0000-0000-0000CC3C0000}"/>
    <cellStyle name="Comma 2 6 3 2 2" xfId="15568" xr:uid="{00000000-0005-0000-0000-0000CD3C0000}"/>
    <cellStyle name="Comma 2 6 3 2 2 2" xfId="15569" xr:uid="{00000000-0005-0000-0000-0000CE3C0000}"/>
    <cellStyle name="Comma 2 6 3 2 2 2 2" xfId="15570" xr:uid="{00000000-0005-0000-0000-0000CF3C0000}"/>
    <cellStyle name="Comma 2 6 3 2 2 2 3" xfId="15571" xr:uid="{00000000-0005-0000-0000-0000D03C0000}"/>
    <cellStyle name="Comma 2 6 3 2 2 3" xfId="15572" xr:uid="{00000000-0005-0000-0000-0000D13C0000}"/>
    <cellStyle name="Comma 2 6 3 2 2 4" xfId="15573" xr:uid="{00000000-0005-0000-0000-0000D23C0000}"/>
    <cellStyle name="Comma 2 6 3 2 2 5" xfId="15574" xr:uid="{00000000-0005-0000-0000-0000D33C0000}"/>
    <cellStyle name="Comma 2 6 3 2 2 6" xfId="15575" xr:uid="{00000000-0005-0000-0000-0000D43C0000}"/>
    <cellStyle name="Comma 2 6 3 2 3" xfId="15576" xr:uid="{00000000-0005-0000-0000-0000D53C0000}"/>
    <cellStyle name="Comma 2 6 3 2 3 2" xfId="15577" xr:uid="{00000000-0005-0000-0000-0000D63C0000}"/>
    <cellStyle name="Comma 2 6 3 2 3 2 2" xfId="15578" xr:uid="{00000000-0005-0000-0000-0000D73C0000}"/>
    <cellStyle name="Comma 2 6 3 2 3 3" xfId="15579" xr:uid="{00000000-0005-0000-0000-0000D83C0000}"/>
    <cellStyle name="Comma 2 6 3 2 3 4" xfId="15580" xr:uid="{00000000-0005-0000-0000-0000D93C0000}"/>
    <cellStyle name="Comma 2 6 3 2 3 5" xfId="15581" xr:uid="{00000000-0005-0000-0000-0000DA3C0000}"/>
    <cellStyle name="Comma 2 6 3 2 4" xfId="15582" xr:uid="{00000000-0005-0000-0000-0000DB3C0000}"/>
    <cellStyle name="Comma 2 6 3 2 4 2" xfId="15583" xr:uid="{00000000-0005-0000-0000-0000DC3C0000}"/>
    <cellStyle name="Comma 2 6 3 2 4 3" xfId="15584" xr:uid="{00000000-0005-0000-0000-0000DD3C0000}"/>
    <cellStyle name="Comma 2 6 3 2 4 4" xfId="15585" xr:uid="{00000000-0005-0000-0000-0000DE3C0000}"/>
    <cellStyle name="Comma 2 6 3 2 5" xfId="15586" xr:uid="{00000000-0005-0000-0000-0000DF3C0000}"/>
    <cellStyle name="Comma 2 6 3 2 5 2" xfId="15587" xr:uid="{00000000-0005-0000-0000-0000E03C0000}"/>
    <cellStyle name="Comma 2 6 3 2 6" xfId="15588" xr:uid="{00000000-0005-0000-0000-0000E13C0000}"/>
    <cellStyle name="Comma 2 6 3 2 7" xfId="15589" xr:uid="{00000000-0005-0000-0000-0000E23C0000}"/>
    <cellStyle name="Comma 2 6 3 2 8" xfId="15590" xr:uid="{00000000-0005-0000-0000-0000E33C0000}"/>
    <cellStyle name="Comma 2 6 3 2 9" xfId="15591" xr:uid="{00000000-0005-0000-0000-0000E43C0000}"/>
    <cellStyle name="Comma 2 6 3 3" xfId="15592" xr:uid="{00000000-0005-0000-0000-0000E53C0000}"/>
    <cellStyle name="Comma 2 6 3 3 2" xfId="15593" xr:uid="{00000000-0005-0000-0000-0000E63C0000}"/>
    <cellStyle name="Comma 2 6 3 3 2 2" xfId="15594" xr:uid="{00000000-0005-0000-0000-0000E73C0000}"/>
    <cellStyle name="Comma 2 6 3 3 2 2 2" xfId="15595" xr:uid="{00000000-0005-0000-0000-0000E83C0000}"/>
    <cellStyle name="Comma 2 6 3 3 2 2 3" xfId="15596" xr:uid="{00000000-0005-0000-0000-0000E93C0000}"/>
    <cellStyle name="Comma 2 6 3 3 2 3" xfId="15597" xr:uid="{00000000-0005-0000-0000-0000EA3C0000}"/>
    <cellStyle name="Comma 2 6 3 3 2 4" xfId="15598" xr:uid="{00000000-0005-0000-0000-0000EB3C0000}"/>
    <cellStyle name="Comma 2 6 3 3 2 5" xfId="15599" xr:uid="{00000000-0005-0000-0000-0000EC3C0000}"/>
    <cellStyle name="Comma 2 6 3 3 2 6" xfId="15600" xr:uid="{00000000-0005-0000-0000-0000ED3C0000}"/>
    <cellStyle name="Comma 2 6 3 3 3" xfId="15601" xr:uid="{00000000-0005-0000-0000-0000EE3C0000}"/>
    <cellStyle name="Comma 2 6 3 3 3 2" xfId="15602" xr:uid="{00000000-0005-0000-0000-0000EF3C0000}"/>
    <cellStyle name="Comma 2 6 3 3 3 2 2" xfId="15603" xr:uid="{00000000-0005-0000-0000-0000F03C0000}"/>
    <cellStyle name="Comma 2 6 3 3 3 3" xfId="15604" xr:uid="{00000000-0005-0000-0000-0000F13C0000}"/>
    <cellStyle name="Comma 2 6 3 3 3 4" xfId="15605" xr:uid="{00000000-0005-0000-0000-0000F23C0000}"/>
    <cellStyle name="Comma 2 6 3 3 3 5" xfId="15606" xr:uid="{00000000-0005-0000-0000-0000F33C0000}"/>
    <cellStyle name="Comma 2 6 3 3 4" xfId="15607" xr:uid="{00000000-0005-0000-0000-0000F43C0000}"/>
    <cellStyle name="Comma 2 6 3 3 4 2" xfId="15608" xr:uid="{00000000-0005-0000-0000-0000F53C0000}"/>
    <cellStyle name="Comma 2 6 3 3 4 3" xfId="15609" xr:uid="{00000000-0005-0000-0000-0000F63C0000}"/>
    <cellStyle name="Comma 2 6 3 3 4 4" xfId="15610" xr:uid="{00000000-0005-0000-0000-0000F73C0000}"/>
    <cellStyle name="Comma 2 6 3 3 5" xfId="15611" xr:uid="{00000000-0005-0000-0000-0000F83C0000}"/>
    <cellStyle name="Comma 2 6 3 3 5 2" xfId="15612" xr:uid="{00000000-0005-0000-0000-0000F93C0000}"/>
    <cellStyle name="Comma 2 6 3 3 6" xfId="15613" xr:uid="{00000000-0005-0000-0000-0000FA3C0000}"/>
    <cellStyle name="Comma 2 6 3 3 7" xfId="15614" xr:uid="{00000000-0005-0000-0000-0000FB3C0000}"/>
    <cellStyle name="Comma 2 6 3 3 8" xfId="15615" xr:uid="{00000000-0005-0000-0000-0000FC3C0000}"/>
    <cellStyle name="Comma 2 6 3 3 9" xfId="15616" xr:uid="{00000000-0005-0000-0000-0000FD3C0000}"/>
    <cellStyle name="Comma 2 6 3 4" xfId="15617" xr:uid="{00000000-0005-0000-0000-0000FE3C0000}"/>
    <cellStyle name="Comma 2 6 3 4 2" xfId="15618" xr:uid="{00000000-0005-0000-0000-0000FF3C0000}"/>
    <cellStyle name="Comma 2 6 3 4 2 2" xfId="15619" xr:uid="{00000000-0005-0000-0000-0000003D0000}"/>
    <cellStyle name="Comma 2 6 3 4 2 3" xfId="15620" xr:uid="{00000000-0005-0000-0000-0000013D0000}"/>
    <cellStyle name="Comma 2 6 3 4 3" xfId="15621" xr:uid="{00000000-0005-0000-0000-0000023D0000}"/>
    <cellStyle name="Comma 2 6 3 4 4" xfId="15622" xr:uid="{00000000-0005-0000-0000-0000033D0000}"/>
    <cellStyle name="Comma 2 6 3 4 5" xfId="15623" xr:uid="{00000000-0005-0000-0000-0000043D0000}"/>
    <cellStyle name="Comma 2 6 3 4 6" xfId="15624" xr:uid="{00000000-0005-0000-0000-0000053D0000}"/>
    <cellStyle name="Comma 2 6 3 5" xfId="15625" xr:uid="{00000000-0005-0000-0000-0000063D0000}"/>
    <cellStyle name="Comma 2 6 3 5 2" xfId="15626" xr:uid="{00000000-0005-0000-0000-0000073D0000}"/>
    <cellStyle name="Comma 2 6 3 5 2 2" xfId="15627" xr:uid="{00000000-0005-0000-0000-0000083D0000}"/>
    <cellStyle name="Comma 2 6 3 5 3" xfId="15628" xr:uid="{00000000-0005-0000-0000-0000093D0000}"/>
    <cellStyle name="Comma 2 6 3 5 4" xfId="15629" xr:uid="{00000000-0005-0000-0000-00000A3D0000}"/>
    <cellStyle name="Comma 2 6 3 5 5" xfId="15630" xr:uid="{00000000-0005-0000-0000-00000B3D0000}"/>
    <cellStyle name="Comma 2 6 3 6" xfId="15631" xr:uid="{00000000-0005-0000-0000-00000C3D0000}"/>
    <cellStyle name="Comma 2 6 3 6 2" xfId="15632" xr:uid="{00000000-0005-0000-0000-00000D3D0000}"/>
    <cellStyle name="Comma 2 6 3 6 3" xfId="15633" xr:uid="{00000000-0005-0000-0000-00000E3D0000}"/>
    <cellStyle name="Comma 2 6 3 6 4" xfId="15634" xr:uid="{00000000-0005-0000-0000-00000F3D0000}"/>
    <cellStyle name="Comma 2 6 3 7" xfId="15635" xr:uid="{00000000-0005-0000-0000-0000103D0000}"/>
    <cellStyle name="Comma 2 6 3 7 2" xfId="15636" xr:uid="{00000000-0005-0000-0000-0000113D0000}"/>
    <cellStyle name="Comma 2 6 3 8" xfId="15637" xr:uid="{00000000-0005-0000-0000-0000123D0000}"/>
    <cellStyle name="Comma 2 6 3 9" xfId="15638" xr:uid="{00000000-0005-0000-0000-0000133D0000}"/>
    <cellStyle name="Comma 2 6 4" xfId="15639" xr:uid="{00000000-0005-0000-0000-0000143D0000}"/>
    <cellStyle name="Comma 2 6 4 10" xfId="15640" xr:uid="{00000000-0005-0000-0000-0000153D0000}"/>
    <cellStyle name="Comma 2 6 4 11" xfId="15641" xr:uid="{00000000-0005-0000-0000-0000163D0000}"/>
    <cellStyle name="Comma 2 6 4 2" xfId="15642" xr:uid="{00000000-0005-0000-0000-0000173D0000}"/>
    <cellStyle name="Comma 2 6 4 2 2" xfId="15643" xr:uid="{00000000-0005-0000-0000-0000183D0000}"/>
    <cellStyle name="Comma 2 6 4 2 2 2" xfId="15644" xr:uid="{00000000-0005-0000-0000-0000193D0000}"/>
    <cellStyle name="Comma 2 6 4 2 2 2 2" xfId="15645" xr:uid="{00000000-0005-0000-0000-00001A3D0000}"/>
    <cellStyle name="Comma 2 6 4 2 2 2 3" xfId="15646" xr:uid="{00000000-0005-0000-0000-00001B3D0000}"/>
    <cellStyle name="Comma 2 6 4 2 2 3" xfId="15647" xr:uid="{00000000-0005-0000-0000-00001C3D0000}"/>
    <cellStyle name="Comma 2 6 4 2 2 4" xfId="15648" xr:uid="{00000000-0005-0000-0000-00001D3D0000}"/>
    <cellStyle name="Comma 2 6 4 2 2 5" xfId="15649" xr:uid="{00000000-0005-0000-0000-00001E3D0000}"/>
    <cellStyle name="Comma 2 6 4 2 2 6" xfId="15650" xr:uid="{00000000-0005-0000-0000-00001F3D0000}"/>
    <cellStyle name="Comma 2 6 4 2 3" xfId="15651" xr:uid="{00000000-0005-0000-0000-0000203D0000}"/>
    <cellStyle name="Comma 2 6 4 2 3 2" xfId="15652" xr:uid="{00000000-0005-0000-0000-0000213D0000}"/>
    <cellStyle name="Comma 2 6 4 2 3 2 2" xfId="15653" xr:uid="{00000000-0005-0000-0000-0000223D0000}"/>
    <cellStyle name="Comma 2 6 4 2 3 3" xfId="15654" xr:uid="{00000000-0005-0000-0000-0000233D0000}"/>
    <cellStyle name="Comma 2 6 4 2 3 4" xfId="15655" xr:uid="{00000000-0005-0000-0000-0000243D0000}"/>
    <cellStyle name="Comma 2 6 4 2 3 5" xfId="15656" xr:uid="{00000000-0005-0000-0000-0000253D0000}"/>
    <cellStyle name="Comma 2 6 4 2 4" xfId="15657" xr:uid="{00000000-0005-0000-0000-0000263D0000}"/>
    <cellStyle name="Comma 2 6 4 2 4 2" xfId="15658" xr:uid="{00000000-0005-0000-0000-0000273D0000}"/>
    <cellStyle name="Comma 2 6 4 2 4 3" xfId="15659" xr:uid="{00000000-0005-0000-0000-0000283D0000}"/>
    <cellStyle name="Comma 2 6 4 2 4 4" xfId="15660" xr:uid="{00000000-0005-0000-0000-0000293D0000}"/>
    <cellStyle name="Comma 2 6 4 2 5" xfId="15661" xr:uid="{00000000-0005-0000-0000-00002A3D0000}"/>
    <cellStyle name="Comma 2 6 4 2 5 2" xfId="15662" xr:uid="{00000000-0005-0000-0000-00002B3D0000}"/>
    <cellStyle name="Comma 2 6 4 2 6" xfId="15663" xr:uid="{00000000-0005-0000-0000-00002C3D0000}"/>
    <cellStyle name="Comma 2 6 4 2 7" xfId="15664" xr:uid="{00000000-0005-0000-0000-00002D3D0000}"/>
    <cellStyle name="Comma 2 6 4 2 8" xfId="15665" xr:uid="{00000000-0005-0000-0000-00002E3D0000}"/>
    <cellStyle name="Comma 2 6 4 2 9" xfId="15666" xr:uid="{00000000-0005-0000-0000-00002F3D0000}"/>
    <cellStyle name="Comma 2 6 4 3" xfId="15667" xr:uid="{00000000-0005-0000-0000-0000303D0000}"/>
    <cellStyle name="Comma 2 6 4 3 2" xfId="15668" xr:uid="{00000000-0005-0000-0000-0000313D0000}"/>
    <cellStyle name="Comma 2 6 4 3 2 2" xfId="15669" xr:uid="{00000000-0005-0000-0000-0000323D0000}"/>
    <cellStyle name="Comma 2 6 4 3 2 2 2" xfId="15670" xr:uid="{00000000-0005-0000-0000-0000333D0000}"/>
    <cellStyle name="Comma 2 6 4 3 2 2 3" xfId="15671" xr:uid="{00000000-0005-0000-0000-0000343D0000}"/>
    <cellStyle name="Comma 2 6 4 3 2 3" xfId="15672" xr:uid="{00000000-0005-0000-0000-0000353D0000}"/>
    <cellStyle name="Comma 2 6 4 3 2 4" xfId="15673" xr:uid="{00000000-0005-0000-0000-0000363D0000}"/>
    <cellStyle name="Comma 2 6 4 3 2 5" xfId="15674" xr:uid="{00000000-0005-0000-0000-0000373D0000}"/>
    <cellStyle name="Comma 2 6 4 3 2 6" xfId="15675" xr:uid="{00000000-0005-0000-0000-0000383D0000}"/>
    <cellStyle name="Comma 2 6 4 3 3" xfId="15676" xr:uid="{00000000-0005-0000-0000-0000393D0000}"/>
    <cellStyle name="Comma 2 6 4 3 3 2" xfId="15677" xr:uid="{00000000-0005-0000-0000-00003A3D0000}"/>
    <cellStyle name="Comma 2 6 4 3 3 2 2" xfId="15678" xr:uid="{00000000-0005-0000-0000-00003B3D0000}"/>
    <cellStyle name="Comma 2 6 4 3 3 3" xfId="15679" xr:uid="{00000000-0005-0000-0000-00003C3D0000}"/>
    <cellStyle name="Comma 2 6 4 3 3 4" xfId="15680" xr:uid="{00000000-0005-0000-0000-00003D3D0000}"/>
    <cellStyle name="Comma 2 6 4 3 3 5" xfId="15681" xr:uid="{00000000-0005-0000-0000-00003E3D0000}"/>
    <cellStyle name="Comma 2 6 4 3 4" xfId="15682" xr:uid="{00000000-0005-0000-0000-00003F3D0000}"/>
    <cellStyle name="Comma 2 6 4 3 4 2" xfId="15683" xr:uid="{00000000-0005-0000-0000-0000403D0000}"/>
    <cellStyle name="Comma 2 6 4 3 4 3" xfId="15684" xr:uid="{00000000-0005-0000-0000-0000413D0000}"/>
    <cellStyle name="Comma 2 6 4 3 4 4" xfId="15685" xr:uid="{00000000-0005-0000-0000-0000423D0000}"/>
    <cellStyle name="Comma 2 6 4 3 5" xfId="15686" xr:uid="{00000000-0005-0000-0000-0000433D0000}"/>
    <cellStyle name="Comma 2 6 4 3 5 2" xfId="15687" xr:uid="{00000000-0005-0000-0000-0000443D0000}"/>
    <cellStyle name="Comma 2 6 4 3 6" xfId="15688" xr:uid="{00000000-0005-0000-0000-0000453D0000}"/>
    <cellStyle name="Comma 2 6 4 3 7" xfId="15689" xr:uid="{00000000-0005-0000-0000-0000463D0000}"/>
    <cellStyle name="Comma 2 6 4 3 8" xfId="15690" xr:uid="{00000000-0005-0000-0000-0000473D0000}"/>
    <cellStyle name="Comma 2 6 4 3 9" xfId="15691" xr:uid="{00000000-0005-0000-0000-0000483D0000}"/>
    <cellStyle name="Comma 2 6 4 4" xfId="15692" xr:uid="{00000000-0005-0000-0000-0000493D0000}"/>
    <cellStyle name="Comma 2 6 4 4 2" xfId="15693" xr:uid="{00000000-0005-0000-0000-00004A3D0000}"/>
    <cellStyle name="Comma 2 6 4 4 2 2" xfId="15694" xr:uid="{00000000-0005-0000-0000-00004B3D0000}"/>
    <cellStyle name="Comma 2 6 4 4 2 3" xfId="15695" xr:uid="{00000000-0005-0000-0000-00004C3D0000}"/>
    <cellStyle name="Comma 2 6 4 4 3" xfId="15696" xr:uid="{00000000-0005-0000-0000-00004D3D0000}"/>
    <cellStyle name="Comma 2 6 4 4 4" xfId="15697" xr:uid="{00000000-0005-0000-0000-00004E3D0000}"/>
    <cellStyle name="Comma 2 6 4 4 5" xfId="15698" xr:uid="{00000000-0005-0000-0000-00004F3D0000}"/>
    <cellStyle name="Comma 2 6 4 4 6" xfId="15699" xr:uid="{00000000-0005-0000-0000-0000503D0000}"/>
    <cellStyle name="Comma 2 6 4 5" xfId="15700" xr:uid="{00000000-0005-0000-0000-0000513D0000}"/>
    <cellStyle name="Comma 2 6 4 5 2" xfId="15701" xr:uid="{00000000-0005-0000-0000-0000523D0000}"/>
    <cellStyle name="Comma 2 6 4 5 2 2" xfId="15702" xr:uid="{00000000-0005-0000-0000-0000533D0000}"/>
    <cellStyle name="Comma 2 6 4 5 3" xfId="15703" xr:uid="{00000000-0005-0000-0000-0000543D0000}"/>
    <cellStyle name="Comma 2 6 4 5 4" xfId="15704" xr:uid="{00000000-0005-0000-0000-0000553D0000}"/>
    <cellStyle name="Comma 2 6 4 5 5" xfId="15705" xr:uid="{00000000-0005-0000-0000-0000563D0000}"/>
    <cellStyle name="Comma 2 6 4 6" xfId="15706" xr:uid="{00000000-0005-0000-0000-0000573D0000}"/>
    <cellStyle name="Comma 2 6 4 6 2" xfId="15707" xr:uid="{00000000-0005-0000-0000-0000583D0000}"/>
    <cellStyle name="Comma 2 6 4 6 3" xfId="15708" xr:uid="{00000000-0005-0000-0000-0000593D0000}"/>
    <cellStyle name="Comma 2 6 4 6 4" xfId="15709" xr:uid="{00000000-0005-0000-0000-00005A3D0000}"/>
    <cellStyle name="Comma 2 6 4 7" xfId="15710" xr:uid="{00000000-0005-0000-0000-00005B3D0000}"/>
    <cellStyle name="Comma 2 6 4 7 2" xfId="15711" xr:uid="{00000000-0005-0000-0000-00005C3D0000}"/>
    <cellStyle name="Comma 2 6 4 8" xfId="15712" xr:uid="{00000000-0005-0000-0000-00005D3D0000}"/>
    <cellStyle name="Comma 2 6 4 9" xfId="15713" xr:uid="{00000000-0005-0000-0000-00005E3D0000}"/>
    <cellStyle name="Comma 2 6 5" xfId="15714" xr:uid="{00000000-0005-0000-0000-00005F3D0000}"/>
    <cellStyle name="Comma 2 6 5 10" xfId="15715" xr:uid="{00000000-0005-0000-0000-0000603D0000}"/>
    <cellStyle name="Comma 2 6 5 11" xfId="15716" xr:uid="{00000000-0005-0000-0000-0000613D0000}"/>
    <cellStyle name="Comma 2 6 5 2" xfId="15717" xr:uid="{00000000-0005-0000-0000-0000623D0000}"/>
    <cellStyle name="Comma 2 6 5 2 2" xfId="15718" xr:uid="{00000000-0005-0000-0000-0000633D0000}"/>
    <cellStyle name="Comma 2 6 5 2 2 2" xfId="15719" xr:uid="{00000000-0005-0000-0000-0000643D0000}"/>
    <cellStyle name="Comma 2 6 5 2 2 2 2" xfId="15720" xr:uid="{00000000-0005-0000-0000-0000653D0000}"/>
    <cellStyle name="Comma 2 6 5 2 2 2 3" xfId="15721" xr:uid="{00000000-0005-0000-0000-0000663D0000}"/>
    <cellStyle name="Comma 2 6 5 2 2 3" xfId="15722" xr:uid="{00000000-0005-0000-0000-0000673D0000}"/>
    <cellStyle name="Comma 2 6 5 2 2 4" xfId="15723" xr:uid="{00000000-0005-0000-0000-0000683D0000}"/>
    <cellStyle name="Comma 2 6 5 2 2 5" xfId="15724" xr:uid="{00000000-0005-0000-0000-0000693D0000}"/>
    <cellStyle name="Comma 2 6 5 2 2 6" xfId="15725" xr:uid="{00000000-0005-0000-0000-00006A3D0000}"/>
    <cellStyle name="Comma 2 6 5 2 3" xfId="15726" xr:uid="{00000000-0005-0000-0000-00006B3D0000}"/>
    <cellStyle name="Comma 2 6 5 2 3 2" xfId="15727" xr:uid="{00000000-0005-0000-0000-00006C3D0000}"/>
    <cellStyle name="Comma 2 6 5 2 3 2 2" xfId="15728" xr:uid="{00000000-0005-0000-0000-00006D3D0000}"/>
    <cellStyle name="Comma 2 6 5 2 3 3" xfId="15729" xr:uid="{00000000-0005-0000-0000-00006E3D0000}"/>
    <cellStyle name="Comma 2 6 5 2 3 4" xfId="15730" xr:uid="{00000000-0005-0000-0000-00006F3D0000}"/>
    <cellStyle name="Comma 2 6 5 2 3 5" xfId="15731" xr:uid="{00000000-0005-0000-0000-0000703D0000}"/>
    <cellStyle name="Comma 2 6 5 2 4" xfId="15732" xr:uid="{00000000-0005-0000-0000-0000713D0000}"/>
    <cellStyle name="Comma 2 6 5 2 4 2" xfId="15733" xr:uid="{00000000-0005-0000-0000-0000723D0000}"/>
    <cellStyle name="Comma 2 6 5 2 4 3" xfId="15734" xr:uid="{00000000-0005-0000-0000-0000733D0000}"/>
    <cellStyle name="Comma 2 6 5 2 4 4" xfId="15735" xr:uid="{00000000-0005-0000-0000-0000743D0000}"/>
    <cellStyle name="Comma 2 6 5 2 5" xfId="15736" xr:uid="{00000000-0005-0000-0000-0000753D0000}"/>
    <cellStyle name="Comma 2 6 5 2 5 2" xfId="15737" xr:uid="{00000000-0005-0000-0000-0000763D0000}"/>
    <cellStyle name="Comma 2 6 5 2 6" xfId="15738" xr:uid="{00000000-0005-0000-0000-0000773D0000}"/>
    <cellStyle name="Comma 2 6 5 2 7" xfId="15739" xr:uid="{00000000-0005-0000-0000-0000783D0000}"/>
    <cellStyle name="Comma 2 6 5 2 8" xfId="15740" xr:uid="{00000000-0005-0000-0000-0000793D0000}"/>
    <cellStyle name="Comma 2 6 5 2 9" xfId="15741" xr:uid="{00000000-0005-0000-0000-00007A3D0000}"/>
    <cellStyle name="Comma 2 6 5 3" xfId="15742" xr:uid="{00000000-0005-0000-0000-00007B3D0000}"/>
    <cellStyle name="Comma 2 6 5 3 2" xfId="15743" xr:uid="{00000000-0005-0000-0000-00007C3D0000}"/>
    <cellStyle name="Comma 2 6 5 3 2 2" xfId="15744" xr:uid="{00000000-0005-0000-0000-00007D3D0000}"/>
    <cellStyle name="Comma 2 6 5 3 2 2 2" xfId="15745" xr:uid="{00000000-0005-0000-0000-00007E3D0000}"/>
    <cellStyle name="Comma 2 6 5 3 2 2 3" xfId="15746" xr:uid="{00000000-0005-0000-0000-00007F3D0000}"/>
    <cellStyle name="Comma 2 6 5 3 2 3" xfId="15747" xr:uid="{00000000-0005-0000-0000-0000803D0000}"/>
    <cellStyle name="Comma 2 6 5 3 2 4" xfId="15748" xr:uid="{00000000-0005-0000-0000-0000813D0000}"/>
    <cellStyle name="Comma 2 6 5 3 2 5" xfId="15749" xr:uid="{00000000-0005-0000-0000-0000823D0000}"/>
    <cellStyle name="Comma 2 6 5 3 2 6" xfId="15750" xr:uid="{00000000-0005-0000-0000-0000833D0000}"/>
    <cellStyle name="Comma 2 6 5 3 3" xfId="15751" xr:uid="{00000000-0005-0000-0000-0000843D0000}"/>
    <cellStyle name="Comma 2 6 5 3 3 2" xfId="15752" xr:uid="{00000000-0005-0000-0000-0000853D0000}"/>
    <cellStyle name="Comma 2 6 5 3 3 2 2" xfId="15753" xr:uid="{00000000-0005-0000-0000-0000863D0000}"/>
    <cellStyle name="Comma 2 6 5 3 3 3" xfId="15754" xr:uid="{00000000-0005-0000-0000-0000873D0000}"/>
    <cellStyle name="Comma 2 6 5 3 3 4" xfId="15755" xr:uid="{00000000-0005-0000-0000-0000883D0000}"/>
    <cellStyle name="Comma 2 6 5 3 3 5" xfId="15756" xr:uid="{00000000-0005-0000-0000-0000893D0000}"/>
    <cellStyle name="Comma 2 6 5 3 4" xfId="15757" xr:uid="{00000000-0005-0000-0000-00008A3D0000}"/>
    <cellStyle name="Comma 2 6 5 3 4 2" xfId="15758" xr:uid="{00000000-0005-0000-0000-00008B3D0000}"/>
    <cellStyle name="Comma 2 6 5 3 4 3" xfId="15759" xr:uid="{00000000-0005-0000-0000-00008C3D0000}"/>
    <cellStyle name="Comma 2 6 5 3 4 4" xfId="15760" xr:uid="{00000000-0005-0000-0000-00008D3D0000}"/>
    <cellStyle name="Comma 2 6 5 3 5" xfId="15761" xr:uid="{00000000-0005-0000-0000-00008E3D0000}"/>
    <cellStyle name="Comma 2 6 5 3 5 2" xfId="15762" xr:uid="{00000000-0005-0000-0000-00008F3D0000}"/>
    <cellStyle name="Comma 2 6 5 3 6" xfId="15763" xr:uid="{00000000-0005-0000-0000-0000903D0000}"/>
    <cellStyle name="Comma 2 6 5 3 7" xfId="15764" xr:uid="{00000000-0005-0000-0000-0000913D0000}"/>
    <cellStyle name="Comma 2 6 5 3 8" xfId="15765" xr:uid="{00000000-0005-0000-0000-0000923D0000}"/>
    <cellStyle name="Comma 2 6 5 3 9" xfId="15766" xr:uid="{00000000-0005-0000-0000-0000933D0000}"/>
    <cellStyle name="Comma 2 6 5 4" xfId="15767" xr:uid="{00000000-0005-0000-0000-0000943D0000}"/>
    <cellStyle name="Comma 2 6 5 4 2" xfId="15768" xr:uid="{00000000-0005-0000-0000-0000953D0000}"/>
    <cellStyle name="Comma 2 6 5 4 2 2" xfId="15769" xr:uid="{00000000-0005-0000-0000-0000963D0000}"/>
    <cellStyle name="Comma 2 6 5 4 2 3" xfId="15770" xr:uid="{00000000-0005-0000-0000-0000973D0000}"/>
    <cellStyle name="Comma 2 6 5 4 3" xfId="15771" xr:uid="{00000000-0005-0000-0000-0000983D0000}"/>
    <cellStyle name="Comma 2 6 5 4 4" xfId="15772" xr:uid="{00000000-0005-0000-0000-0000993D0000}"/>
    <cellStyle name="Comma 2 6 5 4 5" xfId="15773" xr:uid="{00000000-0005-0000-0000-00009A3D0000}"/>
    <cellStyle name="Comma 2 6 5 4 6" xfId="15774" xr:uid="{00000000-0005-0000-0000-00009B3D0000}"/>
    <cellStyle name="Comma 2 6 5 5" xfId="15775" xr:uid="{00000000-0005-0000-0000-00009C3D0000}"/>
    <cellStyle name="Comma 2 6 5 5 2" xfId="15776" xr:uid="{00000000-0005-0000-0000-00009D3D0000}"/>
    <cellStyle name="Comma 2 6 5 5 2 2" xfId="15777" xr:uid="{00000000-0005-0000-0000-00009E3D0000}"/>
    <cellStyle name="Comma 2 6 5 5 3" xfId="15778" xr:uid="{00000000-0005-0000-0000-00009F3D0000}"/>
    <cellStyle name="Comma 2 6 5 5 4" xfId="15779" xr:uid="{00000000-0005-0000-0000-0000A03D0000}"/>
    <cellStyle name="Comma 2 6 5 5 5" xfId="15780" xr:uid="{00000000-0005-0000-0000-0000A13D0000}"/>
    <cellStyle name="Comma 2 6 5 6" xfId="15781" xr:uid="{00000000-0005-0000-0000-0000A23D0000}"/>
    <cellStyle name="Comma 2 6 5 6 2" xfId="15782" xr:uid="{00000000-0005-0000-0000-0000A33D0000}"/>
    <cellStyle name="Comma 2 6 5 6 3" xfId="15783" xr:uid="{00000000-0005-0000-0000-0000A43D0000}"/>
    <cellStyle name="Comma 2 6 5 6 4" xfId="15784" xr:uid="{00000000-0005-0000-0000-0000A53D0000}"/>
    <cellStyle name="Comma 2 6 5 7" xfId="15785" xr:uid="{00000000-0005-0000-0000-0000A63D0000}"/>
    <cellStyle name="Comma 2 6 5 7 2" xfId="15786" xr:uid="{00000000-0005-0000-0000-0000A73D0000}"/>
    <cellStyle name="Comma 2 6 5 8" xfId="15787" xr:uid="{00000000-0005-0000-0000-0000A83D0000}"/>
    <cellStyle name="Comma 2 6 5 9" xfId="15788" xr:uid="{00000000-0005-0000-0000-0000A93D0000}"/>
    <cellStyle name="Comma 2 6 6" xfId="15789" xr:uid="{00000000-0005-0000-0000-0000AA3D0000}"/>
    <cellStyle name="Comma 2 6 6 10" xfId="15790" xr:uid="{00000000-0005-0000-0000-0000AB3D0000}"/>
    <cellStyle name="Comma 2 6 6 11" xfId="15791" xr:uid="{00000000-0005-0000-0000-0000AC3D0000}"/>
    <cellStyle name="Comma 2 6 6 2" xfId="15792" xr:uid="{00000000-0005-0000-0000-0000AD3D0000}"/>
    <cellStyle name="Comma 2 6 6 2 2" xfId="15793" xr:uid="{00000000-0005-0000-0000-0000AE3D0000}"/>
    <cellStyle name="Comma 2 6 6 2 2 2" xfId="15794" xr:uid="{00000000-0005-0000-0000-0000AF3D0000}"/>
    <cellStyle name="Comma 2 6 6 2 2 2 2" xfId="15795" xr:uid="{00000000-0005-0000-0000-0000B03D0000}"/>
    <cellStyle name="Comma 2 6 6 2 2 2 3" xfId="15796" xr:uid="{00000000-0005-0000-0000-0000B13D0000}"/>
    <cellStyle name="Comma 2 6 6 2 2 3" xfId="15797" xr:uid="{00000000-0005-0000-0000-0000B23D0000}"/>
    <cellStyle name="Comma 2 6 6 2 2 4" xfId="15798" xr:uid="{00000000-0005-0000-0000-0000B33D0000}"/>
    <cellStyle name="Comma 2 6 6 2 2 5" xfId="15799" xr:uid="{00000000-0005-0000-0000-0000B43D0000}"/>
    <cellStyle name="Comma 2 6 6 2 2 6" xfId="15800" xr:uid="{00000000-0005-0000-0000-0000B53D0000}"/>
    <cellStyle name="Comma 2 6 6 2 3" xfId="15801" xr:uid="{00000000-0005-0000-0000-0000B63D0000}"/>
    <cellStyle name="Comma 2 6 6 2 3 2" xfId="15802" xr:uid="{00000000-0005-0000-0000-0000B73D0000}"/>
    <cellStyle name="Comma 2 6 6 2 3 2 2" xfId="15803" xr:uid="{00000000-0005-0000-0000-0000B83D0000}"/>
    <cellStyle name="Comma 2 6 6 2 3 3" xfId="15804" xr:uid="{00000000-0005-0000-0000-0000B93D0000}"/>
    <cellStyle name="Comma 2 6 6 2 3 4" xfId="15805" xr:uid="{00000000-0005-0000-0000-0000BA3D0000}"/>
    <cellStyle name="Comma 2 6 6 2 3 5" xfId="15806" xr:uid="{00000000-0005-0000-0000-0000BB3D0000}"/>
    <cellStyle name="Comma 2 6 6 2 4" xfId="15807" xr:uid="{00000000-0005-0000-0000-0000BC3D0000}"/>
    <cellStyle name="Comma 2 6 6 2 4 2" xfId="15808" xr:uid="{00000000-0005-0000-0000-0000BD3D0000}"/>
    <cellStyle name="Comma 2 6 6 2 4 3" xfId="15809" xr:uid="{00000000-0005-0000-0000-0000BE3D0000}"/>
    <cellStyle name="Comma 2 6 6 2 4 4" xfId="15810" xr:uid="{00000000-0005-0000-0000-0000BF3D0000}"/>
    <cellStyle name="Comma 2 6 6 2 5" xfId="15811" xr:uid="{00000000-0005-0000-0000-0000C03D0000}"/>
    <cellStyle name="Comma 2 6 6 2 5 2" xfId="15812" xr:uid="{00000000-0005-0000-0000-0000C13D0000}"/>
    <cellStyle name="Comma 2 6 6 2 6" xfId="15813" xr:uid="{00000000-0005-0000-0000-0000C23D0000}"/>
    <cellStyle name="Comma 2 6 6 2 7" xfId="15814" xr:uid="{00000000-0005-0000-0000-0000C33D0000}"/>
    <cellStyle name="Comma 2 6 6 2 8" xfId="15815" xr:uid="{00000000-0005-0000-0000-0000C43D0000}"/>
    <cellStyle name="Comma 2 6 6 2 9" xfId="15816" xr:uid="{00000000-0005-0000-0000-0000C53D0000}"/>
    <cellStyle name="Comma 2 6 6 3" xfId="15817" xr:uid="{00000000-0005-0000-0000-0000C63D0000}"/>
    <cellStyle name="Comma 2 6 6 3 2" xfId="15818" xr:uid="{00000000-0005-0000-0000-0000C73D0000}"/>
    <cellStyle name="Comma 2 6 6 3 2 2" xfId="15819" xr:uid="{00000000-0005-0000-0000-0000C83D0000}"/>
    <cellStyle name="Comma 2 6 6 3 2 2 2" xfId="15820" xr:uid="{00000000-0005-0000-0000-0000C93D0000}"/>
    <cellStyle name="Comma 2 6 6 3 2 2 3" xfId="15821" xr:uid="{00000000-0005-0000-0000-0000CA3D0000}"/>
    <cellStyle name="Comma 2 6 6 3 2 3" xfId="15822" xr:uid="{00000000-0005-0000-0000-0000CB3D0000}"/>
    <cellStyle name="Comma 2 6 6 3 2 4" xfId="15823" xr:uid="{00000000-0005-0000-0000-0000CC3D0000}"/>
    <cellStyle name="Comma 2 6 6 3 2 5" xfId="15824" xr:uid="{00000000-0005-0000-0000-0000CD3D0000}"/>
    <cellStyle name="Comma 2 6 6 3 2 6" xfId="15825" xr:uid="{00000000-0005-0000-0000-0000CE3D0000}"/>
    <cellStyle name="Comma 2 6 6 3 3" xfId="15826" xr:uid="{00000000-0005-0000-0000-0000CF3D0000}"/>
    <cellStyle name="Comma 2 6 6 3 3 2" xfId="15827" xr:uid="{00000000-0005-0000-0000-0000D03D0000}"/>
    <cellStyle name="Comma 2 6 6 3 3 2 2" xfId="15828" xr:uid="{00000000-0005-0000-0000-0000D13D0000}"/>
    <cellStyle name="Comma 2 6 6 3 3 3" xfId="15829" xr:uid="{00000000-0005-0000-0000-0000D23D0000}"/>
    <cellStyle name="Comma 2 6 6 3 3 4" xfId="15830" xr:uid="{00000000-0005-0000-0000-0000D33D0000}"/>
    <cellStyle name="Comma 2 6 6 3 3 5" xfId="15831" xr:uid="{00000000-0005-0000-0000-0000D43D0000}"/>
    <cellStyle name="Comma 2 6 6 3 4" xfId="15832" xr:uid="{00000000-0005-0000-0000-0000D53D0000}"/>
    <cellStyle name="Comma 2 6 6 3 4 2" xfId="15833" xr:uid="{00000000-0005-0000-0000-0000D63D0000}"/>
    <cellStyle name="Comma 2 6 6 3 4 3" xfId="15834" xr:uid="{00000000-0005-0000-0000-0000D73D0000}"/>
    <cellStyle name="Comma 2 6 6 3 4 4" xfId="15835" xr:uid="{00000000-0005-0000-0000-0000D83D0000}"/>
    <cellStyle name="Comma 2 6 6 3 5" xfId="15836" xr:uid="{00000000-0005-0000-0000-0000D93D0000}"/>
    <cellStyle name="Comma 2 6 6 3 5 2" xfId="15837" xr:uid="{00000000-0005-0000-0000-0000DA3D0000}"/>
    <cellStyle name="Comma 2 6 6 3 6" xfId="15838" xr:uid="{00000000-0005-0000-0000-0000DB3D0000}"/>
    <cellStyle name="Comma 2 6 6 3 7" xfId="15839" xr:uid="{00000000-0005-0000-0000-0000DC3D0000}"/>
    <cellStyle name="Comma 2 6 6 3 8" xfId="15840" xr:uid="{00000000-0005-0000-0000-0000DD3D0000}"/>
    <cellStyle name="Comma 2 6 6 3 9" xfId="15841" xr:uid="{00000000-0005-0000-0000-0000DE3D0000}"/>
    <cellStyle name="Comma 2 6 6 4" xfId="15842" xr:uid="{00000000-0005-0000-0000-0000DF3D0000}"/>
    <cellStyle name="Comma 2 6 6 4 2" xfId="15843" xr:uid="{00000000-0005-0000-0000-0000E03D0000}"/>
    <cellStyle name="Comma 2 6 6 4 2 2" xfId="15844" xr:uid="{00000000-0005-0000-0000-0000E13D0000}"/>
    <cellStyle name="Comma 2 6 6 4 2 3" xfId="15845" xr:uid="{00000000-0005-0000-0000-0000E23D0000}"/>
    <cellStyle name="Comma 2 6 6 4 3" xfId="15846" xr:uid="{00000000-0005-0000-0000-0000E33D0000}"/>
    <cellStyle name="Comma 2 6 6 4 4" xfId="15847" xr:uid="{00000000-0005-0000-0000-0000E43D0000}"/>
    <cellStyle name="Comma 2 6 6 4 5" xfId="15848" xr:uid="{00000000-0005-0000-0000-0000E53D0000}"/>
    <cellStyle name="Comma 2 6 6 4 6" xfId="15849" xr:uid="{00000000-0005-0000-0000-0000E63D0000}"/>
    <cellStyle name="Comma 2 6 6 5" xfId="15850" xr:uid="{00000000-0005-0000-0000-0000E73D0000}"/>
    <cellStyle name="Comma 2 6 6 5 2" xfId="15851" xr:uid="{00000000-0005-0000-0000-0000E83D0000}"/>
    <cellStyle name="Comma 2 6 6 5 2 2" xfId="15852" xr:uid="{00000000-0005-0000-0000-0000E93D0000}"/>
    <cellStyle name="Comma 2 6 6 5 3" xfId="15853" xr:uid="{00000000-0005-0000-0000-0000EA3D0000}"/>
    <cellStyle name="Comma 2 6 6 5 4" xfId="15854" xr:uid="{00000000-0005-0000-0000-0000EB3D0000}"/>
    <cellStyle name="Comma 2 6 6 5 5" xfId="15855" xr:uid="{00000000-0005-0000-0000-0000EC3D0000}"/>
    <cellStyle name="Comma 2 6 6 6" xfId="15856" xr:uid="{00000000-0005-0000-0000-0000ED3D0000}"/>
    <cellStyle name="Comma 2 6 6 6 2" xfId="15857" xr:uid="{00000000-0005-0000-0000-0000EE3D0000}"/>
    <cellStyle name="Comma 2 6 6 6 3" xfId="15858" xr:uid="{00000000-0005-0000-0000-0000EF3D0000}"/>
    <cellStyle name="Comma 2 6 6 6 4" xfId="15859" xr:uid="{00000000-0005-0000-0000-0000F03D0000}"/>
    <cellStyle name="Comma 2 6 6 7" xfId="15860" xr:uid="{00000000-0005-0000-0000-0000F13D0000}"/>
    <cellStyle name="Comma 2 6 6 7 2" xfId="15861" xr:uid="{00000000-0005-0000-0000-0000F23D0000}"/>
    <cellStyle name="Comma 2 6 6 8" xfId="15862" xr:uid="{00000000-0005-0000-0000-0000F33D0000}"/>
    <cellStyle name="Comma 2 6 6 9" xfId="15863" xr:uid="{00000000-0005-0000-0000-0000F43D0000}"/>
    <cellStyle name="Comma 2 6 7" xfId="15864" xr:uid="{00000000-0005-0000-0000-0000F53D0000}"/>
    <cellStyle name="Comma 2 6 7 10" xfId="15865" xr:uid="{00000000-0005-0000-0000-0000F63D0000}"/>
    <cellStyle name="Comma 2 6 7 11" xfId="15866" xr:uid="{00000000-0005-0000-0000-0000F73D0000}"/>
    <cellStyle name="Comma 2 6 7 2" xfId="15867" xr:uid="{00000000-0005-0000-0000-0000F83D0000}"/>
    <cellStyle name="Comma 2 6 7 2 2" xfId="15868" xr:uid="{00000000-0005-0000-0000-0000F93D0000}"/>
    <cellStyle name="Comma 2 6 7 2 2 2" xfId="15869" xr:uid="{00000000-0005-0000-0000-0000FA3D0000}"/>
    <cellStyle name="Comma 2 6 7 2 2 2 2" xfId="15870" xr:uid="{00000000-0005-0000-0000-0000FB3D0000}"/>
    <cellStyle name="Comma 2 6 7 2 2 2 3" xfId="15871" xr:uid="{00000000-0005-0000-0000-0000FC3D0000}"/>
    <cellStyle name="Comma 2 6 7 2 2 3" xfId="15872" xr:uid="{00000000-0005-0000-0000-0000FD3D0000}"/>
    <cellStyle name="Comma 2 6 7 2 2 4" xfId="15873" xr:uid="{00000000-0005-0000-0000-0000FE3D0000}"/>
    <cellStyle name="Comma 2 6 7 2 2 5" xfId="15874" xr:uid="{00000000-0005-0000-0000-0000FF3D0000}"/>
    <cellStyle name="Comma 2 6 7 2 2 6" xfId="15875" xr:uid="{00000000-0005-0000-0000-0000003E0000}"/>
    <cellStyle name="Comma 2 6 7 2 3" xfId="15876" xr:uid="{00000000-0005-0000-0000-0000013E0000}"/>
    <cellStyle name="Comma 2 6 7 2 3 2" xfId="15877" xr:uid="{00000000-0005-0000-0000-0000023E0000}"/>
    <cellStyle name="Comma 2 6 7 2 3 2 2" xfId="15878" xr:uid="{00000000-0005-0000-0000-0000033E0000}"/>
    <cellStyle name="Comma 2 6 7 2 3 3" xfId="15879" xr:uid="{00000000-0005-0000-0000-0000043E0000}"/>
    <cellStyle name="Comma 2 6 7 2 3 4" xfId="15880" xr:uid="{00000000-0005-0000-0000-0000053E0000}"/>
    <cellStyle name="Comma 2 6 7 2 3 5" xfId="15881" xr:uid="{00000000-0005-0000-0000-0000063E0000}"/>
    <cellStyle name="Comma 2 6 7 2 4" xfId="15882" xr:uid="{00000000-0005-0000-0000-0000073E0000}"/>
    <cellStyle name="Comma 2 6 7 2 4 2" xfId="15883" xr:uid="{00000000-0005-0000-0000-0000083E0000}"/>
    <cellStyle name="Comma 2 6 7 2 4 3" xfId="15884" xr:uid="{00000000-0005-0000-0000-0000093E0000}"/>
    <cellStyle name="Comma 2 6 7 2 4 4" xfId="15885" xr:uid="{00000000-0005-0000-0000-00000A3E0000}"/>
    <cellStyle name="Comma 2 6 7 2 5" xfId="15886" xr:uid="{00000000-0005-0000-0000-00000B3E0000}"/>
    <cellStyle name="Comma 2 6 7 2 5 2" xfId="15887" xr:uid="{00000000-0005-0000-0000-00000C3E0000}"/>
    <cellStyle name="Comma 2 6 7 2 6" xfId="15888" xr:uid="{00000000-0005-0000-0000-00000D3E0000}"/>
    <cellStyle name="Comma 2 6 7 2 7" xfId="15889" xr:uid="{00000000-0005-0000-0000-00000E3E0000}"/>
    <cellStyle name="Comma 2 6 7 2 8" xfId="15890" xr:uid="{00000000-0005-0000-0000-00000F3E0000}"/>
    <cellStyle name="Comma 2 6 7 2 9" xfId="15891" xr:uid="{00000000-0005-0000-0000-0000103E0000}"/>
    <cellStyle name="Comma 2 6 7 3" xfId="15892" xr:uid="{00000000-0005-0000-0000-0000113E0000}"/>
    <cellStyle name="Comma 2 6 7 3 2" xfId="15893" xr:uid="{00000000-0005-0000-0000-0000123E0000}"/>
    <cellStyle name="Comma 2 6 7 3 2 2" xfId="15894" xr:uid="{00000000-0005-0000-0000-0000133E0000}"/>
    <cellStyle name="Comma 2 6 7 3 2 2 2" xfId="15895" xr:uid="{00000000-0005-0000-0000-0000143E0000}"/>
    <cellStyle name="Comma 2 6 7 3 2 2 3" xfId="15896" xr:uid="{00000000-0005-0000-0000-0000153E0000}"/>
    <cellStyle name="Comma 2 6 7 3 2 3" xfId="15897" xr:uid="{00000000-0005-0000-0000-0000163E0000}"/>
    <cellStyle name="Comma 2 6 7 3 2 4" xfId="15898" xr:uid="{00000000-0005-0000-0000-0000173E0000}"/>
    <cellStyle name="Comma 2 6 7 3 2 5" xfId="15899" xr:uid="{00000000-0005-0000-0000-0000183E0000}"/>
    <cellStyle name="Comma 2 6 7 3 2 6" xfId="15900" xr:uid="{00000000-0005-0000-0000-0000193E0000}"/>
    <cellStyle name="Comma 2 6 7 3 3" xfId="15901" xr:uid="{00000000-0005-0000-0000-00001A3E0000}"/>
    <cellStyle name="Comma 2 6 7 3 3 2" xfId="15902" xr:uid="{00000000-0005-0000-0000-00001B3E0000}"/>
    <cellStyle name="Comma 2 6 7 3 3 2 2" xfId="15903" xr:uid="{00000000-0005-0000-0000-00001C3E0000}"/>
    <cellStyle name="Comma 2 6 7 3 3 3" xfId="15904" xr:uid="{00000000-0005-0000-0000-00001D3E0000}"/>
    <cellStyle name="Comma 2 6 7 3 3 4" xfId="15905" xr:uid="{00000000-0005-0000-0000-00001E3E0000}"/>
    <cellStyle name="Comma 2 6 7 3 3 5" xfId="15906" xr:uid="{00000000-0005-0000-0000-00001F3E0000}"/>
    <cellStyle name="Comma 2 6 7 3 4" xfId="15907" xr:uid="{00000000-0005-0000-0000-0000203E0000}"/>
    <cellStyle name="Comma 2 6 7 3 4 2" xfId="15908" xr:uid="{00000000-0005-0000-0000-0000213E0000}"/>
    <cellStyle name="Comma 2 6 7 3 4 3" xfId="15909" xr:uid="{00000000-0005-0000-0000-0000223E0000}"/>
    <cellStyle name="Comma 2 6 7 3 4 4" xfId="15910" xr:uid="{00000000-0005-0000-0000-0000233E0000}"/>
    <cellStyle name="Comma 2 6 7 3 5" xfId="15911" xr:uid="{00000000-0005-0000-0000-0000243E0000}"/>
    <cellStyle name="Comma 2 6 7 3 5 2" xfId="15912" xr:uid="{00000000-0005-0000-0000-0000253E0000}"/>
    <cellStyle name="Comma 2 6 7 3 6" xfId="15913" xr:uid="{00000000-0005-0000-0000-0000263E0000}"/>
    <cellStyle name="Comma 2 6 7 3 7" xfId="15914" xr:uid="{00000000-0005-0000-0000-0000273E0000}"/>
    <cellStyle name="Comma 2 6 7 3 8" xfId="15915" xr:uid="{00000000-0005-0000-0000-0000283E0000}"/>
    <cellStyle name="Comma 2 6 7 3 9" xfId="15916" xr:uid="{00000000-0005-0000-0000-0000293E0000}"/>
    <cellStyle name="Comma 2 6 7 4" xfId="15917" xr:uid="{00000000-0005-0000-0000-00002A3E0000}"/>
    <cellStyle name="Comma 2 6 7 4 2" xfId="15918" xr:uid="{00000000-0005-0000-0000-00002B3E0000}"/>
    <cellStyle name="Comma 2 6 7 4 2 2" xfId="15919" xr:uid="{00000000-0005-0000-0000-00002C3E0000}"/>
    <cellStyle name="Comma 2 6 7 4 2 3" xfId="15920" xr:uid="{00000000-0005-0000-0000-00002D3E0000}"/>
    <cellStyle name="Comma 2 6 7 4 3" xfId="15921" xr:uid="{00000000-0005-0000-0000-00002E3E0000}"/>
    <cellStyle name="Comma 2 6 7 4 4" xfId="15922" xr:uid="{00000000-0005-0000-0000-00002F3E0000}"/>
    <cellStyle name="Comma 2 6 7 4 5" xfId="15923" xr:uid="{00000000-0005-0000-0000-0000303E0000}"/>
    <cellStyle name="Comma 2 6 7 4 6" xfId="15924" xr:uid="{00000000-0005-0000-0000-0000313E0000}"/>
    <cellStyle name="Comma 2 6 7 5" xfId="15925" xr:uid="{00000000-0005-0000-0000-0000323E0000}"/>
    <cellStyle name="Comma 2 6 7 5 2" xfId="15926" xr:uid="{00000000-0005-0000-0000-0000333E0000}"/>
    <cellStyle name="Comma 2 6 7 5 2 2" xfId="15927" xr:uid="{00000000-0005-0000-0000-0000343E0000}"/>
    <cellStyle name="Comma 2 6 7 5 3" xfId="15928" xr:uid="{00000000-0005-0000-0000-0000353E0000}"/>
    <cellStyle name="Comma 2 6 7 5 4" xfId="15929" xr:uid="{00000000-0005-0000-0000-0000363E0000}"/>
    <cellStyle name="Comma 2 6 7 5 5" xfId="15930" xr:uid="{00000000-0005-0000-0000-0000373E0000}"/>
    <cellStyle name="Comma 2 6 7 6" xfId="15931" xr:uid="{00000000-0005-0000-0000-0000383E0000}"/>
    <cellStyle name="Comma 2 6 7 6 2" xfId="15932" xr:uid="{00000000-0005-0000-0000-0000393E0000}"/>
    <cellStyle name="Comma 2 6 7 6 3" xfId="15933" xr:uid="{00000000-0005-0000-0000-00003A3E0000}"/>
    <cellStyle name="Comma 2 6 7 6 4" xfId="15934" xr:uid="{00000000-0005-0000-0000-00003B3E0000}"/>
    <cellStyle name="Comma 2 6 7 7" xfId="15935" xr:uid="{00000000-0005-0000-0000-00003C3E0000}"/>
    <cellStyle name="Comma 2 6 7 7 2" xfId="15936" xr:uid="{00000000-0005-0000-0000-00003D3E0000}"/>
    <cellStyle name="Comma 2 6 7 8" xfId="15937" xr:uid="{00000000-0005-0000-0000-00003E3E0000}"/>
    <cellStyle name="Comma 2 6 7 9" xfId="15938" xr:uid="{00000000-0005-0000-0000-00003F3E0000}"/>
    <cellStyle name="Comma 2 6 8" xfId="15939" xr:uid="{00000000-0005-0000-0000-0000403E0000}"/>
    <cellStyle name="Comma 2 6 8 10" xfId="15940" xr:uid="{00000000-0005-0000-0000-0000413E0000}"/>
    <cellStyle name="Comma 2 6 8 2" xfId="15941" xr:uid="{00000000-0005-0000-0000-0000423E0000}"/>
    <cellStyle name="Comma 2 6 8 2 2" xfId="15942" xr:uid="{00000000-0005-0000-0000-0000433E0000}"/>
    <cellStyle name="Comma 2 6 8 2 2 2" xfId="15943" xr:uid="{00000000-0005-0000-0000-0000443E0000}"/>
    <cellStyle name="Comma 2 6 8 2 2 3" xfId="15944" xr:uid="{00000000-0005-0000-0000-0000453E0000}"/>
    <cellStyle name="Comma 2 6 8 2 3" xfId="15945" xr:uid="{00000000-0005-0000-0000-0000463E0000}"/>
    <cellStyle name="Comma 2 6 8 2 4" xfId="15946" xr:uid="{00000000-0005-0000-0000-0000473E0000}"/>
    <cellStyle name="Comma 2 6 8 2 5" xfId="15947" xr:uid="{00000000-0005-0000-0000-0000483E0000}"/>
    <cellStyle name="Comma 2 6 8 2 6" xfId="15948" xr:uid="{00000000-0005-0000-0000-0000493E0000}"/>
    <cellStyle name="Comma 2 6 8 3" xfId="15949" xr:uid="{00000000-0005-0000-0000-00004A3E0000}"/>
    <cellStyle name="Comma 2 6 8 3 2" xfId="15950" xr:uid="{00000000-0005-0000-0000-00004B3E0000}"/>
    <cellStyle name="Comma 2 6 8 3 2 2" xfId="15951" xr:uid="{00000000-0005-0000-0000-00004C3E0000}"/>
    <cellStyle name="Comma 2 6 8 3 2 3" xfId="15952" xr:uid="{00000000-0005-0000-0000-00004D3E0000}"/>
    <cellStyle name="Comma 2 6 8 3 3" xfId="15953" xr:uid="{00000000-0005-0000-0000-00004E3E0000}"/>
    <cellStyle name="Comma 2 6 8 3 4" xfId="15954" xr:uid="{00000000-0005-0000-0000-00004F3E0000}"/>
    <cellStyle name="Comma 2 6 8 3 5" xfId="15955" xr:uid="{00000000-0005-0000-0000-0000503E0000}"/>
    <cellStyle name="Comma 2 6 8 3 6" xfId="15956" xr:uid="{00000000-0005-0000-0000-0000513E0000}"/>
    <cellStyle name="Comma 2 6 8 4" xfId="15957" xr:uid="{00000000-0005-0000-0000-0000523E0000}"/>
    <cellStyle name="Comma 2 6 8 4 2" xfId="15958" xr:uid="{00000000-0005-0000-0000-0000533E0000}"/>
    <cellStyle name="Comma 2 6 8 4 2 2" xfId="15959" xr:uid="{00000000-0005-0000-0000-0000543E0000}"/>
    <cellStyle name="Comma 2 6 8 4 3" xfId="15960" xr:uid="{00000000-0005-0000-0000-0000553E0000}"/>
    <cellStyle name="Comma 2 6 8 4 4" xfId="15961" xr:uid="{00000000-0005-0000-0000-0000563E0000}"/>
    <cellStyle name="Comma 2 6 8 4 5" xfId="15962" xr:uid="{00000000-0005-0000-0000-0000573E0000}"/>
    <cellStyle name="Comma 2 6 8 5" xfId="15963" xr:uid="{00000000-0005-0000-0000-0000583E0000}"/>
    <cellStyle name="Comma 2 6 8 5 2" xfId="15964" xr:uid="{00000000-0005-0000-0000-0000593E0000}"/>
    <cellStyle name="Comma 2 6 8 5 3" xfId="15965" xr:uid="{00000000-0005-0000-0000-00005A3E0000}"/>
    <cellStyle name="Comma 2 6 8 5 4" xfId="15966" xr:uid="{00000000-0005-0000-0000-00005B3E0000}"/>
    <cellStyle name="Comma 2 6 8 6" xfId="15967" xr:uid="{00000000-0005-0000-0000-00005C3E0000}"/>
    <cellStyle name="Comma 2 6 8 6 2" xfId="15968" xr:uid="{00000000-0005-0000-0000-00005D3E0000}"/>
    <cellStyle name="Comma 2 6 8 7" xfId="15969" xr:uid="{00000000-0005-0000-0000-00005E3E0000}"/>
    <cellStyle name="Comma 2 6 8 8" xfId="15970" xr:uid="{00000000-0005-0000-0000-00005F3E0000}"/>
    <cellStyle name="Comma 2 6 8 9" xfId="15971" xr:uid="{00000000-0005-0000-0000-0000603E0000}"/>
    <cellStyle name="Comma 2 6 9" xfId="15972" xr:uid="{00000000-0005-0000-0000-0000613E0000}"/>
    <cellStyle name="Comma 2 6 9 10" xfId="15973" xr:uid="{00000000-0005-0000-0000-0000623E0000}"/>
    <cellStyle name="Comma 2 6 9 2" xfId="15974" xr:uid="{00000000-0005-0000-0000-0000633E0000}"/>
    <cellStyle name="Comma 2 6 9 2 2" xfId="15975" xr:uid="{00000000-0005-0000-0000-0000643E0000}"/>
    <cellStyle name="Comma 2 6 9 2 2 2" xfId="15976" xr:uid="{00000000-0005-0000-0000-0000653E0000}"/>
    <cellStyle name="Comma 2 6 9 2 2 3" xfId="15977" xr:uid="{00000000-0005-0000-0000-0000663E0000}"/>
    <cellStyle name="Comma 2 6 9 2 3" xfId="15978" xr:uid="{00000000-0005-0000-0000-0000673E0000}"/>
    <cellStyle name="Comma 2 6 9 2 4" xfId="15979" xr:uid="{00000000-0005-0000-0000-0000683E0000}"/>
    <cellStyle name="Comma 2 6 9 2 5" xfId="15980" xr:uid="{00000000-0005-0000-0000-0000693E0000}"/>
    <cellStyle name="Comma 2 6 9 2 6" xfId="15981" xr:uid="{00000000-0005-0000-0000-00006A3E0000}"/>
    <cellStyle name="Comma 2 6 9 3" xfId="15982" xr:uid="{00000000-0005-0000-0000-00006B3E0000}"/>
    <cellStyle name="Comma 2 6 9 3 2" xfId="15983" xr:uid="{00000000-0005-0000-0000-00006C3E0000}"/>
    <cellStyle name="Comma 2 6 9 3 2 2" xfId="15984" xr:uid="{00000000-0005-0000-0000-00006D3E0000}"/>
    <cellStyle name="Comma 2 6 9 3 2 3" xfId="15985" xr:uid="{00000000-0005-0000-0000-00006E3E0000}"/>
    <cellStyle name="Comma 2 6 9 3 3" xfId="15986" xr:uid="{00000000-0005-0000-0000-00006F3E0000}"/>
    <cellStyle name="Comma 2 6 9 3 4" xfId="15987" xr:uid="{00000000-0005-0000-0000-0000703E0000}"/>
    <cellStyle name="Comma 2 6 9 3 5" xfId="15988" xr:uid="{00000000-0005-0000-0000-0000713E0000}"/>
    <cellStyle name="Comma 2 6 9 3 6" xfId="15989" xr:uid="{00000000-0005-0000-0000-0000723E0000}"/>
    <cellStyle name="Comma 2 6 9 4" xfId="15990" xr:uid="{00000000-0005-0000-0000-0000733E0000}"/>
    <cellStyle name="Comma 2 6 9 4 2" xfId="15991" xr:uid="{00000000-0005-0000-0000-0000743E0000}"/>
    <cellStyle name="Comma 2 6 9 4 2 2" xfId="15992" xr:uid="{00000000-0005-0000-0000-0000753E0000}"/>
    <cellStyle name="Comma 2 6 9 4 3" xfId="15993" xr:uid="{00000000-0005-0000-0000-0000763E0000}"/>
    <cellStyle name="Comma 2 6 9 4 4" xfId="15994" xr:uid="{00000000-0005-0000-0000-0000773E0000}"/>
    <cellStyle name="Comma 2 6 9 4 5" xfId="15995" xr:uid="{00000000-0005-0000-0000-0000783E0000}"/>
    <cellStyle name="Comma 2 6 9 5" xfId="15996" xr:uid="{00000000-0005-0000-0000-0000793E0000}"/>
    <cellStyle name="Comma 2 6 9 5 2" xfId="15997" xr:uid="{00000000-0005-0000-0000-00007A3E0000}"/>
    <cellStyle name="Comma 2 6 9 5 3" xfId="15998" xr:uid="{00000000-0005-0000-0000-00007B3E0000}"/>
    <cellStyle name="Comma 2 6 9 5 4" xfId="15999" xr:uid="{00000000-0005-0000-0000-00007C3E0000}"/>
    <cellStyle name="Comma 2 6 9 6" xfId="16000" xr:uid="{00000000-0005-0000-0000-00007D3E0000}"/>
    <cellStyle name="Comma 2 6 9 6 2" xfId="16001" xr:uid="{00000000-0005-0000-0000-00007E3E0000}"/>
    <cellStyle name="Comma 2 6 9 7" xfId="16002" xr:uid="{00000000-0005-0000-0000-00007F3E0000}"/>
    <cellStyle name="Comma 2 6 9 8" xfId="16003" xr:uid="{00000000-0005-0000-0000-0000803E0000}"/>
    <cellStyle name="Comma 2 6 9 9" xfId="16004" xr:uid="{00000000-0005-0000-0000-0000813E0000}"/>
    <cellStyle name="Comma 2 60" xfId="16005" xr:uid="{00000000-0005-0000-0000-0000823E0000}"/>
    <cellStyle name="Comma 2 61" xfId="16006" xr:uid="{00000000-0005-0000-0000-0000833E0000}"/>
    <cellStyle name="Comma 2 62" xfId="16007" xr:uid="{00000000-0005-0000-0000-0000843E0000}"/>
    <cellStyle name="Comma 2 63" xfId="16008" xr:uid="{00000000-0005-0000-0000-0000853E0000}"/>
    <cellStyle name="Comma 2 64" xfId="16009" xr:uid="{00000000-0005-0000-0000-0000863E0000}"/>
    <cellStyle name="Comma 2 7" xfId="16010" xr:uid="{00000000-0005-0000-0000-0000873E0000}"/>
    <cellStyle name="Comma 2 7 10" xfId="16011" xr:uid="{00000000-0005-0000-0000-0000883E0000}"/>
    <cellStyle name="Comma 2 7 10 10" xfId="16012" xr:uid="{00000000-0005-0000-0000-0000893E0000}"/>
    <cellStyle name="Comma 2 7 10 2" xfId="16013" xr:uid="{00000000-0005-0000-0000-00008A3E0000}"/>
    <cellStyle name="Comma 2 7 10 2 2" xfId="16014" xr:uid="{00000000-0005-0000-0000-00008B3E0000}"/>
    <cellStyle name="Comma 2 7 10 2 2 2" xfId="16015" xr:uid="{00000000-0005-0000-0000-00008C3E0000}"/>
    <cellStyle name="Comma 2 7 10 2 2 3" xfId="16016" xr:uid="{00000000-0005-0000-0000-00008D3E0000}"/>
    <cellStyle name="Comma 2 7 10 2 3" xfId="16017" xr:uid="{00000000-0005-0000-0000-00008E3E0000}"/>
    <cellStyle name="Comma 2 7 10 2 4" xfId="16018" xr:uid="{00000000-0005-0000-0000-00008F3E0000}"/>
    <cellStyle name="Comma 2 7 10 2 5" xfId="16019" xr:uid="{00000000-0005-0000-0000-0000903E0000}"/>
    <cellStyle name="Comma 2 7 10 2 6" xfId="16020" xr:uid="{00000000-0005-0000-0000-0000913E0000}"/>
    <cellStyle name="Comma 2 7 10 3" xfId="16021" xr:uid="{00000000-0005-0000-0000-0000923E0000}"/>
    <cellStyle name="Comma 2 7 10 3 2" xfId="16022" xr:uid="{00000000-0005-0000-0000-0000933E0000}"/>
    <cellStyle name="Comma 2 7 10 3 2 2" xfId="16023" xr:uid="{00000000-0005-0000-0000-0000943E0000}"/>
    <cellStyle name="Comma 2 7 10 3 2 3" xfId="16024" xr:uid="{00000000-0005-0000-0000-0000953E0000}"/>
    <cellStyle name="Comma 2 7 10 3 3" xfId="16025" xr:uid="{00000000-0005-0000-0000-0000963E0000}"/>
    <cellStyle name="Comma 2 7 10 3 4" xfId="16026" xr:uid="{00000000-0005-0000-0000-0000973E0000}"/>
    <cellStyle name="Comma 2 7 10 3 5" xfId="16027" xr:uid="{00000000-0005-0000-0000-0000983E0000}"/>
    <cellStyle name="Comma 2 7 10 3 6" xfId="16028" xr:uid="{00000000-0005-0000-0000-0000993E0000}"/>
    <cellStyle name="Comma 2 7 10 4" xfId="16029" xr:uid="{00000000-0005-0000-0000-00009A3E0000}"/>
    <cellStyle name="Comma 2 7 10 4 2" xfId="16030" xr:uid="{00000000-0005-0000-0000-00009B3E0000}"/>
    <cellStyle name="Comma 2 7 10 4 2 2" xfId="16031" xr:uid="{00000000-0005-0000-0000-00009C3E0000}"/>
    <cellStyle name="Comma 2 7 10 4 3" xfId="16032" xr:uid="{00000000-0005-0000-0000-00009D3E0000}"/>
    <cellStyle name="Comma 2 7 10 4 4" xfId="16033" xr:uid="{00000000-0005-0000-0000-00009E3E0000}"/>
    <cellStyle name="Comma 2 7 10 4 5" xfId="16034" xr:uid="{00000000-0005-0000-0000-00009F3E0000}"/>
    <cellStyle name="Comma 2 7 10 5" xfId="16035" xr:uid="{00000000-0005-0000-0000-0000A03E0000}"/>
    <cellStyle name="Comma 2 7 10 5 2" xfId="16036" xr:uid="{00000000-0005-0000-0000-0000A13E0000}"/>
    <cellStyle name="Comma 2 7 10 5 3" xfId="16037" xr:uid="{00000000-0005-0000-0000-0000A23E0000}"/>
    <cellStyle name="Comma 2 7 10 5 4" xfId="16038" xr:uid="{00000000-0005-0000-0000-0000A33E0000}"/>
    <cellStyle name="Comma 2 7 10 6" xfId="16039" xr:uid="{00000000-0005-0000-0000-0000A43E0000}"/>
    <cellStyle name="Comma 2 7 10 6 2" xfId="16040" xr:uid="{00000000-0005-0000-0000-0000A53E0000}"/>
    <cellStyle name="Comma 2 7 10 7" xfId="16041" xr:uid="{00000000-0005-0000-0000-0000A63E0000}"/>
    <cellStyle name="Comma 2 7 10 8" xfId="16042" xr:uid="{00000000-0005-0000-0000-0000A73E0000}"/>
    <cellStyle name="Comma 2 7 10 9" xfId="16043" xr:uid="{00000000-0005-0000-0000-0000A83E0000}"/>
    <cellStyle name="Comma 2 7 11" xfId="16044" xr:uid="{00000000-0005-0000-0000-0000A93E0000}"/>
    <cellStyle name="Comma 2 7 11 10" xfId="16045" xr:uid="{00000000-0005-0000-0000-0000AA3E0000}"/>
    <cellStyle name="Comma 2 7 11 2" xfId="16046" xr:uid="{00000000-0005-0000-0000-0000AB3E0000}"/>
    <cellStyle name="Comma 2 7 11 2 2" xfId="16047" xr:uid="{00000000-0005-0000-0000-0000AC3E0000}"/>
    <cellStyle name="Comma 2 7 11 2 2 2" xfId="16048" xr:uid="{00000000-0005-0000-0000-0000AD3E0000}"/>
    <cellStyle name="Comma 2 7 11 2 2 3" xfId="16049" xr:uid="{00000000-0005-0000-0000-0000AE3E0000}"/>
    <cellStyle name="Comma 2 7 11 2 3" xfId="16050" xr:uid="{00000000-0005-0000-0000-0000AF3E0000}"/>
    <cellStyle name="Comma 2 7 11 2 4" xfId="16051" xr:uid="{00000000-0005-0000-0000-0000B03E0000}"/>
    <cellStyle name="Comma 2 7 11 2 5" xfId="16052" xr:uid="{00000000-0005-0000-0000-0000B13E0000}"/>
    <cellStyle name="Comma 2 7 11 2 6" xfId="16053" xr:uid="{00000000-0005-0000-0000-0000B23E0000}"/>
    <cellStyle name="Comma 2 7 11 3" xfId="16054" xr:uid="{00000000-0005-0000-0000-0000B33E0000}"/>
    <cellStyle name="Comma 2 7 11 3 2" xfId="16055" xr:uid="{00000000-0005-0000-0000-0000B43E0000}"/>
    <cellStyle name="Comma 2 7 11 3 2 2" xfId="16056" xr:uid="{00000000-0005-0000-0000-0000B53E0000}"/>
    <cellStyle name="Comma 2 7 11 3 2 3" xfId="16057" xr:uid="{00000000-0005-0000-0000-0000B63E0000}"/>
    <cellStyle name="Comma 2 7 11 3 3" xfId="16058" xr:uid="{00000000-0005-0000-0000-0000B73E0000}"/>
    <cellStyle name="Comma 2 7 11 3 4" xfId="16059" xr:uid="{00000000-0005-0000-0000-0000B83E0000}"/>
    <cellStyle name="Comma 2 7 11 3 5" xfId="16060" xr:uid="{00000000-0005-0000-0000-0000B93E0000}"/>
    <cellStyle name="Comma 2 7 11 3 6" xfId="16061" xr:uid="{00000000-0005-0000-0000-0000BA3E0000}"/>
    <cellStyle name="Comma 2 7 11 4" xfId="16062" xr:uid="{00000000-0005-0000-0000-0000BB3E0000}"/>
    <cellStyle name="Comma 2 7 11 4 2" xfId="16063" xr:uid="{00000000-0005-0000-0000-0000BC3E0000}"/>
    <cellStyle name="Comma 2 7 11 4 2 2" xfId="16064" xr:uid="{00000000-0005-0000-0000-0000BD3E0000}"/>
    <cellStyle name="Comma 2 7 11 4 3" xfId="16065" xr:uid="{00000000-0005-0000-0000-0000BE3E0000}"/>
    <cellStyle name="Comma 2 7 11 4 4" xfId="16066" xr:uid="{00000000-0005-0000-0000-0000BF3E0000}"/>
    <cellStyle name="Comma 2 7 11 4 5" xfId="16067" xr:uid="{00000000-0005-0000-0000-0000C03E0000}"/>
    <cellStyle name="Comma 2 7 11 5" xfId="16068" xr:uid="{00000000-0005-0000-0000-0000C13E0000}"/>
    <cellStyle name="Comma 2 7 11 5 2" xfId="16069" xr:uid="{00000000-0005-0000-0000-0000C23E0000}"/>
    <cellStyle name="Comma 2 7 11 5 3" xfId="16070" xr:uid="{00000000-0005-0000-0000-0000C33E0000}"/>
    <cellStyle name="Comma 2 7 11 5 4" xfId="16071" xr:uid="{00000000-0005-0000-0000-0000C43E0000}"/>
    <cellStyle name="Comma 2 7 11 6" xfId="16072" xr:uid="{00000000-0005-0000-0000-0000C53E0000}"/>
    <cellStyle name="Comma 2 7 11 6 2" xfId="16073" xr:uid="{00000000-0005-0000-0000-0000C63E0000}"/>
    <cellStyle name="Comma 2 7 11 7" xfId="16074" xr:uid="{00000000-0005-0000-0000-0000C73E0000}"/>
    <cellStyle name="Comma 2 7 11 8" xfId="16075" xr:uid="{00000000-0005-0000-0000-0000C83E0000}"/>
    <cellStyle name="Comma 2 7 11 9" xfId="16076" xr:uid="{00000000-0005-0000-0000-0000C93E0000}"/>
    <cellStyle name="Comma 2 7 12" xfId="16077" xr:uid="{00000000-0005-0000-0000-0000CA3E0000}"/>
    <cellStyle name="Comma 2 7 12 10" xfId="16078" xr:uid="{00000000-0005-0000-0000-0000CB3E0000}"/>
    <cellStyle name="Comma 2 7 12 2" xfId="16079" xr:uid="{00000000-0005-0000-0000-0000CC3E0000}"/>
    <cellStyle name="Comma 2 7 12 2 2" xfId="16080" xr:uid="{00000000-0005-0000-0000-0000CD3E0000}"/>
    <cellStyle name="Comma 2 7 12 2 2 2" xfId="16081" xr:uid="{00000000-0005-0000-0000-0000CE3E0000}"/>
    <cellStyle name="Comma 2 7 12 2 2 3" xfId="16082" xr:uid="{00000000-0005-0000-0000-0000CF3E0000}"/>
    <cellStyle name="Comma 2 7 12 2 3" xfId="16083" xr:uid="{00000000-0005-0000-0000-0000D03E0000}"/>
    <cellStyle name="Comma 2 7 12 2 4" xfId="16084" xr:uid="{00000000-0005-0000-0000-0000D13E0000}"/>
    <cellStyle name="Comma 2 7 12 2 5" xfId="16085" xr:uid="{00000000-0005-0000-0000-0000D23E0000}"/>
    <cellStyle name="Comma 2 7 12 2 6" xfId="16086" xr:uid="{00000000-0005-0000-0000-0000D33E0000}"/>
    <cellStyle name="Comma 2 7 12 3" xfId="16087" xr:uid="{00000000-0005-0000-0000-0000D43E0000}"/>
    <cellStyle name="Comma 2 7 12 3 2" xfId="16088" xr:uid="{00000000-0005-0000-0000-0000D53E0000}"/>
    <cellStyle name="Comma 2 7 12 3 2 2" xfId="16089" xr:uid="{00000000-0005-0000-0000-0000D63E0000}"/>
    <cellStyle name="Comma 2 7 12 3 2 3" xfId="16090" xr:uid="{00000000-0005-0000-0000-0000D73E0000}"/>
    <cellStyle name="Comma 2 7 12 3 3" xfId="16091" xr:uid="{00000000-0005-0000-0000-0000D83E0000}"/>
    <cellStyle name="Comma 2 7 12 3 4" xfId="16092" xr:uid="{00000000-0005-0000-0000-0000D93E0000}"/>
    <cellStyle name="Comma 2 7 12 3 5" xfId="16093" xr:uid="{00000000-0005-0000-0000-0000DA3E0000}"/>
    <cellStyle name="Comma 2 7 12 3 6" xfId="16094" xr:uid="{00000000-0005-0000-0000-0000DB3E0000}"/>
    <cellStyle name="Comma 2 7 12 4" xfId="16095" xr:uid="{00000000-0005-0000-0000-0000DC3E0000}"/>
    <cellStyle name="Comma 2 7 12 4 2" xfId="16096" xr:uid="{00000000-0005-0000-0000-0000DD3E0000}"/>
    <cellStyle name="Comma 2 7 12 4 2 2" xfId="16097" xr:uid="{00000000-0005-0000-0000-0000DE3E0000}"/>
    <cellStyle name="Comma 2 7 12 4 3" xfId="16098" xr:uid="{00000000-0005-0000-0000-0000DF3E0000}"/>
    <cellStyle name="Comma 2 7 12 4 4" xfId="16099" xr:uid="{00000000-0005-0000-0000-0000E03E0000}"/>
    <cellStyle name="Comma 2 7 12 4 5" xfId="16100" xr:uid="{00000000-0005-0000-0000-0000E13E0000}"/>
    <cellStyle name="Comma 2 7 12 5" xfId="16101" xr:uid="{00000000-0005-0000-0000-0000E23E0000}"/>
    <cellStyle name="Comma 2 7 12 5 2" xfId="16102" xr:uid="{00000000-0005-0000-0000-0000E33E0000}"/>
    <cellStyle name="Comma 2 7 12 5 3" xfId="16103" xr:uid="{00000000-0005-0000-0000-0000E43E0000}"/>
    <cellStyle name="Comma 2 7 12 5 4" xfId="16104" xr:uid="{00000000-0005-0000-0000-0000E53E0000}"/>
    <cellStyle name="Comma 2 7 12 6" xfId="16105" xr:uid="{00000000-0005-0000-0000-0000E63E0000}"/>
    <cellStyle name="Comma 2 7 12 6 2" xfId="16106" xr:uid="{00000000-0005-0000-0000-0000E73E0000}"/>
    <cellStyle name="Comma 2 7 12 7" xfId="16107" xr:uid="{00000000-0005-0000-0000-0000E83E0000}"/>
    <cellStyle name="Comma 2 7 12 8" xfId="16108" xr:uid="{00000000-0005-0000-0000-0000E93E0000}"/>
    <cellStyle name="Comma 2 7 12 9" xfId="16109" xr:uid="{00000000-0005-0000-0000-0000EA3E0000}"/>
    <cellStyle name="Comma 2 7 13" xfId="16110" xr:uid="{00000000-0005-0000-0000-0000EB3E0000}"/>
    <cellStyle name="Comma 2 7 13 2" xfId="16111" xr:uid="{00000000-0005-0000-0000-0000EC3E0000}"/>
    <cellStyle name="Comma 2 7 13 2 2" xfId="16112" xr:uid="{00000000-0005-0000-0000-0000ED3E0000}"/>
    <cellStyle name="Comma 2 7 13 2 2 2" xfId="16113" xr:uid="{00000000-0005-0000-0000-0000EE3E0000}"/>
    <cellStyle name="Comma 2 7 13 2 2 3" xfId="16114" xr:uid="{00000000-0005-0000-0000-0000EF3E0000}"/>
    <cellStyle name="Comma 2 7 13 2 3" xfId="16115" xr:uid="{00000000-0005-0000-0000-0000F03E0000}"/>
    <cellStyle name="Comma 2 7 13 2 4" xfId="16116" xr:uid="{00000000-0005-0000-0000-0000F13E0000}"/>
    <cellStyle name="Comma 2 7 13 2 5" xfId="16117" xr:uid="{00000000-0005-0000-0000-0000F23E0000}"/>
    <cellStyle name="Comma 2 7 13 2 6" xfId="16118" xr:uid="{00000000-0005-0000-0000-0000F33E0000}"/>
    <cellStyle name="Comma 2 7 13 3" xfId="16119" xr:uid="{00000000-0005-0000-0000-0000F43E0000}"/>
    <cellStyle name="Comma 2 7 13 3 2" xfId="16120" xr:uid="{00000000-0005-0000-0000-0000F53E0000}"/>
    <cellStyle name="Comma 2 7 13 3 2 2" xfId="16121" xr:uid="{00000000-0005-0000-0000-0000F63E0000}"/>
    <cellStyle name="Comma 2 7 13 3 3" xfId="16122" xr:uid="{00000000-0005-0000-0000-0000F73E0000}"/>
    <cellStyle name="Comma 2 7 13 3 4" xfId="16123" xr:uid="{00000000-0005-0000-0000-0000F83E0000}"/>
    <cellStyle name="Comma 2 7 13 3 5" xfId="16124" xr:uid="{00000000-0005-0000-0000-0000F93E0000}"/>
    <cellStyle name="Comma 2 7 13 4" xfId="16125" xr:uid="{00000000-0005-0000-0000-0000FA3E0000}"/>
    <cellStyle name="Comma 2 7 13 4 2" xfId="16126" xr:uid="{00000000-0005-0000-0000-0000FB3E0000}"/>
    <cellStyle name="Comma 2 7 13 4 3" xfId="16127" xr:uid="{00000000-0005-0000-0000-0000FC3E0000}"/>
    <cellStyle name="Comma 2 7 13 4 4" xfId="16128" xr:uid="{00000000-0005-0000-0000-0000FD3E0000}"/>
    <cellStyle name="Comma 2 7 13 5" xfId="16129" xr:uid="{00000000-0005-0000-0000-0000FE3E0000}"/>
    <cellStyle name="Comma 2 7 13 5 2" xfId="16130" xr:uid="{00000000-0005-0000-0000-0000FF3E0000}"/>
    <cellStyle name="Comma 2 7 13 6" xfId="16131" xr:uid="{00000000-0005-0000-0000-0000003F0000}"/>
    <cellStyle name="Comma 2 7 13 7" xfId="16132" xr:uid="{00000000-0005-0000-0000-0000013F0000}"/>
    <cellStyle name="Comma 2 7 13 8" xfId="16133" xr:uid="{00000000-0005-0000-0000-0000023F0000}"/>
    <cellStyle name="Comma 2 7 13 9" xfId="16134" xr:uid="{00000000-0005-0000-0000-0000033F0000}"/>
    <cellStyle name="Comma 2 7 14" xfId="16135" xr:uid="{00000000-0005-0000-0000-0000043F0000}"/>
    <cellStyle name="Comma 2 7 14 2" xfId="16136" xr:uid="{00000000-0005-0000-0000-0000053F0000}"/>
    <cellStyle name="Comma 2 7 14 2 2" xfId="16137" xr:uid="{00000000-0005-0000-0000-0000063F0000}"/>
    <cellStyle name="Comma 2 7 14 2 2 2" xfId="16138" xr:uid="{00000000-0005-0000-0000-0000073F0000}"/>
    <cellStyle name="Comma 2 7 14 2 2 3" xfId="16139" xr:uid="{00000000-0005-0000-0000-0000083F0000}"/>
    <cellStyle name="Comma 2 7 14 2 3" xfId="16140" xr:uid="{00000000-0005-0000-0000-0000093F0000}"/>
    <cellStyle name="Comma 2 7 14 2 4" xfId="16141" xr:uid="{00000000-0005-0000-0000-00000A3F0000}"/>
    <cellStyle name="Comma 2 7 14 2 5" xfId="16142" xr:uid="{00000000-0005-0000-0000-00000B3F0000}"/>
    <cellStyle name="Comma 2 7 14 2 6" xfId="16143" xr:uid="{00000000-0005-0000-0000-00000C3F0000}"/>
    <cellStyle name="Comma 2 7 14 3" xfId="16144" xr:uid="{00000000-0005-0000-0000-00000D3F0000}"/>
    <cellStyle name="Comma 2 7 14 3 2" xfId="16145" xr:uid="{00000000-0005-0000-0000-00000E3F0000}"/>
    <cellStyle name="Comma 2 7 14 3 2 2" xfId="16146" xr:uid="{00000000-0005-0000-0000-00000F3F0000}"/>
    <cellStyle name="Comma 2 7 14 3 3" xfId="16147" xr:uid="{00000000-0005-0000-0000-0000103F0000}"/>
    <cellStyle name="Comma 2 7 14 3 4" xfId="16148" xr:uid="{00000000-0005-0000-0000-0000113F0000}"/>
    <cellStyle name="Comma 2 7 14 3 5" xfId="16149" xr:uid="{00000000-0005-0000-0000-0000123F0000}"/>
    <cellStyle name="Comma 2 7 14 4" xfId="16150" xr:uid="{00000000-0005-0000-0000-0000133F0000}"/>
    <cellStyle name="Comma 2 7 14 4 2" xfId="16151" xr:uid="{00000000-0005-0000-0000-0000143F0000}"/>
    <cellStyle name="Comma 2 7 14 4 3" xfId="16152" xr:uid="{00000000-0005-0000-0000-0000153F0000}"/>
    <cellStyle name="Comma 2 7 14 4 4" xfId="16153" xr:uid="{00000000-0005-0000-0000-0000163F0000}"/>
    <cellStyle name="Comma 2 7 14 5" xfId="16154" xr:uid="{00000000-0005-0000-0000-0000173F0000}"/>
    <cellStyle name="Comma 2 7 14 5 2" xfId="16155" xr:uid="{00000000-0005-0000-0000-0000183F0000}"/>
    <cellStyle name="Comma 2 7 14 6" xfId="16156" xr:uid="{00000000-0005-0000-0000-0000193F0000}"/>
    <cellStyle name="Comma 2 7 14 7" xfId="16157" xr:uid="{00000000-0005-0000-0000-00001A3F0000}"/>
    <cellStyle name="Comma 2 7 14 8" xfId="16158" xr:uid="{00000000-0005-0000-0000-00001B3F0000}"/>
    <cellStyle name="Comma 2 7 14 9" xfId="16159" xr:uid="{00000000-0005-0000-0000-00001C3F0000}"/>
    <cellStyle name="Comma 2 7 15" xfId="16160" xr:uid="{00000000-0005-0000-0000-00001D3F0000}"/>
    <cellStyle name="Comma 2 7 15 2" xfId="16161" xr:uid="{00000000-0005-0000-0000-00001E3F0000}"/>
    <cellStyle name="Comma 2 7 15 2 2" xfId="16162" xr:uid="{00000000-0005-0000-0000-00001F3F0000}"/>
    <cellStyle name="Comma 2 7 15 2 3" xfId="16163" xr:uid="{00000000-0005-0000-0000-0000203F0000}"/>
    <cellStyle name="Comma 2 7 15 3" xfId="16164" xr:uid="{00000000-0005-0000-0000-0000213F0000}"/>
    <cellStyle name="Comma 2 7 15 4" xfId="16165" xr:uid="{00000000-0005-0000-0000-0000223F0000}"/>
    <cellStyle name="Comma 2 7 15 5" xfId="16166" xr:uid="{00000000-0005-0000-0000-0000233F0000}"/>
    <cellStyle name="Comma 2 7 15 6" xfId="16167" xr:uid="{00000000-0005-0000-0000-0000243F0000}"/>
    <cellStyle name="Comma 2 7 16" xfId="16168" xr:uid="{00000000-0005-0000-0000-0000253F0000}"/>
    <cellStyle name="Comma 2 7 16 2" xfId="16169" xr:uid="{00000000-0005-0000-0000-0000263F0000}"/>
    <cellStyle name="Comma 2 7 16 2 2" xfId="16170" xr:uid="{00000000-0005-0000-0000-0000273F0000}"/>
    <cellStyle name="Comma 2 7 16 3" xfId="16171" xr:uid="{00000000-0005-0000-0000-0000283F0000}"/>
    <cellStyle name="Comma 2 7 16 4" xfId="16172" xr:uid="{00000000-0005-0000-0000-0000293F0000}"/>
    <cellStyle name="Comma 2 7 16 5" xfId="16173" xr:uid="{00000000-0005-0000-0000-00002A3F0000}"/>
    <cellStyle name="Comma 2 7 17" xfId="16174" xr:uid="{00000000-0005-0000-0000-00002B3F0000}"/>
    <cellStyle name="Comma 2 7 17 2" xfId="16175" xr:uid="{00000000-0005-0000-0000-00002C3F0000}"/>
    <cellStyle name="Comma 2 7 17 2 2" xfId="16176" xr:uid="{00000000-0005-0000-0000-00002D3F0000}"/>
    <cellStyle name="Comma 2 7 17 3" xfId="16177" xr:uid="{00000000-0005-0000-0000-00002E3F0000}"/>
    <cellStyle name="Comma 2 7 17 4" xfId="16178" xr:uid="{00000000-0005-0000-0000-00002F3F0000}"/>
    <cellStyle name="Comma 2 7 17 5" xfId="16179" xr:uid="{00000000-0005-0000-0000-0000303F0000}"/>
    <cellStyle name="Comma 2 7 18" xfId="16180" xr:uid="{00000000-0005-0000-0000-0000313F0000}"/>
    <cellStyle name="Comma 2 7 18 2" xfId="16181" xr:uid="{00000000-0005-0000-0000-0000323F0000}"/>
    <cellStyle name="Comma 2 7 19" xfId="16182" xr:uid="{00000000-0005-0000-0000-0000333F0000}"/>
    <cellStyle name="Comma 2 7 2" xfId="16183" xr:uid="{00000000-0005-0000-0000-0000343F0000}"/>
    <cellStyle name="Comma 2 7 2 10" xfId="16184" xr:uid="{00000000-0005-0000-0000-0000353F0000}"/>
    <cellStyle name="Comma 2 7 2 11" xfId="16185" xr:uid="{00000000-0005-0000-0000-0000363F0000}"/>
    <cellStyle name="Comma 2 7 2 2" xfId="16186" xr:uid="{00000000-0005-0000-0000-0000373F0000}"/>
    <cellStyle name="Comma 2 7 2 2 2" xfId="16187" xr:uid="{00000000-0005-0000-0000-0000383F0000}"/>
    <cellStyle name="Comma 2 7 2 2 2 2" xfId="16188" xr:uid="{00000000-0005-0000-0000-0000393F0000}"/>
    <cellStyle name="Comma 2 7 2 2 2 2 2" xfId="16189" xr:uid="{00000000-0005-0000-0000-00003A3F0000}"/>
    <cellStyle name="Comma 2 7 2 2 2 2 3" xfId="16190" xr:uid="{00000000-0005-0000-0000-00003B3F0000}"/>
    <cellStyle name="Comma 2 7 2 2 2 3" xfId="16191" xr:uid="{00000000-0005-0000-0000-00003C3F0000}"/>
    <cellStyle name="Comma 2 7 2 2 2 4" xfId="16192" xr:uid="{00000000-0005-0000-0000-00003D3F0000}"/>
    <cellStyle name="Comma 2 7 2 2 2 5" xfId="16193" xr:uid="{00000000-0005-0000-0000-00003E3F0000}"/>
    <cellStyle name="Comma 2 7 2 2 2 6" xfId="16194" xr:uid="{00000000-0005-0000-0000-00003F3F0000}"/>
    <cellStyle name="Comma 2 7 2 2 3" xfId="16195" xr:uid="{00000000-0005-0000-0000-0000403F0000}"/>
    <cellStyle name="Comma 2 7 2 2 3 2" xfId="16196" xr:uid="{00000000-0005-0000-0000-0000413F0000}"/>
    <cellStyle name="Comma 2 7 2 2 3 2 2" xfId="16197" xr:uid="{00000000-0005-0000-0000-0000423F0000}"/>
    <cellStyle name="Comma 2 7 2 2 3 3" xfId="16198" xr:uid="{00000000-0005-0000-0000-0000433F0000}"/>
    <cellStyle name="Comma 2 7 2 2 3 4" xfId="16199" xr:uid="{00000000-0005-0000-0000-0000443F0000}"/>
    <cellStyle name="Comma 2 7 2 2 3 5" xfId="16200" xr:uid="{00000000-0005-0000-0000-0000453F0000}"/>
    <cellStyle name="Comma 2 7 2 2 4" xfId="16201" xr:uid="{00000000-0005-0000-0000-0000463F0000}"/>
    <cellStyle name="Comma 2 7 2 2 4 2" xfId="16202" xr:uid="{00000000-0005-0000-0000-0000473F0000}"/>
    <cellStyle name="Comma 2 7 2 2 4 3" xfId="16203" xr:uid="{00000000-0005-0000-0000-0000483F0000}"/>
    <cellStyle name="Comma 2 7 2 2 4 4" xfId="16204" xr:uid="{00000000-0005-0000-0000-0000493F0000}"/>
    <cellStyle name="Comma 2 7 2 2 5" xfId="16205" xr:uid="{00000000-0005-0000-0000-00004A3F0000}"/>
    <cellStyle name="Comma 2 7 2 2 5 2" xfId="16206" xr:uid="{00000000-0005-0000-0000-00004B3F0000}"/>
    <cellStyle name="Comma 2 7 2 2 6" xfId="16207" xr:uid="{00000000-0005-0000-0000-00004C3F0000}"/>
    <cellStyle name="Comma 2 7 2 2 7" xfId="16208" xr:uid="{00000000-0005-0000-0000-00004D3F0000}"/>
    <cellStyle name="Comma 2 7 2 2 8" xfId="16209" xr:uid="{00000000-0005-0000-0000-00004E3F0000}"/>
    <cellStyle name="Comma 2 7 2 2 9" xfId="16210" xr:uid="{00000000-0005-0000-0000-00004F3F0000}"/>
    <cellStyle name="Comma 2 7 2 3" xfId="16211" xr:uid="{00000000-0005-0000-0000-0000503F0000}"/>
    <cellStyle name="Comma 2 7 2 3 2" xfId="16212" xr:uid="{00000000-0005-0000-0000-0000513F0000}"/>
    <cellStyle name="Comma 2 7 2 3 2 2" xfId="16213" xr:uid="{00000000-0005-0000-0000-0000523F0000}"/>
    <cellStyle name="Comma 2 7 2 3 2 2 2" xfId="16214" xr:uid="{00000000-0005-0000-0000-0000533F0000}"/>
    <cellStyle name="Comma 2 7 2 3 2 2 3" xfId="16215" xr:uid="{00000000-0005-0000-0000-0000543F0000}"/>
    <cellStyle name="Comma 2 7 2 3 2 3" xfId="16216" xr:uid="{00000000-0005-0000-0000-0000553F0000}"/>
    <cellStyle name="Comma 2 7 2 3 2 4" xfId="16217" xr:uid="{00000000-0005-0000-0000-0000563F0000}"/>
    <cellStyle name="Comma 2 7 2 3 2 5" xfId="16218" xr:uid="{00000000-0005-0000-0000-0000573F0000}"/>
    <cellStyle name="Comma 2 7 2 3 2 6" xfId="16219" xr:uid="{00000000-0005-0000-0000-0000583F0000}"/>
    <cellStyle name="Comma 2 7 2 3 3" xfId="16220" xr:uid="{00000000-0005-0000-0000-0000593F0000}"/>
    <cellStyle name="Comma 2 7 2 3 3 2" xfId="16221" xr:uid="{00000000-0005-0000-0000-00005A3F0000}"/>
    <cellStyle name="Comma 2 7 2 3 3 2 2" xfId="16222" xr:uid="{00000000-0005-0000-0000-00005B3F0000}"/>
    <cellStyle name="Comma 2 7 2 3 3 3" xfId="16223" xr:uid="{00000000-0005-0000-0000-00005C3F0000}"/>
    <cellStyle name="Comma 2 7 2 3 3 4" xfId="16224" xr:uid="{00000000-0005-0000-0000-00005D3F0000}"/>
    <cellStyle name="Comma 2 7 2 3 3 5" xfId="16225" xr:uid="{00000000-0005-0000-0000-00005E3F0000}"/>
    <cellStyle name="Comma 2 7 2 3 4" xfId="16226" xr:uid="{00000000-0005-0000-0000-00005F3F0000}"/>
    <cellStyle name="Comma 2 7 2 3 4 2" xfId="16227" xr:uid="{00000000-0005-0000-0000-0000603F0000}"/>
    <cellStyle name="Comma 2 7 2 3 4 3" xfId="16228" xr:uid="{00000000-0005-0000-0000-0000613F0000}"/>
    <cellStyle name="Comma 2 7 2 3 4 4" xfId="16229" xr:uid="{00000000-0005-0000-0000-0000623F0000}"/>
    <cellStyle name="Comma 2 7 2 3 5" xfId="16230" xr:uid="{00000000-0005-0000-0000-0000633F0000}"/>
    <cellStyle name="Comma 2 7 2 3 5 2" xfId="16231" xr:uid="{00000000-0005-0000-0000-0000643F0000}"/>
    <cellStyle name="Comma 2 7 2 3 6" xfId="16232" xr:uid="{00000000-0005-0000-0000-0000653F0000}"/>
    <cellStyle name="Comma 2 7 2 3 7" xfId="16233" xr:uid="{00000000-0005-0000-0000-0000663F0000}"/>
    <cellStyle name="Comma 2 7 2 3 8" xfId="16234" xr:uid="{00000000-0005-0000-0000-0000673F0000}"/>
    <cellStyle name="Comma 2 7 2 3 9" xfId="16235" xr:uid="{00000000-0005-0000-0000-0000683F0000}"/>
    <cellStyle name="Comma 2 7 2 4" xfId="16236" xr:uid="{00000000-0005-0000-0000-0000693F0000}"/>
    <cellStyle name="Comma 2 7 2 4 2" xfId="16237" xr:uid="{00000000-0005-0000-0000-00006A3F0000}"/>
    <cellStyle name="Comma 2 7 2 4 2 2" xfId="16238" xr:uid="{00000000-0005-0000-0000-00006B3F0000}"/>
    <cellStyle name="Comma 2 7 2 4 2 3" xfId="16239" xr:uid="{00000000-0005-0000-0000-00006C3F0000}"/>
    <cellStyle name="Comma 2 7 2 4 3" xfId="16240" xr:uid="{00000000-0005-0000-0000-00006D3F0000}"/>
    <cellStyle name="Comma 2 7 2 4 4" xfId="16241" xr:uid="{00000000-0005-0000-0000-00006E3F0000}"/>
    <cellStyle name="Comma 2 7 2 4 5" xfId="16242" xr:uid="{00000000-0005-0000-0000-00006F3F0000}"/>
    <cellStyle name="Comma 2 7 2 4 6" xfId="16243" xr:uid="{00000000-0005-0000-0000-0000703F0000}"/>
    <cellStyle name="Comma 2 7 2 5" xfId="16244" xr:uid="{00000000-0005-0000-0000-0000713F0000}"/>
    <cellStyle name="Comma 2 7 2 5 2" xfId="16245" xr:uid="{00000000-0005-0000-0000-0000723F0000}"/>
    <cellStyle name="Comma 2 7 2 5 2 2" xfId="16246" xr:uid="{00000000-0005-0000-0000-0000733F0000}"/>
    <cellStyle name="Comma 2 7 2 5 3" xfId="16247" xr:uid="{00000000-0005-0000-0000-0000743F0000}"/>
    <cellStyle name="Comma 2 7 2 5 4" xfId="16248" xr:uid="{00000000-0005-0000-0000-0000753F0000}"/>
    <cellStyle name="Comma 2 7 2 5 5" xfId="16249" xr:uid="{00000000-0005-0000-0000-0000763F0000}"/>
    <cellStyle name="Comma 2 7 2 6" xfId="16250" xr:uid="{00000000-0005-0000-0000-0000773F0000}"/>
    <cellStyle name="Comma 2 7 2 6 2" xfId="16251" xr:uid="{00000000-0005-0000-0000-0000783F0000}"/>
    <cellStyle name="Comma 2 7 2 6 3" xfId="16252" xr:uid="{00000000-0005-0000-0000-0000793F0000}"/>
    <cellStyle name="Comma 2 7 2 6 4" xfId="16253" xr:uid="{00000000-0005-0000-0000-00007A3F0000}"/>
    <cellStyle name="Comma 2 7 2 7" xfId="16254" xr:uid="{00000000-0005-0000-0000-00007B3F0000}"/>
    <cellStyle name="Comma 2 7 2 7 2" xfId="16255" xr:uid="{00000000-0005-0000-0000-00007C3F0000}"/>
    <cellStyle name="Comma 2 7 2 8" xfId="16256" xr:uid="{00000000-0005-0000-0000-00007D3F0000}"/>
    <cellStyle name="Comma 2 7 2 9" xfId="16257" xr:uid="{00000000-0005-0000-0000-00007E3F0000}"/>
    <cellStyle name="Comma 2 7 20" xfId="16258" xr:uid="{00000000-0005-0000-0000-00007F3F0000}"/>
    <cellStyle name="Comma 2 7 21" xfId="16259" xr:uid="{00000000-0005-0000-0000-0000803F0000}"/>
    <cellStyle name="Comma 2 7 22" xfId="16260" xr:uid="{00000000-0005-0000-0000-0000813F0000}"/>
    <cellStyle name="Comma 2 7 3" xfId="16261" xr:uid="{00000000-0005-0000-0000-0000823F0000}"/>
    <cellStyle name="Comma 2 7 3 10" xfId="16262" xr:uid="{00000000-0005-0000-0000-0000833F0000}"/>
    <cellStyle name="Comma 2 7 3 11" xfId="16263" xr:uid="{00000000-0005-0000-0000-0000843F0000}"/>
    <cellStyle name="Comma 2 7 3 2" xfId="16264" xr:uid="{00000000-0005-0000-0000-0000853F0000}"/>
    <cellStyle name="Comma 2 7 3 2 2" xfId="16265" xr:uid="{00000000-0005-0000-0000-0000863F0000}"/>
    <cellStyle name="Comma 2 7 3 2 2 2" xfId="16266" xr:uid="{00000000-0005-0000-0000-0000873F0000}"/>
    <cellStyle name="Comma 2 7 3 2 2 2 2" xfId="16267" xr:uid="{00000000-0005-0000-0000-0000883F0000}"/>
    <cellStyle name="Comma 2 7 3 2 2 2 3" xfId="16268" xr:uid="{00000000-0005-0000-0000-0000893F0000}"/>
    <cellStyle name="Comma 2 7 3 2 2 3" xfId="16269" xr:uid="{00000000-0005-0000-0000-00008A3F0000}"/>
    <cellStyle name="Comma 2 7 3 2 2 4" xfId="16270" xr:uid="{00000000-0005-0000-0000-00008B3F0000}"/>
    <cellStyle name="Comma 2 7 3 2 2 5" xfId="16271" xr:uid="{00000000-0005-0000-0000-00008C3F0000}"/>
    <cellStyle name="Comma 2 7 3 2 2 6" xfId="16272" xr:uid="{00000000-0005-0000-0000-00008D3F0000}"/>
    <cellStyle name="Comma 2 7 3 2 3" xfId="16273" xr:uid="{00000000-0005-0000-0000-00008E3F0000}"/>
    <cellStyle name="Comma 2 7 3 2 3 2" xfId="16274" xr:uid="{00000000-0005-0000-0000-00008F3F0000}"/>
    <cellStyle name="Comma 2 7 3 2 3 2 2" xfId="16275" xr:uid="{00000000-0005-0000-0000-0000903F0000}"/>
    <cellStyle name="Comma 2 7 3 2 3 3" xfId="16276" xr:uid="{00000000-0005-0000-0000-0000913F0000}"/>
    <cellStyle name="Comma 2 7 3 2 3 4" xfId="16277" xr:uid="{00000000-0005-0000-0000-0000923F0000}"/>
    <cellStyle name="Comma 2 7 3 2 3 5" xfId="16278" xr:uid="{00000000-0005-0000-0000-0000933F0000}"/>
    <cellStyle name="Comma 2 7 3 2 4" xfId="16279" xr:uid="{00000000-0005-0000-0000-0000943F0000}"/>
    <cellStyle name="Comma 2 7 3 2 4 2" xfId="16280" xr:uid="{00000000-0005-0000-0000-0000953F0000}"/>
    <cellStyle name="Comma 2 7 3 2 4 3" xfId="16281" xr:uid="{00000000-0005-0000-0000-0000963F0000}"/>
    <cellStyle name="Comma 2 7 3 2 4 4" xfId="16282" xr:uid="{00000000-0005-0000-0000-0000973F0000}"/>
    <cellStyle name="Comma 2 7 3 2 5" xfId="16283" xr:uid="{00000000-0005-0000-0000-0000983F0000}"/>
    <cellStyle name="Comma 2 7 3 2 5 2" xfId="16284" xr:uid="{00000000-0005-0000-0000-0000993F0000}"/>
    <cellStyle name="Comma 2 7 3 2 6" xfId="16285" xr:uid="{00000000-0005-0000-0000-00009A3F0000}"/>
    <cellStyle name="Comma 2 7 3 2 7" xfId="16286" xr:uid="{00000000-0005-0000-0000-00009B3F0000}"/>
    <cellStyle name="Comma 2 7 3 2 8" xfId="16287" xr:uid="{00000000-0005-0000-0000-00009C3F0000}"/>
    <cellStyle name="Comma 2 7 3 2 9" xfId="16288" xr:uid="{00000000-0005-0000-0000-00009D3F0000}"/>
    <cellStyle name="Comma 2 7 3 3" xfId="16289" xr:uid="{00000000-0005-0000-0000-00009E3F0000}"/>
    <cellStyle name="Comma 2 7 3 3 2" xfId="16290" xr:uid="{00000000-0005-0000-0000-00009F3F0000}"/>
    <cellStyle name="Comma 2 7 3 3 2 2" xfId="16291" xr:uid="{00000000-0005-0000-0000-0000A03F0000}"/>
    <cellStyle name="Comma 2 7 3 3 2 2 2" xfId="16292" xr:uid="{00000000-0005-0000-0000-0000A13F0000}"/>
    <cellStyle name="Comma 2 7 3 3 2 2 3" xfId="16293" xr:uid="{00000000-0005-0000-0000-0000A23F0000}"/>
    <cellStyle name="Comma 2 7 3 3 2 3" xfId="16294" xr:uid="{00000000-0005-0000-0000-0000A33F0000}"/>
    <cellStyle name="Comma 2 7 3 3 2 4" xfId="16295" xr:uid="{00000000-0005-0000-0000-0000A43F0000}"/>
    <cellStyle name="Comma 2 7 3 3 2 5" xfId="16296" xr:uid="{00000000-0005-0000-0000-0000A53F0000}"/>
    <cellStyle name="Comma 2 7 3 3 2 6" xfId="16297" xr:uid="{00000000-0005-0000-0000-0000A63F0000}"/>
    <cellStyle name="Comma 2 7 3 3 3" xfId="16298" xr:uid="{00000000-0005-0000-0000-0000A73F0000}"/>
    <cellStyle name="Comma 2 7 3 3 3 2" xfId="16299" xr:uid="{00000000-0005-0000-0000-0000A83F0000}"/>
    <cellStyle name="Comma 2 7 3 3 3 2 2" xfId="16300" xr:uid="{00000000-0005-0000-0000-0000A93F0000}"/>
    <cellStyle name="Comma 2 7 3 3 3 3" xfId="16301" xr:uid="{00000000-0005-0000-0000-0000AA3F0000}"/>
    <cellStyle name="Comma 2 7 3 3 3 4" xfId="16302" xr:uid="{00000000-0005-0000-0000-0000AB3F0000}"/>
    <cellStyle name="Comma 2 7 3 3 3 5" xfId="16303" xr:uid="{00000000-0005-0000-0000-0000AC3F0000}"/>
    <cellStyle name="Comma 2 7 3 3 4" xfId="16304" xr:uid="{00000000-0005-0000-0000-0000AD3F0000}"/>
    <cellStyle name="Comma 2 7 3 3 4 2" xfId="16305" xr:uid="{00000000-0005-0000-0000-0000AE3F0000}"/>
    <cellStyle name="Comma 2 7 3 3 4 3" xfId="16306" xr:uid="{00000000-0005-0000-0000-0000AF3F0000}"/>
    <cellStyle name="Comma 2 7 3 3 4 4" xfId="16307" xr:uid="{00000000-0005-0000-0000-0000B03F0000}"/>
    <cellStyle name="Comma 2 7 3 3 5" xfId="16308" xr:uid="{00000000-0005-0000-0000-0000B13F0000}"/>
    <cellStyle name="Comma 2 7 3 3 5 2" xfId="16309" xr:uid="{00000000-0005-0000-0000-0000B23F0000}"/>
    <cellStyle name="Comma 2 7 3 3 6" xfId="16310" xr:uid="{00000000-0005-0000-0000-0000B33F0000}"/>
    <cellStyle name="Comma 2 7 3 3 7" xfId="16311" xr:uid="{00000000-0005-0000-0000-0000B43F0000}"/>
    <cellStyle name="Comma 2 7 3 3 8" xfId="16312" xr:uid="{00000000-0005-0000-0000-0000B53F0000}"/>
    <cellStyle name="Comma 2 7 3 3 9" xfId="16313" xr:uid="{00000000-0005-0000-0000-0000B63F0000}"/>
    <cellStyle name="Comma 2 7 3 4" xfId="16314" xr:uid="{00000000-0005-0000-0000-0000B73F0000}"/>
    <cellStyle name="Comma 2 7 3 4 2" xfId="16315" xr:uid="{00000000-0005-0000-0000-0000B83F0000}"/>
    <cellStyle name="Comma 2 7 3 4 2 2" xfId="16316" xr:uid="{00000000-0005-0000-0000-0000B93F0000}"/>
    <cellStyle name="Comma 2 7 3 4 2 3" xfId="16317" xr:uid="{00000000-0005-0000-0000-0000BA3F0000}"/>
    <cellStyle name="Comma 2 7 3 4 3" xfId="16318" xr:uid="{00000000-0005-0000-0000-0000BB3F0000}"/>
    <cellStyle name="Comma 2 7 3 4 4" xfId="16319" xr:uid="{00000000-0005-0000-0000-0000BC3F0000}"/>
    <cellStyle name="Comma 2 7 3 4 5" xfId="16320" xr:uid="{00000000-0005-0000-0000-0000BD3F0000}"/>
    <cellStyle name="Comma 2 7 3 4 6" xfId="16321" xr:uid="{00000000-0005-0000-0000-0000BE3F0000}"/>
    <cellStyle name="Comma 2 7 3 5" xfId="16322" xr:uid="{00000000-0005-0000-0000-0000BF3F0000}"/>
    <cellStyle name="Comma 2 7 3 5 2" xfId="16323" xr:uid="{00000000-0005-0000-0000-0000C03F0000}"/>
    <cellStyle name="Comma 2 7 3 5 2 2" xfId="16324" xr:uid="{00000000-0005-0000-0000-0000C13F0000}"/>
    <cellStyle name="Comma 2 7 3 5 3" xfId="16325" xr:uid="{00000000-0005-0000-0000-0000C23F0000}"/>
    <cellStyle name="Comma 2 7 3 5 4" xfId="16326" xr:uid="{00000000-0005-0000-0000-0000C33F0000}"/>
    <cellStyle name="Comma 2 7 3 5 5" xfId="16327" xr:uid="{00000000-0005-0000-0000-0000C43F0000}"/>
    <cellStyle name="Comma 2 7 3 6" xfId="16328" xr:uid="{00000000-0005-0000-0000-0000C53F0000}"/>
    <cellStyle name="Comma 2 7 3 6 2" xfId="16329" xr:uid="{00000000-0005-0000-0000-0000C63F0000}"/>
    <cellStyle name="Comma 2 7 3 6 3" xfId="16330" xr:uid="{00000000-0005-0000-0000-0000C73F0000}"/>
    <cellStyle name="Comma 2 7 3 6 4" xfId="16331" xr:uid="{00000000-0005-0000-0000-0000C83F0000}"/>
    <cellStyle name="Comma 2 7 3 7" xfId="16332" xr:uid="{00000000-0005-0000-0000-0000C93F0000}"/>
    <cellStyle name="Comma 2 7 3 7 2" xfId="16333" xr:uid="{00000000-0005-0000-0000-0000CA3F0000}"/>
    <cellStyle name="Comma 2 7 3 8" xfId="16334" xr:uid="{00000000-0005-0000-0000-0000CB3F0000}"/>
    <cellStyle name="Comma 2 7 3 9" xfId="16335" xr:uid="{00000000-0005-0000-0000-0000CC3F0000}"/>
    <cellStyle name="Comma 2 7 4" xfId="16336" xr:uid="{00000000-0005-0000-0000-0000CD3F0000}"/>
    <cellStyle name="Comma 2 7 4 10" xfId="16337" xr:uid="{00000000-0005-0000-0000-0000CE3F0000}"/>
    <cellStyle name="Comma 2 7 4 11" xfId="16338" xr:uid="{00000000-0005-0000-0000-0000CF3F0000}"/>
    <cellStyle name="Comma 2 7 4 2" xfId="16339" xr:uid="{00000000-0005-0000-0000-0000D03F0000}"/>
    <cellStyle name="Comma 2 7 4 2 2" xfId="16340" xr:uid="{00000000-0005-0000-0000-0000D13F0000}"/>
    <cellStyle name="Comma 2 7 4 2 2 2" xfId="16341" xr:uid="{00000000-0005-0000-0000-0000D23F0000}"/>
    <cellStyle name="Comma 2 7 4 2 2 2 2" xfId="16342" xr:uid="{00000000-0005-0000-0000-0000D33F0000}"/>
    <cellStyle name="Comma 2 7 4 2 2 2 3" xfId="16343" xr:uid="{00000000-0005-0000-0000-0000D43F0000}"/>
    <cellStyle name="Comma 2 7 4 2 2 3" xfId="16344" xr:uid="{00000000-0005-0000-0000-0000D53F0000}"/>
    <cellStyle name="Comma 2 7 4 2 2 4" xfId="16345" xr:uid="{00000000-0005-0000-0000-0000D63F0000}"/>
    <cellStyle name="Comma 2 7 4 2 2 5" xfId="16346" xr:uid="{00000000-0005-0000-0000-0000D73F0000}"/>
    <cellStyle name="Comma 2 7 4 2 2 6" xfId="16347" xr:uid="{00000000-0005-0000-0000-0000D83F0000}"/>
    <cellStyle name="Comma 2 7 4 2 3" xfId="16348" xr:uid="{00000000-0005-0000-0000-0000D93F0000}"/>
    <cellStyle name="Comma 2 7 4 2 3 2" xfId="16349" xr:uid="{00000000-0005-0000-0000-0000DA3F0000}"/>
    <cellStyle name="Comma 2 7 4 2 3 2 2" xfId="16350" xr:uid="{00000000-0005-0000-0000-0000DB3F0000}"/>
    <cellStyle name="Comma 2 7 4 2 3 3" xfId="16351" xr:uid="{00000000-0005-0000-0000-0000DC3F0000}"/>
    <cellStyle name="Comma 2 7 4 2 3 4" xfId="16352" xr:uid="{00000000-0005-0000-0000-0000DD3F0000}"/>
    <cellStyle name="Comma 2 7 4 2 3 5" xfId="16353" xr:uid="{00000000-0005-0000-0000-0000DE3F0000}"/>
    <cellStyle name="Comma 2 7 4 2 4" xfId="16354" xr:uid="{00000000-0005-0000-0000-0000DF3F0000}"/>
    <cellStyle name="Comma 2 7 4 2 4 2" xfId="16355" xr:uid="{00000000-0005-0000-0000-0000E03F0000}"/>
    <cellStyle name="Comma 2 7 4 2 4 3" xfId="16356" xr:uid="{00000000-0005-0000-0000-0000E13F0000}"/>
    <cellStyle name="Comma 2 7 4 2 4 4" xfId="16357" xr:uid="{00000000-0005-0000-0000-0000E23F0000}"/>
    <cellStyle name="Comma 2 7 4 2 5" xfId="16358" xr:uid="{00000000-0005-0000-0000-0000E33F0000}"/>
    <cellStyle name="Comma 2 7 4 2 5 2" xfId="16359" xr:uid="{00000000-0005-0000-0000-0000E43F0000}"/>
    <cellStyle name="Comma 2 7 4 2 6" xfId="16360" xr:uid="{00000000-0005-0000-0000-0000E53F0000}"/>
    <cellStyle name="Comma 2 7 4 2 7" xfId="16361" xr:uid="{00000000-0005-0000-0000-0000E63F0000}"/>
    <cellStyle name="Comma 2 7 4 2 8" xfId="16362" xr:uid="{00000000-0005-0000-0000-0000E73F0000}"/>
    <cellStyle name="Comma 2 7 4 2 9" xfId="16363" xr:uid="{00000000-0005-0000-0000-0000E83F0000}"/>
    <cellStyle name="Comma 2 7 4 3" xfId="16364" xr:uid="{00000000-0005-0000-0000-0000E93F0000}"/>
    <cellStyle name="Comma 2 7 4 3 2" xfId="16365" xr:uid="{00000000-0005-0000-0000-0000EA3F0000}"/>
    <cellStyle name="Comma 2 7 4 3 2 2" xfId="16366" xr:uid="{00000000-0005-0000-0000-0000EB3F0000}"/>
    <cellStyle name="Comma 2 7 4 3 2 2 2" xfId="16367" xr:uid="{00000000-0005-0000-0000-0000EC3F0000}"/>
    <cellStyle name="Comma 2 7 4 3 2 2 3" xfId="16368" xr:uid="{00000000-0005-0000-0000-0000ED3F0000}"/>
    <cellStyle name="Comma 2 7 4 3 2 3" xfId="16369" xr:uid="{00000000-0005-0000-0000-0000EE3F0000}"/>
    <cellStyle name="Comma 2 7 4 3 2 4" xfId="16370" xr:uid="{00000000-0005-0000-0000-0000EF3F0000}"/>
    <cellStyle name="Comma 2 7 4 3 2 5" xfId="16371" xr:uid="{00000000-0005-0000-0000-0000F03F0000}"/>
    <cellStyle name="Comma 2 7 4 3 2 6" xfId="16372" xr:uid="{00000000-0005-0000-0000-0000F13F0000}"/>
    <cellStyle name="Comma 2 7 4 3 3" xfId="16373" xr:uid="{00000000-0005-0000-0000-0000F23F0000}"/>
    <cellStyle name="Comma 2 7 4 3 3 2" xfId="16374" xr:uid="{00000000-0005-0000-0000-0000F33F0000}"/>
    <cellStyle name="Comma 2 7 4 3 3 2 2" xfId="16375" xr:uid="{00000000-0005-0000-0000-0000F43F0000}"/>
    <cellStyle name="Comma 2 7 4 3 3 3" xfId="16376" xr:uid="{00000000-0005-0000-0000-0000F53F0000}"/>
    <cellStyle name="Comma 2 7 4 3 3 4" xfId="16377" xr:uid="{00000000-0005-0000-0000-0000F63F0000}"/>
    <cellStyle name="Comma 2 7 4 3 3 5" xfId="16378" xr:uid="{00000000-0005-0000-0000-0000F73F0000}"/>
    <cellStyle name="Comma 2 7 4 3 4" xfId="16379" xr:uid="{00000000-0005-0000-0000-0000F83F0000}"/>
    <cellStyle name="Comma 2 7 4 3 4 2" xfId="16380" xr:uid="{00000000-0005-0000-0000-0000F93F0000}"/>
    <cellStyle name="Comma 2 7 4 3 4 3" xfId="16381" xr:uid="{00000000-0005-0000-0000-0000FA3F0000}"/>
    <cellStyle name="Comma 2 7 4 3 4 4" xfId="16382" xr:uid="{00000000-0005-0000-0000-0000FB3F0000}"/>
    <cellStyle name="Comma 2 7 4 3 5" xfId="16383" xr:uid="{00000000-0005-0000-0000-0000FC3F0000}"/>
    <cellStyle name="Comma 2 7 4 3 5 2" xfId="16384" xr:uid="{00000000-0005-0000-0000-0000FD3F0000}"/>
    <cellStyle name="Comma 2 7 4 3 6" xfId="16385" xr:uid="{00000000-0005-0000-0000-0000FE3F0000}"/>
    <cellStyle name="Comma 2 7 4 3 7" xfId="16386" xr:uid="{00000000-0005-0000-0000-0000FF3F0000}"/>
    <cellStyle name="Comma 2 7 4 3 8" xfId="16387" xr:uid="{00000000-0005-0000-0000-000000400000}"/>
    <cellStyle name="Comma 2 7 4 3 9" xfId="16388" xr:uid="{00000000-0005-0000-0000-000001400000}"/>
    <cellStyle name="Comma 2 7 4 4" xfId="16389" xr:uid="{00000000-0005-0000-0000-000002400000}"/>
    <cellStyle name="Comma 2 7 4 4 2" xfId="16390" xr:uid="{00000000-0005-0000-0000-000003400000}"/>
    <cellStyle name="Comma 2 7 4 4 2 2" xfId="16391" xr:uid="{00000000-0005-0000-0000-000004400000}"/>
    <cellStyle name="Comma 2 7 4 4 2 3" xfId="16392" xr:uid="{00000000-0005-0000-0000-000005400000}"/>
    <cellStyle name="Comma 2 7 4 4 3" xfId="16393" xr:uid="{00000000-0005-0000-0000-000006400000}"/>
    <cellStyle name="Comma 2 7 4 4 4" xfId="16394" xr:uid="{00000000-0005-0000-0000-000007400000}"/>
    <cellStyle name="Comma 2 7 4 4 5" xfId="16395" xr:uid="{00000000-0005-0000-0000-000008400000}"/>
    <cellStyle name="Comma 2 7 4 4 6" xfId="16396" xr:uid="{00000000-0005-0000-0000-000009400000}"/>
    <cellStyle name="Comma 2 7 4 5" xfId="16397" xr:uid="{00000000-0005-0000-0000-00000A400000}"/>
    <cellStyle name="Comma 2 7 4 5 2" xfId="16398" xr:uid="{00000000-0005-0000-0000-00000B400000}"/>
    <cellStyle name="Comma 2 7 4 5 2 2" xfId="16399" xr:uid="{00000000-0005-0000-0000-00000C400000}"/>
    <cellStyle name="Comma 2 7 4 5 3" xfId="16400" xr:uid="{00000000-0005-0000-0000-00000D400000}"/>
    <cellStyle name="Comma 2 7 4 5 4" xfId="16401" xr:uid="{00000000-0005-0000-0000-00000E400000}"/>
    <cellStyle name="Comma 2 7 4 5 5" xfId="16402" xr:uid="{00000000-0005-0000-0000-00000F400000}"/>
    <cellStyle name="Comma 2 7 4 6" xfId="16403" xr:uid="{00000000-0005-0000-0000-000010400000}"/>
    <cellStyle name="Comma 2 7 4 6 2" xfId="16404" xr:uid="{00000000-0005-0000-0000-000011400000}"/>
    <cellStyle name="Comma 2 7 4 6 3" xfId="16405" xr:uid="{00000000-0005-0000-0000-000012400000}"/>
    <cellStyle name="Comma 2 7 4 6 4" xfId="16406" xr:uid="{00000000-0005-0000-0000-000013400000}"/>
    <cellStyle name="Comma 2 7 4 7" xfId="16407" xr:uid="{00000000-0005-0000-0000-000014400000}"/>
    <cellStyle name="Comma 2 7 4 7 2" xfId="16408" xr:uid="{00000000-0005-0000-0000-000015400000}"/>
    <cellStyle name="Comma 2 7 4 8" xfId="16409" xr:uid="{00000000-0005-0000-0000-000016400000}"/>
    <cellStyle name="Comma 2 7 4 9" xfId="16410" xr:uid="{00000000-0005-0000-0000-000017400000}"/>
    <cellStyle name="Comma 2 7 5" xfId="16411" xr:uid="{00000000-0005-0000-0000-000018400000}"/>
    <cellStyle name="Comma 2 7 5 10" xfId="16412" xr:uid="{00000000-0005-0000-0000-000019400000}"/>
    <cellStyle name="Comma 2 7 5 11" xfId="16413" xr:uid="{00000000-0005-0000-0000-00001A400000}"/>
    <cellStyle name="Comma 2 7 5 2" xfId="16414" xr:uid="{00000000-0005-0000-0000-00001B400000}"/>
    <cellStyle name="Comma 2 7 5 2 2" xfId="16415" xr:uid="{00000000-0005-0000-0000-00001C400000}"/>
    <cellStyle name="Comma 2 7 5 2 2 2" xfId="16416" xr:uid="{00000000-0005-0000-0000-00001D400000}"/>
    <cellStyle name="Comma 2 7 5 2 2 2 2" xfId="16417" xr:uid="{00000000-0005-0000-0000-00001E400000}"/>
    <cellStyle name="Comma 2 7 5 2 2 2 3" xfId="16418" xr:uid="{00000000-0005-0000-0000-00001F400000}"/>
    <cellStyle name="Comma 2 7 5 2 2 3" xfId="16419" xr:uid="{00000000-0005-0000-0000-000020400000}"/>
    <cellStyle name="Comma 2 7 5 2 2 4" xfId="16420" xr:uid="{00000000-0005-0000-0000-000021400000}"/>
    <cellStyle name="Comma 2 7 5 2 2 5" xfId="16421" xr:uid="{00000000-0005-0000-0000-000022400000}"/>
    <cellStyle name="Comma 2 7 5 2 2 6" xfId="16422" xr:uid="{00000000-0005-0000-0000-000023400000}"/>
    <cellStyle name="Comma 2 7 5 2 3" xfId="16423" xr:uid="{00000000-0005-0000-0000-000024400000}"/>
    <cellStyle name="Comma 2 7 5 2 3 2" xfId="16424" xr:uid="{00000000-0005-0000-0000-000025400000}"/>
    <cellStyle name="Comma 2 7 5 2 3 2 2" xfId="16425" xr:uid="{00000000-0005-0000-0000-000026400000}"/>
    <cellStyle name="Comma 2 7 5 2 3 3" xfId="16426" xr:uid="{00000000-0005-0000-0000-000027400000}"/>
    <cellStyle name="Comma 2 7 5 2 3 4" xfId="16427" xr:uid="{00000000-0005-0000-0000-000028400000}"/>
    <cellStyle name="Comma 2 7 5 2 3 5" xfId="16428" xr:uid="{00000000-0005-0000-0000-000029400000}"/>
    <cellStyle name="Comma 2 7 5 2 4" xfId="16429" xr:uid="{00000000-0005-0000-0000-00002A400000}"/>
    <cellStyle name="Comma 2 7 5 2 4 2" xfId="16430" xr:uid="{00000000-0005-0000-0000-00002B400000}"/>
    <cellStyle name="Comma 2 7 5 2 4 3" xfId="16431" xr:uid="{00000000-0005-0000-0000-00002C400000}"/>
    <cellStyle name="Comma 2 7 5 2 4 4" xfId="16432" xr:uid="{00000000-0005-0000-0000-00002D400000}"/>
    <cellStyle name="Comma 2 7 5 2 5" xfId="16433" xr:uid="{00000000-0005-0000-0000-00002E400000}"/>
    <cellStyle name="Comma 2 7 5 2 5 2" xfId="16434" xr:uid="{00000000-0005-0000-0000-00002F400000}"/>
    <cellStyle name="Comma 2 7 5 2 6" xfId="16435" xr:uid="{00000000-0005-0000-0000-000030400000}"/>
    <cellStyle name="Comma 2 7 5 2 7" xfId="16436" xr:uid="{00000000-0005-0000-0000-000031400000}"/>
    <cellStyle name="Comma 2 7 5 2 8" xfId="16437" xr:uid="{00000000-0005-0000-0000-000032400000}"/>
    <cellStyle name="Comma 2 7 5 2 9" xfId="16438" xr:uid="{00000000-0005-0000-0000-000033400000}"/>
    <cellStyle name="Comma 2 7 5 3" xfId="16439" xr:uid="{00000000-0005-0000-0000-000034400000}"/>
    <cellStyle name="Comma 2 7 5 3 2" xfId="16440" xr:uid="{00000000-0005-0000-0000-000035400000}"/>
    <cellStyle name="Comma 2 7 5 3 2 2" xfId="16441" xr:uid="{00000000-0005-0000-0000-000036400000}"/>
    <cellStyle name="Comma 2 7 5 3 2 2 2" xfId="16442" xr:uid="{00000000-0005-0000-0000-000037400000}"/>
    <cellStyle name="Comma 2 7 5 3 2 2 3" xfId="16443" xr:uid="{00000000-0005-0000-0000-000038400000}"/>
    <cellStyle name="Comma 2 7 5 3 2 3" xfId="16444" xr:uid="{00000000-0005-0000-0000-000039400000}"/>
    <cellStyle name="Comma 2 7 5 3 2 4" xfId="16445" xr:uid="{00000000-0005-0000-0000-00003A400000}"/>
    <cellStyle name="Comma 2 7 5 3 2 5" xfId="16446" xr:uid="{00000000-0005-0000-0000-00003B400000}"/>
    <cellStyle name="Comma 2 7 5 3 2 6" xfId="16447" xr:uid="{00000000-0005-0000-0000-00003C400000}"/>
    <cellStyle name="Comma 2 7 5 3 3" xfId="16448" xr:uid="{00000000-0005-0000-0000-00003D400000}"/>
    <cellStyle name="Comma 2 7 5 3 3 2" xfId="16449" xr:uid="{00000000-0005-0000-0000-00003E400000}"/>
    <cellStyle name="Comma 2 7 5 3 3 2 2" xfId="16450" xr:uid="{00000000-0005-0000-0000-00003F400000}"/>
    <cellStyle name="Comma 2 7 5 3 3 3" xfId="16451" xr:uid="{00000000-0005-0000-0000-000040400000}"/>
    <cellStyle name="Comma 2 7 5 3 3 4" xfId="16452" xr:uid="{00000000-0005-0000-0000-000041400000}"/>
    <cellStyle name="Comma 2 7 5 3 3 5" xfId="16453" xr:uid="{00000000-0005-0000-0000-000042400000}"/>
    <cellStyle name="Comma 2 7 5 3 4" xfId="16454" xr:uid="{00000000-0005-0000-0000-000043400000}"/>
    <cellStyle name="Comma 2 7 5 3 4 2" xfId="16455" xr:uid="{00000000-0005-0000-0000-000044400000}"/>
    <cellStyle name="Comma 2 7 5 3 4 3" xfId="16456" xr:uid="{00000000-0005-0000-0000-000045400000}"/>
    <cellStyle name="Comma 2 7 5 3 4 4" xfId="16457" xr:uid="{00000000-0005-0000-0000-000046400000}"/>
    <cellStyle name="Comma 2 7 5 3 5" xfId="16458" xr:uid="{00000000-0005-0000-0000-000047400000}"/>
    <cellStyle name="Comma 2 7 5 3 5 2" xfId="16459" xr:uid="{00000000-0005-0000-0000-000048400000}"/>
    <cellStyle name="Comma 2 7 5 3 6" xfId="16460" xr:uid="{00000000-0005-0000-0000-000049400000}"/>
    <cellStyle name="Comma 2 7 5 3 7" xfId="16461" xr:uid="{00000000-0005-0000-0000-00004A400000}"/>
    <cellStyle name="Comma 2 7 5 3 8" xfId="16462" xr:uid="{00000000-0005-0000-0000-00004B400000}"/>
    <cellStyle name="Comma 2 7 5 3 9" xfId="16463" xr:uid="{00000000-0005-0000-0000-00004C400000}"/>
    <cellStyle name="Comma 2 7 5 4" xfId="16464" xr:uid="{00000000-0005-0000-0000-00004D400000}"/>
    <cellStyle name="Comma 2 7 5 4 2" xfId="16465" xr:uid="{00000000-0005-0000-0000-00004E400000}"/>
    <cellStyle name="Comma 2 7 5 4 2 2" xfId="16466" xr:uid="{00000000-0005-0000-0000-00004F400000}"/>
    <cellStyle name="Comma 2 7 5 4 2 3" xfId="16467" xr:uid="{00000000-0005-0000-0000-000050400000}"/>
    <cellStyle name="Comma 2 7 5 4 3" xfId="16468" xr:uid="{00000000-0005-0000-0000-000051400000}"/>
    <cellStyle name="Comma 2 7 5 4 4" xfId="16469" xr:uid="{00000000-0005-0000-0000-000052400000}"/>
    <cellStyle name="Comma 2 7 5 4 5" xfId="16470" xr:uid="{00000000-0005-0000-0000-000053400000}"/>
    <cellStyle name="Comma 2 7 5 4 6" xfId="16471" xr:uid="{00000000-0005-0000-0000-000054400000}"/>
    <cellStyle name="Comma 2 7 5 5" xfId="16472" xr:uid="{00000000-0005-0000-0000-000055400000}"/>
    <cellStyle name="Comma 2 7 5 5 2" xfId="16473" xr:uid="{00000000-0005-0000-0000-000056400000}"/>
    <cellStyle name="Comma 2 7 5 5 2 2" xfId="16474" xr:uid="{00000000-0005-0000-0000-000057400000}"/>
    <cellStyle name="Comma 2 7 5 5 3" xfId="16475" xr:uid="{00000000-0005-0000-0000-000058400000}"/>
    <cellStyle name="Comma 2 7 5 5 4" xfId="16476" xr:uid="{00000000-0005-0000-0000-000059400000}"/>
    <cellStyle name="Comma 2 7 5 5 5" xfId="16477" xr:uid="{00000000-0005-0000-0000-00005A400000}"/>
    <cellStyle name="Comma 2 7 5 6" xfId="16478" xr:uid="{00000000-0005-0000-0000-00005B400000}"/>
    <cellStyle name="Comma 2 7 5 6 2" xfId="16479" xr:uid="{00000000-0005-0000-0000-00005C400000}"/>
    <cellStyle name="Comma 2 7 5 6 3" xfId="16480" xr:uid="{00000000-0005-0000-0000-00005D400000}"/>
    <cellStyle name="Comma 2 7 5 6 4" xfId="16481" xr:uid="{00000000-0005-0000-0000-00005E400000}"/>
    <cellStyle name="Comma 2 7 5 7" xfId="16482" xr:uid="{00000000-0005-0000-0000-00005F400000}"/>
    <cellStyle name="Comma 2 7 5 7 2" xfId="16483" xr:uid="{00000000-0005-0000-0000-000060400000}"/>
    <cellStyle name="Comma 2 7 5 8" xfId="16484" xr:uid="{00000000-0005-0000-0000-000061400000}"/>
    <cellStyle name="Comma 2 7 5 9" xfId="16485" xr:uid="{00000000-0005-0000-0000-000062400000}"/>
    <cellStyle name="Comma 2 7 6" xfId="16486" xr:uid="{00000000-0005-0000-0000-000063400000}"/>
    <cellStyle name="Comma 2 7 6 10" xfId="16487" xr:uid="{00000000-0005-0000-0000-000064400000}"/>
    <cellStyle name="Comma 2 7 6 11" xfId="16488" xr:uid="{00000000-0005-0000-0000-000065400000}"/>
    <cellStyle name="Comma 2 7 6 2" xfId="16489" xr:uid="{00000000-0005-0000-0000-000066400000}"/>
    <cellStyle name="Comma 2 7 6 2 2" xfId="16490" xr:uid="{00000000-0005-0000-0000-000067400000}"/>
    <cellStyle name="Comma 2 7 6 2 2 2" xfId="16491" xr:uid="{00000000-0005-0000-0000-000068400000}"/>
    <cellStyle name="Comma 2 7 6 2 2 2 2" xfId="16492" xr:uid="{00000000-0005-0000-0000-000069400000}"/>
    <cellStyle name="Comma 2 7 6 2 2 2 3" xfId="16493" xr:uid="{00000000-0005-0000-0000-00006A400000}"/>
    <cellStyle name="Comma 2 7 6 2 2 3" xfId="16494" xr:uid="{00000000-0005-0000-0000-00006B400000}"/>
    <cellStyle name="Comma 2 7 6 2 2 4" xfId="16495" xr:uid="{00000000-0005-0000-0000-00006C400000}"/>
    <cellStyle name="Comma 2 7 6 2 2 5" xfId="16496" xr:uid="{00000000-0005-0000-0000-00006D400000}"/>
    <cellStyle name="Comma 2 7 6 2 2 6" xfId="16497" xr:uid="{00000000-0005-0000-0000-00006E400000}"/>
    <cellStyle name="Comma 2 7 6 2 3" xfId="16498" xr:uid="{00000000-0005-0000-0000-00006F400000}"/>
    <cellStyle name="Comma 2 7 6 2 3 2" xfId="16499" xr:uid="{00000000-0005-0000-0000-000070400000}"/>
    <cellStyle name="Comma 2 7 6 2 3 2 2" xfId="16500" xr:uid="{00000000-0005-0000-0000-000071400000}"/>
    <cellStyle name="Comma 2 7 6 2 3 3" xfId="16501" xr:uid="{00000000-0005-0000-0000-000072400000}"/>
    <cellStyle name="Comma 2 7 6 2 3 4" xfId="16502" xr:uid="{00000000-0005-0000-0000-000073400000}"/>
    <cellStyle name="Comma 2 7 6 2 3 5" xfId="16503" xr:uid="{00000000-0005-0000-0000-000074400000}"/>
    <cellStyle name="Comma 2 7 6 2 4" xfId="16504" xr:uid="{00000000-0005-0000-0000-000075400000}"/>
    <cellStyle name="Comma 2 7 6 2 4 2" xfId="16505" xr:uid="{00000000-0005-0000-0000-000076400000}"/>
    <cellStyle name="Comma 2 7 6 2 4 3" xfId="16506" xr:uid="{00000000-0005-0000-0000-000077400000}"/>
    <cellStyle name="Comma 2 7 6 2 4 4" xfId="16507" xr:uid="{00000000-0005-0000-0000-000078400000}"/>
    <cellStyle name="Comma 2 7 6 2 5" xfId="16508" xr:uid="{00000000-0005-0000-0000-000079400000}"/>
    <cellStyle name="Comma 2 7 6 2 5 2" xfId="16509" xr:uid="{00000000-0005-0000-0000-00007A400000}"/>
    <cellStyle name="Comma 2 7 6 2 6" xfId="16510" xr:uid="{00000000-0005-0000-0000-00007B400000}"/>
    <cellStyle name="Comma 2 7 6 2 7" xfId="16511" xr:uid="{00000000-0005-0000-0000-00007C400000}"/>
    <cellStyle name="Comma 2 7 6 2 8" xfId="16512" xr:uid="{00000000-0005-0000-0000-00007D400000}"/>
    <cellStyle name="Comma 2 7 6 2 9" xfId="16513" xr:uid="{00000000-0005-0000-0000-00007E400000}"/>
    <cellStyle name="Comma 2 7 6 3" xfId="16514" xr:uid="{00000000-0005-0000-0000-00007F400000}"/>
    <cellStyle name="Comma 2 7 6 3 2" xfId="16515" xr:uid="{00000000-0005-0000-0000-000080400000}"/>
    <cellStyle name="Comma 2 7 6 3 2 2" xfId="16516" xr:uid="{00000000-0005-0000-0000-000081400000}"/>
    <cellStyle name="Comma 2 7 6 3 2 2 2" xfId="16517" xr:uid="{00000000-0005-0000-0000-000082400000}"/>
    <cellStyle name="Comma 2 7 6 3 2 2 3" xfId="16518" xr:uid="{00000000-0005-0000-0000-000083400000}"/>
    <cellStyle name="Comma 2 7 6 3 2 3" xfId="16519" xr:uid="{00000000-0005-0000-0000-000084400000}"/>
    <cellStyle name="Comma 2 7 6 3 2 4" xfId="16520" xr:uid="{00000000-0005-0000-0000-000085400000}"/>
    <cellStyle name="Comma 2 7 6 3 2 5" xfId="16521" xr:uid="{00000000-0005-0000-0000-000086400000}"/>
    <cellStyle name="Comma 2 7 6 3 2 6" xfId="16522" xr:uid="{00000000-0005-0000-0000-000087400000}"/>
    <cellStyle name="Comma 2 7 6 3 3" xfId="16523" xr:uid="{00000000-0005-0000-0000-000088400000}"/>
    <cellStyle name="Comma 2 7 6 3 3 2" xfId="16524" xr:uid="{00000000-0005-0000-0000-000089400000}"/>
    <cellStyle name="Comma 2 7 6 3 3 2 2" xfId="16525" xr:uid="{00000000-0005-0000-0000-00008A400000}"/>
    <cellStyle name="Comma 2 7 6 3 3 3" xfId="16526" xr:uid="{00000000-0005-0000-0000-00008B400000}"/>
    <cellStyle name="Comma 2 7 6 3 3 4" xfId="16527" xr:uid="{00000000-0005-0000-0000-00008C400000}"/>
    <cellStyle name="Comma 2 7 6 3 3 5" xfId="16528" xr:uid="{00000000-0005-0000-0000-00008D400000}"/>
    <cellStyle name="Comma 2 7 6 3 4" xfId="16529" xr:uid="{00000000-0005-0000-0000-00008E400000}"/>
    <cellStyle name="Comma 2 7 6 3 4 2" xfId="16530" xr:uid="{00000000-0005-0000-0000-00008F400000}"/>
    <cellStyle name="Comma 2 7 6 3 4 3" xfId="16531" xr:uid="{00000000-0005-0000-0000-000090400000}"/>
    <cellStyle name="Comma 2 7 6 3 4 4" xfId="16532" xr:uid="{00000000-0005-0000-0000-000091400000}"/>
    <cellStyle name="Comma 2 7 6 3 5" xfId="16533" xr:uid="{00000000-0005-0000-0000-000092400000}"/>
    <cellStyle name="Comma 2 7 6 3 5 2" xfId="16534" xr:uid="{00000000-0005-0000-0000-000093400000}"/>
    <cellStyle name="Comma 2 7 6 3 6" xfId="16535" xr:uid="{00000000-0005-0000-0000-000094400000}"/>
    <cellStyle name="Comma 2 7 6 3 7" xfId="16536" xr:uid="{00000000-0005-0000-0000-000095400000}"/>
    <cellStyle name="Comma 2 7 6 3 8" xfId="16537" xr:uid="{00000000-0005-0000-0000-000096400000}"/>
    <cellStyle name="Comma 2 7 6 3 9" xfId="16538" xr:uid="{00000000-0005-0000-0000-000097400000}"/>
    <cellStyle name="Comma 2 7 6 4" xfId="16539" xr:uid="{00000000-0005-0000-0000-000098400000}"/>
    <cellStyle name="Comma 2 7 6 4 2" xfId="16540" xr:uid="{00000000-0005-0000-0000-000099400000}"/>
    <cellStyle name="Comma 2 7 6 4 2 2" xfId="16541" xr:uid="{00000000-0005-0000-0000-00009A400000}"/>
    <cellStyle name="Comma 2 7 6 4 2 3" xfId="16542" xr:uid="{00000000-0005-0000-0000-00009B400000}"/>
    <cellStyle name="Comma 2 7 6 4 3" xfId="16543" xr:uid="{00000000-0005-0000-0000-00009C400000}"/>
    <cellStyle name="Comma 2 7 6 4 4" xfId="16544" xr:uid="{00000000-0005-0000-0000-00009D400000}"/>
    <cellStyle name="Comma 2 7 6 4 5" xfId="16545" xr:uid="{00000000-0005-0000-0000-00009E400000}"/>
    <cellStyle name="Comma 2 7 6 4 6" xfId="16546" xr:uid="{00000000-0005-0000-0000-00009F400000}"/>
    <cellStyle name="Comma 2 7 6 5" xfId="16547" xr:uid="{00000000-0005-0000-0000-0000A0400000}"/>
    <cellStyle name="Comma 2 7 6 5 2" xfId="16548" xr:uid="{00000000-0005-0000-0000-0000A1400000}"/>
    <cellStyle name="Comma 2 7 6 5 2 2" xfId="16549" xr:uid="{00000000-0005-0000-0000-0000A2400000}"/>
    <cellStyle name="Comma 2 7 6 5 3" xfId="16550" xr:uid="{00000000-0005-0000-0000-0000A3400000}"/>
    <cellStyle name="Comma 2 7 6 5 4" xfId="16551" xr:uid="{00000000-0005-0000-0000-0000A4400000}"/>
    <cellStyle name="Comma 2 7 6 5 5" xfId="16552" xr:uid="{00000000-0005-0000-0000-0000A5400000}"/>
    <cellStyle name="Comma 2 7 6 6" xfId="16553" xr:uid="{00000000-0005-0000-0000-0000A6400000}"/>
    <cellStyle name="Comma 2 7 6 6 2" xfId="16554" xr:uid="{00000000-0005-0000-0000-0000A7400000}"/>
    <cellStyle name="Comma 2 7 6 6 3" xfId="16555" xr:uid="{00000000-0005-0000-0000-0000A8400000}"/>
    <cellStyle name="Comma 2 7 6 6 4" xfId="16556" xr:uid="{00000000-0005-0000-0000-0000A9400000}"/>
    <cellStyle name="Comma 2 7 6 7" xfId="16557" xr:uid="{00000000-0005-0000-0000-0000AA400000}"/>
    <cellStyle name="Comma 2 7 6 7 2" xfId="16558" xr:uid="{00000000-0005-0000-0000-0000AB400000}"/>
    <cellStyle name="Comma 2 7 6 8" xfId="16559" xr:uid="{00000000-0005-0000-0000-0000AC400000}"/>
    <cellStyle name="Comma 2 7 6 9" xfId="16560" xr:uid="{00000000-0005-0000-0000-0000AD400000}"/>
    <cellStyle name="Comma 2 7 7" xfId="16561" xr:uid="{00000000-0005-0000-0000-0000AE400000}"/>
    <cellStyle name="Comma 2 7 7 10" xfId="16562" xr:uid="{00000000-0005-0000-0000-0000AF400000}"/>
    <cellStyle name="Comma 2 7 7 11" xfId="16563" xr:uid="{00000000-0005-0000-0000-0000B0400000}"/>
    <cellStyle name="Comma 2 7 7 2" xfId="16564" xr:uid="{00000000-0005-0000-0000-0000B1400000}"/>
    <cellStyle name="Comma 2 7 7 2 2" xfId="16565" xr:uid="{00000000-0005-0000-0000-0000B2400000}"/>
    <cellStyle name="Comma 2 7 7 2 2 2" xfId="16566" xr:uid="{00000000-0005-0000-0000-0000B3400000}"/>
    <cellStyle name="Comma 2 7 7 2 2 2 2" xfId="16567" xr:uid="{00000000-0005-0000-0000-0000B4400000}"/>
    <cellStyle name="Comma 2 7 7 2 2 2 3" xfId="16568" xr:uid="{00000000-0005-0000-0000-0000B5400000}"/>
    <cellStyle name="Comma 2 7 7 2 2 3" xfId="16569" xr:uid="{00000000-0005-0000-0000-0000B6400000}"/>
    <cellStyle name="Comma 2 7 7 2 2 4" xfId="16570" xr:uid="{00000000-0005-0000-0000-0000B7400000}"/>
    <cellStyle name="Comma 2 7 7 2 2 5" xfId="16571" xr:uid="{00000000-0005-0000-0000-0000B8400000}"/>
    <cellStyle name="Comma 2 7 7 2 2 6" xfId="16572" xr:uid="{00000000-0005-0000-0000-0000B9400000}"/>
    <cellStyle name="Comma 2 7 7 2 3" xfId="16573" xr:uid="{00000000-0005-0000-0000-0000BA400000}"/>
    <cellStyle name="Comma 2 7 7 2 3 2" xfId="16574" xr:uid="{00000000-0005-0000-0000-0000BB400000}"/>
    <cellStyle name="Comma 2 7 7 2 3 2 2" xfId="16575" xr:uid="{00000000-0005-0000-0000-0000BC400000}"/>
    <cellStyle name="Comma 2 7 7 2 3 3" xfId="16576" xr:uid="{00000000-0005-0000-0000-0000BD400000}"/>
    <cellStyle name="Comma 2 7 7 2 3 4" xfId="16577" xr:uid="{00000000-0005-0000-0000-0000BE400000}"/>
    <cellStyle name="Comma 2 7 7 2 3 5" xfId="16578" xr:uid="{00000000-0005-0000-0000-0000BF400000}"/>
    <cellStyle name="Comma 2 7 7 2 4" xfId="16579" xr:uid="{00000000-0005-0000-0000-0000C0400000}"/>
    <cellStyle name="Comma 2 7 7 2 4 2" xfId="16580" xr:uid="{00000000-0005-0000-0000-0000C1400000}"/>
    <cellStyle name="Comma 2 7 7 2 4 3" xfId="16581" xr:uid="{00000000-0005-0000-0000-0000C2400000}"/>
    <cellStyle name="Comma 2 7 7 2 4 4" xfId="16582" xr:uid="{00000000-0005-0000-0000-0000C3400000}"/>
    <cellStyle name="Comma 2 7 7 2 5" xfId="16583" xr:uid="{00000000-0005-0000-0000-0000C4400000}"/>
    <cellStyle name="Comma 2 7 7 2 5 2" xfId="16584" xr:uid="{00000000-0005-0000-0000-0000C5400000}"/>
    <cellStyle name="Comma 2 7 7 2 6" xfId="16585" xr:uid="{00000000-0005-0000-0000-0000C6400000}"/>
    <cellStyle name="Comma 2 7 7 2 7" xfId="16586" xr:uid="{00000000-0005-0000-0000-0000C7400000}"/>
    <cellStyle name="Comma 2 7 7 2 8" xfId="16587" xr:uid="{00000000-0005-0000-0000-0000C8400000}"/>
    <cellStyle name="Comma 2 7 7 2 9" xfId="16588" xr:uid="{00000000-0005-0000-0000-0000C9400000}"/>
    <cellStyle name="Comma 2 7 7 3" xfId="16589" xr:uid="{00000000-0005-0000-0000-0000CA400000}"/>
    <cellStyle name="Comma 2 7 7 3 2" xfId="16590" xr:uid="{00000000-0005-0000-0000-0000CB400000}"/>
    <cellStyle name="Comma 2 7 7 3 2 2" xfId="16591" xr:uid="{00000000-0005-0000-0000-0000CC400000}"/>
    <cellStyle name="Comma 2 7 7 3 2 2 2" xfId="16592" xr:uid="{00000000-0005-0000-0000-0000CD400000}"/>
    <cellStyle name="Comma 2 7 7 3 2 2 3" xfId="16593" xr:uid="{00000000-0005-0000-0000-0000CE400000}"/>
    <cellStyle name="Comma 2 7 7 3 2 3" xfId="16594" xr:uid="{00000000-0005-0000-0000-0000CF400000}"/>
    <cellStyle name="Comma 2 7 7 3 2 4" xfId="16595" xr:uid="{00000000-0005-0000-0000-0000D0400000}"/>
    <cellStyle name="Comma 2 7 7 3 2 5" xfId="16596" xr:uid="{00000000-0005-0000-0000-0000D1400000}"/>
    <cellStyle name="Comma 2 7 7 3 2 6" xfId="16597" xr:uid="{00000000-0005-0000-0000-0000D2400000}"/>
    <cellStyle name="Comma 2 7 7 3 3" xfId="16598" xr:uid="{00000000-0005-0000-0000-0000D3400000}"/>
    <cellStyle name="Comma 2 7 7 3 3 2" xfId="16599" xr:uid="{00000000-0005-0000-0000-0000D4400000}"/>
    <cellStyle name="Comma 2 7 7 3 3 2 2" xfId="16600" xr:uid="{00000000-0005-0000-0000-0000D5400000}"/>
    <cellStyle name="Comma 2 7 7 3 3 3" xfId="16601" xr:uid="{00000000-0005-0000-0000-0000D6400000}"/>
    <cellStyle name="Comma 2 7 7 3 3 4" xfId="16602" xr:uid="{00000000-0005-0000-0000-0000D7400000}"/>
    <cellStyle name="Comma 2 7 7 3 3 5" xfId="16603" xr:uid="{00000000-0005-0000-0000-0000D8400000}"/>
    <cellStyle name="Comma 2 7 7 3 4" xfId="16604" xr:uid="{00000000-0005-0000-0000-0000D9400000}"/>
    <cellStyle name="Comma 2 7 7 3 4 2" xfId="16605" xr:uid="{00000000-0005-0000-0000-0000DA400000}"/>
    <cellStyle name="Comma 2 7 7 3 4 3" xfId="16606" xr:uid="{00000000-0005-0000-0000-0000DB400000}"/>
    <cellStyle name="Comma 2 7 7 3 4 4" xfId="16607" xr:uid="{00000000-0005-0000-0000-0000DC400000}"/>
    <cellStyle name="Comma 2 7 7 3 5" xfId="16608" xr:uid="{00000000-0005-0000-0000-0000DD400000}"/>
    <cellStyle name="Comma 2 7 7 3 5 2" xfId="16609" xr:uid="{00000000-0005-0000-0000-0000DE400000}"/>
    <cellStyle name="Comma 2 7 7 3 6" xfId="16610" xr:uid="{00000000-0005-0000-0000-0000DF400000}"/>
    <cellStyle name="Comma 2 7 7 3 7" xfId="16611" xr:uid="{00000000-0005-0000-0000-0000E0400000}"/>
    <cellStyle name="Comma 2 7 7 3 8" xfId="16612" xr:uid="{00000000-0005-0000-0000-0000E1400000}"/>
    <cellStyle name="Comma 2 7 7 3 9" xfId="16613" xr:uid="{00000000-0005-0000-0000-0000E2400000}"/>
    <cellStyle name="Comma 2 7 7 4" xfId="16614" xr:uid="{00000000-0005-0000-0000-0000E3400000}"/>
    <cellStyle name="Comma 2 7 7 4 2" xfId="16615" xr:uid="{00000000-0005-0000-0000-0000E4400000}"/>
    <cellStyle name="Comma 2 7 7 4 2 2" xfId="16616" xr:uid="{00000000-0005-0000-0000-0000E5400000}"/>
    <cellStyle name="Comma 2 7 7 4 2 3" xfId="16617" xr:uid="{00000000-0005-0000-0000-0000E6400000}"/>
    <cellStyle name="Comma 2 7 7 4 3" xfId="16618" xr:uid="{00000000-0005-0000-0000-0000E7400000}"/>
    <cellStyle name="Comma 2 7 7 4 4" xfId="16619" xr:uid="{00000000-0005-0000-0000-0000E8400000}"/>
    <cellStyle name="Comma 2 7 7 4 5" xfId="16620" xr:uid="{00000000-0005-0000-0000-0000E9400000}"/>
    <cellStyle name="Comma 2 7 7 4 6" xfId="16621" xr:uid="{00000000-0005-0000-0000-0000EA400000}"/>
    <cellStyle name="Comma 2 7 7 5" xfId="16622" xr:uid="{00000000-0005-0000-0000-0000EB400000}"/>
    <cellStyle name="Comma 2 7 7 5 2" xfId="16623" xr:uid="{00000000-0005-0000-0000-0000EC400000}"/>
    <cellStyle name="Comma 2 7 7 5 2 2" xfId="16624" xr:uid="{00000000-0005-0000-0000-0000ED400000}"/>
    <cellStyle name="Comma 2 7 7 5 3" xfId="16625" xr:uid="{00000000-0005-0000-0000-0000EE400000}"/>
    <cellStyle name="Comma 2 7 7 5 4" xfId="16626" xr:uid="{00000000-0005-0000-0000-0000EF400000}"/>
    <cellStyle name="Comma 2 7 7 5 5" xfId="16627" xr:uid="{00000000-0005-0000-0000-0000F0400000}"/>
    <cellStyle name="Comma 2 7 7 6" xfId="16628" xr:uid="{00000000-0005-0000-0000-0000F1400000}"/>
    <cellStyle name="Comma 2 7 7 6 2" xfId="16629" xr:uid="{00000000-0005-0000-0000-0000F2400000}"/>
    <cellStyle name="Comma 2 7 7 6 3" xfId="16630" xr:uid="{00000000-0005-0000-0000-0000F3400000}"/>
    <cellStyle name="Comma 2 7 7 6 4" xfId="16631" xr:uid="{00000000-0005-0000-0000-0000F4400000}"/>
    <cellStyle name="Comma 2 7 7 7" xfId="16632" xr:uid="{00000000-0005-0000-0000-0000F5400000}"/>
    <cellStyle name="Comma 2 7 7 7 2" xfId="16633" xr:uid="{00000000-0005-0000-0000-0000F6400000}"/>
    <cellStyle name="Comma 2 7 7 8" xfId="16634" xr:uid="{00000000-0005-0000-0000-0000F7400000}"/>
    <cellStyle name="Comma 2 7 7 9" xfId="16635" xr:uid="{00000000-0005-0000-0000-0000F8400000}"/>
    <cellStyle name="Comma 2 7 8" xfId="16636" xr:uid="{00000000-0005-0000-0000-0000F9400000}"/>
    <cellStyle name="Comma 2 7 8 10" xfId="16637" xr:uid="{00000000-0005-0000-0000-0000FA400000}"/>
    <cellStyle name="Comma 2 7 8 2" xfId="16638" xr:uid="{00000000-0005-0000-0000-0000FB400000}"/>
    <cellStyle name="Comma 2 7 8 2 2" xfId="16639" xr:uid="{00000000-0005-0000-0000-0000FC400000}"/>
    <cellStyle name="Comma 2 7 8 2 2 2" xfId="16640" xr:uid="{00000000-0005-0000-0000-0000FD400000}"/>
    <cellStyle name="Comma 2 7 8 2 2 3" xfId="16641" xr:uid="{00000000-0005-0000-0000-0000FE400000}"/>
    <cellStyle name="Comma 2 7 8 2 3" xfId="16642" xr:uid="{00000000-0005-0000-0000-0000FF400000}"/>
    <cellStyle name="Comma 2 7 8 2 4" xfId="16643" xr:uid="{00000000-0005-0000-0000-000000410000}"/>
    <cellStyle name="Comma 2 7 8 2 5" xfId="16644" xr:uid="{00000000-0005-0000-0000-000001410000}"/>
    <cellStyle name="Comma 2 7 8 2 6" xfId="16645" xr:uid="{00000000-0005-0000-0000-000002410000}"/>
    <cellStyle name="Comma 2 7 8 3" xfId="16646" xr:uid="{00000000-0005-0000-0000-000003410000}"/>
    <cellStyle name="Comma 2 7 8 3 2" xfId="16647" xr:uid="{00000000-0005-0000-0000-000004410000}"/>
    <cellStyle name="Comma 2 7 8 3 2 2" xfId="16648" xr:uid="{00000000-0005-0000-0000-000005410000}"/>
    <cellStyle name="Comma 2 7 8 3 2 3" xfId="16649" xr:uid="{00000000-0005-0000-0000-000006410000}"/>
    <cellStyle name="Comma 2 7 8 3 3" xfId="16650" xr:uid="{00000000-0005-0000-0000-000007410000}"/>
    <cellStyle name="Comma 2 7 8 3 4" xfId="16651" xr:uid="{00000000-0005-0000-0000-000008410000}"/>
    <cellStyle name="Comma 2 7 8 3 5" xfId="16652" xr:uid="{00000000-0005-0000-0000-000009410000}"/>
    <cellStyle name="Comma 2 7 8 3 6" xfId="16653" xr:uid="{00000000-0005-0000-0000-00000A410000}"/>
    <cellStyle name="Comma 2 7 8 4" xfId="16654" xr:uid="{00000000-0005-0000-0000-00000B410000}"/>
    <cellStyle name="Comma 2 7 8 4 2" xfId="16655" xr:uid="{00000000-0005-0000-0000-00000C410000}"/>
    <cellStyle name="Comma 2 7 8 4 2 2" xfId="16656" xr:uid="{00000000-0005-0000-0000-00000D410000}"/>
    <cellStyle name="Comma 2 7 8 4 3" xfId="16657" xr:uid="{00000000-0005-0000-0000-00000E410000}"/>
    <cellStyle name="Comma 2 7 8 4 4" xfId="16658" xr:uid="{00000000-0005-0000-0000-00000F410000}"/>
    <cellStyle name="Comma 2 7 8 4 5" xfId="16659" xr:uid="{00000000-0005-0000-0000-000010410000}"/>
    <cellStyle name="Comma 2 7 8 5" xfId="16660" xr:uid="{00000000-0005-0000-0000-000011410000}"/>
    <cellStyle name="Comma 2 7 8 5 2" xfId="16661" xr:uid="{00000000-0005-0000-0000-000012410000}"/>
    <cellStyle name="Comma 2 7 8 5 3" xfId="16662" xr:uid="{00000000-0005-0000-0000-000013410000}"/>
    <cellStyle name="Comma 2 7 8 5 4" xfId="16663" xr:uid="{00000000-0005-0000-0000-000014410000}"/>
    <cellStyle name="Comma 2 7 8 6" xfId="16664" xr:uid="{00000000-0005-0000-0000-000015410000}"/>
    <cellStyle name="Comma 2 7 8 6 2" xfId="16665" xr:uid="{00000000-0005-0000-0000-000016410000}"/>
    <cellStyle name="Comma 2 7 8 7" xfId="16666" xr:uid="{00000000-0005-0000-0000-000017410000}"/>
    <cellStyle name="Comma 2 7 8 8" xfId="16667" xr:uid="{00000000-0005-0000-0000-000018410000}"/>
    <cellStyle name="Comma 2 7 8 9" xfId="16668" xr:uid="{00000000-0005-0000-0000-000019410000}"/>
    <cellStyle name="Comma 2 7 9" xfId="16669" xr:uid="{00000000-0005-0000-0000-00001A410000}"/>
    <cellStyle name="Comma 2 7 9 10" xfId="16670" xr:uid="{00000000-0005-0000-0000-00001B410000}"/>
    <cellStyle name="Comma 2 7 9 2" xfId="16671" xr:uid="{00000000-0005-0000-0000-00001C410000}"/>
    <cellStyle name="Comma 2 7 9 2 2" xfId="16672" xr:uid="{00000000-0005-0000-0000-00001D410000}"/>
    <cellStyle name="Comma 2 7 9 2 2 2" xfId="16673" xr:uid="{00000000-0005-0000-0000-00001E410000}"/>
    <cellStyle name="Comma 2 7 9 2 2 3" xfId="16674" xr:uid="{00000000-0005-0000-0000-00001F410000}"/>
    <cellStyle name="Comma 2 7 9 2 3" xfId="16675" xr:uid="{00000000-0005-0000-0000-000020410000}"/>
    <cellStyle name="Comma 2 7 9 2 4" xfId="16676" xr:uid="{00000000-0005-0000-0000-000021410000}"/>
    <cellStyle name="Comma 2 7 9 2 5" xfId="16677" xr:uid="{00000000-0005-0000-0000-000022410000}"/>
    <cellStyle name="Comma 2 7 9 2 6" xfId="16678" xr:uid="{00000000-0005-0000-0000-000023410000}"/>
    <cellStyle name="Comma 2 7 9 3" xfId="16679" xr:uid="{00000000-0005-0000-0000-000024410000}"/>
    <cellStyle name="Comma 2 7 9 3 2" xfId="16680" xr:uid="{00000000-0005-0000-0000-000025410000}"/>
    <cellStyle name="Comma 2 7 9 3 2 2" xfId="16681" xr:uid="{00000000-0005-0000-0000-000026410000}"/>
    <cellStyle name="Comma 2 7 9 3 2 3" xfId="16682" xr:uid="{00000000-0005-0000-0000-000027410000}"/>
    <cellStyle name="Comma 2 7 9 3 3" xfId="16683" xr:uid="{00000000-0005-0000-0000-000028410000}"/>
    <cellStyle name="Comma 2 7 9 3 4" xfId="16684" xr:uid="{00000000-0005-0000-0000-000029410000}"/>
    <cellStyle name="Comma 2 7 9 3 5" xfId="16685" xr:uid="{00000000-0005-0000-0000-00002A410000}"/>
    <cellStyle name="Comma 2 7 9 3 6" xfId="16686" xr:uid="{00000000-0005-0000-0000-00002B410000}"/>
    <cellStyle name="Comma 2 7 9 4" xfId="16687" xr:uid="{00000000-0005-0000-0000-00002C410000}"/>
    <cellStyle name="Comma 2 7 9 4 2" xfId="16688" xr:uid="{00000000-0005-0000-0000-00002D410000}"/>
    <cellStyle name="Comma 2 7 9 4 2 2" xfId="16689" xr:uid="{00000000-0005-0000-0000-00002E410000}"/>
    <cellStyle name="Comma 2 7 9 4 3" xfId="16690" xr:uid="{00000000-0005-0000-0000-00002F410000}"/>
    <cellStyle name="Comma 2 7 9 4 4" xfId="16691" xr:uid="{00000000-0005-0000-0000-000030410000}"/>
    <cellStyle name="Comma 2 7 9 4 5" xfId="16692" xr:uid="{00000000-0005-0000-0000-000031410000}"/>
    <cellStyle name="Comma 2 7 9 5" xfId="16693" xr:uid="{00000000-0005-0000-0000-000032410000}"/>
    <cellStyle name="Comma 2 7 9 5 2" xfId="16694" xr:uid="{00000000-0005-0000-0000-000033410000}"/>
    <cellStyle name="Comma 2 7 9 5 3" xfId="16695" xr:uid="{00000000-0005-0000-0000-000034410000}"/>
    <cellStyle name="Comma 2 7 9 5 4" xfId="16696" xr:uid="{00000000-0005-0000-0000-000035410000}"/>
    <cellStyle name="Comma 2 7 9 6" xfId="16697" xr:uid="{00000000-0005-0000-0000-000036410000}"/>
    <cellStyle name="Comma 2 7 9 6 2" xfId="16698" xr:uid="{00000000-0005-0000-0000-000037410000}"/>
    <cellStyle name="Comma 2 7 9 7" xfId="16699" xr:uid="{00000000-0005-0000-0000-000038410000}"/>
    <cellStyle name="Comma 2 7 9 8" xfId="16700" xr:uid="{00000000-0005-0000-0000-000039410000}"/>
    <cellStyle name="Comma 2 7 9 9" xfId="16701" xr:uid="{00000000-0005-0000-0000-00003A410000}"/>
    <cellStyle name="Comma 2 8" xfId="16702" xr:uid="{00000000-0005-0000-0000-00003B410000}"/>
    <cellStyle name="Comma 2 8 10" xfId="16703" xr:uid="{00000000-0005-0000-0000-00003C410000}"/>
    <cellStyle name="Comma 2 8 10 10" xfId="16704" xr:uid="{00000000-0005-0000-0000-00003D410000}"/>
    <cellStyle name="Comma 2 8 10 2" xfId="16705" xr:uid="{00000000-0005-0000-0000-00003E410000}"/>
    <cellStyle name="Comma 2 8 10 2 2" xfId="16706" xr:uid="{00000000-0005-0000-0000-00003F410000}"/>
    <cellStyle name="Comma 2 8 10 2 2 2" xfId="16707" xr:uid="{00000000-0005-0000-0000-000040410000}"/>
    <cellStyle name="Comma 2 8 10 2 2 3" xfId="16708" xr:uid="{00000000-0005-0000-0000-000041410000}"/>
    <cellStyle name="Comma 2 8 10 2 3" xfId="16709" xr:uid="{00000000-0005-0000-0000-000042410000}"/>
    <cellStyle name="Comma 2 8 10 2 4" xfId="16710" xr:uid="{00000000-0005-0000-0000-000043410000}"/>
    <cellStyle name="Comma 2 8 10 2 5" xfId="16711" xr:uid="{00000000-0005-0000-0000-000044410000}"/>
    <cellStyle name="Comma 2 8 10 2 6" xfId="16712" xr:uid="{00000000-0005-0000-0000-000045410000}"/>
    <cellStyle name="Comma 2 8 10 3" xfId="16713" xr:uid="{00000000-0005-0000-0000-000046410000}"/>
    <cellStyle name="Comma 2 8 10 3 2" xfId="16714" xr:uid="{00000000-0005-0000-0000-000047410000}"/>
    <cellStyle name="Comma 2 8 10 3 2 2" xfId="16715" xr:uid="{00000000-0005-0000-0000-000048410000}"/>
    <cellStyle name="Comma 2 8 10 3 2 3" xfId="16716" xr:uid="{00000000-0005-0000-0000-000049410000}"/>
    <cellStyle name="Comma 2 8 10 3 3" xfId="16717" xr:uid="{00000000-0005-0000-0000-00004A410000}"/>
    <cellStyle name="Comma 2 8 10 3 4" xfId="16718" xr:uid="{00000000-0005-0000-0000-00004B410000}"/>
    <cellStyle name="Comma 2 8 10 3 5" xfId="16719" xr:uid="{00000000-0005-0000-0000-00004C410000}"/>
    <cellStyle name="Comma 2 8 10 3 6" xfId="16720" xr:uid="{00000000-0005-0000-0000-00004D410000}"/>
    <cellStyle name="Comma 2 8 10 4" xfId="16721" xr:uid="{00000000-0005-0000-0000-00004E410000}"/>
    <cellStyle name="Comma 2 8 10 4 2" xfId="16722" xr:uid="{00000000-0005-0000-0000-00004F410000}"/>
    <cellStyle name="Comma 2 8 10 4 2 2" xfId="16723" xr:uid="{00000000-0005-0000-0000-000050410000}"/>
    <cellStyle name="Comma 2 8 10 4 3" xfId="16724" xr:uid="{00000000-0005-0000-0000-000051410000}"/>
    <cellStyle name="Comma 2 8 10 4 4" xfId="16725" xr:uid="{00000000-0005-0000-0000-000052410000}"/>
    <cellStyle name="Comma 2 8 10 4 5" xfId="16726" xr:uid="{00000000-0005-0000-0000-000053410000}"/>
    <cellStyle name="Comma 2 8 10 5" xfId="16727" xr:uid="{00000000-0005-0000-0000-000054410000}"/>
    <cellStyle name="Comma 2 8 10 5 2" xfId="16728" xr:uid="{00000000-0005-0000-0000-000055410000}"/>
    <cellStyle name="Comma 2 8 10 5 3" xfId="16729" xr:uid="{00000000-0005-0000-0000-000056410000}"/>
    <cellStyle name="Comma 2 8 10 5 4" xfId="16730" xr:uid="{00000000-0005-0000-0000-000057410000}"/>
    <cellStyle name="Comma 2 8 10 6" xfId="16731" xr:uid="{00000000-0005-0000-0000-000058410000}"/>
    <cellStyle name="Comma 2 8 10 6 2" xfId="16732" xr:uid="{00000000-0005-0000-0000-000059410000}"/>
    <cellStyle name="Comma 2 8 10 7" xfId="16733" xr:uid="{00000000-0005-0000-0000-00005A410000}"/>
    <cellStyle name="Comma 2 8 10 8" xfId="16734" xr:uid="{00000000-0005-0000-0000-00005B410000}"/>
    <cellStyle name="Comma 2 8 10 9" xfId="16735" xr:uid="{00000000-0005-0000-0000-00005C410000}"/>
    <cellStyle name="Comma 2 8 11" xfId="16736" xr:uid="{00000000-0005-0000-0000-00005D410000}"/>
    <cellStyle name="Comma 2 8 11 10" xfId="16737" xr:uid="{00000000-0005-0000-0000-00005E410000}"/>
    <cellStyle name="Comma 2 8 11 2" xfId="16738" xr:uid="{00000000-0005-0000-0000-00005F410000}"/>
    <cellStyle name="Comma 2 8 11 2 2" xfId="16739" xr:uid="{00000000-0005-0000-0000-000060410000}"/>
    <cellStyle name="Comma 2 8 11 2 2 2" xfId="16740" xr:uid="{00000000-0005-0000-0000-000061410000}"/>
    <cellStyle name="Comma 2 8 11 2 2 3" xfId="16741" xr:uid="{00000000-0005-0000-0000-000062410000}"/>
    <cellStyle name="Comma 2 8 11 2 3" xfId="16742" xr:uid="{00000000-0005-0000-0000-000063410000}"/>
    <cellStyle name="Comma 2 8 11 2 4" xfId="16743" xr:uid="{00000000-0005-0000-0000-000064410000}"/>
    <cellStyle name="Comma 2 8 11 2 5" xfId="16744" xr:uid="{00000000-0005-0000-0000-000065410000}"/>
    <cellStyle name="Comma 2 8 11 2 6" xfId="16745" xr:uid="{00000000-0005-0000-0000-000066410000}"/>
    <cellStyle name="Comma 2 8 11 3" xfId="16746" xr:uid="{00000000-0005-0000-0000-000067410000}"/>
    <cellStyle name="Comma 2 8 11 3 2" xfId="16747" xr:uid="{00000000-0005-0000-0000-000068410000}"/>
    <cellStyle name="Comma 2 8 11 3 2 2" xfId="16748" xr:uid="{00000000-0005-0000-0000-000069410000}"/>
    <cellStyle name="Comma 2 8 11 3 2 3" xfId="16749" xr:uid="{00000000-0005-0000-0000-00006A410000}"/>
    <cellStyle name="Comma 2 8 11 3 3" xfId="16750" xr:uid="{00000000-0005-0000-0000-00006B410000}"/>
    <cellStyle name="Comma 2 8 11 3 4" xfId="16751" xr:uid="{00000000-0005-0000-0000-00006C410000}"/>
    <cellStyle name="Comma 2 8 11 3 5" xfId="16752" xr:uid="{00000000-0005-0000-0000-00006D410000}"/>
    <cellStyle name="Comma 2 8 11 3 6" xfId="16753" xr:uid="{00000000-0005-0000-0000-00006E410000}"/>
    <cellStyle name="Comma 2 8 11 4" xfId="16754" xr:uid="{00000000-0005-0000-0000-00006F410000}"/>
    <cellStyle name="Comma 2 8 11 4 2" xfId="16755" xr:uid="{00000000-0005-0000-0000-000070410000}"/>
    <cellStyle name="Comma 2 8 11 4 2 2" xfId="16756" xr:uid="{00000000-0005-0000-0000-000071410000}"/>
    <cellStyle name="Comma 2 8 11 4 3" xfId="16757" xr:uid="{00000000-0005-0000-0000-000072410000}"/>
    <cellStyle name="Comma 2 8 11 4 4" xfId="16758" xr:uid="{00000000-0005-0000-0000-000073410000}"/>
    <cellStyle name="Comma 2 8 11 4 5" xfId="16759" xr:uid="{00000000-0005-0000-0000-000074410000}"/>
    <cellStyle name="Comma 2 8 11 5" xfId="16760" xr:uid="{00000000-0005-0000-0000-000075410000}"/>
    <cellStyle name="Comma 2 8 11 5 2" xfId="16761" xr:uid="{00000000-0005-0000-0000-000076410000}"/>
    <cellStyle name="Comma 2 8 11 5 3" xfId="16762" xr:uid="{00000000-0005-0000-0000-000077410000}"/>
    <cellStyle name="Comma 2 8 11 5 4" xfId="16763" xr:uid="{00000000-0005-0000-0000-000078410000}"/>
    <cellStyle name="Comma 2 8 11 6" xfId="16764" xr:uid="{00000000-0005-0000-0000-000079410000}"/>
    <cellStyle name="Comma 2 8 11 6 2" xfId="16765" xr:uid="{00000000-0005-0000-0000-00007A410000}"/>
    <cellStyle name="Comma 2 8 11 7" xfId="16766" xr:uid="{00000000-0005-0000-0000-00007B410000}"/>
    <cellStyle name="Comma 2 8 11 8" xfId="16767" xr:uid="{00000000-0005-0000-0000-00007C410000}"/>
    <cellStyle name="Comma 2 8 11 9" xfId="16768" xr:uid="{00000000-0005-0000-0000-00007D410000}"/>
    <cellStyle name="Comma 2 8 12" xfId="16769" xr:uid="{00000000-0005-0000-0000-00007E410000}"/>
    <cellStyle name="Comma 2 8 12 10" xfId="16770" xr:uid="{00000000-0005-0000-0000-00007F410000}"/>
    <cellStyle name="Comma 2 8 12 2" xfId="16771" xr:uid="{00000000-0005-0000-0000-000080410000}"/>
    <cellStyle name="Comma 2 8 12 2 2" xfId="16772" xr:uid="{00000000-0005-0000-0000-000081410000}"/>
    <cellStyle name="Comma 2 8 12 2 2 2" xfId="16773" xr:uid="{00000000-0005-0000-0000-000082410000}"/>
    <cellStyle name="Comma 2 8 12 2 2 3" xfId="16774" xr:uid="{00000000-0005-0000-0000-000083410000}"/>
    <cellStyle name="Comma 2 8 12 2 3" xfId="16775" xr:uid="{00000000-0005-0000-0000-000084410000}"/>
    <cellStyle name="Comma 2 8 12 2 4" xfId="16776" xr:uid="{00000000-0005-0000-0000-000085410000}"/>
    <cellStyle name="Comma 2 8 12 2 5" xfId="16777" xr:uid="{00000000-0005-0000-0000-000086410000}"/>
    <cellStyle name="Comma 2 8 12 2 6" xfId="16778" xr:uid="{00000000-0005-0000-0000-000087410000}"/>
    <cellStyle name="Comma 2 8 12 3" xfId="16779" xr:uid="{00000000-0005-0000-0000-000088410000}"/>
    <cellStyle name="Comma 2 8 12 3 2" xfId="16780" xr:uid="{00000000-0005-0000-0000-000089410000}"/>
    <cellStyle name="Comma 2 8 12 3 2 2" xfId="16781" xr:uid="{00000000-0005-0000-0000-00008A410000}"/>
    <cellStyle name="Comma 2 8 12 3 2 3" xfId="16782" xr:uid="{00000000-0005-0000-0000-00008B410000}"/>
    <cellStyle name="Comma 2 8 12 3 3" xfId="16783" xr:uid="{00000000-0005-0000-0000-00008C410000}"/>
    <cellStyle name="Comma 2 8 12 3 4" xfId="16784" xr:uid="{00000000-0005-0000-0000-00008D410000}"/>
    <cellStyle name="Comma 2 8 12 3 5" xfId="16785" xr:uid="{00000000-0005-0000-0000-00008E410000}"/>
    <cellStyle name="Comma 2 8 12 3 6" xfId="16786" xr:uid="{00000000-0005-0000-0000-00008F410000}"/>
    <cellStyle name="Comma 2 8 12 4" xfId="16787" xr:uid="{00000000-0005-0000-0000-000090410000}"/>
    <cellStyle name="Comma 2 8 12 4 2" xfId="16788" xr:uid="{00000000-0005-0000-0000-000091410000}"/>
    <cellStyle name="Comma 2 8 12 4 2 2" xfId="16789" xr:uid="{00000000-0005-0000-0000-000092410000}"/>
    <cellStyle name="Comma 2 8 12 4 3" xfId="16790" xr:uid="{00000000-0005-0000-0000-000093410000}"/>
    <cellStyle name="Comma 2 8 12 4 4" xfId="16791" xr:uid="{00000000-0005-0000-0000-000094410000}"/>
    <cellStyle name="Comma 2 8 12 4 5" xfId="16792" xr:uid="{00000000-0005-0000-0000-000095410000}"/>
    <cellStyle name="Comma 2 8 12 5" xfId="16793" xr:uid="{00000000-0005-0000-0000-000096410000}"/>
    <cellStyle name="Comma 2 8 12 5 2" xfId="16794" xr:uid="{00000000-0005-0000-0000-000097410000}"/>
    <cellStyle name="Comma 2 8 12 5 3" xfId="16795" xr:uid="{00000000-0005-0000-0000-000098410000}"/>
    <cellStyle name="Comma 2 8 12 5 4" xfId="16796" xr:uid="{00000000-0005-0000-0000-000099410000}"/>
    <cellStyle name="Comma 2 8 12 6" xfId="16797" xr:uid="{00000000-0005-0000-0000-00009A410000}"/>
    <cellStyle name="Comma 2 8 12 6 2" xfId="16798" xr:uid="{00000000-0005-0000-0000-00009B410000}"/>
    <cellStyle name="Comma 2 8 12 7" xfId="16799" xr:uid="{00000000-0005-0000-0000-00009C410000}"/>
    <cellStyle name="Comma 2 8 12 8" xfId="16800" xr:uid="{00000000-0005-0000-0000-00009D410000}"/>
    <cellStyle name="Comma 2 8 12 9" xfId="16801" xr:uid="{00000000-0005-0000-0000-00009E410000}"/>
    <cellStyle name="Comma 2 8 13" xfId="16802" xr:uid="{00000000-0005-0000-0000-00009F410000}"/>
    <cellStyle name="Comma 2 8 13 2" xfId="16803" xr:uid="{00000000-0005-0000-0000-0000A0410000}"/>
    <cellStyle name="Comma 2 8 13 2 2" xfId="16804" xr:uid="{00000000-0005-0000-0000-0000A1410000}"/>
    <cellStyle name="Comma 2 8 13 2 2 2" xfId="16805" xr:uid="{00000000-0005-0000-0000-0000A2410000}"/>
    <cellStyle name="Comma 2 8 13 2 2 3" xfId="16806" xr:uid="{00000000-0005-0000-0000-0000A3410000}"/>
    <cellStyle name="Comma 2 8 13 2 3" xfId="16807" xr:uid="{00000000-0005-0000-0000-0000A4410000}"/>
    <cellStyle name="Comma 2 8 13 2 4" xfId="16808" xr:uid="{00000000-0005-0000-0000-0000A5410000}"/>
    <cellStyle name="Comma 2 8 13 2 5" xfId="16809" xr:uid="{00000000-0005-0000-0000-0000A6410000}"/>
    <cellStyle name="Comma 2 8 13 2 6" xfId="16810" xr:uid="{00000000-0005-0000-0000-0000A7410000}"/>
    <cellStyle name="Comma 2 8 13 3" xfId="16811" xr:uid="{00000000-0005-0000-0000-0000A8410000}"/>
    <cellStyle name="Comma 2 8 13 3 2" xfId="16812" xr:uid="{00000000-0005-0000-0000-0000A9410000}"/>
    <cellStyle name="Comma 2 8 13 3 2 2" xfId="16813" xr:uid="{00000000-0005-0000-0000-0000AA410000}"/>
    <cellStyle name="Comma 2 8 13 3 3" xfId="16814" xr:uid="{00000000-0005-0000-0000-0000AB410000}"/>
    <cellStyle name="Comma 2 8 13 3 4" xfId="16815" xr:uid="{00000000-0005-0000-0000-0000AC410000}"/>
    <cellStyle name="Comma 2 8 13 3 5" xfId="16816" xr:uid="{00000000-0005-0000-0000-0000AD410000}"/>
    <cellStyle name="Comma 2 8 13 4" xfId="16817" xr:uid="{00000000-0005-0000-0000-0000AE410000}"/>
    <cellStyle name="Comma 2 8 13 4 2" xfId="16818" xr:uid="{00000000-0005-0000-0000-0000AF410000}"/>
    <cellStyle name="Comma 2 8 13 4 3" xfId="16819" xr:uid="{00000000-0005-0000-0000-0000B0410000}"/>
    <cellStyle name="Comma 2 8 13 4 4" xfId="16820" xr:uid="{00000000-0005-0000-0000-0000B1410000}"/>
    <cellStyle name="Comma 2 8 13 5" xfId="16821" xr:uid="{00000000-0005-0000-0000-0000B2410000}"/>
    <cellStyle name="Comma 2 8 13 5 2" xfId="16822" xr:uid="{00000000-0005-0000-0000-0000B3410000}"/>
    <cellStyle name="Comma 2 8 13 6" xfId="16823" xr:uid="{00000000-0005-0000-0000-0000B4410000}"/>
    <cellStyle name="Comma 2 8 13 7" xfId="16824" xr:uid="{00000000-0005-0000-0000-0000B5410000}"/>
    <cellStyle name="Comma 2 8 13 8" xfId="16825" xr:uid="{00000000-0005-0000-0000-0000B6410000}"/>
    <cellStyle name="Comma 2 8 13 9" xfId="16826" xr:uid="{00000000-0005-0000-0000-0000B7410000}"/>
    <cellStyle name="Comma 2 8 14" xfId="16827" xr:uid="{00000000-0005-0000-0000-0000B8410000}"/>
    <cellStyle name="Comma 2 8 14 2" xfId="16828" xr:uid="{00000000-0005-0000-0000-0000B9410000}"/>
    <cellStyle name="Comma 2 8 14 2 2" xfId="16829" xr:uid="{00000000-0005-0000-0000-0000BA410000}"/>
    <cellStyle name="Comma 2 8 14 2 2 2" xfId="16830" xr:uid="{00000000-0005-0000-0000-0000BB410000}"/>
    <cellStyle name="Comma 2 8 14 2 2 3" xfId="16831" xr:uid="{00000000-0005-0000-0000-0000BC410000}"/>
    <cellStyle name="Comma 2 8 14 2 3" xfId="16832" xr:uid="{00000000-0005-0000-0000-0000BD410000}"/>
    <cellStyle name="Comma 2 8 14 2 4" xfId="16833" xr:uid="{00000000-0005-0000-0000-0000BE410000}"/>
    <cellStyle name="Comma 2 8 14 2 5" xfId="16834" xr:uid="{00000000-0005-0000-0000-0000BF410000}"/>
    <cellStyle name="Comma 2 8 14 2 6" xfId="16835" xr:uid="{00000000-0005-0000-0000-0000C0410000}"/>
    <cellStyle name="Comma 2 8 14 3" xfId="16836" xr:uid="{00000000-0005-0000-0000-0000C1410000}"/>
    <cellStyle name="Comma 2 8 14 3 2" xfId="16837" xr:uid="{00000000-0005-0000-0000-0000C2410000}"/>
    <cellStyle name="Comma 2 8 14 3 2 2" xfId="16838" xr:uid="{00000000-0005-0000-0000-0000C3410000}"/>
    <cellStyle name="Comma 2 8 14 3 3" xfId="16839" xr:uid="{00000000-0005-0000-0000-0000C4410000}"/>
    <cellStyle name="Comma 2 8 14 3 4" xfId="16840" xr:uid="{00000000-0005-0000-0000-0000C5410000}"/>
    <cellStyle name="Comma 2 8 14 3 5" xfId="16841" xr:uid="{00000000-0005-0000-0000-0000C6410000}"/>
    <cellStyle name="Comma 2 8 14 4" xfId="16842" xr:uid="{00000000-0005-0000-0000-0000C7410000}"/>
    <cellStyle name="Comma 2 8 14 4 2" xfId="16843" xr:uid="{00000000-0005-0000-0000-0000C8410000}"/>
    <cellStyle name="Comma 2 8 14 4 3" xfId="16844" xr:uid="{00000000-0005-0000-0000-0000C9410000}"/>
    <cellStyle name="Comma 2 8 14 4 4" xfId="16845" xr:uid="{00000000-0005-0000-0000-0000CA410000}"/>
    <cellStyle name="Comma 2 8 14 5" xfId="16846" xr:uid="{00000000-0005-0000-0000-0000CB410000}"/>
    <cellStyle name="Comma 2 8 14 5 2" xfId="16847" xr:uid="{00000000-0005-0000-0000-0000CC410000}"/>
    <cellStyle name="Comma 2 8 14 6" xfId="16848" xr:uid="{00000000-0005-0000-0000-0000CD410000}"/>
    <cellStyle name="Comma 2 8 14 7" xfId="16849" xr:uid="{00000000-0005-0000-0000-0000CE410000}"/>
    <cellStyle name="Comma 2 8 14 8" xfId="16850" xr:uid="{00000000-0005-0000-0000-0000CF410000}"/>
    <cellStyle name="Comma 2 8 14 9" xfId="16851" xr:uid="{00000000-0005-0000-0000-0000D0410000}"/>
    <cellStyle name="Comma 2 8 15" xfId="16852" xr:uid="{00000000-0005-0000-0000-0000D1410000}"/>
    <cellStyle name="Comma 2 8 15 2" xfId="16853" xr:uid="{00000000-0005-0000-0000-0000D2410000}"/>
    <cellStyle name="Comma 2 8 15 2 2" xfId="16854" xr:uid="{00000000-0005-0000-0000-0000D3410000}"/>
    <cellStyle name="Comma 2 8 15 2 3" xfId="16855" xr:uid="{00000000-0005-0000-0000-0000D4410000}"/>
    <cellStyle name="Comma 2 8 15 3" xfId="16856" xr:uid="{00000000-0005-0000-0000-0000D5410000}"/>
    <cellStyle name="Comma 2 8 15 4" xfId="16857" xr:uid="{00000000-0005-0000-0000-0000D6410000}"/>
    <cellStyle name="Comma 2 8 15 5" xfId="16858" xr:uid="{00000000-0005-0000-0000-0000D7410000}"/>
    <cellStyle name="Comma 2 8 15 6" xfId="16859" xr:uid="{00000000-0005-0000-0000-0000D8410000}"/>
    <cellStyle name="Comma 2 8 16" xfId="16860" xr:uid="{00000000-0005-0000-0000-0000D9410000}"/>
    <cellStyle name="Comma 2 8 16 2" xfId="16861" xr:uid="{00000000-0005-0000-0000-0000DA410000}"/>
    <cellStyle name="Comma 2 8 16 2 2" xfId="16862" xr:uid="{00000000-0005-0000-0000-0000DB410000}"/>
    <cellStyle name="Comma 2 8 16 3" xfId="16863" xr:uid="{00000000-0005-0000-0000-0000DC410000}"/>
    <cellStyle name="Comma 2 8 16 4" xfId="16864" xr:uid="{00000000-0005-0000-0000-0000DD410000}"/>
    <cellStyle name="Comma 2 8 16 5" xfId="16865" xr:uid="{00000000-0005-0000-0000-0000DE410000}"/>
    <cellStyle name="Comma 2 8 17" xfId="16866" xr:uid="{00000000-0005-0000-0000-0000DF410000}"/>
    <cellStyle name="Comma 2 8 17 2" xfId="16867" xr:uid="{00000000-0005-0000-0000-0000E0410000}"/>
    <cellStyle name="Comma 2 8 17 2 2" xfId="16868" xr:uid="{00000000-0005-0000-0000-0000E1410000}"/>
    <cellStyle name="Comma 2 8 17 3" xfId="16869" xr:uid="{00000000-0005-0000-0000-0000E2410000}"/>
    <cellStyle name="Comma 2 8 17 4" xfId="16870" xr:uid="{00000000-0005-0000-0000-0000E3410000}"/>
    <cellStyle name="Comma 2 8 17 5" xfId="16871" xr:uid="{00000000-0005-0000-0000-0000E4410000}"/>
    <cellStyle name="Comma 2 8 18" xfId="16872" xr:uid="{00000000-0005-0000-0000-0000E5410000}"/>
    <cellStyle name="Comma 2 8 18 2" xfId="16873" xr:uid="{00000000-0005-0000-0000-0000E6410000}"/>
    <cellStyle name="Comma 2 8 19" xfId="16874" xr:uid="{00000000-0005-0000-0000-0000E7410000}"/>
    <cellStyle name="Comma 2 8 2" xfId="16875" xr:uid="{00000000-0005-0000-0000-0000E8410000}"/>
    <cellStyle name="Comma 2 8 2 10" xfId="16876" xr:uid="{00000000-0005-0000-0000-0000E9410000}"/>
    <cellStyle name="Comma 2 8 2 11" xfId="16877" xr:uid="{00000000-0005-0000-0000-0000EA410000}"/>
    <cellStyle name="Comma 2 8 2 2" xfId="16878" xr:uid="{00000000-0005-0000-0000-0000EB410000}"/>
    <cellStyle name="Comma 2 8 2 2 2" xfId="16879" xr:uid="{00000000-0005-0000-0000-0000EC410000}"/>
    <cellStyle name="Comma 2 8 2 2 2 2" xfId="16880" xr:uid="{00000000-0005-0000-0000-0000ED410000}"/>
    <cellStyle name="Comma 2 8 2 2 2 2 2" xfId="16881" xr:uid="{00000000-0005-0000-0000-0000EE410000}"/>
    <cellStyle name="Comma 2 8 2 2 2 2 3" xfId="16882" xr:uid="{00000000-0005-0000-0000-0000EF410000}"/>
    <cellStyle name="Comma 2 8 2 2 2 3" xfId="16883" xr:uid="{00000000-0005-0000-0000-0000F0410000}"/>
    <cellStyle name="Comma 2 8 2 2 2 4" xfId="16884" xr:uid="{00000000-0005-0000-0000-0000F1410000}"/>
    <cellStyle name="Comma 2 8 2 2 2 5" xfId="16885" xr:uid="{00000000-0005-0000-0000-0000F2410000}"/>
    <cellStyle name="Comma 2 8 2 2 2 6" xfId="16886" xr:uid="{00000000-0005-0000-0000-0000F3410000}"/>
    <cellStyle name="Comma 2 8 2 2 3" xfId="16887" xr:uid="{00000000-0005-0000-0000-0000F4410000}"/>
    <cellStyle name="Comma 2 8 2 2 3 2" xfId="16888" xr:uid="{00000000-0005-0000-0000-0000F5410000}"/>
    <cellStyle name="Comma 2 8 2 2 3 2 2" xfId="16889" xr:uid="{00000000-0005-0000-0000-0000F6410000}"/>
    <cellStyle name="Comma 2 8 2 2 3 3" xfId="16890" xr:uid="{00000000-0005-0000-0000-0000F7410000}"/>
    <cellStyle name="Comma 2 8 2 2 3 4" xfId="16891" xr:uid="{00000000-0005-0000-0000-0000F8410000}"/>
    <cellStyle name="Comma 2 8 2 2 3 5" xfId="16892" xr:uid="{00000000-0005-0000-0000-0000F9410000}"/>
    <cellStyle name="Comma 2 8 2 2 4" xfId="16893" xr:uid="{00000000-0005-0000-0000-0000FA410000}"/>
    <cellStyle name="Comma 2 8 2 2 4 2" xfId="16894" xr:uid="{00000000-0005-0000-0000-0000FB410000}"/>
    <cellStyle name="Comma 2 8 2 2 4 3" xfId="16895" xr:uid="{00000000-0005-0000-0000-0000FC410000}"/>
    <cellStyle name="Comma 2 8 2 2 4 4" xfId="16896" xr:uid="{00000000-0005-0000-0000-0000FD410000}"/>
    <cellStyle name="Comma 2 8 2 2 5" xfId="16897" xr:uid="{00000000-0005-0000-0000-0000FE410000}"/>
    <cellStyle name="Comma 2 8 2 2 5 2" xfId="16898" xr:uid="{00000000-0005-0000-0000-0000FF410000}"/>
    <cellStyle name="Comma 2 8 2 2 6" xfId="16899" xr:uid="{00000000-0005-0000-0000-000000420000}"/>
    <cellStyle name="Comma 2 8 2 2 7" xfId="16900" xr:uid="{00000000-0005-0000-0000-000001420000}"/>
    <cellStyle name="Comma 2 8 2 2 8" xfId="16901" xr:uid="{00000000-0005-0000-0000-000002420000}"/>
    <cellStyle name="Comma 2 8 2 2 9" xfId="16902" xr:uid="{00000000-0005-0000-0000-000003420000}"/>
    <cellStyle name="Comma 2 8 2 3" xfId="16903" xr:uid="{00000000-0005-0000-0000-000004420000}"/>
    <cellStyle name="Comma 2 8 2 3 2" xfId="16904" xr:uid="{00000000-0005-0000-0000-000005420000}"/>
    <cellStyle name="Comma 2 8 2 3 2 2" xfId="16905" xr:uid="{00000000-0005-0000-0000-000006420000}"/>
    <cellStyle name="Comma 2 8 2 3 2 2 2" xfId="16906" xr:uid="{00000000-0005-0000-0000-000007420000}"/>
    <cellStyle name="Comma 2 8 2 3 2 2 3" xfId="16907" xr:uid="{00000000-0005-0000-0000-000008420000}"/>
    <cellStyle name="Comma 2 8 2 3 2 3" xfId="16908" xr:uid="{00000000-0005-0000-0000-000009420000}"/>
    <cellStyle name="Comma 2 8 2 3 2 4" xfId="16909" xr:uid="{00000000-0005-0000-0000-00000A420000}"/>
    <cellStyle name="Comma 2 8 2 3 2 5" xfId="16910" xr:uid="{00000000-0005-0000-0000-00000B420000}"/>
    <cellStyle name="Comma 2 8 2 3 2 6" xfId="16911" xr:uid="{00000000-0005-0000-0000-00000C420000}"/>
    <cellStyle name="Comma 2 8 2 3 3" xfId="16912" xr:uid="{00000000-0005-0000-0000-00000D420000}"/>
    <cellStyle name="Comma 2 8 2 3 3 2" xfId="16913" xr:uid="{00000000-0005-0000-0000-00000E420000}"/>
    <cellStyle name="Comma 2 8 2 3 3 2 2" xfId="16914" xr:uid="{00000000-0005-0000-0000-00000F420000}"/>
    <cellStyle name="Comma 2 8 2 3 3 3" xfId="16915" xr:uid="{00000000-0005-0000-0000-000010420000}"/>
    <cellStyle name="Comma 2 8 2 3 3 4" xfId="16916" xr:uid="{00000000-0005-0000-0000-000011420000}"/>
    <cellStyle name="Comma 2 8 2 3 3 5" xfId="16917" xr:uid="{00000000-0005-0000-0000-000012420000}"/>
    <cellStyle name="Comma 2 8 2 3 4" xfId="16918" xr:uid="{00000000-0005-0000-0000-000013420000}"/>
    <cellStyle name="Comma 2 8 2 3 4 2" xfId="16919" xr:uid="{00000000-0005-0000-0000-000014420000}"/>
    <cellStyle name="Comma 2 8 2 3 4 3" xfId="16920" xr:uid="{00000000-0005-0000-0000-000015420000}"/>
    <cellStyle name="Comma 2 8 2 3 4 4" xfId="16921" xr:uid="{00000000-0005-0000-0000-000016420000}"/>
    <cellStyle name="Comma 2 8 2 3 5" xfId="16922" xr:uid="{00000000-0005-0000-0000-000017420000}"/>
    <cellStyle name="Comma 2 8 2 3 5 2" xfId="16923" xr:uid="{00000000-0005-0000-0000-000018420000}"/>
    <cellStyle name="Comma 2 8 2 3 6" xfId="16924" xr:uid="{00000000-0005-0000-0000-000019420000}"/>
    <cellStyle name="Comma 2 8 2 3 7" xfId="16925" xr:uid="{00000000-0005-0000-0000-00001A420000}"/>
    <cellStyle name="Comma 2 8 2 3 8" xfId="16926" xr:uid="{00000000-0005-0000-0000-00001B420000}"/>
    <cellStyle name="Comma 2 8 2 3 9" xfId="16927" xr:uid="{00000000-0005-0000-0000-00001C420000}"/>
    <cellStyle name="Comma 2 8 2 4" xfId="16928" xr:uid="{00000000-0005-0000-0000-00001D420000}"/>
    <cellStyle name="Comma 2 8 2 4 2" xfId="16929" xr:uid="{00000000-0005-0000-0000-00001E420000}"/>
    <cellStyle name="Comma 2 8 2 4 2 2" xfId="16930" xr:uid="{00000000-0005-0000-0000-00001F420000}"/>
    <cellStyle name="Comma 2 8 2 4 2 3" xfId="16931" xr:uid="{00000000-0005-0000-0000-000020420000}"/>
    <cellStyle name="Comma 2 8 2 4 3" xfId="16932" xr:uid="{00000000-0005-0000-0000-000021420000}"/>
    <cellStyle name="Comma 2 8 2 4 4" xfId="16933" xr:uid="{00000000-0005-0000-0000-000022420000}"/>
    <cellStyle name="Comma 2 8 2 4 5" xfId="16934" xr:uid="{00000000-0005-0000-0000-000023420000}"/>
    <cellStyle name="Comma 2 8 2 4 6" xfId="16935" xr:uid="{00000000-0005-0000-0000-000024420000}"/>
    <cellStyle name="Comma 2 8 2 5" xfId="16936" xr:uid="{00000000-0005-0000-0000-000025420000}"/>
    <cellStyle name="Comma 2 8 2 5 2" xfId="16937" xr:uid="{00000000-0005-0000-0000-000026420000}"/>
    <cellStyle name="Comma 2 8 2 5 2 2" xfId="16938" xr:uid="{00000000-0005-0000-0000-000027420000}"/>
    <cellStyle name="Comma 2 8 2 5 3" xfId="16939" xr:uid="{00000000-0005-0000-0000-000028420000}"/>
    <cellStyle name="Comma 2 8 2 5 4" xfId="16940" xr:uid="{00000000-0005-0000-0000-000029420000}"/>
    <cellStyle name="Comma 2 8 2 5 5" xfId="16941" xr:uid="{00000000-0005-0000-0000-00002A420000}"/>
    <cellStyle name="Comma 2 8 2 6" xfId="16942" xr:uid="{00000000-0005-0000-0000-00002B420000}"/>
    <cellStyle name="Comma 2 8 2 6 2" xfId="16943" xr:uid="{00000000-0005-0000-0000-00002C420000}"/>
    <cellStyle name="Comma 2 8 2 6 3" xfId="16944" xr:uid="{00000000-0005-0000-0000-00002D420000}"/>
    <cellStyle name="Comma 2 8 2 6 4" xfId="16945" xr:uid="{00000000-0005-0000-0000-00002E420000}"/>
    <cellStyle name="Comma 2 8 2 7" xfId="16946" xr:uid="{00000000-0005-0000-0000-00002F420000}"/>
    <cellStyle name="Comma 2 8 2 7 2" xfId="16947" xr:uid="{00000000-0005-0000-0000-000030420000}"/>
    <cellStyle name="Comma 2 8 2 8" xfId="16948" xr:uid="{00000000-0005-0000-0000-000031420000}"/>
    <cellStyle name="Comma 2 8 2 9" xfId="16949" xr:uid="{00000000-0005-0000-0000-000032420000}"/>
    <cellStyle name="Comma 2 8 20" xfId="16950" xr:uid="{00000000-0005-0000-0000-000033420000}"/>
    <cellStyle name="Comma 2 8 21" xfId="16951" xr:uid="{00000000-0005-0000-0000-000034420000}"/>
    <cellStyle name="Comma 2 8 22" xfId="16952" xr:uid="{00000000-0005-0000-0000-000035420000}"/>
    <cellStyle name="Comma 2 8 3" xfId="16953" xr:uid="{00000000-0005-0000-0000-000036420000}"/>
    <cellStyle name="Comma 2 8 3 10" xfId="16954" xr:uid="{00000000-0005-0000-0000-000037420000}"/>
    <cellStyle name="Comma 2 8 3 11" xfId="16955" xr:uid="{00000000-0005-0000-0000-000038420000}"/>
    <cellStyle name="Comma 2 8 3 2" xfId="16956" xr:uid="{00000000-0005-0000-0000-000039420000}"/>
    <cellStyle name="Comma 2 8 3 2 2" xfId="16957" xr:uid="{00000000-0005-0000-0000-00003A420000}"/>
    <cellStyle name="Comma 2 8 3 2 2 2" xfId="16958" xr:uid="{00000000-0005-0000-0000-00003B420000}"/>
    <cellStyle name="Comma 2 8 3 2 2 2 2" xfId="16959" xr:uid="{00000000-0005-0000-0000-00003C420000}"/>
    <cellStyle name="Comma 2 8 3 2 2 2 3" xfId="16960" xr:uid="{00000000-0005-0000-0000-00003D420000}"/>
    <cellStyle name="Comma 2 8 3 2 2 3" xfId="16961" xr:uid="{00000000-0005-0000-0000-00003E420000}"/>
    <cellStyle name="Comma 2 8 3 2 2 4" xfId="16962" xr:uid="{00000000-0005-0000-0000-00003F420000}"/>
    <cellStyle name="Comma 2 8 3 2 2 5" xfId="16963" xr:uid="{00000000-0005-0000-0000-000040420000}"/>
    <cellStyle name="Comma 2 8 3 2 2 6" xfId="16964" xr:uid="{00000000-0005-0000-0000-000041420000}"/>
    <cellStyle name="Comma 2 8 3 2 3" xfId="16965" xr:uid="{00000000-0005-0000-0000-000042420000}"/>
    <cellStyle name="Comma 2 8 3 2 3 2" xfId="16966" xr:uid="{00000000-0005-0000-0000-000043420000}"/>
    <cellStyle name="Comma 2 8 3 2 3 2 2" xfId="16967" xr:uid="{00000000-0005-0000-0000-000044420000}"/>
    <cellStyle name="Comma 2 8 3 2 3 3" xfId="16968" xr:uid="{00000000-0005-0000-0000-000045420000}"/>
    <cellStyle name="Comma 2 8 3 2 3 4" xfId="16969" xr:uid="{00000000-0005-0000-0000-000046420000}"/>
    <cellStyle name="Comma 2 8 3 2 3 5" xfId="16970" xr:uid="{00000000-0005-0000-0000-000047420000}"/>
    <cellStyle name="Comma 2 8 3 2 4" xfId="16971" xr:uid="{00000000-0005-0000-0000-000048420000}"/>
    <cellStyle name="Comma 2 8 3 2 4 2" xfId="16972" xr:uid="{00000000-0005-0000-0000-000049420000}"/>
    <cellStyle name="Comma 2 8 3 2 4 3" xfId="16973" xr:uid="{00000000-0005-0000-0000-00004A420000}"/>
    <cellStyle name="Comma 2 8 3 2 4 4" xfId="16974" xr:uid="{00000000-0005-0000-0000-00004B420000}"/>
    <cellStyle name="Comma 2 8 3 2 5" xfId="16975" xr:uid="{00000000-0005-0000-0000-00004C420000}"/>
    <cellStyle name="Comma 2 8 3 2 5 2" xfId="16976" xr:uid="{00000000-0005-0000-0000-00004D420000}"/>
    <cellStyle name="Comma 2 8 3 2 6" xfId="16977" xr:uid="{00000000-0005-0000-0000-00004E420000}"/>
    <cellStyle name="Comma 2 8 3 2 7" xfId="16978" xr:uid="{00000000-0005-0000-0000-00004F420000}"/>
    <cellStyle name="Comma 2 8 3 2 8" xfId="16979" xr:uid="{00000000-0005-0000-0000-000050420000}"/>
    <cellStyle name="Comma 2 8 3 2 9" xfId="16980" xr:uid="{00000000-0005-0000-0000-000051420000}"/>
    <cellStyle name="Comma 2 8 3 3" xfId="16981" xr:uid="{00000000-0005-0000-0000-000052420000}"/>
    <cellStyle name="Comma 2 8 3 3 2" xfId="16982" xr:uid="{00000000-0005-0000-0000-000053420000}"/>
    <cellStyle name="Comma 2 8 3 3 2 2" xfId="16983" xr:uid="{00000000-0005-0000-0000-000054420000}"/>
    <cellStyle name="Comma 2 8 3 3 2 2 2" xfId="16984" xr:uid="{00000000-0005-0000-0000-000055420000}"/>
    <cellStyle name="Comma 2 8 3 3 2 2 3" xfId="16985" xr:uid="{00000000-0005-0000-0000-000056420000}"/>
    <cellStyle name="Comma 2 8 3 3 2 3" xfId="16986" xr:uid="{00000000-0005-0000-0000-000057420000}"/>
    <cellStyle name="Comma 2 8 3 3 2 4" xfId="16987" xr:uid="{00000000-0005-0000-0000-000058420000}"/>
    <cellStyle name="Comma 2 8 3 3 2 5" xfId="16988" xr:uid="{00000000-0005-0000-0000-000059420000}"/>
    <cellStyle name="Comma 2 8 3 3 2 6" xfId="16989" xr:uid="{00000000-0005-0000-0000-00005A420000}"/>
    <cellStyle name="Comma 2 8 3 3 3" xfId="16990" xr:uid="{00000000-0005-0000-0000-00005B420000}"/>
    <cellStyle name="Comma 2 8 3 3 3 2" xfId="16991" xr:uid="{00000000-0005-0000-0000-00005C420000}"/>
    <cellStyle name="Comma 2 8 3 3 3 2 2" xfId="16992" xr:uid="{00000000-0005-0000-0000-00005D420000}"/>
    <cellStyle name="Comma 2 8 3 3 3 3" xfId="16993" xr:uid="{00000000-0005-0000-0000-00005E420000}"/>
    <cellStyle name="Comma 2 8 3 3 3 4" xfId="16994" xr:uid="{00000000-0005-0000-0000-00005F420000}"/>
    <cellStyle name="Comma 2 8 3 3 3 5" xfId="16995" xr:uid="{00000000-0005-0000-0000-000060420000}"/>
    <cellStyle name="Comma 2 8 3 3 4" xfId="16996" xr:uid="{00000000-0005-0000-0000-000061420000}"/>
    <cellStyle name="Comma 2 8 3 3 4 2" xfId="16997" xr:uid="{00000000-0005-0000-0000-000062420000}"/>
    <cellStyle name="Comma 2 8 3 3 4 3" xfId="16998" xr:uid="{00000000-0005-0000-0000-000063420000}"/>
    <cellStyle name="Comma 2 8 3 3 4 4" xfId="16999" xr:uid="{00000000-0005-0000-0000-000064420000}"/>
    <cellStyle name="Comma 2 8 3 3 5" xfId="17000" xr:uid="{00000000-0005-0000-0000-000065420000}"/>
    <cellStyle name="Comma 2 8 3 3 5 2" xfId="17001" xr:uid="{00000000-0005-0000-0000-000066420000}"/>
    <cellStyle name="Comma 2 8 3 3 6" xfId="17002" xr:uid="{00000000-0005-0000-0000-000067420000}"/>
    <cellStyle name="Comma 2 8 3 3 7" xfId="17003" xr:uid="{00000000-0005-0000-0000-000068420000}"/>
    <cellStyle name="Comma 2 8 3 3 8" xfId="17004" xr:uid="{00000000-0005-0000-0000-000069420000}"/>
    <cellStyle name="Comma 2 8 3 3 9" xfId="17005" xr:uid="{00000000-0005-0000-0000-00006A420000}"/>
    <cellStyle name="Comma 2 8 3 4" xfId="17006" xr:uid="{00000000-0005-0000-0000-00006B420000}"/>
    <cellStyle name="Comma 2 8 3 4 2" xfId="17007" xr:uid="{00000000-0005-0000-0000-00006C420000}"/>
    <cellStyle name="Comma 2 8 3 4 2 2" xfId="17008" xr:uid="{00000000-0005-0000-0000-00006D420000}"/>
    <cellStyle name="Comma 2 8 3 4 2 3" xfId="17009" xr:uid="{00000000-0005-0000-0000-00006E420000}"/>
    <cellStyle name="Comma 2 8 3 4 3" xfId="17010" xr:uid="{00000000-0005-0000-0000-00006F420000}"/>
    <cellStyle name="Comma 2 8 3 4 4" xfId="17011" xr:uid="{00000000-0005-0000-0000-000070420000}"/>
    <cellStyle name="Comma 2 8 3 4 5" xfId="17012" xr:uid="{00000000-0005-0000-0000-000071420000}"/>
    <cellStyle name="Comma 2 8 3 4 6" xfId="17013" xr:uid="{00000000-0005-0000-0000-000072420000}"/>
    <cellStyle name="Comma 2 8 3 5" xfId="17014" xr:uid="{00000000-0005-0000-0000-000073420000}"/>
    <cellStyle name="Comma 2 8 3 5 2" xfId="17015" xr:uid="{00000000-0005-0000-0000-000074420000}"/>
    <cellStyle name="Comma 2 8 3 5 2 2" xfId="17016" xr:uid="{00000000-0005-0000-0000-000075420000}"/>
    <cellStyle name="Comma 2 8 3 5 3" xfId="17017" xr:uid="{00000000-0005-0000-0000-000076420000}"/>
    <cellStyle name="Comma 2 8 3 5 4" xfId="17018" xr:uid="{00000000-0005-0000-0000-000077420000}"/>
    <cellStyle name="Comma 2 8 3 5 5" xfId="17019" xr:uid="{00000000-0005-0000-0000-000078420000}"/>
    <cellStyle name="Comma 2 8 3 6" xfId="17020" xr:uid="{00000000-0005-0000-0000-000079420000}"/>
    <cellStyle name="Comma 2 8 3 6 2" xfId="17021" xr:uid="{00000000-0005-0000-0000-00007A420000}"/>
    <cellStyle name="Comma 2 8 3 6 3" xfId="17022" xr:uid="{00000000-0005-0000-0000-00007B420000}"/>
    <cellStyle name="Comma 2 8 3 6 4" xfId="17023" xr:uid="{00000000-0005-0000-0000-00007C420000}"/>
    <cellStyle name="Comma 2 8 3 7" xfId="17024" xr:uid="{00000000-0005-0000-0000-00007D420000}"/>
    <cellStyle name="Comma 2 8 3 7 2" xfId="17025" xr:uid="{00000000-0005-0000-0000-00007E420000}"/>
    <cellStyle name="Comma 2 8 3 8" xfId="17026" xr:uid="{00000000-0005-0000-0000-00007F420000}"/>
    <cellStyle name="Comma 2 8 3 9" xfId="17027" xr:uid="{00000000-0005-0000-0000-000080420000}"/>
    <cellStyle name="Comma 2 8 4" xfId="17028" xr:uid="{00000000-0005-0000-0000-000081420000}"/>
    <cellStyle name="Comma 2 8 4 10" xfId="17029" xr:uid="{00000000-0005-0000-0000-000082420000}"/>
    <cellStyle name="Comma 2 8 4 11" xfId="17030" xr:uid="{00000000-0005-0000-0000-000083420000}"/>
    <cellStyle name="Comma 2 8 4 2" xfId="17031" xr:uid="{00000000-0005-0000-0000-000084420000}"/>
    <cellStyle name="Comma 2 8 4 2 2" xfId="17032" xr:uid="{00000000-0005-0000-0000-000085420000}"/>
    <cellStyle name="Comma 2 8 4 2 2 2" xfId="17033" xr:uid="{00000000-0005-0000-0000-000086420000}"/>
    <cellStyle name="Comma 2 8 4 2 2 2 2" xfId="17034" xr:uid="{00000000-0005-0000-0000-000087420000}"/>
    <cellStyle name="Comma 2 8 4 2 2 2 3" xfId="17035" xr:uid="{00000000-0005-0000-0000-000088420000}"/>
    <cellStyle name="Comma 2 8 4 2 2 3" xfId="17036" xr:uid="{00000000-0005-0000-0000-000089420000}"/>
    <cellStyle name="Comma 2 8 4 2 2 4" xfId="17037" xr:uid="{00000000-0005-0000-0000-00008A420000}"/>
    <cellStyle name="Comma 2 8 4 2 2 5" xfId="17038" xr:uid="{00000000-0005-0000-0000-00008B420000}"/>
    <cellStyle name="Comma 2 8 4 2 2 6" xfId="17039" xr:uid="{00000000-0005-0000-0000-00008C420000}"/>
    <cellStyle name="Comma 2 8 4 2 3" xfId="17040" xr:uid="{00000000-0005-0000-0000-00008D420000}"/>
    <cellStyle name="Comma 2 8 4 2 3 2" xfId="17041" xr:uid="{00000000-0005-0000-0000-00008E420000}"/>
    <cellStyle name="Comma 2 8 4 2 3 2 2" xfId="17042" xr:uid="{00000000-0005-0000-0000-00008F420000}"/>
    <cellStyle name="Comma 2 8 4 2 3 3" xfId="17043" xr:uid="{00000000-0005-0000-0000-000090420000}"/>
    <cellStyle name="Comma 2 8 4 2 3 4" xfId="17044" xr:uid="{00000000-0005-0000-0000-000091420000}"/>
    <cellStyle name="Comma 2 8 4 2 3 5" xfId="17045" xr:uid="{00000000-0005-0000-0000-000092420000}"/>
    <cellStyle name="Comma 2 8 4 2 4" xfId="17046" xr:uid="{00000000-0005-0000-0000-000093420000}"/>
    <cellStyle name="Comma 2 8 4 2 4 2" xfId="17047" xr:uid="{00000000-0005-0000-0000-000094420000}"/>
    <cellStyle name="Comma 2 8 4 2 4 3" xfId="17048" xr:uid="{00000000-0005-0000-0000-000095420000}"/>
    <cellStyle name="Comma 2 8 4 2 4 4" xfId="17049" xr:uid="{00000000-0005-0000-0000-000096420000}"/>
    <cellStyle name="Comma 2 8 4 2 5" xfId="17050" xr:uid="{00000000-0005-0000-0000-000097420000}"/>
    <cellStyle name="Comma 2 8 4 2 5 2" xfId="17051" xr:uid="{00000000-0005-0000-0000-000098420000}"/>
    <cellStyle name="Comma 2 8 4 2 6" xfId="17052" xr:uid="{00000000-0005-0000-0000-000099420000}"/>
    <cellStyle name="Comma 2 8 4 2 7" xfId="17053" xr:uid="{00000000-0005-0000-0000-00009A420000}"/>
    <cellStyle name="Comma 2 8 4 2 8" xfId="17054" xr:uid="{00000000-0005-0000-0000-00009B420000}"/>
    <cellStyle name="Comma 2 8 4 2 9" xfId="17055" xr:uid="{00000000-0005-0000-0000-00009C420000}"/>
    <cellStyle name="Comma 2 8 4 3" xfId="17056" xr:uid="{00000000-0005-0000-0000-00009D420000}"/>
    <cellStyle name="Comma 2 8 4 3 2" xfId="17057" xr:uid="{00000000-0005-0000-0000-00009E420000}"/>
    <cellStyle name="Comma 2 8 4 3 2 2" xfId="17058" xr:uid="{00000000-0005-0000-0000-00009F420000}"/>
    <cellStyle name="Comma 2 8 4 3 2 2 2" xfId="17059" xr:uid="{00000000-0005-0000-0000-0000A0420000}"/>
    <cellStyle name="Comma 2 8 4 3 2 2 3" xfId="17060" xr:uid="{00000000-0005-0000-0000-0000A1420000}"/>
    <cellStyle name="Comma 2 8 4 3 2 3" xfId="17061" xr:uid="{00000000-0005-0000-0000-0000A2420000}"/>
    <cellStyle name="Comma 2 8 4 3 2 4" xfId="17062" xr:uid="{00000000-0005-0000-0000-0000A3420000}"/>
    <cellStyle name="Comma 2 8 4 3 2 5" xfId="17063" xr:uid="{00000000-0005-0000-0000-0000A4420000}"/>
    <cellStyle name="Comma 2 8 4 3 2 6" xfId="17064" xr:uid="{00000000-0005-0000-0000-0000A5420000}"/>
    <cellStyle name="Comma 2 8 4 3 3" xfId="17065" xr:uid="{00000000-0005-0000-0000-0000A6420000}"/>
    <cellStyle name="Comma 2 8 4 3 3 2" xfId="17066" xr:uid="{00000000-0005-0000-0000-0000A7420000}"/>
    <cellStyle name="Comma 2 8 4 3 3 2 2" xfId="17067" xr:uid="{00000000-0005-0000-0000-0000A8420000}"/>
    <cellStyle name="Comma 2 8 4 3 3 3" xfId="17068" xr:uid="{00000000-0005-0000-0000-0000A9420000}"/>
    <cellStyle name="Comma 2 8 4 3 3 4" xfId="17069" xr:uid="{00000000-0005-0000-0000-0000AA420000}"/>
    <cellStyle name="Comma 2 8 4 3 3 5" xfId="17070" xr:uid="{00000000-0005-0000-0000-0000AB420000}"/>
    <cellStyle name="Comma 2 8 4 3 4" xfId="17071" xr:uid="{00000000-0005-0000-0000-0000AC420000}"/>
    <cellStyle name="Comma 2 8 4 3 4 2" xfId="17072" xr:uid="{00000000-0005-0000-0000-0000AD420000}"/>
    <cellStyle name="Comma 2 8 4 3 4 3" xfId="17073" xr:uid="{00000000-0005-0000-0000-0000AE420000}"/>
    <cellStyle name="Comma 2 8 4 3 4 4" xfId="17074" xr:uid="{00000000-0005-0000-0000-0000AF420000}"/>
    <cellStyle name="Comma 2 8 4 3 5" xfId="17075" xr:uid="{00000000-0005-0000-0000-0000B0420000}"/>
    <cellStyle name="Comma 2 8 4 3 5 2" xfId="17076" xr:uid="{00000000-0005-0000-0000-0000B1420000}"/>
    <cellStyle name="Comma 2 8 4 3 6" xfId="17077" xr:uid="{00000000-0005-0000-0000-0000B2420000}"/>
    <cellStyle name="Comma 2 8 4 3 7" xfId="17078" xr:uid="{00000000-0005-0000-0000-0000B3420000}"/>
    <cellStyle name="Comma 2 8 4 3 8" xfId="17079" xr:uid="{00000000-0005-0000-0000-0000B4420000}"/>
    <cellStyle name="Comma 2 8 4 3 9" xfId="17080" xr:uid="{00000000-0005-0000-0000-0000B5420000}"/>
    <cellStyle name="Comma 2 8 4 4" xfId="17081" xr:uid="{00000000-0005-0000-0000-0000B6420000}"/>
    <cellStyle name="Comma 2 8 4 4 2" xfId="17082" xr:uid="{00000000-0005-0000-0000-0000B7420000}"/>
    <cellStyle name="Comma 2 8 4 4 2 2" xfId="17083" xr:uid="{00000000-0005-0000-0000-0000B8420000}"/>
    <cellStyle name="Comma 2 8 4 4 2 3" xfId="17084" xr:uid="{00000000-0005-0000-0000-0000B9420000}"/>
    <cellStyle name="Comma 2 8 4 4 3" xfId="17085" xr:uid="{00000000-0005-0000-0000-0000BA420000}"/>
    <cellStyle name="Comma 2 8 4 4 4" xfId="17086" xr:uid="{00000000-0005-0000-0000-0000BB420000}"/>
    <cellStyle name="Comma 2 8 4 4 5" xfId="17087" xr:uid="{00000000-0005-0000-0000-0000BC420000}"/>
    <cellStyle name="Comma 2 8 4 4 6" xfId="17088" xr:uid="{00000000-0005-0000-0000-0000BD420000}"/>
    <cellStyle name="Comma 2 8 4 5" xfId="17089" xr:uid="{00000000-0005-0000-0000-0000BE420000}"/>
    <cellStyle name="Comma 2 8 4 5 2" xfId="17090" xr:uid="{00000000-0005-0000-0000-0000BF420000}"/>
    <cellStyle name="Comma 2 8 4 5 2 2" xfId="17091" xr:uid="{00000000-0005-0000-0000-0000C0420000}"/>
    <cellStyle name="Comma 2 8 4 5 3" xfId="17092" xr:uid="{00000000-0005-0000-0000-0000C1420000}"/>
    <cellStyle name="Comma 2 8 4 5 4" xfId="17093" xr:uid="{00000000-0005-0000-0000-0000C2420000}"/>
    <cellStyle name="Comma 2 8 4 5 5" xfId="17094" xr:uid="{00000000-0005-0000-0000-0000C3420000}"/>
    <cellStyle name="Comma 2 8 4 6" xfId="17095" xr:uid="{00000000-0005-0000-0000-0000C4420000}"/>
    <cellStyle name="Comma 2 8 4 6 2" xfId="17096" xr:uid="{00000000-0005-0000-0000-0000C5420000}"/>
    <cellStyle name="Comma 2 8 4 6 3" xfId="17097" xr:uid="{00000000-0005-0000-0000-0000C6420000}"/>
    <cellStyle name="Comma 2 8 4 6 4" xfId="17098" xr:uid="{00000000-0005-0000-0000-0000C7420000}"/>
    <cellStyle name="Comma 2 8 4 7" xfId="17099" xr:uid="{00000000-0005-0000-0000-0000C8420000}"/>
    <cellStyle name="Comma 2 8 4 7 2" xfId="17100" xr:uid="{00000000-0005-0000-0000-0000C9420000}"/>
    <cellStyle name="Comma 2 8 4 8" xfId="17101" xr:uid="{00000000-0005-0000-0000-0000CA420000}"/>
    <cellStyle name="Comma 2 8 4 9" xfId="17102" xr:uid="{00000000-0005-0000-0000-0000CB420000}"/>
    <cellStyle name="Comma 2 8 5" xfId="17103" xr:uid="{00000000-0005-0000-0000-0000CC420000}"/>
    <cellStyle name="Comma 2 8 5 10" xfId="17104" xr:uid="{00000000-0005-0000-0000-0000CD420000}"/>
    <cellStyle name="Comma 2 8 5 11" xfId="17105" xr:uid="{00000000-0005-0000-0000-0000CE420000}"/>
    <cellStyle name="Comma 2 8 5 2" xfId="17106" xr:uid="{00000000-0005-0000-0000-0000CF420000}"/>
    <cellStyle name="Comma 2 8 5 2 2" xfId="17107" xr:uid="{00000000-0005-0000-0000-0000D0420000}"/>
    <cellStyle name="Comma 2 8 5 2 2 2" xfId="17108" xr:uid="{00000000-0005-0000-0000-0000D1420000}"/>
    <cellStyle name="Comma 2 8 5 2 2 2 2" xfId="17109" xr:uid="{00000000-0005-0000-0000-0000D2420000}"/>
    <cellStyle name="Comma 2 8 5 2 2 2 3" xfId="17110" xr:uid="{00000000-0005-0000-0000-0000D3420000}"/>
    <cellStyle name="Comma 2 8 5 2 2 3" xfId="17111" xr:uid="{00000000-0005-0000-0000-0000D4420000}"/>
    <cellStyle name="Comma 2 8 5 2 2 4" xfId="17112" xr:uid="{00000000-0005-0000-0000-0000D5420000}"/>
    <cellStyle name="Comma 2 8 5 2 2 5" xfId="17113" xr:uid="{00000000-0005-0000-0000-0000D6420000}"/>
    <cellStyle name="Comma 2 8 5 2 2 6" xfId="17114" xr:uid="{00000000-0005-0000-0000-0000D7420000}"/>
    <cellStyle name="Comma 2 8 5 2 3" xfId="17115" xr:uid="{00000000-0005-0000-0000-0000D8420000}"/>
    <cellStyle name="Comma 2 8 5 2 3 2" xfId="17116" xr:uid="{00000000-0005-0000-0000-0000D9420000}"/>
    <cellStyle name="Comma 2 8 5 2 3 2 2" xfId="17117" xr:uid="{00000000-0005-0000-0000-0000DA420000}"/>
    <cellStyle name="Comma 2 8 5 2 3 3" xfId="17118" xr:uid="{00000000-0005-0000-0000-0000DB420000}"/>
    <cellStyle name="Comma 2 8 5 2 3 4" xfId="17119" xr:uid="{00000000-0005-0000-0000-0000DC420000}"/>
    <cellStyle name="Comma 2 8 5 2 3 5" xfId="17120" xr:uid="{00000000-0005-0000-0000-0000DD420000}"/>
    <cellStyle name="Comma 2 8 5 2 4" xfId="17121" xr:uid="{00000000-0005-0000-0000-0000DE420000}"/>
    <cellStyle name="Comma 2 8 5 2 4 2" xfId="17122" xr:uid="{00000000-0005-0000-0000-0000DF420000}"/>
    <cellStyle name="Comma 2 8 5 2 4 3" xfId="17123" xr:uid="{00000000-0005-0000-0000-0000E0420000}"/>
    <cellStyle name="Comma 2 8 5 2 4 4" xfId="17124" xr:uid="{00000000-0005-0000-0000-0000E1420000}"/>
    <cellStyle name="Comma 2 8 5 2 5" xfId="17125" xr:uid="{00000000-0005-0000-0000-0000E2420000}"/>
    <cellStyle name="Comma 2 8 5 2 5 2" xfId="17126" xr:uid="{00000000-0005-0000-0000-0000E3420000}"/>
    <cellStyle name="Comma 2 8 5 2 6" xfId="17127" xr:uid="{00000000-0005-0000-0000-0000E4420000}"/>
    <cellStyle name="Comma 2 8 5 2 7" xfId="17128" xr:uid="{00000000-0005-0000-0000-0000E5420000}"/>
    <cellStyle name="Comma 2 8 5 2 8" xfId="17129" xr:uid="{00000000-0005-0000-0000-0000E6420000}"/>
    <cellStyle name="Comma 2 8 5 2 9" xfId="17130" xr:uid="{00000000-0005-0000-0000-0000E7420000}"/>
    <cellStyle name="Comma 2 8 5 3" xfId="17131" xr:uid="{00000000-0005-0000-0000-0000E8420000}"/>
    <cellStyle name="Comma 2 8 5 3 2" xfId="17132" xr:uid="{00000000-0005-0000-0000-0000E9420000}"/>
    <cellStyle name="Comma 2 8 5 3 2 2" xfId="17133" xr:uid="{00000000-0005-0000-0000-0000EA420000}"/>
    <cellStyle name="Comma 2 8 5 3 2 2 2" xfId="17134" xr:uid="{00000000-0005-0000-0000-0000EB420000}"/>
    <cellStyle name="Comma 2 8 5 3 2 2 3" xfId="17135" xr:uid="{00000000-0005-0000-0000-0000EC420000}"/>
    <cellStyle name="Comma 2 8 5 3 2 3" xfId="17136" xr:uid="{00000000-0005-0000-0000-0000ED420000}"/>
    <cellStyle name="Comma 2 8 5 3 2 4" xfId="17137" xr:uid="{00000000-0005-0000-0000-0000EE420000}"/>
    <cellStyle name="Comma 2 8 5 3 2 5" xfId="17138" xr:uid="{00000000-0005-0000-0000-0000EF420000}"/>
    <cellStyle name="Comma 2 8 5 3 2 6" xfId="17139" xr:uid="{00000000-0005-0000-0000-0000F0420000}"/>
    <cellStyle name="Comma 2 8 5 3 3" xfId="17140" xr:uid="{00000000-0005-0000-0000-0000F1420000}"/>
    <cellStyle name="Comma 2 8 5 3 3 2" xfId="17141" xr:uid="{00000000-0005-0000-0000-0000F2420000}"/>
    <cellStyle name="Comma 2 8 5 3 3 2 2" xfId="17142" xr:uid="{00000000-0005-0000-0000-0000F3420000}"/>
    <cellStyle name="Comma 2 8 5 3 3 3" xfId="17143" xr:uid="{00000000-0005-0000-0000-0000F4420000}"/>
    <cellStyle name="Comma 2 8 5 3 3 4" xfId="17144" xr:uid="{00000000-0005-0000-0000-0000F5420000}"/>
    <cellStyle name="Comma 2 8 5 3 3 5" xfId="17145" xr:uid="{00000000-0005-0000-0000-0000F6420000}"/>
    <cellStyle name="Comma 2 8 5 3 4" xfId="17146" xr:uid="{00000000-0005-0000-0000-0000F7420000}"/>
    <cellStyle name="Comma 2 8 5 3 4 2" xfId="17147" xr:uid="{00000000-0005-0000-0000-0000F8420000}"/>
    <cellStyle name="Comma 2 8 5 3 4 3" xfId="17148" xr:uid="{00000000-0005-0000-0000-0000F9420000}"/>
    <cellStyle name="Comma 2 8 5 3 4 4" xfId="17149" xr:uid="{00000000-0005-0000-0000-0000FA420000}"/>
    <cellStyle name="Comma 2 8 5 3 5" xfId="17150" xr:uid="{00000000-0005-0000-0000-0000FB420000}"/>
    <cellStyle name="Comma 2 8 5 3 5 2" xfId="17151" xr:uid="{00000000-0005-0000-0000-0000FC420000}"/>
    <cellStyle name="Comma 2 8 5 3 6" xfId="17152" xr:uid="{00000000-0005-0000-0000-0000FD420000}"/>
    <cellStyle name="Comma 2 8 5 3 7" xfId="17153" xr:uid="{00000000-0005-0000-0000-0000FE420000}"/>
    <cellStyle name="Comma 2 8 5 3 8" xfId="17154" xr:uid="{00000000-0005-0000-0000-0000FF420000}"/>
    <cellStyle name="Comma 2 8 5 3 9" xfId="17155" xr:uid="{00000000-0005-0000-0000-000000430000}"/>
    <cellStyle name="Comma 2 8 5 4" xfId="17156" xr:uid="{00000000-0005-0000-0000-000001430000}"/>
    <cellStyle name="Comma 2 8 5 4 2" xfId="17157" xr:uid="{00000000-0005-0000-0000-000002430000}"/>
    <cellStyle name="Comma 2 8 5 4 2 2" xfId="17158" xr:uid="{00000000-0005-0000-0000-000003430000}"/>
    <cellStyle name="Comma 2 8 5 4 2 3" xfId="17159" xr:uid="{00000000-0005-0000-0000-000004430000}"/>
    <cellStyle name="Comma 2 8 5 4 3" xfId="17160" xr:uid="{00000000-0005-0000-0000-000005430000}"/>
    <cellStyle name="Comma 2 8 5 4 4" xfId="17161" xr:uid="{00000000-0005-0000-0000-000006430000}"/>
    <cellStyle name="Comma 2 8 5 4 5" xfId="17162" xr:uid="{00000000-0005-0000-0000-000007430000}"/>
    <cellStyle name="Comma 2 8 5 4 6" xfId="17163" xr:uid="{00000000-0005-0000-0000-000008430000}"/>
    <cellStyle name="Comma 2 8 5 5" xfId="17164" xr:uid="{00000000-0005-0000-0000-000009430000}"/>
    <cellStyle name="Comma 2 8 5 5 2" xfId="17165" xr:uid="{00000000-0005-0000-0000-00000A430000}"/>
    <cellStyle name="Comma 2 8 5 5 2 2" xfId="17166" xr:uid="{00000000-0005-0000-0000-00000B430000}"/>
    <cellStyle name="Comma 2 8 5 5 3" xfId="17167" xr:uid="{00000000-0005-0000-0000-00000C430000}"/>
    <cellStyle name="Comma 2 8 5 5 4" xfId="17168" xr:uid="{00000000-0005-0000-0000-00000D430000}"/>
    <cellStyle name="Comma 2 8 5 5 5" xfId="17169" xr:uid="{00000000-0005-0000-0000-00000E430000}"/>
    <cellStyle name="Comma 2 8 5 6" xfId="17170" xr:uid="{00000000-0005-0000-0000-00000F430000}"/>
    <cellStyle name="Comma 2 8 5 6 2" xfId="17171" xr:uid="{00000000-0005-0000-0000-000010430000}"/>
    <cellStyle name="Comma 2 8 5 6 3" xfId="17172" xr:uid="{00000000-0005-0000-0000-000011430000}"/>
    <cellStyle name="Comma 2 8 5 6 4" xfId="17173" xr:uid="{00000000-0005-0000-0000-000012430000}"/>
    <cellStyle name="Comma 2 8 5 7" xfId="17174" xr:uid="{00000000-0005-0000-0000-000013430000}"/>
    <cellStyle name="Comma 2 8 5 7 2" xfId="17175" xr:uid="{00000000-0005-0000-0000-000014430000}"/>
    <cellStyle name="Comma 2 8 5 8" xfId="17176" xr:uid="{00000000-0005-0000-0000-000015430000}"/>
    <cellStyle name="Comma 2 8 5 9" xfId="17177" xr:uid="{00000000-0005-0000-0000-000016430000}"/>
    <cellStyle name="Comma 2 8 6" xfId="17178" xr:uid="{00000000-0005-0000-0000-000017430000}"/>
    <cellStyle name="Comma 2 8 6 10" xfId="17179" xr:uid="{00000000-0005-0000-0000-000018430000}"/>
    <cellStyle name="Comma 2 8 6 11" xfId="17180" xr:uid="{00000000-0005-0000-0000-000019430000}"/>
    <cellStyle name="Comma 2 8 6 2" xfId="17181" xr:uid="{00000000-0005-0000-0000-00001A430000}"/>
    <cellStyle name="Comma 2 8 6 2 2" xfId="17182" xr:uid="{00000000-0005-0000-0000-00001B430000}"/>
    <cellStyle name="Comma 2 8 6 2 2 2" xfId="17183" xr:uid="{00000000-0005-0000-0000-00001C430000}"/>
    <cellStyle name="Comma 2 8 6 2 2 2 2" xfId="17184" xr:uid="{00000000-0005-0000-0000-00001D430000}"/>
    <cellStyle name="Comma 2 8 6 2 2 2 3" xfId="17185" xr:uid="{00000000-0005-0000-0000-00001E430000}"/>
    <cellStyle name="Comma 2 8 6 2 2 3" xfId="17186" xr:uid="{00000000-0005-0000-0000-00001F430000}"/>
    <cellStyle name="Comma 2 8 6 2 2 4" xfId="17187" xr:uid="{00000000-0005-0000-0000-000020430000}"/>
    <cellStyle name="Comma 2 8 6 2 2 5" xfId="17188" xr:uid="{00000000-0005-0000-0000-000021430000}"/>
    <cellStyle name="Comma 2 8 6 2 2 6" xfId="17189" xr:uid="{00000000-0005-0000-0000-000022430000}"/>
    <cellStyle name="Comma 2 8 6 2 3" xfId="17190" xr:uid="{00000000-0005-0000-0000-000023430000}"/>
    <cellStyle name="Comma 2 8 6 2 3 2" xfId="17191" xr:uid="{00000000-0005-0000-0000-000024430000}"/>
    <cellStyle name="Comma 2 8 6 2 3 2 2" xfId="17192" xr:uid="{00000000-0005-0000-0000-000025430000}"/>
    <cellStyle name="Comma 2 8 6 2 3 3" xfId="17193" xr:uid="{00000000-0005-0000-0000-000026430000}"/>
    <cellStyle name="Comma 2 8 6 2 3 4" xfId="17194" xr:uid="{00000000-0005-0000-0000-000027430000}"/>
    <cellStyle name="Comma 2 8 6 2 3 5" xfId="17195" xr:uid="{00000000-0005-0000-0000-000028430000}"/>
    <cellStyle name="Comma 2 8 6 2 4" xfId="17196" xr:uid="{00000000-0005-0000-0000-000029430000}"/>
    <cellStyle name="Comma 2 8 6 2 4 2" xfId="17197" xr:uid="{00000000-0005-0000-0000-00002A430000}"/>
    <cellStyle name="Comma 2 8 6 2 4 3" xfId="17198" xr:uid="{00000000-0005-0000-0000-00002B430000}"/>
    <cellStyle name="Comma 2 8 6 2 4 4" xfId="17199" xr:uid="{00000000-0005-0000-0000-00002C430000}"/>
    <cellStyle name="Comma 2 8 6 2 5" xfId="17200" xr:uid="{00000000-0005-0000-0000-00002D430000}"/>
    <cellStyle name="Comma 2 8 6 2 5 2" xfId="17201" xr:uid="{00000000-0005-0000-0000-00002E430000}"/>
    <cellStyle name="Comma 2 8 6 2 6" xfId="17202" xr:uid="{00000000-0005-0000-0000-00002F430000}"/>
    <cellStyle name="Comma 2 8 6 2 7" xfId="17203" xr:uid="{00000000-0005-0000-0000-000030430000}"/>
    <cellStyle name="Comma 2 8 6 2 8" xfId="17204" xr:uid="{00000000-0005-0000-0000-000031430000}"/>
    <cellStyle name="Comma 2 8 6 2 9" xfId="17205" xr:uid="{00000000-0005-0000-0000-000032430000}"/>
    <cellStyle name="Comma 2 8 6 3" xfId="17206" xr:uid="{00000000-0005-0000-0000-000033430000}"/>
    <cellStyle name="Comma 2 8 6 3 2" xfId="17207" xr:uid="{00000000-0005-0000-0000-000034430000}"/>
    <cellStyle name="Comma 2 8 6 3 2 2" xfId="17208" xr:uid="{00000000-0005-0000-0000-000035430000}"/>
    <cellStyle name="Comma 2 8 6 3 2 2 2" xfId="17209" xr:uid="{00000000-0005-0000-0000-000036430000}"/>
    <cellStyle name="Comma 2 8 6 3 2 2 3" xfId="17210" xr:uid="{00000000-0005-0000-0000-000037430000}"/>
    <cellStyle name="Comma 2 8 6 3 2 3" xfId="17211" xr:uid="{00000000-0005-0000-0000-000038430000}"/>
    <cellStyle name="Comma 2 8 6 3 2 4" xfId="17212" xr:uid="{00000000-0005-0000-0000-000039430000}"/>
    <cellStyle name="Comma 2 8 6 3 2 5" xfId="17213" xr:uid="{00000000-0005-0000-0000-00003A430000}"/>
    <cellStyle name="Comma 2 8 6 3 2 6" xfId="17214" xr:uid="{00000000-0005-0000-0000-00003B430000}"/>
    <cellStyle name="Comma 2 8 6 3 3" xfId="17215" xr:uid="{00000000-0005-0000-0000-00003C430000}"/>
    <cellStyle name="Comma 2 8 6 3 3 2" xfId="17216" xr:uid="{00000000-0005-0000-0000-00003D430000}"/>
    <cellStyle name="Comma 2 8 6 3 3 2 2" xfId="17217" xr:uid="{00000000-0005-0000-0000-00003E430000}"/>
    <cellStyle name="Comma 2 8 6 3 3 3" xfId="17218" xr:uid="{00000000-0005-0000-0000-00003F430000}"/>
    <cellStyle name="Comma 2 8 6 3 3 4" xfId="17219" xr:uid="{00000000-0005-0000-0000-000040430000}"/>
    <cellStyle name="Comma 2 8 6 3 3 5" xfId="17220" xr:uid="{00000000-0005-0000-0000-000041430000}"/>
    <cellStyle name="Comma 2 8 6 3 4" xfId="17221" xr:uid="{00000000-0005-0000-0000-000042430000}"/>
    <cellStyle name="Comma 2 8 6 3 4 2" xfId="17222" xr:uid="{00000000-0005-0000-0000-000043430000}"/>
    <cellStyle name="Comma 2 8 6 3 4 3" xfId="17223" xr:uid="{00000000-0005-0000-0000-000044430000}"/>
    <cellStyle name="Comma 2 8 6 3 4 4" xfId="17224" xr:uid="{00000000-0005-0000-0000-000045430000}"/>
    <cellStyle name="Comma 2 8 6 3 5" xfId="17225" xr:uid="{00000000-0005-0000-0000-000046430000}"/>
    <cellStyle name="Comma 2 8 6 3 5 2" xfId="17226" xr:uid="{00000000-0005-0000-0000-000047430000}"/>
    <cellStyle name="Comma 2 8 6 3 6" xfId="17227" xr:uid="{00000000-0005-0000-0000-000048430000}"/>
    <cellStyle name="Comma 2 8 6 3 7" xfId="17228" xr:uid="{00000000-0005-0000-0000-000049430000}"/>
    <cellStyle name="Comma 2 8 6 3 8" xfId="17229" xr:uid="{00000000-0005-0000-0000-00004A430000}"/>
    <cellStyle name="Comma 2 8 6 3 9" xfId="17230" xr:uid="{00000000-0005-0000-0000-00004B430000}"/>
    <cellStyle name="Comma 2 8 6 4" xfId="17231" xr:uid="{00000000-0005-0000-0000-00004C430000}"/>
    <cellStyle name="Comma 2 8 6 4 2" xfId="17232" xr:uid="{00000000-0005-0000-0000-00004D430000}"/>
    <cellStyle name="Comma 2 8 6 4 2 2" xfId="17233" xr:uid="{00000000-0005-0000-0000-00004E430000}"/>
    <cellStyle name="Comma 2 8 6 4 2 3" xfId="17234" xr:uid="{00000000-0005-0000-0000-00004F430000}"/>
    <cellStyle name="Comma 2 8 6 4 3" xfId="17235" xr:uid="{00000000-0005-0000-0000-000050430000}"/>
    <cellStyle name="Comma 2 8 6 4 4" xfId="17236" xr:uid="{00000000-0005-0000-0000-000051430000}"/>
    <cellStyle name="Comma 2 8 6 4 5" xfId="17237" xr:uid="{00000000-0005-0000-0000-000052430000}"/>
    <cellStyle name="Comma 2 8 6 4 6" xfId="17238" xr:uid="{00000000-0005-0000-0000-000053430000}"/>
    <cellStyle name="Comma 2 8 6 5" xfId="17239" xr:uid="{00000000-0005-0000-0000-000054430000}"/>
    <cellStyle name="Comma 2 8 6 5 2" xfId="17240" xr:uid="{00000000-0005-0000-0000-000055430000}"/>
    <cellStyle name="Comma 2 8 6 5 2 2" xfId="17241" xr:uid="{00000000-0005-0000-0000-000056430000}"/>
    <cellStyle name="Comma 2 8 6 5 3" xfId="17242" xr:uid="{00000000-0005-0000-0000-000057430000}"/>
    <cellStyle name="Comma 2 8 6 5 4" xfId="17243" xr:uid="{00000000-0005-0000-0000-000058430000}"/>
    <cellStyle name="Comma 2 8 6 5 5" xfId="17244" xr:uid="{00000000-0005-0000-0000-000059430000}"/>
    <cellStyle name="Comma 2 8 6 6" xfId="17245" xr:uid="{00000000-0005-0000-0000-00005A430000}"/>
    <cellStyle name="Comma 2 8 6 6 2" xfId="17246" xr:uid="{00000000-0005-0000-0000-00005B430000}"/>
    <cellStyle name="Comma 2 8 6 6 3" xfId="17247" xr:uid="{00000000-0005-0000-0000-00005C430000}"/>
    <cellStyle name="Comma 2 8 6 6 4" xfId="17248" xr:uid="{00000000-0005-0000-0000-00005D430000}"/>
    <cellStyle name="Comma 2 8 6 7" xfId="17249" xr:uid="{00000000-0005-0000-0000-00005E430000}"/>
    <cellStyle name="Comma 2 8 6 7 2" xfId="17250" xr:uid="{00000000-0005-0000-0000-00005F430000}"/>
    <cellStyle name="Comma 2 8 6 8" xfId="17251" xr:uid="{00000000-0005-0000-0000-000060430000}"/>
    <cellStyle name="Comma 2 8 6 9" xfId="17252" xr:uid="{00000000-0005-0000-0000-000061430000}"/>
    <cellStyle name="Comma 2 8 7" xfId="17253" xr:uid="{00000000-0005-0000-0000-000062430000}"/>
    <cellStyle name="Comma 2 8 7 10" xfId="17254" xr:uid="{00000000-0005-0000-0000-000063430000}"/>
    <cellStyle name="Comma 2 8 7 11" xfId="17255" xr:uid="{00000000-0005-0000-0000-000064430000}"/>
    <cellStyle name="Comma 2 8 7 2" xfId="17256" xr:uid="{00000000-0005-0000-0000-000065430000}"/>
    <cellStyle name="Comma 2 8 7 2 2" xfId="17257" xr:uid="{00000000-0005-0000-0000-000066430000}"/>
    <cellStyle name="Comma 2 8 7 2 2 2" xfId="17258" xr:uid="{00000000-0005-0000-0000-000067430000}"/>
    <cellStyle name="Comma 2 8 7 2 2 2 2" xfId="17259" xr:uid="{00000000-0005-0000-0000-000068430000}"/>
    <cellStyle name="Comma 2 8 7 2 2 2 3" xfId="17260" xr:uid="{00000000-0005-0000-0000-000069430000}"/>
    <cellStyle name="Comma 2 8 7 2 2 3" xfId="17261" xr:uid="{00000000-0005-0000-0000-00006A430000}"/>
    <cellStyle name="Comma 2 8 7 2 2 4" xfId="17262" xr:uid="{00000000-0005-0000-0000-00006B430000}"/>
    <cellStyle name="Comma 2 8 7 2 2 5" xfId="17263" xr:uid="{00000000-0005-0000-0000-00006C430000}"/>
    <cellStyle name="Comma 2 8 7 2 2 6" xfId="17264" xr:uid="{00000000-0005-0000-0000-00006D430000}"/>
    <cellStyle name="Comma 2 8 7 2 3" xfId="17265" xr:uid="{00000000-0005-0000-0000-00006E430000}"/>
    <cellStyle name="Comma 2 8 7 2 3 2" xfId="17266" xr:uid="{00000000-0005-0000-0000-00006F430000}"/>
    <cellStyle name="Comma 2 8 7 2 3 2 2" xfId="17267" xr:uid="{00000000-0005-0000-0000-000070430000}"/>
    <cellStyle name="Comma 2 8 7 2 3 3" xfId="17268" xr:uid="{00000000-0005-0000-0000-000071430000}"/>
    <cellStyle name="Comma 2 8 7 2 3 4" xfId="17269" xr:uid="{00000000-0005-0000-0000-000072430000}"/>
    <cellStyle name="Comma 2 8 7 2 3 5" xfId="17270" xr:uid="{00000000-0005-0000-0000-000073430000}"/>
    <cellStyle name="Comma 2 8 7 2 4" xfId="17271" xr:uid="{00000000-0005-0000-0000-000074430000}"/>
    <cellStyle name="Comma 2 8 7 2 4 2" xfId="17272" xr:uid="{00000000-0005-0000-0000-000075430000}"/>
    <cellStyle name="Comma 2 8 7 2 4 3" xfId="17273" xr:uid="{00000000-0005-0000-0000-000076430000}"/>
    <cellStyle name="Comma 2 8 7 2 4 4" xfId="17274" xr:uid="{00000000-0005-0000-0000-000077430000}"/>
    <cellStyle name="Comma 2 8 7 2 5" xfId="17275" xr:uid="{00000000-0005-0000-0000-000078430000}"/>
    <cellStyle name="Comma 2 8 7 2 5 2" xfId="17276" xr:uid="{00000000-0005-0000-0000-000079430000}"/>
    <cellStyle name="Comma 2 8 7 2 6" xfId="17277" xr:uid="{00000000-0005-0000-0000-00007A430000}"/>
    <cellStyle name="Comma 2 8 7 2 7" xfId="17278" xr:uid="{00000000-0005-0000-0000-00007B430000}"/>
    <cellStyle name="Comma 2 8 7 2 8" xfId="17279" xr:uid="{00000000-0005-0000-0000-00007C430000}"/>
    <cellStyle name="Comma 2 8 7 2 9" xfId="17280" xr:uid="{00000000-0005-0000-0000-00007D430000}"/>
    <cellStyle name="Comma 2 8 7 3" xfId="17281" xr:uid="{00000000-0005-0000-0000-00007E430000}"/>
    <cellStyle name="Comma 2 8 7 3 2" xfId="17282" xr:uid="{00000000-0005-0000-0000-00007F430000}"/>
    <cellStyle name="Comma 2 8 7 3 2 2" xfId="17283" xr:uid="{00000000-0005-0000-0000-000080430000}"/>
    <cellStyle name="Comma 2 8 7 3 2 2 2" xfId="17284" xr:uid="{00000000-0005-0000-0000-000081430000}"/>
    <cellStyle name="Comma 2 8 7 3 2 2 3" xfId="17285" xr:uid="{00000000-0005-0000-0000-000082430000}"/>
    <cellStyle name="Comma 2 8 7 3 2 3" xfId="17286" xr:uid="{00000000-0005-0000-0000-000083430000}"/>
    <cellStyle name="Comma 2 8 7 3 2 4" xfId="17287" xr:uid="{00000000-0005-0000-0000-000084430000}"/>
    <cellStyle name="Comma 2 8 7 3 2 5" xfId="17288" xr:uid="{00000000-0005-0000-0000-000085430000}"/>
    <cellStyle name="Comma 2 8 7 3 2 6" xfId="17289" xr:uid="{00000000-0005-0000-0000-000086430000}"/>
    <cellStyle name="Comma 2 8 7 3 3" xfId="17290" xr:uid="{00000000-0005-0000-0000-000087430000}"/>
    <cellStyle name="Comma 2 8 7 3 3 2" xfId="17291" xr:uid="{00000000-0005-0000-0000-000088430000}"/>
    <cellStyle name="Comma 2 8 7 3 3 2 2" xfId="17292" xr:uid="{00000000-0005-0000-0000-000089430000}"/>
    <cellStyle name="Comma 2 8 7 3 3 3" xfId="17293" xr:uid="{00000000-0005-0000-0000-00008A430000}"/>
    <cellStyle name="Comma 2 8 7 3 3 4" xfId="17294" xr:uid="{00000000-0005-0000-0000-00008B430000}"/>
    <cellStyle name="Comma 2 8 7 3 3 5" xfId="17295" xr:uid="{00000000-0005-0000-0000-00008C430000}"/>
    <cellStyle name="Comma 2 8 7 3 4" xfId="17296" xr:uid="{00000000-0005-0000-0000-00008D430000}"/>
    <cellStyle name="Comma 2 8 7 3 4 2" xfId="17297" xr:uid="{00000000-0005-0000-0000-00008E430000}"/>
    <cellStyle name="Comma 2 8 7 3 4 3" xfId="17298" xr:uid="{00000000-0005-0000-0000-00008F430000}"/>
    <cellStyle name="Comma 2 8 7 3 4 4" xfId="17299" xr:uid="{00000000-0005-0000-0000-000090430000}"/>
    <cellStyle name="Comma 2 8 7 3 5" xfId="17300" xr:uid="{00000000-0005-0000-0000-000091430000}"/>
    <cellStyle name="Comma 2 8 7 3 5 2" xfId="17301" xr:uid="{00000000-0005-0000-0000-000092430000}"/>
    <cellStyle name="Comma 2 8 7 3 6" xfId="17302" xr:uid="{00000000-0005-0000-0000-000093430000}"/>
    <cellStyle name="Comma 2 8 7 3 7" xfId="17303" xr:uid="{00000000-0005-0000-0000-000094430000}"/>
    <cellStyle name="Comma 2 8 7 3 8" xfId="17304" xr:uid="{00000000-0005-0000-0000-000095430000}"/>
    <cellStyle name="Comma 2 8 7 3 9" xfId="17305" xr:uid="{00000000-0005-0000-0000-000096430000}"/>
    <cellStyle name="Comma 2 8 7 4" xfId="17306" xr:uid="{00000000-0005-0000-0000-000097430000}"/>
    <cellStyle name="Comma 2 8 7 4 2" xfId="17307" xr:uid="{00000000-0005-0000-0000-000098430000}"/>
    <cellStyle name="Comma 2 8 7 4 2 2" xfId="17308" xr:uid="{00000000-0005-0000-0000-000099430000}"/>
    <cellStyle name="Comma 2 8 7 4 2 3" xfId="17309" xr:uid="{00000000-0005-0000-0000-00009A430000}"/>
    <cellStyle name="Comma 2 8 7 4 3" xfId="17310" xr:uid="{00000000-0005-0000-0000-00009B430000}"/>
    <cellStyle name="Comma 2 8 7 4 4" xfId="17311" xr:uid="{00000000-0005-0000-0000-00009C430000}"/>
    <cellStyle name="Comma 2 8 7 4 5" xfId="17312" xr:uid="{00000000-0005-0000-0000-00009D430000}"/>
    <cellStyle name="Comma 2 8 7 4 6" xfId="17313" xr:uid="{00000000-0005-0000-0000-00009E430000}"/>
    <cellStyle name="Comma 2 8 7 5" xfId="17314" xr:uid="{00000000-0005-0000-0000-00009F430000}"/>
    <cellStyle name="Comma 2 8 7 5 2" xfId="17315" xr:uid="{00000000-0005-0000-0000-0000A0430000}"/>
    <cellStyle name="Comma 2 8 7 5 2 2" xfId="17316" xr:uid="{00000000-0005-0000-0000-0000A1430000}"/>
    <cellStyle name="Comma 2 8 7 5 3" xfId="17317" xr:uid="{00000000-0005-0000-0000-0000A2430000}"/>
    <cellStyle name="Comma 2 8 7 5 4" xfId="17318" xr:uid="{00000000-0005-0000-0000-0000A3430000}"/>
    <cellStyle name="Comma 2 8 7 5 5" xfId="17319" xr:uid="{00000000-0005-0000-0000-0000A4430000}"/>
    <cellStyle name="Comma 2 8 7 6" xfId="17320" xr:uid="{00000000-0005-0000-0000-0000A5430000}"/>
    <cellStyle name="Comma 2 8 7 6 2" xfId="17321" xr:uid="{00000000-0005-0000-0000-0000A6430000}"/>
    <cellStyle name="Comma 2 8 7 6 3" xfId="17322" xr:uid="{00000000-0005-0000-0000-0000A7430000}"/>
    <cellStyle name="Comma 2 8 7 6 4" xfId="17323" xr:uid="{00000000-0005-0000-0000-0000A8430000}"/>
    <cellStyle name="Comma 2 8 7 7" xfId="17324" xr:uid="{00000000-0005-0000-0000-0000A9430000}"/>
    <cellStyle name="Comma 2 8 7 7 2" xfId="17325" xr:uid="{00000000-0005-0000-0000-0000AA430000}"/>
    <cellStyle name="Comma 2 8 7 8" xfId="17326" xr:uid="{00000000-0005-0000-0000-0000AB430000}"/>
    <cellStyle name="Comma 2 8 7 9" xfId="17327" xr:uid="{00000000-0005-0000-0000-0000AC430000}"/>
    <cellStyle name="Comma 2 8 8" xfId="17328" xr:uid="{00000000-0005-0000-0000-0000AD430000}"/>
    <cellStyle name="Comma 2 8 8 10" xfId="17329" xr:uid="{00000000-0005-0000-0000-0000AE430000}"/>
    <cellStyle name="Comma 2 8 8 2" xfId="17330" xr:uid="{00000000-0005-0000-0000-0000AF430000}"/>
    <cellStyle name="Comma 2 8 8 2 2" xfId="17331" xr:uid="{00000000-0005-0000-0000-0000B0430000}"/>
    <cellStyle name="Comma 2 8 8 2 2 2" xfId="17332" xr:uid="{00000000-0005-0000-0000-0000B1430000}"/>
    <cellStyle name="Comma 2 8 8 2 2 3" xfId="17333" xr:uid="{00000000-0005-0000-0000-0000B2430000}"/>
    <cellStyle name="Comma 2 8 8 2 3" xfId="17334" xr:uid="{00000000-0005-0000-0000-0000B3430000}"/>
    <cellStyle name="Comma 2 8 8 2 4" xfId="17335" xr:uid="{00000000-0005-0000-0000-0000B4430000}"/>
    <cellStyle name="Comma 2 8 8 2 5" xfId="17336" xr:uid="{00000000-0005-0000-0000-0000B5430000}"/>
    <cellStyle name="Comma 2 8 8 2 6" xfId="17337" xr:uid="{00000000-0005-0000-0000-0000B6430000}"/>
    <cellStyle name="Comma 2 8 8 3" xfId="17338" xr:uid="{00000000-0005-0000-0000-0000B7430000}"/>
    <cellStyle name="Comma 2 8 8 3 2" xfId="17339" xr:uid="{00000000-0005-0000-0000-0000B8430000}"/>
    <cellStyle name="Comma 2 8 8 3 2 2" xfId="17340" xr:uid="{00000000-0005-0000-0000-0000B9430000}"/>
    <cellStyle name="Comma 2 8 8 3 2 3" xfId="17341" xr:uid="{00000000-0005-0000-0000-0000BA430000}"/>
    <cellStyle name="Comma 2 8 8 3 3" xfId="17342" xr:uid="{00000000-0005-0000-0000-0000BB430000}"/>
    <cellStyle name="Comma 2 8 8 3 4" xfId="17343" xr:uid="{00000000-0005-0000-0000-0000BC430000}"/>
    <cellStyle name="Comma 2 8 8 3 5" xfId="17344" xr:uid="{00000000-0005-0000-0000-0000BD430000}"/>
    <cellStyle name="Comma 2 8 8 3 6" xfId="17345" xr:uid="{00000000-0005-0000-0000-0000BE430000}"/>
    <cellStyle name="Comma 2 8 8 4" xfId="17346" xr:uid="{00000000-0005-0000-0000-0000BF430000}"/>
    <cellStyle name="Comma 2 8 8 4 2" xfId="17347" xr:uid="{00000000-0005-0000-0000-0000C0430000}"/>
    <cellStyle name="Comma 2 8 8 4 2 2" xfId="17348" xr:uid="{00000000-0005-0000-0000-0000C1430000}"/>
    <cellStyle name="Comma 2 8 8 4 3" xfId="17349" xr:uid="{00000000-0005-0000-0000-0000C2430000}"/>
    <cellStyle name="Comma 2 8 8 4 4" xfId="17350" xr:uid="{00000000-0005-0000-0000-0000C3430000}"/>
    <cellStyle name="Comma 2 8 8 4 5" xfId="17351" xr:uid="{00000000-0005-0000-0000-0000C4430000}"/>
    <cellStyle name="Comma 2 8 8 5" xfId="17352" xr:uid="{00000000-0005-0000-0000-0000C5430000}"/>
    <cellStyle name="Comma 2 8 8 5 2" xfId="17353" xr:uid="{00000000-0005-0000-0000-0000C6430000}"/>
    <cellStyle name="Comma 2 8 8 5 3" xfId="17354" xr:uid="{00000000-0005-0000-0000-0000C7430000}"/>
    <cellStyle name="Comma 2 8 8 5 4" xfId="17355" xr:uid="{00000000-0005-0000-0000-0000C8430000}"/>
    <cellStyle name="Comma 2 8 8 6" xfId="17356" xr:uid="{00000000-0005-0000-0000-0000C9430000}"/>
    <cellStyle name="Comma 2 8 8 6 2" xfId="17357" xr:uid="{00000000-0005-0000-0000-0000CA430000}"/>
    <cellStyle name="Comma 2 8 8 7" xfId="17358" xr:uid="{00000000-0005-0000-0000-0000CB430000}"/>
    <cellStyle name="Comma 2 8 8 8" xfId="17359" xr:uid="{00000000-0005-0000-0000-0000CC430000}"/>
    <cellStyle name="Comma 2 8 8 9" xfId="17360" xr:uid="{00000000-0005-0000-0000-0000CD430000}"/>
    <cellStyle name="Comma 2 8 9" xfId="17361" xr:uid="{00000000-0005-0000-0000-0000CE430000}"/>
    <cellStyle name="Comma 2 8 9 10" xfId="17362" xr:uid="{00000000-0005-0000-0000-0000CF430000}"/>
    <cellStyle name="Comma 2 8 9 2" xfId="17363" xr:uid="{00000000-0005-0000-0000-0000D0430000}"/>
    <cellStyle name="Comma 2 8 9 2 2" xfId="17364" xr:uid="{00000000-0005-0000-0000-0000D1430000}"/>
    <cellStyle name="Comma 2 8 9 2 2 2" xfId="17365" xr:uid="{00000000-0005-0000-0000-0000D2430000}"/>
    <cellStyle name="Comma 2 8 9 2 2 3" xfId="17366" xr:uid="{00000000-0005-0000-0000-0000D3430000}"/>
    <cellStyle name="Comma 2 8 9 2 3" xfId="17367" xr:uid="{00000000-0005-0000-0000-0000D4430000}"/>
    <cellStyle name="Comma 2 8 9 2 4" xfId="17368" xr:uid="{00000000-0005-0000-0000-0000D5430000}"/>
    <cellStyle name="Comma 2 8 9 2 5" xfId="17369" xr:uid="{00000000-0005-0000-0000-0000D6430000}"/>
    <cellStyle name="Comma 2 8 9 2 6" xfId="17370" xr:uid="{00000000-0005-0000-0000-0000D7430000}"/>
    <cellStyle name="Comma 2 8 9 3" xfId="17371" xr:uid="{00000000-0005-0000-0000-0000D8430000}"/>
    <cellStyle name="Comma 2 8 9 3 2" xfId="17372" xr:uid="{00000000-0005-0000-0000-0000D9430000}"/>
    <cellStyle name="Comma 2 8 9 3 2 2" xfId="17373" xr:uid="{00000000-0005-0000-0000-0000DA430000}"/>
    <cellStyle name="Comma 2 8 9 3 2 3" xfId="17374" xr:uid="{00000000-0005-0000-0000-0000DB430000}"/>
    <cellStyle name="Comma 2 8 9 3 3" xfId="17375" xr:uid="{00000000-0005-0000-0000-0000DC430000}"/>
    <cellStyle name="Comma 2 8 9 3 4" xfId="17376" xr:uid="{00000000-0005-0000-0000-0000DD430000}"/>
    <cellStyle name="Comma 2 8 9 3 5" xfId="17377" xr:uid="{00000000-0005-0000-0000-0000DE430000}"/>
    <cellStyle name="Comma 2 8 9 3 6" xfId="17378" xr:uid="{00000000-0005-0000-0000-0000DF430000}"/>
    <cellStyle name="Comma 2 8 9 4" xfId="17379" xr:uid="{00000000-0005-0000-0000-0000E0430000}"/>
    <cellStyle name="Comma 2 8 9 4 2" xfId="17380" xr:uid="{00000000-0005-0000-0000-0000E1430000}"/>
    <cellStyle name="Comma 2 8 9 4 2 2" xfId="17381" xr:uid="{00000000-0005-0000-0000-0000E2430000}"/>
    <cellStyle name="Comma 2 8 9 4 3" xfId="17382" xr:uid="{00000000-0005-0000-0000-0000E3430000}"/>
    <cellStyle name="Comma 2 8 9 4 4" xfId="17383" xr:uid="{00000000-0005-0000-0000-0000E4430000}"/>
    <cellStyle name="Comma 2 8 9 4 5" xfId="17384" xr:uid="{00000000-0005-0000-0000-0000E5430000}"/>
    <cellStyle name="Comma 2 8 9 5" xfId="17385" xr:uid="{00000000-0005-0000-0000-0000E6430000}"/>
    <cellStyle name="Comma 2 8 9 5 2" xfId="17386" xr:uid="{00000000-0005-0000-0000-0000E7430000}"/>
    <cellStyle name="Comma 2 8 9 5 3" xfId="17387" xr:uid="{00000000-0005-0000-0000-0000E8430000}"/>
    <cellStyle name="Comma 2 8 9 5 4" xfId="17388" xr:uid="{00000000-0005-0000-0000-0000E9430000}"/>
    <cellStyle name="Comma 2 8 9 6" xfId="17389" xr:uid="{00000000-0005-0000-0000-0000EA430000}"/>
    <cellStyle name="Comma 2 8 9 6 2" xfId="17390" xr:uid="{00000000-0005-0000-0000-0000EB430000}"/>
    <cellStyle name="Comma 2 8 9 7" xfId="17391" xr:uid="{00000000-0005-0000-0000-0000EC430000}"/>
    <cellStyle name="Comma 2 8 9 8" xfId="17392" xr:uid="{00000000-0005-0000-0000-0000ED430000}"/>
    <cellStyle name="Comma 2 8 9 9" xfId="17393" xr:uid="{00000000-0005-0000-0000-0000EE430000}"/>
    <cellStyle name="Comma 2 9" xfId="17394" xr:uid="{00000000-0005-0000-0000-0000EF430000}"/>
    <cellStyle name="Comma 2 9 10" xfId="17395" xr:uid="{00000000-0005-0000-0000-0000F0430000}"/>
    <cellStyle name="Comma 2 9 10 10" xfId="17396" xr:uid="{00000000-0005-0000-0000-0000F1430000}"/>
    <cellStyle name="Comma 2 9 10 2" xfId="17397" xr:uid="{00000000-0005-0000-0000-0000F2430000}"/>
    <cellStyle name="Comma 2 9 10 2 2" xfId="17398" xr:uid="{00000000-0005-0000-0000-0000F3430000}"/>
    <cellStyle name="Comma 2 9 10 2 2 2" xfId="17399" xr:uid="{00000000-0005-0000-0000-0000F4430000}"/>
    <cellStyle name="Comma 2 9 10 2 2 3" xfId="17400" xr:uid="{00000000-0005-0000-0000-0000F5430000}"/>
    <cellStyle name="Comma 2 9 10 2 3" xfId="17401" xr:uid="{00000000-0005-0000-0000-0000F6430000}"/>
    <cellStyle name="Comma 2 9 10 2 4" xfId="17402" xr:uid="{00000000-0005-0000-0000-0000F7430000}"/>
    <cellStyle name="Comma 2 9 10 2 5" xfId="17403" xr:uid="{00000000-0005-0000-0000-0000F8430000}"/>
    <cellStyle name="Comma 2 9 10 2 6" xfId="17404" xr:uid="{00000000-0005-0000-0000-0000F9430000}"/>
    <cellStyle name="Comma 2 9 10 3" xfId="17405" xr:uid="{00000000-0005-0000-0000-0000FA430000}"/>
    <cellStyle name="Comma 2 9 10 3 2" xfId="17406" xr:uid="{00000000-0005-0000-0000-0000FB430000}"/>
    <cellStyle name="Comma 2 9 10 3 2 2" xfId="17407" xr:uid="{00000000-0005-0000-0000-0000FC430000}"/>
    <cellStyle name="Comma 2 9 10 3 2 3" xfId="17408" xr:uid="{00000000-0005-0000-0000-0000FD430000}"/>
    <cellStyle name="Comma 2 9 10 3 3" xfId="17409" xr:uid="{00000000-0005-0000-0000-0000FE430000}"/>
    <cellStyle name="Comma 2 9 10 3 4" xfId="17410" xr:uid="{00000000-0005-0000-0000-0000FF430000}"/>
    <cellStyle name="Comma 2 9 10 3 5" xfId="17411" xr:uid="{00000000-0005-0000-0000-000000440000}"/>
    <cellStyle name="Comma 2 9 10 3 6" xfId="17412" xr:uid="{00000000-0005-0000-0000-000001440000}"/>
    <cellStyle name="Comma 2 9 10 4" xfId="17413" xr:uid="{00000000-0005-0000-0000-000002440000}"/>
    <cellStyle name="Comma 2 9 10 4 2" xfId="17414" xr:uid="{00000000-0005-0000-0000-000003440000}"/>
    <cellStyle name="Comma 2 9 10 4 2 2" xfId="17415" xr:uid="{00000000-0005-0000-0000-000004440000}"/>
    <cellStyle name="Comma 2 9 10 4 3" xfId="17416" xr:uid="{00000000-0005-0000-0000-000005440000}"/>
    <cellStyle name="Comma 2 9 10 4 4" xfId="17417" xr:uid="{00000000-0005-0000-0000-000006440000}"/>
    <cellStyle name="Comma 2 9 10 4 5" xfId="17418" xr:uid="{00000000-0005-0000-0000-000007440000}"/>
    <cellStyle name="Comma 2 9 10 5" xfId="17419" xr:uid="{00000000-0005-0000-0000-000008440000}"/>
    <cellStyle name="Comma 2 9 10 5 2" xfId="17420" xr:uid="{00000000-0005-0000-0000-000009440000}"/>
    <cellStyle name="Comma 2 9 10 5 3" xfId="17421" xr:uid="{00000000-0005-0000-0000-00000A440000}"/>
    <cellStyle name="Comma 2 9 10 5 4" xfId="17422" xr:uid="{00000000-0005-0000-0000-00000B440000}"/>
    <cellStyle name="Comma 2 9 10 6" xfId="17423" xr:uid="{00000000-0005-0000-0000-00000C440000}"/>
    <cellStyle name="Comma 2 9 10 6 2" xfId="17424" xr:uid="{00000000-0005-0000-0000-00000D440000}"/>
    <cellStyle name="Comma 2 9 10 7" xfId="17425" xr:uid="{00000000-0005-0000-0000-00000E440000}"/>
    <cellStyle name="Comma 2 9 10 8" xfId="17426" xr:uid="{00000000-0005-0000-0000-00000F440000}"/>
    <cellStyle name="Comma 2 9 10 9" xfId="17427" xr:uid="{00000000-0005-0000-0000-000010440000}"/>
    <cellStyle name="Comma 2 9 11" xfId="17428" xr:uid="{00000000-0005-0000-0000-000011440000}"/>
    <cellStyle name="Comma 2 9 11 10" xfId="17429" xr:uid="{00000000-0005-0000-0000-000012440000}"/>
    <cellStyle name="Comma 2 9 11 2" xfId="17430" xr:uid="{00000000-0005-0000-0000-000013440000}"/>
    <cellStyle name="Comma 2 9 11 2 2" xfId="17431" xr:uid="{00000000-0005-0000-0000-000014440000}"/>
    <cellStyle name="Comma 2 9 11 2 2 2" xfId="17432" xr:uid="{00000000-0005-0000-0000-000015440000}"/>
    <cellStyle name="Comma 2 9 11 2 2 3" xfId="17433" xr:uid="{00000000-0005-0000-0000-000016440000}"/>
    <cellStyle name="Comma 2 9 11 2 3" xfId="17434" xr:uid="{00000000-0005-0000-0000-000017440000}"/>
    <cellStyle name="Comma 2 9 11 2 4" xfId="17435" xr:uid="{00000000-0005-0000-0000-000018440000}"/>
    <cellStyle name="Comma 2 9 11 2 5" xfId="17436" xr:uid="{00000000-0005-0000-0000-000019440000}"/>
    <cellStyle name="Comma 2 9 11 2 6" xfId="17437" xr:uid="{00000000-0005-0000-0000-00001A440000}"/>
    <cellStyle name="Comma 2 9 11 3" xfId="17438" xr:uid="{00000000-0005-0000-0000-00001B440000}"/>
    <cellStyle name="Comma 2 9 11 3 2" xfId="17439" xr:uid="{00000000-0005-0000-0000-00001C440000}"/>
    <cellStyle name="Comma 2 9 11 3 2 2" xfId="17440" xr:uid="{00000000-0005-0000-0000-00001D440000}"/>
    <cellStyle name="Comma 2 9 11 3 2 3" xfId="17441" xr:uid="{00000000-0005-0000-0000-00001E440000}"/>
    <cellStyle name="Comma 2 9 11 3 3" xfId="17442" xr:uid="{00000000-0005-0000-0000-00001F440000}"/>
    <cellStyle name="Comma 2 9 11 3 4" xfId="17443" xr:uid="{00000000-0005-0000-0000-000020440000}"/>
    <cellStyle name="Comma 2 9 11 3 5" xfId="17444" xr:uid="{00000000-0005-0000-0000-000021440000}"/>
    <cellStyle name="Comma 2 9 11 3 6" xfId="17445" xr:uid="{00000000-0005-0000-0000-000022440000}"/>
    <cellStyle name="Comma 2 9 11 4" xfId="17446" xr:uid="{00000000-0005-0000-0000-000023440000}"/>
    <cellStyle name="Comma 2 9 11 4 2" xfId="17447" xr:uid="{00000000-0005-0000-0000-000024440000}"/>
    <cellStyle name="Comma 2 9 11 4 2 2" xfId="17448" xr:uid="{00000000-0005-0000-0000-000025440000}"/>
    <cellStyle name="Comma 2 9 11 4 3" xfId="17449" xr:uid="{00000000-0005-0000-0000-000026440000}"/>
    <cellStyle name="Comma 2 9 11 4 4" xfId="17450" xr:uid="{00000000-0005-0000-0000-000027440000}"/>
    <cellStyle name="Comma 2 9 11 4 5" xfId="17451" xr:uid="{00000000-0005-0000-0000-000028440000}"/>
    <cellStyle name="Comma 2 9 11 5" xfId="17452" xr:uid="{00000000-0005-0000-0000-000029440000}"/>
    <cellStyle name="Comma 2 9 11 5 2" xfId="17453" xr:uid="{00000000-0005-0000-0000-00002A440000}"/>
    <cellStyle name="Comma 2 9 11 5 3" xfId="17454" xr:uid="{00000000-0005-0000-0000-00002B440000}"/>
    <cellStyle name="Comma 2 9 11 5 4" xfId="17455" xr:uid="{00000000-0005-0000-0000-00002C440000}"/>
    <cellStyle name="Comma 2 9 11 6" xfId="17456" xr:uid="{00000000-0005-0000-0000-00002D440000}"/>
    <cellStyle name="Comma 2 9 11 6 2" xfId="17457" xr:uid="{00000000-0005-0000-0000-00002E440000}"/>
    <cellStyle name="Comma 2 9 11 7" xfId="17458" xr:uid="{00000000-0005-0000-0000-00002F440000}"/>
    <cellStyle name="Comma 2 9 11 8" xfId="17459" xr:uid="{00000000-0005-0000-0000-000030440000}"/>
    <cellStyle name="Comma 2 9 11 9" xfId="17460" xr:uid="{00000000-0005-0000-0000-000031440000}"/>
    <cellStyle name="Comma 2 9 12" xfId="17461" xr:uid="{00000000-0005-0000-0000-000032440000}"/>
    <cellStyle name="Comma 2 9 12 10" xfId="17462" xr:uid="{00000000-0005-0000-0000-000033440000}"/>
    <cellStyle name="Comma 2 9 12 2" xfId="17463" xr:uid="{00000000-0005-0000-0000-000034440000}"/>
    <cellStyle name="Comma 2 9 12 2 2" xfId="17464" xr:uid="{00000000-0005-0000-0000-000035440000}"/>
    <cellStyle name="Comma 2 9 12 2 2 2" xfId="17465" xr:uid="{00000000-0005-0000-0000-000036440000}"/>
    <cellStyle name="Comma 2 9 12 2 2 3" xfId="17466" xr:uid="{00000000-0005-0000-0000-000037440000}"/>
    <cellStyle name="Comma 2 9 12 2 3" xfId="17467" xr:uid="{00000000-0005-0000-0000-000038440000}"/>
    <cellStyle name="Comma 2 9 12 2 4" xfId="17468" xr:uid="{00000000-0005-0000-0000-000039440000}"/>
    <cellStyle name="Comma 2 9 12 2 5" xfId="17469" xr:uid="{00000000-0005-0000-0000-00003A440000}"/>
    <cellStyle name="Comma 2 9 12 2 6" xfId="17470" xr:uid="{00000000-0005-0000-0000-00003B440000}"/>
    <cellStyle name="Comma 2 9 12 3" xfId="17471" xr:uid="{00000000-0005-0000-0000-00003C440000}"/>
    <cellStyle name="Comma 2 9 12 3 2" xfId="17472" xr:uid="{00000000-0005-0000-0000-00003D440000}"/>
    <cellStyle name="Comma 2 9 12 3 2 2" xfId="17473" xr:uid="{00000000-0005-0000-0000-00003E440000}"/>
    <cellStyle name="Comma 2 9 12 3 2 3" xfId="17474" xr:uid="{00000000-0005-0000-0000-00003F440000}"/>
    <cellStyle name="Comma 2 9 12 3 3" xfId="17475" xr:uid="{00000000-0005-0000-0000-000040440000}"/>
    <cellStyle name="Comma 2 9 12 3 4" xfId="17476" xr:uid="{00000000-0005-0000-0000-000041440000}"/>
    <cellStyle name="Comma 2 9 12 3 5" xfId="17477" xr:uid="{00000000-0005-0000-0000-000042440000}"/>
    <cellStyle name="Comma 2 9 12 3 6" xfId="17478" xr:uid="{00000000-0005-0000-0000-000043440000}"/>
    <cellStyle name="Comma 2 9 12 4" xfId="17479" xr:uid="{00000000-0005-0000-0000-000044440000}"/>
    <cellStyle name="Comma 2 9 12 4 2" xfId="17480" xr:uid="{00000000-0005-0000-0000-000045440000}"/>
    <cellStyle name="Comma 2 9 12 4 2 2" xfId="17481" xr:uid="{00000000-0005-0000-0000-000046440000}"/>
    <cellStyle name="Comma 2 9 12 4 3" xfId="17482" xr:uid="{00000000-0005-0000-0000-000047440000}"/>
    <cellStyle name="Comma 2 9 12 4 4" xfId="17483" xr:uid="{00000000-0005-0000-0000-000048440000}"/>
    <cellStyle name="Comma 2 9 12 4 5" xfId="17484" xr:uid="{00000000-0005-0000-0000-000049440000}"/>
    <cellStyle name="Comma 2 9 12 5" xfId="17485" xr:uid="{00000000-0005-0000-0000-00004A440000}"/>
    <cellStyle name="Comma 2 9 12 5 2" xfId="17486" xr:uid="{00000000-0005-0000-0000-00004B440000}"/>
    <cellStyle name="Comma 2 9 12 5 3" xfId="17487" xr:uid="{00000000-0005-0000-0000-00004C440000}"/>
    <cellStyle name="Comma 2 9 12 5 4" xfId="17488" xr:uid="{00000000-0005-0000-0000-00004D440000}"/>
    <cellStyle name="Comma 2 9 12 6" xfId="17489" xr:uid="{00000000-0005-0000-0000-00004E440000}"/>
    <cellStyle name="Comma 2 9 12 6 2" xfId="17490" xr:uid="{00000000-0005-0000-0000-00004F440000}"/>
    <cellStyle name="Comma 2 9 12 7" xfId="17491" xr:uid="{00000000-0005-0000-0000-000050440000}"/>
    <cellStyle name="Comma 2 9 12 8" xfId="17492" xr:uid="{00000000-0005-0000-0000-000051440000}"/>
    <cellStyle name="Comma 2 9 12 9" xfId="17493" xr:uid="{00000000-0005-0000-0000-000052440000}"/>
    <cellStyle name="Comma 2 9 13" xfId="17494" xr:uid="{00000000-0005-0000-0000-000053440000}"/>
    <cellStyle name="Comma 2 9 13 2" xfId="17495" xr:uid="{00000000-0005-0000-0000-000054440000}"/>
    <cellStyle name="Comma 2 9 13 2 2" xfId="17496" xr:uid="{00000000-0005-0000-0000-000055440000}"/>
    <cellStyle name="Comma 2 9 13 2 2 2" xfId="17497" xr:uid="{00000000-0005-0000-0000-000056440000}"/>
    <cellStyle name="Comma 2 9 13 2 2 3" xfId="17498" xr:uid="{00000000-0005-0000-0000-000057440000}"/>
    <cellStyle name="Comma 2 9 13 2 3" xfId="17499" xr:uid="{00000000-0005-0000-0000-000058440000}"/>
    <cellStyle name="Comma 2 9 13 2 4" xfId="17500" xr:uid="{00000000-0005-0000-0000-000059440000}"/>
    <cellStyle name="Comma 2 9 13 2 5" xfId="17501" xr:uid="{00000000-0005-0000-0000-00005A440000}"/>
    <cellStyle name="Comma 2 9 13 2 6" xfId="17502" xr:uid="{00000000-0005-0000-0000-00005B440000}"/>
    <cellStyle name="Comma 2 9 13 3" xfId="17503" xr:uid="{00000000-0005-0000-0000-00005C440000}"/>
    <cellStyle name="Comma 2 9 13 3 2" xfId="17504" xr:uid="{00000000-0005-0000-0000-00005D440000}"/>
    <cellStyle name="Comma 2 9 13 3 2 2" xfId="17505" xr:uid="{00000000-0005-0000-0000-00005E440000}"/>
    <cellStyle name="Comma 2 9 13 3 3" xfId="17506" xr:uid="{00000000-0005-0000-0000-00005F440000}"/>
    <cellStyle name="Comma 2 9 13 3 4" xfId="17507" xr:uid="{00000000-0005-0000-0000-000060440000}"/>
    <cellStyle name="Comma 2 9 13 3 5" xfId="17508" xr:uid="{00000000-0005-0000-0000-000061440000}"/>
    <cellStyle name="Comma 2 9 13 4" xfId="17509" xr:uid="{00000000-0005-0000-0000-000062440000}"/>
    <cellStyle name="Comma 2 9 13 4 2" xfId="17510" xr:uid="{00000000-0005-0000-0000-000063440000}"/>
    <cellStyle name="Comma 2 9 13 4 3" xfId="17511" xr:uid="{00000000-0005-0000-0000-000064440000}"/>
    <cellStyle name="Comma 2 9 13 4 4" xfId="17512" xr:uid="{00000000-0005-0000-0000-000065440000}"/>
    <cellStyle name="Comma 2 9 13 5" xfId="17513" xr:uid="{00000000-0005-0000-0000-000066440000}"/>
    <cellStyle name="Comma 2 9 13 5 2" xfId="17514" xr:uid="{00000000-0005-0000-0000-000067440000}"/>
    <cellStyle name="Comma 2 9 13 6" xfId="17515" xr:uid="{00000000-0005-0000-0000-000068440000}"/>
    <cellStyle name="Comma 2 9 13 7" xfId="17516" xr:uid="{00000000-0005-0000-0000-000069440000}"/>
    <cellStyle name="Comma 2 9 13 8" xfId="17517" xr:uid="{00000000-0005-0000-0000-00006A440000}"/>
    <cellStyle name="Comma 2 9 13 9" xfId="17518" xr:uid="{00000000-0005-0000-0000-00006B440000}"/>
    <cellStyle name="Comma 2 9 14" xfId="17519" xr:uid="{00000000-0005-0000-0000-00006C440000}"/>
    <cellStyle name="Comma 2 9 14 2" xfId="17520" xr:uid="{00000000-0005-0000-0000-00006D440000}"/>
    <cellStyle name="Comma 2 9 14 2 2" xfId="17521" xr:uid="{00000000-0005-0000-0000-00006E440000}"/>
    <cellStyle name="Comma 2 9 14 2 2 2" xfId="17522" xr:uid="{00000000-0005-0000-0000-00006F440000}"/>
    <cellStyle name="Comma 2 9 14 2 2 3" xfId="17523" xr:uid="{00000000-0005-0000-0000-000070440000}"/>
    <cellStyle name="Comma 2 9 14 2 3" xfId="17524" xr:uid="{00000000-0005-0000-0000-000071440000}"/>
    <cellStyle name="Comma 2 9 14 2 4" xfId="17525" xr:uid="{00000000-0005-0000-0000-000072440000}"/>
    <cellStyle name="Comma 2 9 14 2 5" xfId="17526" xr:uid="{00000000-0005-0000-0000-000073440000}"/>
    <cellStyle name="Comma 2 9 14 2 6" xfId="17527" xr:uid="{00000000-0005-0000-0000-000074440000}"/>
    <cellStyle name="Comma 2 9 14 3" xfId="17528" xr:uid="{00000000-0005-0000-0000-000075440000}"/>
    <cellStyle name="Comma 2 9 14 3 2" xfId="17529" xr:uid="{00000000-0005-0000-0000-000076440000}"/>
    <cellStyle name="Comma 2 9 14 3 2 2" xfId="17530" xr:uid="{00000000-0005-0000-0000-000077440000}"/>
    <cellStyle name="Comma 2 9 14 3 3" xfId="17531" xr:uid="{00000000-0005-0000-0000-000078440000}"/>
    <cellStyle name="Comma 2 9 14 3 4" xfId="17532" xr:uid="{00000000-0005-0000-0000-000079440000}"/>
    <cellStyle name="Comma 2 9 14 3 5" xfId="17533" xr:uid="{00000000-0005-0000-0000-00007A440000}"/>
    <cellStyle name="Comma 2 9 14 4" xfId="17534" xr:uid="{00000000-0005-0000-0000-00007B440000}"/>
    <cellStyle name="Comma 2 9 14 4 2" xfId="17535" xr:uid="{00000000-0005-0000-0000-00007C440000}"/>
    <cellStyle name="Comma 2 9 14 4 3" xfId="17536" xr:uid="{00000000-0005-0000-0000-00007D440000}"/>
    <cellStyle name="Comma 2 9 14 4 4" xfId="17537" xr:uid="{00000000-0005-0000-0000-00007E440000}"/>
    <cellStyle name="Comma 2 9 14 5" xfId="17538" xr:uid="{00000000-0005-0000-0000-00007F440000}"/>
    <cellStyle name="Comma 2 9 14 5 2" xfId="17539" xr:uid="{00000000-0005-0000-0000-000080440000}"/>
    <cellStyle name="Comma 2 9 14 6" xfId="17540" xr:uid="{00000000-0005-0000-0000-000081440000}"/>
    <cellStyle name="Comma 2 9 14 7" xfId="17541" xr:uid="{00000000-0005-0000-0000-000082440000}"/>
    <cellStyle name="Comma 2 9 14 8" xfId="17542" xr:uid="{00000000-0005-0000-0000-000083440000}"/>
    <cellStyle name="Comma 2 9 14 9" xfId="17543" xr:uid="{00000000-0005-0000-0000-000084440000}"/>
    <cellStyle name="Comma 2 9 15" xfId="17544" xr:uid="{00000000-0005-0000-0000-000085440000}"/>
    <cellStyle name="Comma 2 9 15 2" xfId="17545" xr:uid="{00000000-0005-0000-0000-000086440000}"/>
    <cellStyle name="Comma 2 9 15 2 2" xfId="17546" xr:uid="{00000000-0005-0000-0000-000087440000}"/>
    <cellStyle name="Comma 2 9 15 2 3" xfId="17547" xr:uid="{00000000-0005-0000-0000-000088440000}"/>
    <cellStyle name="Comma 2 9 15 3" xfId="17548" xr:uid="{00000000-0005-0000-0000-000089440000}"/>
    <cellStyle name="Comma 2 9 15 4" xfId="17549" xr:uid="{00000000-0005-0000-0000-00008A440000}"/>
    <cellStyle name="Comma 2 9 15 5" xfId="17550" xr:uid="{00000000-0005-0000-0000-00008B440000}"/>
    <cellStyle name="Comma 2 9 15 6" xfId="17551" xr:uid="{00000000-0005-0000-0000-00008C440000}"/>
    <cellStyle name="Comma 2 9 16" xfId="17552" xr:uid="{00000000-0005-0000-0000-00008D440000}"/>
    <cellStyle name="Comma 2 9 16 2" xfId="17553" xr:uid="{00000000-0005-0000-0000-00008E440000}"/>
    <cellStyle name="Comma 2 9 16 2 2" xfId="17554" xr:uid="{00000000-0005-0000-0000-00008F440000}"/>
    <cellStyle name="Comma 2 9 16 3" xfId="17555" xr:uid="{00000000-0005-0000-0000-000090440000}"/>
    <cellStyle name="Comma 2 9 16 4" xfId="17556" xr:uid="{00000000-0005-0000-0000-000091440000}"/>
    <cellStyle name="Comma 2 9 16 5" xfId="17557" xr:uid="{00000000-0005-0000-0000-000092440000}"/>
    <cellStyle name="Comma 2 9 17" xfId="17558" xr:uid="{00000000-0005-0000-0000-000093440000}"/>
    <cellStyle name="Comma 2 9 17 2" xfId="17559" xr:uid="{00000000-0005-0000-0000-000094440000}"/>
    <cellStyle name="Comma 2 9 17 2 2" xfId="17560" xr:uid="{00000000-0005-0000-0000-000095440000}"/>
    <cellStyle name="Comma 2 9 17 3" xfId="17561" xr:uid="{00000000-0005-0000-0000-000096440000}"/>
    <cellStyle name="Comma 2 9 17 4" xfId="17562" xr:uid="{00000000-0005-0000-0000-000097440000}"/>
    <cellStyle name="Comma 2 9 17 5" xfId="17563" xr:uid="{00000000-0005-0000-0000-000098440000}"/>
    <cellStyle name="Comma 2 9 18" xfId="17564" xr:uid="{00000000-0005-0000-0000-000099440000}"/>
    <cellStyle name="Comma 2 9 18 2" xfId="17565" xr:uid="{00000000-0005-0000-0000-00009A440000}"/>
    <cellStyle name="Comma 2 9 19" xfId="17566" xr:uid="{00000000-0005-0000-0000-00009B440000}"/>
    <cellStyle name="Comma 2 9 2" xfId="17567" xr:uid="{00000000-0005-0000-0000-00009C440000}"/>
    <cellStyle name="Comma 2 9 2 10" xfId="17568" xr:uid="{00000000-0005-0000-0000-00009D440000}"/>
    <cellStyle name="Comma 2 9 2 11" xfId="17569" xr:uid="{00000000-0005-0000-0000-00009E440000}"/>
    <cellStyle name="Comma 2 9 2 2" xfId="17570" xr:uid="{00000000-0005-0000-0000-00009F440000}"/>
    <cellStyle name="Comma 2 9 2 2 2" xfId="17571" xr:uid="{00000000-0005-0000-0000-0000A0440000}"/>
    <cellStyle name="Comma 2 9 2 2 2 2" xfId="17572" xr:uid="{00000000-0005-0000-0000-0000A1440000}"/>
    <cellStyle name="Comma 2 9 2 2 2 2 2" xfId="17573" xr:uid="{00000000-0005-0000-0000-0000A2440000}"/>
    <cellStyle name="Comma 2 9 2 2 2 2 3" xfId="17574" xr:uid="{00000000-0005-0000-0000-0000A3440000}"/>
    <cellStyle name="Comma 2 9 2 2 2 3" xfId="17575" xr:uid="{00000000-0005-0000-0000-0000A4440000}"/>
    <cellStyle name="Comma 2 9 2 2 2 4" xfId="17576" xr:uid="{00000000-0005-0000-0000-0000A5440000}"/>
    <cellStyle name="Comma 2 9 2 2 2 5" xfId="17577" xr:uid="{00000000-0005-0000-0000-0000A6440000}"/>
    <cellStyle name="Comma 2 9 2 2 2 6" xfId="17578" xr:uid="{00000000-0005-0000-0000-0000A7440000}"/>
    <cellStyle name="Comma 2 9 2 2 3" xfId="17579" xr:uid="{00000000-0005-0000-0000-0000A8440000}"/>
    <cellStyle name="Comma 2 9 2 2 3 2" xfId="17580" xr:uid="{00000000-0005-0000-0000-0000A9440000}"/>
    <cellStyle name="Comma 2 9 2 2 3 2 2" xfId="17581" xr:uid="{00000000-0005-0000-0000-0000AA440000}"/>
    <cellStyle name="Comma 2 9 2 2 3 3" xfId="17582" xr:uid="{00000000-0005-0000-0000-0000AB440000}"/>
    <cellStyle name="Comma 2 9 2 2 3 4" xfId="17583" xr:uid="{00000000-0005-0000-0000-0000AC440000}"/>
    <cellStyle name="Comma 2 9 2 2 3 5" xfId="17584" xr:uid="{00000000-0005-0000-0000-0000AD440000}"/>
    <cellStyle name="Comma 2 9 2 2 4" xfId="17585" xr:uid="{00000000-0005-0000-0000-0000AE440000}"/>
    <cellStyle name="Comma 2 9 2 2 4 2" xfId="17586" xr:uid="{00000000-0005-0000-0000-0000AF440000}"/>
    <cellStyle name="Comma 2 9 2 2 4 3" xfId="17587" xr:uid="{00000000-0005-0000-0000-0000B0440000}"/>
    <cellStyle name="Comma 2 9 2 2 4 4" xfId="17588" xr:uid="{00000000-0005-0000-0000-0000B1440000}"/>
    <cellStyle name="Comma 2 9 2 2 5" xfId="17589" xr:uid="{00000000-0005-0000-0000-0000B2440000}"/>
    <cellStyle name="Comma 2 9 2 2 5 2" xfId="17590" xr:uid="{00000000-0005-0000-0000-0000B3440000}"/>
    <cellStyle name="Comma 2 9 2 2 6" xfId="17591" xr:uid="{00000000-0005-0000-0000-0000B4440000}"/>
    <cellStyle name="Comma 2 9 2 2 7" xfId="17592" xr:uid="{00000000-0005-0000-0000-0000B5440000}"/>
    <cellStyle name="Comma 2 9 2 2 8" xfId="17593" xr:uid="{00000000-0005-0000-0000-0000B6440000}"/>
    <cellStyle name="Comma 2 9 2 2 9" xfId="17594" xr:uid="{00000000-0005-0000-0000-0000B7440000}"/>
    <cellStyle name="Comma 2 9 2 3" xfId="17595" xr:uid="{00000000-0005-0000-0000-0000B8440000}"/>
    <cellStyle name="Comma 2 9 2 3 2" xfId="17596" xr:uid="{00000000-0005-0000-0000-0000B9440000}"/>
    <cellStyle name="Comma 2 9 2 3 2 2" xfId="17597" xr:uid="{00000000-0005-0000-0000-0000BA440000}"/>
    <cellStyle name="Comma 2 9 2 3 2 2 2" xfId="17598" xr:uid="{00000000-0005-0000-0000-0000BB440000}"/>
    <cellStyle name="Comma 2 9 2 3 2 2 3" xfId="17599" xr:uid="{00000000-0005-0000-0000-0000BC440000}"/>
    <cellStyle name="Comma 2 9 2 3 2 3" xfId="17600" xr:uid="{00000000-0005-0000-0000-0000BD440000}"/>
    <cellStyle name="Comma 2 9 2 3 2 4" xfId="17601" xr:uid="{00000000-0005-0000-0000-0000BE440000}"/>
    <cellStyle name="Comma 2 9 2 3 2 5" xfId="17602" xr:uid="{00000000-0005-0000-0000-0000BF440000}"/>
    <cellStyle name="Comma 2 9 2 3 2 6" xfId="17603" xr:uid="{00000000-0005-0000-0000-0000C0440000}"/>
    <cellStyle name="Comma 2 9 2 3 3" xfId="17604" xr:uid="{00000000-0005-0000-0000-0000C1440000}"/>
    <cellStyle name="Comma 2 9 2 3 3 2" xfId="17605" xr:uid="{00000000-0005-0000-0000-0000C2440000}"/>
    <cellStyle name="Comma 2 9 2 3 3 2 2" xfId="17606" xr:uid="{00000000-0005-0000-0000-0000C3440000}"/>
    <cellStyle name="Comma 2 9 2 3 3 3" xfId="17607" xr:uid="{00000000-0005-0000-0000-0000C4440000}"/>
    <cellStyle name="Comma 2 9 2 3 3 4" xfId="17608" xr:uid="{00000000-0005-0000-0000-0000C5440000}"/>
    <cellStyle name="Comma 2 9 2 3 3 5" xfId="17609" xr:uid="{00000000-0005-0000-0000-0000C6440000}"/>
    <cellStyle name="Comma 2 9 2 3 4" xfId="17610" xr:uid="{00000000-0005-0000-0000-0000C7440000}"/>
    <cellStyle name="Comma 2 9 2 3 4 2" xfId="17611" xr:uid="{00000000-0005-0000-0000-0000C8440000}"/>
    <cellStyle name="Comma 2 9 2 3 4 3" xfId="17612" xr:uid="{00000000-0005-0000-0000-0000C9440000}"/>
    <cellStyle name="Comma 2 9 2 3 4 4" xfId="17613" xr:uid="{00000000-0005-0000-0000-0000CA440000}"/>
    <cellStyle name="Comma 2 9 2 3 5" xfId="17614" xr:uid="{00000000-0005-0000-0000-0000CB440000}"/>
    <cellStyle name="Comma 2 9 2 3 5 2" xfId="17615" xr:uid="{00000000-0005-0000-0000-0000CC440000}"/>
    <cellStyle name="Comma 2 9 2 3 6" xfId="17616" xr:uid="{00000000-0005-0000-0000-0000CD440000}"/>
    <cellStyle name="Comma 2 9 2 3 7" xfId="17617" xr:uid="{00000000-0005-0000-0000-0000CE440000}"/>
    <cellStyle name="Comma 2 9 2 3 8" xfId="17618" xr:uid="{00000000-0005-0000-0000-0000CF440000}"/>
    <cellStyle name="Comma 2 9 2 3 9" xfId="17619" xr:uid="{00000000-0005-0000-0000-0000D0440000}"/>
    <cellStyle name="Comma 2 9 2 4" xfId="17620" xr:uid="{00000000-0005-0000-0000-0000D1440000}"/>
    <cellStyle name="Comma 2 9 2 4 2" xfId="17621" xr:uid="{00000000-0005-0000-0000-0000D2440000}"/>
    <cellStyle name="Comma 2 9 2 4 2 2" xfId="17622" xr:uid="{00000000-0005-0000-0000-0000D3440000}"/>
    <cellStyle name="Comma 2 9 2 4 2 3" xfId="17623" xr:uid="{00000000-0005-0000-0000-0000D4440000}"/>
    <cellStyle name="Comma 2 9 2 4 3" xfId="17624" xr:uid="{00000000-0005-0000-0000-0000D5440000}"/>
    <cellStyle name="Comma 2 9 2 4 4" xfId="17625" xr:uid="{00000000-0005-0000-0000-0000D6440000}"/>
    <cellStyle name="Comma 2 9 2 4 5" xfId="17626" xr:uid="{00000000-0005-0000-0000-0000D7440000}"/>
    <cellStyle name="Comma 2 9 2 4 6" xfId="17627" xr:uid="{00000000-0005-0000-0000-0000D8440000}"/>
    <cellStyle name="Comma 2 9 2 5" xfId="17628" xr:uid="{00000000-0005-0000-0000-0000D9440000}"/>
    <cellStyle name="Comma 2 9 2 5 2" xfId="17629" xr:uid="{00000000-0005-0000-0000-0000DA440000}"/>
    <cellStyle name="Comma 2 9 2 5 2 2" xfId="17630" xr:uid="{00000000-0005-0000-0000-0000DB440000}"/>
    <cellStyle name="Comma 2 9 2 5 3" xfId="17631" xr:uid="{00000000-0005-0000-0000-0000DC440000}"/>
    <cellStyle name="Comma 2 9 2 5 4" xfId="17632" xr:uid="{00000000-0005-0000-0000-0000DD440000}"/>
    <cellStyle name="Comma 2 9 2 5 5" xfId="17633" xr:uid="{00000000-0005-0000-0000-0000DE440000}"/>
    <cellStyle name="Comma 2 9 2 6" xfId="17634" xr:uid="{00000000-0005-0000-0000-0000DF440000}"/>
    <cellStyle name="Comma 2 9 2 6 2" xfId="17635" xr:uid="{00000000-0005-0000-0000-0000E0440000}"/>
    <cellStyle name="Comma 2 9 2 6 3" xfId="17636" xr:uid="{00000000-0005-0000-0000-0000E1440000}"/>
    <cellStyle name="Comma 2 9 2 6 4" xfId="17637" xr:uid="{00000000-0005-0000-0000-0000E2440000}"/>
    <cellStyle name="Comma 2 9 2 7" xfId="17638" xr:uid="{00000000-0005-0000-0000-0000E3440000}"/>
    <cellStyle name="Comma 2 9 2 7 2" xfId="17639" xr:uid="{00000000-0005-0000-0000-0000E4440000}"/>
    <cellStyle name="Comma 2 9 2 8" xfId="17640" xr:uid="{00000000-0005-0000-0000-0000E5440000}"/>
    <cellStyle name="Comma 2 9 2 9" xfId="17641" xr:uid="{00000000-0005-0000-0000-0000E6440000}"/>
    <cellStyle name="Comma 2 9 20" xfId="17642" xr:uid="{00000000-0005-0000-0000-0000E7440000}"/>
    <cellStyle name="Comma 2 9 21" xfId="17643" xr:uid="{00000000-0005-0000-0000-0000E8440000}"/>
    <cellStyle name="Comma 2 9 22" xfId="17644" xr:uid="{00000000-0005-0000-0000-0000E9440000}"/>
    <cellStyle name="Comma 2 9 3" xfId="17645" xr:uid="{00000000-0005-0000-0000-0000EA440000}"/>
    <cellStyle name="Comma 2 9 3 10" xfId="17646" xr:uid="{00000000-0005-0000-0000-0000EB440000}"/>
    <cellStyle name="Comma 2 9 3 11" xfId="17647" xr:uid="{00000000-0005-0000-0000-0000EC440000}"/>
    <cellStyle name="Comma 2 9 3 2" xfId="17648" xr:uid="{00000000-0005-0000-0000-0000ED440000}"/>
    <cellStyle name="Comma 2 9 3 2 2" xfId="17649" xr:uid="{00000000-0005-0000-0000-0000EE440000}"/>
    <cellStyle name="Comma 2 9 3 2 2 2" xfId="17650" xr:uid="{00000000-0005-0000-0000-0000EF440000}"/>
    <cellStyle name="Comma 2 9 3 2 2 2 2" xfId="17651" xr:uid="{00000000-0005-0000-0000-0000F0440000}"/>
    <cellStyle name="Comma 2 9 3 2 2 2 3" xfId="17652" xr:uid="{00000000-0005-0000-0000-0000F1440000}"/>
    <cellStyle name="Comma 2 9 3 2 2 3" xfId="17653" xr:uid="{00000000-0005-0000-0000-0000F2440000}"/>
    <cellStyle name="Comma 2 9 3 2 2 4" xfId="17654" xr:uid="{00000000-0005-0000-0000-0000F3440000}"/>
    <cellStyle name="Comma 2 9 3 2 2 5" xfId="17655" xr:uid="{00000000-0005-0000-0000-0000F4440000}"/>
    <cellStyle name="Comma 2 9 3 2 2 6" xfId="17656" xr:uid="{00000000-0005-0000-0000-0000F5440000}"/>
    <cellStyle name="Comma 2 9 3 2 3" xfId="17657" xr:uid="{00000000-0005-0000-0000-0000F6440000}"/>
    <cellStyle name="Comma 2 9 3 2 3 2" xfId="17658" xr:uid="{00000000-0005-0000-0000-0000F7440000}"/>
    <cellStyle name="Comma 2 9 3 2 3 2 2" xfId="17659" xr:uid="{00000000-0005-0000-0000-0000F8440000}"/>
    <cellStyle name="Comma 2 9 3 2 3 3" xfId="17660" xr:uid="{00000000-0005-0000-0000-0000F9440000}"/>
    <cellStyle name="Comma 2 9 3 2 3 4" xfId="17661" xr:uid="{00000000-0005-0000-0000-0000FA440000}"/>
    <cellStyle name="Comma 2 9 3 2 3 5" xfId="17662" xr:uid="{00000000-0005-0000-0000-0000FB440000}"/>
    <cellStyle name="Comma 2 9 3 2 4" xfId="17663" xr:uid="{00000000-0005-0000-0000-0000FC440000}"/>
    <cellStyle name="Comma 2 9 3 2 4 2" xfId="17664" xr:uid="{00000000-0005-0000-0000-0000FD440000}"/>
    <cellStyle name="Comma 2 9 3 2 4 3" xfId="17665" xr:uid="{00000000-0005-0000-0000-0000FE440000}"/>
    <cellStyle name="Comma 2 9 3 2 4 4" xfId="17666" xr:uid="{00000000-0005-0000-0000-0000FF440000}"/>
    <cellStyle name="Comma 2 9 3 2 5" xfId="17667" xr:uid="{00000000-0005-0000-0000-000000450000}"/>
    <cellStyle name="Comma 2 9 3 2 5 2" xfId="17668" xr:uid="{00000000-0005-0000-0000-000001450000}"/>
    <cellStyle name="Comma 2 9 3 2 6" xfId="17669" xr:uid="{00000000-0005-0000-0000-000002450000}"/>
    <cellStyle name="Comma 2 9 3 2 7" xfId="17670" xr:uid="{00000000-0005-0000-0000-000003450000}"/>
    <cellStyle name="Comma 2 9 3 2 8" xfId="17671" xr:uid="{00000000-0005-0000-0000-000004450000}"/>
    <cellStyle name="Comma 2 9 3 2 9" xfId="17672" xr:uid="{00000000-0005-0000-0000-000005450000}"/>
    <cellStyle name="Comma 2 9 3 3" xfId="17673" xr:uid="{00000000-0005-0000-0000-000006450000}"/>
    <cellStyle name="Comma 2 9 3 3 2" xfId="17674" xr:uid="{00000000-0005-0000-0000-000007450000}"/>
    <cellStyle name="Comma 2 9 3 3 2 2" xfId="17675" xr:uid="{00000000-0005-0000-0000-000008450000}"/>
    <cellStyle name="Comma 2 9 3 3 2 2 2" xfId="17676" xr:uid="{00000000-0005-0000-0000-000009450000}"/>
    <cellStyle name="Comma 2 9 3 3 2 2 3" xfId="17677" xr:uid="{00000000-0005-0000-0000-00000A450000}"/>
    <cellStyle name="Comma 2 9 3 3 2 3" xfId="17678" xr:uid="{00000000-0005-0000-0000-00000B450000}"/>
    <cellStyle name="Comma 2 9 3 3 2 4" xfId="17679" xr:uid="{00000000-0005-0000-0000-00000C450000}"/>
    <cellStyle name="Comma 2 9 3 3 2 5" xfId="17680" xr:uid="{00000000-0005-0000-0000-00000D450000}"/>
    <cellStyle name="Comma 2 9 3 3 2 6" xfId="17681" xr:uid="{00000000-0005-0000-0000-00000E450000}"/>
    <cellStyle name="Comma 2 9 3 3 3" xfId="17682" xr:uid="{00000000-0005-0000-0000-00000F450000}"/>
    <cellStyle name="Comma 2 9 3 3 3 2" xfId="17683" xr:uid="{00000000-0005-0000-0000-000010450000}"/>
    <cellStyle name="Comma 2 9 3 3 3 2 2" xfId="17684" xr:uid="{00000000-0005-0000-0000-000011450000}"/>
    <cellStyle name="Comma 2 9 3 3 3 3" xfId="17685" xr:uid="{00000000-0005-0000-0000-000012450000}"/>
    <cellStyle name="Comma 2 9 3 3 3 4" xfId="17686" xr:uid="{00000000-0005-0000-0000-000013450000}"/>
    <cellStyle name="Comma 2 9 3 3 3 5" xfId="17687" xr:uid="{00000000-0005-0000-0000-000014450000}"/>
    <cellStyle name="Comma 2 9 3 3 4" xfId="17688" xr:uid="{00000000-0005-0000-0000-000015450000}"/>
    <cellStyle name="Comma 2 9 3 3 4 2" xfId="17689" xr:uid="{00000000-0005-0000-0000-000016450000}"/>
    <cellStyle name="Comma 2 9 3 3 4 3" xfId="17690" xr:uid="{00000000-0005-0000-0000-000017450000}"/>
    <cellStyle name="Comma 2 9 3 3 4 4" xfId="17691" xr:uid="{00000000-0005-0000-0000-000018450000}"/>
    <cellStyle name="Comma 2 9 3 3 5" xfId="17692" xr:uid="{00000000-0005-0000-0000-000019450000}"/>
    <cellStyle name="Comma 2 9 3 3 5 2" xfId="17693" xr:uid="{00000000-0005-0000-0000-00001A450000}"/>
    <cellStyle name="Comma 2 9 3 3 6" xfId="17694" xr:uid="{00000000-0005-0000-0000-00001B450000}"/>
    <cellStyle name="Comma 2 9 3 3 7" xfId="17695" xr:uid="{00000000-0005-0000-0000-00001C450000}"/>
    <cellStyle name="Comma 2 9 3 3 8" xfId="17696" xr:uid="{00000000-0005-0000-0000-00001D450000}"/>
    <cellStyle name="Comma 2 9 3 3 9" xfId="17697" xr:uid="{00000000-0005-0000-0000-00001E450000}"/>
    <cellStyle name="Comma 2 9 3 4" xfId="17698" xr:uid="{00000000-0005-0000-0000-00001F450000}"/>
    <cellStyle name="Comma 2 9 3 4 2" xfId="17699" xr:uid="{00000000-0005-0000-0000-000020450000}"/>
    <cellStyle name="Comma 2 9 3 4 2 2" xfId="17700" xr:uid="{00000000-0005-0000-0000-000021450000}"/>
    <cellStyle name="Comma 2 9 3 4 2 3" xfId="17701" xr:uid="{00000000-0005-0000-0000-000022450000}"/>
    <cellStyle name="Comma 2 9 3 4 3" xfId="17702" xr:uid="{00000000-0005-0000-0000-000023450000}"/>
    <cellStyle name="Comma 2 9 3 4 4" xfId="17703" xr:uid="{00000000-0005-0000-0000-000024450000}"/>
    <cellStyle name="Comma 2 9 3 4 5" xfId="17704" xr:uid="{00000000-0005-0000-0000-000025450000}"/>
    <cellStyle name="Comma 2 9 3 4 6" xfId="17705" xr:uid="{00000000-0005-0000-0000-000026450000}"/>
    <cellStyle name="Comma 2 9 3 5" xfId="17706" xr:uid="{00000000-0005-0000-0000-000027450000}"/>
    <cellStyle name="Comma 2 9 3 5 2" xfId="17707" xr:uid="{00000000-0005-0000-0000-000028450000}"/>
    <cellStyle name="Comma 2 9 3 5 2 2" xfId="17708" xr:uid="{00000000-0005-0000-0000-000029450000}"/>
    <cellStyle name="Comma 2 9 3 5 3" xfId="17709" xr:uid="{00000000-0005-0000-0000-00002A450000}"/>
    <cellStyle name="Comma 2 9 3 5 4" xfId="17710" xr:uid="{00000000-0005-0000-0000-00002B450000}"/>
    <cellStyle name="Comma 2 9 3 5 5" xfId="17711" xr:uid="{00000000-0005-0000-0000-00002C450000}"/>
    <cellStyle name="Comma 2 9 3 6" xfId="17712" xr:uid="{00000000-0005-0000-0000-00002D450000}"/>
    <cellStyle name="Comma 2 9 3 6 2" xfId="17713" xr:uid="{00000000-0005-0000-0000-00002E450000}"/>
    <cellStyle name="Comma 2 9 3 6 3" xfId="17714" xr:uid="{00000000-0005-0000-0000-00002F450000}"/>
    <cellStyle name="Comma 2 9 3 6 4" xfId="17715" xr:uid="{00000000-0005-0000-0000-000030450000}"/>
    <cellStyle name="Comma 2 9 3 7" xfId="17716" xr:uid="{00000000-0005-0000-0000-000031450000}"/>
    <cellStyle name="Comma 2 9 3 7 2" xfId="17717" xr:uid="{00000000-0005-0000-0000-000032450000}"/>
    <cellStyle name="Comma 2 9 3 8" xfId="17718" xr:uid="{00000000-0005-0000-0000-000033450000}"/>
    <cellStyle name="Comma 2 9 3 9" xfId="17719" xr:uid="{00000000-0005-0000-0000-000034450000}"/>
    <cellStyle name="Comma 2 9 4" xfId="17720" xr:uid="{00000000-0005-0000-0000-000035450000}"/>
    <cellStyle name="Comma 2 9 4 10" xfId="17721" xr:uid="{00000000-0005-0000-0000-000036450000}"/>
    <cellStyle name="Comma 2 9 4 11" xfId="17722" xr:uid="{00000000-0005-0000-0000-000037450000}"/>
    <cellStyle name="Comma 2 9 4 2" xfId="17723" xr:uid="{00000000-0005-0000-0000-000038450000}"/>
    <cellStyle name="Comma 2 9 4 2 2" xfId="17724" xr:uid="{00000000-0005-0000-0000-000039450000}"/>
    <cellStyle name="Comma 2 9 4 2 2 2" xfId="17725" xr:uid="{00000000-0005-0000-0000-00003A450000}"/>
    <cellStyle name="Comma 2 9 4 2 2 2 2" xfId="17726" xr:uid="{00000000-0005-0000-0000-00003B450000}"/>
    <cellStyle name="Comma 2 9 4 2 2 2 3" xfId="17727" xr:uid="{00000000-0005-0000-0000-00003C450000}"/>
    <cellStyle name="Comma 2 9 4 2 2 3" xfId="17728" xr:uid="{00000000-0005-0000-0000-00003D450000}"/>
    <cellStyle name="Comma 2 9 4 2 2 4" xfId="17729" xr:uid="{00000000-0005-0000-0000-00003E450000}"/>
    <cellStyle name="Comma 2 9 4 2 2 5" xfId="17730" xr:uid="{00000000-0005-0000-0000-00003F450000}"/>
    <cellStyle name="Comma 2 9 4 2 2 6" xfId="17731" xr:uid="{00000000-0005-0000-0000-000040450000}"/>
    <cellStyle name="Comma 2 9 4 2 3" xfId="17732" xr:uid="{00000000-0005-0000-0000-000041450000}"/>
    <cellStyle name="Comma 2 9 4 2 3 2" xfId="17733" xr:uid="{00000000-0005-0000-0000-000042450000}"/>
    <cellStyle name="Comma 2 9 4 2 3 2 2" xfId="17734" xr:uid="{00000000-0005-0000-0000-000043450000}"/>
    <cellStyle name="Comma 2 9 4 2 3 3" xfId="17735" xr:uid="{00000000-0005-0000-0000-000044450000}"/>
    <cellStyle name="Comma 2 9 4 2 3 4" xfId="17736" xr:uid="{00000000-0005-0000-0000-000045450000}"/>
    <cellStyle name="Comma 2 9 4 2 3 5" xfId="17737" xr:uid="{00000000-0005-0000-0000-000046450000}"/>
    <cellStyle name="Comma 2 9 4 2 4" xfId="17738" xr:uid="{00000000-0005-0000-0000-000047450000}"/>
    <cellStyle name="Comma 2 9 4 2 4 2" xfId="17739" xr:uid="{00000000-0005-0000-0000-000048450000}"/>
    <cellStyle name="Comma 2 9 4 2 4 3" xfId="17740" xr:uid="{00000000-0005-0000-0000-000049450000}"/>
    <cellStyle name="Comma 2 9 4 2 4 4" xfId="17741" xr:uid="{00000000-0005-0000-0000-00004A450000}"/>
    <cellStyle name="Comma 2 9 4 2 5" xfId="17742" xr:uid="{00000000-0005-0000-0000-00004B450000}"/>
    <cellStyle name="Comma 2 9 4 2 5 2" xfId="17743" xr:uid="{00000000-0005-0000-0000-00004C450000}"/>
    <cellStyle name="Comma 2 9 4 2 6" xfId="17744" xr:uid="{00000000-0005-0000-0000-00004D450000}"/>
    <cellStyle name="Comma 2 9 4 2 7" xfId="17745" xr:uid="{00000000-0005-0000-0000-00004E450000}"/>
    <cellStyle name="Comma 2 9 4 2 8" xfId="17746" xr:uid="{00000000-0005-0000-0000-00004F450000}"/>
    <cellStyle name="Comma 2 9 4 2 9" xfId="17747" xr:uid="{00000000-0005-0000-0000-000050450000}"/>
    <cellStyle name="Comma 2 9 4 3" xfId="17748" xr:uid="{00000000-0005-0000-0000-000051450000}"/>
    <cellStyle name="Comma 2 9 4 3 2" xfId="17749" xr:uid="{00000000-0005-0000-0000-000052450000}"/>
    <cellStyle name="Comma 2 9 4 3 2 2" xfId="17750" xr:uid="{00000000-0005-0000-0000-000053450000}"/>
    <cellStyle name="Comma 2 9 4 3 2 2 2" xfId="17751" xr:uid="{00000000-0005-0000-0000-000054450000}"/>
    <cellStyle name="Comma 2 9 4 3 2 2 3" xfId="17752" xr:uid="{00000000-0005-0000-0000-000055450000}"/>
    <cellStyle name="Comma 2 9 4 3 2 3" xfId="17753" xr:uid="{00000000-0005-0000-0000-000056450000}"/>
    <cellStyle name="Comma 2 9 4 3 2 4" xfId="17754" xr:uid="{00000000-0005-0000-0000-000057450000}"/>
    <cellStyle name="Comma 2 9 4 3 2 5" xfId="17755" xr:uid="{00000000-0005-0000-0000-000058450000}"/>
    <cellStyle name="Comma 2 9 4 3 2 6" xfId="17756" xr:uid="{00000000-0005-0000-0000-000059450000}"/>
    <cellStyle name="Comma 2 9 4 3 3" xfId="17757" xr:uid="{00000000-0005-0000-0000-00005A450000}"/>
    <cellStyle name="Comma 2 9 4 3 3 2" xfId="17758" xr:uid="{00000000-0005-0000-0000-00005B450000}"/>
    <cellStyle name="Comma 2 9 4 3 3 2 2" xfId="17759" xr:uid="{00000000-0005-0000-0000-00005C450000}"/>
    <cellStyle name="Comma 2 9 4 3 3 3" xfId="17760" xr:uid="{00000000-0005-0000-0000-00005D450000}"/>
    <cellStyle name="Comma 2 9 4 3 3 4" xfId="17761" xr:uid="{00000000-0005-0000-0000-00005E450000}"/>
    <cellStyle name="Comma 2 9 4 3 3 5" xfId="17762" xr:uid="{00000000-0005-0000-0000-00005F450000}"/>
    <cellStyle name="Comma 2 9 4 3 4" xfId="17763" xr:uid="{00000000-0005-0000-0000-000060450000}"/>
    <cellStyle name="Comma 2 9 4 3 4 2" xfId="17764" xr:uid="{00000000-0005-0000-0000-000061450000}"/>
    <cellStyle name="Comma 2 9 4 3 4 3" xfId="17765" xr:uid="{00000000-0005-0000-0000-000062450000}"/>
    <cellStyle name="Comma 2 9 4 3 4 4" xfId="17766" xr:uid="{00000000-0005-0000-0000-000063450000}"/>
    <cellStyle name="Comma 2 9 4 3 5" xfId="17767" xr:uid="{00000000-0005-0000-0000-000064450000}"/>
    <cellStyle name="Comma 2 9 4 3 5 2" xfId="17768" xr:uid="{00000000-0005-0000-0000-000065450000}"/>
    <cellStyle name="Comma 2 9 4 3 6" xfId="17769" xr:uid="{00000000-0005-0000-0000-000066450000}"/>
    <cellStyle name="Comma 2 9 4 3 7" xfId="17770" xr:uid="{00000000-0005-0000-0000-000067450000}"/>
    <cellStyle name="Comma 2 9 4 3 8" xfId="17771" xr:uid="{00000000-0005-0000-0000-000068450000}"/>
    <cellStyle name="Comma 2 9 4 3 9" xfId="17772" xr:uid="{00000000-0005-0000-0000-000069450000}"/>
    <cellStyle name="Comma 2 9 4 4" xfId="17773" xr:uid="{00000000-0005-0000-0000-00006A450000}"/>
    <cellStyle name="Comma 2 9 4 4 2" xfId="17774" xr:uid="{00000000-0005-0000-0000-00006B450000}"/>
    <cellStyle name="Comma 2 9 4 4 2 2" xfId="17775" xr:uid="{00000000-0005-0000-0000-00006C450000}"/>
    <cellStyle name="Comma 2 9 4 4 2 3" xfId="17776" xr:uid="{00000000-0005-0000-0000-00006D450000}"/>
    <cellStyle name="Comma 2 9 4 4 3" xfId="17777" xr:uid="{00000000-0005-0000-0000-00006E450000}"/>
    <cellStyle name="Comma 2 9 4 4 4" xfId="17778" xr:uid="{00000000-0005-0000-0000-00006F450000}"/>
    <cellStyle name="Comma 2 9 4 4 5" xfId="17779" xr:uid="{00000000-0005-0000-0000-000070450000}"/>
    <cellStyle name="Comma 2 9 4 4 6" xfId="17780" xr:uid="{00000000-0005-0000-0000-000071450000}"/>
    <cellStyle name="Comma 2 9 4 5" xfId="17781" xr:uid="{00000000-0005-0000-0000-000072450000}"/>
    <cellStyle name="Comma 2 9 4 5 2" xfId="17782" xr:uid="{00000000-0005-0000-0000-000073450000}"/>
    <cellStyle name="Comma 2 9 4 5 2 2" xfId="17783" xr:uid="{00000000-0005-0000-0000-000074450000}"/>
    <cellStyle name="Comma 2 9 4 5 3" xfId="17784" xr:uid="{00000000-0005-0000-0000-000075450000}"/>
    <cellStyle name="Comma 2 9 4 5 4" xfId="17785" xr:uid="{00000000-0005-0000-0000-000076450000}"/>
    <cellStyle name="Comma 2 9 4 5 5" xfId="17786" xr:uid="{00000000-0005-0000-0000-000077450000}"/>
    <cellStyle name="Comma 2 9 4 6" xfId="17787" xr:uid="{00000000-0005-0000-0000-000078450000}"/>
    <cellStyle name="Comma 2 9 4 6 2" xfId="17788" xr:uid="{00000000-0005-0000-0000-000079450000}"/>
    <cellStyle name="Comma 2 9 4 6 3" xfId="17789" xr:uid="{00000000-0005-0000-0000-00007A450000}"/>
    <cellStyle name="Comma 2 9 4 6 4" xfId="17790" xr:uid="{00000000-0005-0000-0000-00007B450000}"/>
    <cellStyle name="Comma 2 9 4 7" xfId="17791" xr:uid="{00000000-0005-0000-0000-00007C450000}"/>
    <cellStyle name="Comma 2 9 4 7 2" xfId="17792" xr:uid="{00000000-0005-0000-0000-00007D450000}"/>
    <cellStyle name="Comma 2 9 4 8" xfId="17793" xr:uid="{00000000-0005-0000-0000-00007E450000}"/>
    <cellStyle name="Comma 2 9 4 9" xfId="17794" xr:uid="{00000000-0005-0000-0000-00007F450000}"/>
    <cellStyle name="Comma 2 9 5" xfId="17795" xr:uid="{00000000-0005-0000-0000-000080450000}"/>
    <cellStyle name="Comma 2 9 5 10" xfId="17796" xr:uid="{00000000-0005-0000-0000-000081450000}"/>
    <cellStyle name="Comma 2 9 5 11" xfId="17797" xr:uid="{00000000-0005-0000-0000-000082450000}"/>
    <cellStyle name="Comma 2 9 5 2" xfId="17798" xr:uid="{00000000-0005-0000-0000-000083450000}"/>
    <cellStyle name="Comma 2 9 5 2 2" xfId="17799" xr:uid="{00000000-0005-0000-0000-000084450000}"/>
    <cellStyle name="Comma 2 9 5 2 2 2" xfId="17800" xr:uid="{00000000-0005-0000-0000-000085450000}"/>
    <cellStyle name="Comma 2 9 5 2 2 2 2" xfId="17801" xr:uid="{00000000-0005-0000-0000-000086450000}"/>
    <cellStyle name="Comma 2 9 5 2 2 2 3" xfId="17802" xr:uid="{00000000-0005-0000-0000-000087450000}"/>
    <cellStyle name="Comma 2 9 5 2 2 3" xfId="17803" xr:uid="{00000000-0005-0000-0000-000088450000}"/>
    <cellStyle name="Comma 2 9 5 2 2 4" xfId="17804" xr:uid="{00000000-0005-0000-0000-000089450000}"/>
    <cellStyle name="Comma 2 9 5 2 2 5" xfId="17805" xr:uid="{00000000-0005-0000-0000-00008A450000}"/>
    <cellStyle name="Comma 2 9 5 2 2 6" xfId="17806" xr:uid="{00000000-0005-0000-0000-00008B450000}"/>
    <cellStyle name="Comma 2 9 5 2 3" xfId="17807" xr:uid="{00000000-0005-0000-0000-00008C450000}"/>
    <cellStyle name="Comma 2 9 5 2 3 2" xfId="17808" xr:uid="{00000000-0005-0000-0000-00008D450000}"/>
    <cellStyle name="Comma 2 9 5 2 3 2 2" xfId="17809" xr:uid="{00000000-0005-0000-0000-00008E450000}"/>
    <cellStyle name="Comma 2 9 5 2 3 3" xfId="17810" xr:uid="{00000000-0005-0000-0000-00008F450000}"/>
    <cellStyle name="Comma 2 9 5 2 3 4" xfId="17811" xr:uid="{00000000-0005-0000-0000-000090450000}"/>
    <cellStyle name="Comma 2 9 5 2 3 5" xfId="17812" xr:uid="{00000000-0005-0000-0000-000091450000}"/>
    <cellStyle name="Comma 2 9 5 2 4" xfId="17813" xr:uid="{00000000-0005-0000-0000-000092450000}"/>
    <cellStyle name="Comma 2 9 5 2 4 2" xfId="17814" xr:uid="{00000000-0005-0000-0000-000093450000}"/>
    <cellStyle name="Comma 2 9 5 2 4 3" xfId="17815" xr:uid="{00000000-0005-0000-0000-000094450000}"/>
    <cellStyle name="Comma 2 9 5 2 4 4" xfId="17816" xr:uid="{00000000-0005-0000-0000-000095450000}"/>
    <cellStyle name="Comma 2 9 5 2 5" xfId="17817" xr:uid="{00000000-0005-0000-0000-000096450000}"/>
    <cellStyle name="Comma 2 9 5 2 5 2" xfId="17818" xr:uid="{00000000-0005-0000-0000-000097450000}"/>
    <cellStyle name="Comma 2 9 5 2 6" xfId="17819" xr:uid="{00000000-0005-0000-0000-000098450000}"/>
    <cellStyle name="Comma 2 9 5 2 7" xfId="17820" xr:uid="{00000000-0005-0000-0000-000099450000}"/>
    <cellStyle name="Comma 2 9 5 2 8" xfId="17821" xr:uid="{00000000-0005-0000-0000-00009A450000}"/>
    <cellStyle name="Comma 2 9 5 2 9" xfId="17822" xr:uid="{00000000-0005-0000-0000-00009B450000}"/>
    <cellStyle name="Comma 2 9 5 3" xfId="17823" xr:uid="{00000000-0005-0000-0000-00009C450000}"/>
    <cellStyle name="Comma 2 9 5 3 2" xfId="17824" xr:uid="{00000000-0005-0000-0000-00009D450000}"/>
    <cellStyle name="Comma 2 9 5 3 2 2" xfId="17825" xr:uid="{00000000-0005-0000-0000-00009E450000}"/>
    <cellStyle name="Comma 2 9 5 3 2 2 2" xfId="17826" xr:uid="{00000000-0005-0000-0000-00009F450000}"/>
    <cellStyle name="Comma 2 9 5 3 2 2 3" xfId="17827" xr:uid="{00000000-0005-0000-0000-0000A0450000}"/>
    <cellStyle name="Comma 2 9 5 3 2 3" xfId="17828" xr:uid="{00000000-0005-0000-0000-0000A1450000}"/>
    <cellStyle name="Comma 2 9 5 3 2 4" xfId="17829" xr:uid="{00000000-0005-0000-0000-0000A2450000}"/>
    <cellStyle name="Comma 2 9 5 3 2 5" xfId="17830" xr:uid="{00000000-0005-0000-0000-0000A3450000}"/>
    <cellStyle name="Comma 2 9 5 3 2 6" xfId="17831" xr:uid="{00000000-0005-0000-0000-0000A4450000}"/>
    <cellStyle name="Comma 2 9 5 3 3" xfId="17832" xr:uid="{00000000-0005-0000-0000-0000A5450000}"/>
    <cellStyle name="Comma 2 9 5 3 3 2" xfId="17833" xr:uid="{00000000-0005-0000-0000-0000A6450000}"/>
    <cellStyle name="Comma 2 9 5 3 3 2 2" xfId="17834" xr:uid="{00000000-0005-0000-0000-0000A7450000}"/>
    <cellStyle name="Comma 2 9 5 3 3 3" xfId="17835" xr:uid="{00000000-0005-0000-0000-0000A8450000}"/>
    <cellStyle name="Comma 2 9 5 3 3 4" xfId="17836" xr:uid="{00000000-0005-0000-0000-0000A9450000}"/>
    <cellStyle name="Comma 2 9 5 3 3 5" xfId="17837" xr:uid="{00000000-0005-0000-0000-0000AA450000}"/>
    <cellStyle name="Comma 2 9 5 3 4" xfId="17838" xr:uid="{00000000-0005-0000-0000-0000AB450000}"/>
    <cellStyle name="Comma 2 9 5 3 4 2" xfId="17839" xr:uid="{00000000-0005-0000-0000-0000AC450000}"/>
    <cellStyle name="Comma 2 9 5 3 4 3" xfId="17840" xr:uid="{00000000-0005-0000-0000-0000AD450000}"/>
    <cellStyle name="Comma 2 9 5 3 4 4" xfId="17841" xr:uid="{00000000-0005-0000-0000-0000AE450000}"/>
    <cellStyle name="Comma 2 9 5 3 5" xfId="17842" xr:uid="{00000000-0005-0000-0000-0000AF450000}"/>
    <cellStyle name="Comma 2 9 5 3 5 2" xfId="17843" xr:uid="{00000000-0005-0000-0000-0000B0450000}"/>
    <cellStyle name="Comma 2 9 5 3 6" xfId="17844" xr:uid="{00000000-0005-0000-0000-0000B1450000}"/>
    <cellStyle name="Comma 2 9 5 3 7" xfId="17845" xr:uid="{00000000-0005-0000-0000-0000B2450000}"/>
    <cellStyle name="Comma 2 9 5 3 8" xfId="17846" xr:uid="{00000000-0005-0000-0000-0000B3450000}"/>
    <cellStyle name="Comma 2 9 5 3 9" xfId="17847" xr:uid="{00000000-0005-0000-0000-0000B4450000}"/>
    <cellStyle name="Comma 2 9 5 4" xfId="17848" xr:uid="{00000000-0005-0000-0000-0000B5450000}"/>
    <cellStyle name="Comma 2 9 5 4 2" xfId="17849" xr:uid="{00000000-0005-0000-0000-0000B6450000}"/>
    <cellStyle name="Comma 2 9 5 4 2 2" xfId="17850" xr:uid="{00000000-0005-0000-0000-0000B7450000}"/>
    <cellStyle name="Comma 2 9 5 4 2 3" xfId="17851" xr:uid="{00000000-0005-0000-0000-0000B8450000}"/>
    <cellStyle name="Comma 2 9 5 4 3" xfId="17852" xr:uid="{00000000-0005-0000-0000-0000B9450000}"/>
    <cellStyle name="Comma 2 9 5 4 4" xfId="17853" xr:uid="{00000000-0005-0000-0000-0000BA450000}"/>
    <cellStyle name="Comma 2 9 5 4 5" xfId="17854" xr:uid="{00000000-0005-0000-0000-0000BB450000}"/>
    <cellStyle name="Comma 2 9 5 4 6" xfId="17855" xr:uid="{00000000-0005-0000-0000-0000BC450000}"/>
    <cellStyle name="Comma 2 9 5 5" xfId="17856" xr:uid="{00000000-0005-0000-0000-0000BD450000}"/>
    <cellStyle name="Comma 2 9 5 5 2" xfId="17857" xr:uid="{00000000-0005-0000-0000-0000BE450000}"/>
    <cellStyle name="Comma 2 9 5 5 2 2" xfId="17858" xr:uid="{00000000-0005-0000-0000-0000BF450000}"/>
    <cellStyle name="Comma 2 9 5 5 3" xfId="17859" xr:uid="{00000000-0005-0000-0000-0000C0450000}"/>
    <cellStyle name="Comma 2 9 5 5 4" xfId="17860" xr:uid="{00000000-0005-0000-0000-0000C1450000}"/>
    <cellStyle name="Comma 2 9 5 5 5" xfId="17861" xr:uid="{00000000-0005-0000-0000-0000C2450000}"/>
    <cellStyle name="Comma 2 9 5 6" xfId="17862" xr:uid="{00000000-0005-0000-0000-0000C3450000}"/>
    <cellStyle name="Comma 2 9 5 6 2" xfId="17863" xr:uid="{00000000-0005-0000-0000-0000C4450000}"/>
    <cellStyle name="Comma 2 9 5 6 3" xfId="17864" xr:uid="{00000000-0005-0000-0000-0000C5450000}"/>
    <cellStyle name="Comma 2 9 5 6 4" xfId="17865" xr:uid="{00000000-0005-0000-0000-0000C6450000}"/>
    <cellStyle name="Comma 2 9 5 7" xfId="17866" xr:uid="{00000000-0005-0000-0000-0000C7450000}"/>
    <cellStyle name="Comma 2 9 5 7 2" xfId="17867" xr:uid="{00000000-0005-0000-0000-0000C8450000}"/>
    <cellStyle name="Comma 2 9 5 8" xfId="17868" xr:uid="{00000000-0005-0000-0000-0000C9450000}"/>
    <cellStyle name="Comma 2 9 5 9" xfId="17869" xr:uid="{00000000-0005-0000-0000-0000CA450000}"/>
    <cellStyle name="Comma 2 9 6" xfId="17870" xr:uid="{00000000-0005-0000-0000-0000CB450000}"/>
    <cellStyle name="Comma 2 9 6 10" xfId="17871" xr:uid="{00000000-0005-0000-0000-0000CC450000}"/>
    <cellStyle name="Comma 2 9 6 11" xfId="17872" xr:uid="{00000000-0005-0000-0000-0000CD450000}"/>
    <cellStyle name="Comma 2 9 6 2" xfId="17873" xr:uid="{00000000-0005-0000-0000-0000CE450000}"/>
    <cellStyle name="Comma 2 9 6 2 2" xfId="17874" xr:uid="{00000000-0005-0000-0000-0000CF450000}"/>
    <cellStyle name="Comma 2 9 6 2 2 2" xfId="17875" xr:uid="{00000000-0005-0000-0000-0000D0450000}"/>
    <cellStyle name="Comma 2 9 6 2 2 2 2" xfId="17876" xr:uid="{00000000-0005-0000-0000-0000D1450000}"/>
    <cellStyle name="Comma 2 9 6 2 2 2 3" xfId="17877" xr:uid="{00000000-0005-0000-0000-0000D2450000}"/>
    <cellStyle name="Comma 2 9 6 2 2 3" xfId="17878" xr:uid="{00000000-0005-0000-0000-0000D3450000}"/>
    <cellStyle name="Comma 2 9 6 2 2 4" xfId="17879" xr:uid="{00000000-0005-0000-0000-0000D4450000}"/>
    <cellStyle name="Comma 2 9 6 2 2 5" xfId="17880" xr:uid="{00000000-0005-0000-0000-0000D5450000}"/>
    <cellStyle name="Comma 2 9 6 2 2 6" xfId="17881" xr:uid="{00000000-0005-0000-0000-0000D6450000}"/>
    <cellStyle name="Comma 2 9 6 2 3" xfId="17882" xr:uid="{00000000-0005-0000-0000-0000D7450000}"/>
    <cellStyle name="Comma 2 9 6 2 3 2" xfId="17883" xr:uid="{00000000-0005-0000-0000-0000D8450000}"/>
    <cellStyle name="Comma 2 9 6 2 3 2 2" xfId="17884" xr:uid="{00000000-0005-0000-0000-0000D9450000}"/>
    <cellStyle name="Comma 2 9 6 2 3 3" xfId="17885" xr:uid="{00000000-0005-0000-0000-0000DA450000}"/>
    <cellStyle name="Comma 2 9 6 2 3 4" xfId="17886" xr:uid="{00000000-0005-0000-0000-0000DB450000}"/>
    <cellStyle name="Comma 2 9 6 2 3 5" xfId="17887" xr:uid="{00000000-0005-0000-0000-0000DC450000}"/>
    <cellStyle name="Comma 2 9 6 2 4" xfId="17888" xr:uid="{00000000-0005-0000-0000-0000DD450000}"/>
    <cellStyle name="Comma 2 9 6 2 4 2" xfId="17889" xr:uid="{00000000-0005-0000-0000-0000DE450000}"/>
    <cellStyle name="Comma 2 9 6 2 4 3" xfId="17890" xr:uid="{00000000-0005-0000-0000-0000DF450000}"/>
    <cellStyle name="Comma 2 9 6 2 4 4" xfId="17891" xr:uid="{00000000-0005-0000-0000-0000E0450000}"/>
    <cellStyle name="Comma 2 9 6 2 5" xfId="17892" xr:uid="{00000000-0005-0000-0000-0000E1450000}"/>
    <cellStyle name="Comma 2 9 6 2 5 2" xfId="17893" xr:uid="{00000000-0005-0000-0000-0000E2450000}"/>
    <cellStyle name="Comma 2 9 6 2 6" xfId="17894" xr:uid="{00000000-0005-0000-0000-0000E3450000}"/>
    <cellStyle name="Comma 2 9 6 2 7" xfId="17895" xr:uid="{00000000-0005-0000-0000-0000E4450000}"/>
    <cellStyle name="Comma 2 9 6 2 8" xfId="17896" xr:uid="{00000000-0005-0000-0000-0000E5450000}"/>
    <cellStyle name="Comma 2 9 6 2 9" xfId="17897" xr:uid="{00000000-0005-0000-0000-0000E6450000}"/>
    <cellStyle name="Comma 2 9 6 3" xfId="17898" xr:uid="{00000000-0005-0000-0000-0000E7450000}"/>
    <cellStyle name="Comma 2 9 6 3 2" xfId="17899" xr:uid="{00000000-0005-0000-0000-0000E8450000}"/>
    <cellStyle name="Comma 2 9 6 3 2 2" xfId="17900" xr:uid="{00000000-0005-0000-0000-0000E9450000}"/>
    <cellStyle name="Comma 2 9 6 3 2 2 2" xfId="17901" xr:uid="{00000000-0005-0000-0000-0000EA450000}"/>
    <cellStyle name="Comma 2 9 6 3 2 2 3" xfId="17902" xr:uid="{00000000-0005-0000-0000-0000EB450000}"/>
    <cellStyle name="Comma 2 9 6 3 2 3" xfId="17903" xr:uid="{00000000-0005-0000-0000-0000EC450000}"/>
    <cellStyle name="Comma 2 9 6 3 2 4" xfId="17904" xr:uid="{00000000-0005-0000-0000-0000ED450000}"/>
    <cellStyle name="Comma 2 9 6 3 2 5" xfId="17905" xr:uid="{00000000-0005-0000-0000-0000EE450000}"/>
    <cellStyle name="Comma 2 9 6 3 2 6" xfId="17906" xr:uid="{00000000-0005-0000-0000-0000EF450000}"/>
    <cellStyle name="Comma 2 9 6 3 3" xfId="17907" xr:uid="{00000000-0005-0000-0000-0000F0450000}"/>
    <cellStyle name="Comma 2 9 6 3 3 2" xfId="17908" xr:uid="{00000000-0005-0000-0000-0000F1450000}"/>
    <cellStyle name="Comma 2 9 6 3 3 2 2" xfId="17909" xr:uid="{00000000-0005-0000-0000-0000F2450000}"/>
    <cellStyle name="Comma 2 9 6 3 3 3" xfId="17910" xr:uid="{00000000-0005-0000-0000-0000F3450000}"/>
    <cellStyle name="Comma 2 9 6 3 3 4" xfId="17911" xr:uid="{00000000-0005-0000-0000-0000F4450000}"/>
    <cellStyle name="Comma 2 9 6 3 3 5" xfId="17912" xr:uid="{00000000-0005-0000-0000-0000F5450000}"/>
    <cellStyle name="Comma 2 9 6 3 4" xfId="17913" xr:uid="{00000000-0005-0000-0000-0000F6450000}"/>
    <cellStyle name="Comma 2 9 6 3 4 2" xfId="17914" xr:uid="{00000000-0005-0000-0000-0000F7450000}"/>
    <cellStyle name="Comma 2 9 6 3 4 3" xfId="17915" xr:uid="{00000000-0005-0000-0000-0000F8450000}"/>
    <cellStyle name="Comma 2 9 6 3 4 4" xfId="17916" xr:uid="{00000000-0005-0000-0000-0000F9450000}"/>
    <cellStyle name="Comma 2 9 6 3 5" xfId="17917" xr:uid="{00000000-0005-0000-0000-0000FA450000}"/>
    <cellStyle name="Comma 2 9 6 3 5 2" xfId="17918" xr:uid="{00000000-0005-0000-0000-0000FB450000}"/>
    <cellStyle name="Comma 2 9 6 3 6" xfId="17919" xr:uid="{00000000-0005-0000-0000-0000FC450000}"/>
    <cellStyle name="Comma 2 9 6 3 7" xfId="17920" xr:uid="{00000000-0005-0000-0000-0000FD450000}"/>
    <cellStyle name="Comma 2 9 6 3 8" xfId="17921" xr:uid="{00000000-0005-0000-0000-0000FE450000}"/>
    <cellStyle name="Comma 2 9 6 3 9" xfId="17922" xr:uid="{00000000-0005-0000-0000-0000FF450000}"/>
    <cellStyle name="Comma 2 9 6 4" xfId="17923" xr:uid="{00000000-0005-0000-0000-000000460000}"/>
    <cellStyle name="Comma 2 9 6 4 2" xfId="17924" xr:uid="{00000000-0005-0000-0000-000001460000}"/>
    <cellStyle name="Comma 2 9 6 4 2 2" xfId="17925" xr:uid="{00000000-0005-0000-0000-000002460000}"/>
    <cellStyle name="Comma 2 9 6 4 2 3" xfId="17926" xr:uid="{00000000-0005-0000-0000-000003460000}"/>
    <cellStyle name="Comma 2 9 6 4 3" xfId="17927" xr:uid="{00000000-0005-0000-0000-000004460000}"/>
    <cellStyle name="Comma 2 9 6 4 4" xfId="17928" xr:uid="{00000000-0005-0000-0000-000005460000}"/>
    <cellStyle name="Comma 2 9 6 4 5" xfId="17929" xr:uid="{00000000-0005-0000-0000-000006460000}"/>
    <cellStyle name="Comma 2 9 6 4 6" xfId="17930" xr:uid="{00000000-0005-0000-0000-000007460000}"/>
    <cellStyle name="Comma 2 9 6 5" xfId="17931" xr:uid="{00000000-0005-0000-0000-000008460000}"/>
    <cellStyle name="Comma 2 9 6 5 2" xfId="17932" xr:uid="{00000000-0005-0000-0000-000009460000}"/>
    <cellStyle name="Comma 2 9 6 5 2 2" xfId="17933" xr:uid="{00000000-0005-0000-0000-00000A460000}"/>
    <cellStyle name="Comma 2 9 6 5 3" xfId="17934" xr:uid="{00000000-0005-0000-0000-00000B460000}"/>
    <cellStyle name="Comma 2 9 6 5 4" xfId="17935" xr:uid="{00000000-0005-0000-0000-00000C460000}"/>
    <cellStyle name="Comma 2 9 6 5 5" xfId="17936" xr:uid="{00000000-0005-0000-0000-00000D460000}"/>
    <cellStyle name="Comma 2 9 6 6" xfId="17937" xr:uid="{00000000-0005-0000-0000-00000E460000}"/>
    <cellStyle name="Comma 2 9 6 6 2" xfId="17938" xr:uid="{00000000-0005-0000-0000-00000F460000}"/>
    <cellStyle name="Comma 2 9 6 6 3" xfId="17939" xr:uid="{00000000-0005-0000-0000-000010460000}"/>
    <cellStyle name="Comma 2 9 6 6 4" xfId="17940" xr:uid="{00000000-0005-0000-0000-000011460000}"/>
    <cellStyle name="Comma 2 9 6 7" xfId="17941" xr:uid="{00000000-0005-0000-0000-000012460000}"/>
    <cellStyle name="Comma 2 9 6 7 2" xfId="17942" xr:uid="{00000000-0005-0000-0000-000013460000}"/>
    <cellStyle name="Comma 2 9 6 8" xfId="17943" xr:uid="{00000000-0005-0000-0000-000014460000}"/>
    <cellStyle name="Comma 2 9 6 9" xfId="17944" xr:uid="{00000000-0005-0000-0000-000015460000}"/>
    <cellStyle name="Comma 2 9 7" xfId="17945" xr:uid="{00000000-0005-0000-0000-000016460000}"/>
    <cellStyle name="Comma 2 9 7 10" xfId="17946" xr:uid="{00000000-0005-0000-0000-000017460000}"/>
    <cellStyle name="Comma 2 9 7 11" xfId="17947" xr:uid="{00000000-0005-0000-0000-000018460000}"/>
    <cellStyle name="Comma 2 9 7 2" xfId="17948" xr:uid="{00000000-0005-0000-0000-000019460000}"/>
    <cellStyle name="Comma 2 9 7 2 2" xfId="17949" xr:uid="{00000000-0005-0000-0000-00001A460000}"/>
    <cellStyle name="Comma 2 9 7 2 2 2" xfId="17950" xr:uid="{00000000-0005-0000-0000-00001B460000}"/>
    <cellStyle name="Comma 2 9 7 2 2 2 2" xfId="17951" xr:uid="{00000000-0005-0000-0000-00001C460000}"/>
    <cellStyle name="Comma 2 9 7 2 2 2 3" xfId="17952" xr:uid="{00000000-0005-0000-0000-00001D460000}"/>
    <cellStyle name="Comma 2 9 7 2 2 3" xfId="17953" xr:uid="{00000000-0005-0000-0000-00001E460000}"/>
    <cellStyle name="Comma 2 9 7 2 2 4" xfId="17954" xr:uid="{00000000-0005-0000-0000-00001F460000}"/>
    <cellStyle name="Comma 2 9 7 2 2 5" xfId="17955" xr:uid="{00000000-0005-0000-0000-000020460000}"/>
    <cellStyle name="Comma 2 9 7 2 2 6" xfId="17956" xr:uid="{00000000-0005-0000-0000-000021460000}"/>
    <cellStyle name="Comma 2 9 7 2 3" xfId="17957" xr:uid="{00000000-0005-0000-0000-000022460000}"/>
    <cellStyle name="Comma 2 9 7 2 3 2" xfId="17958" xr:uid="{00000000-0005-0000-0000-000023460000}"/>
    <cellStyle name="Comma 2 9 7 2 3 2 2" xfId="17959" xr:uid="{00000000-0005-0000-0000-000024460000}"/>
    <cellStyle name="Comma 2 9 7 2 3 3" xfId="17960" xr:uid="{00000000-0005-0000-0000-000025460000}"/>
    <cellStyle name="Comma 2 9 7 2 3 4" xfId="17961" xr:uid="{00000000-0005-0000-0000-000026460000}"/>
    <cellStyle name="Comma 2 9 7 2 3 5" xfId="17962" xr:uid="{00000000-0005-0000-0000-000027460000}"/>
    <cellStyle name="Comma 2 9 7 2 4" xfId="17963" xr:uid="{00000000-0005-0000-0000-000028460000}"/>
    <cellStyle name="Comma 2 9 7 2 4 2" xfId="17964" xr:uid="{00000000-0005-0000-0000-000029460000}"/>
    <cellStyle name="Comma 2 9 7 2 4 3" xfId="17965" xr:uid="{00000000-0005-0000-0000-00002A460000}"/>
    <cellStyle name="Comma 2 9 7 2 4 4" xfId="17966" xr:uid="{00000000-0005-0000-0000-00002B460000}"/>
    <cellStyle name="Comma 2 9 7 2 5" xfId="17967" xr:uid="{00000000-0005-0000-0000-00002C460000}"/>
    <cellStyle name="Comma 2 9 7 2 5 2" xfId="17968" xr:uid="{00000000-0005-0000-0000-00002D460000}"/>
    <cellStyle name="Comma 2 9 7 2 6" xfId="17969" xr:uid="{00000000-0005-0000-0000-00002E460000}"/>
    <cellStyle name="Comma 2 9 7 2 7" xfId="17970" xr:uid="{00000000-0005-0000-0000-00002F460000}"/>
    <cellStyle name="Comma 2 9 7 2 8" xfId="17971" xr:uid="{00000000-0005-0000-0000-000030460000}"/>
    <cellStyle name="Comma 2 9 7 2 9" xfId="17972" xr:uid="{00000000-0005-0000-0000-000031460000}"/>
    <cellStyle name="Comma 2 9 7 3" xfId="17973" xr:uid="{00000000-0005-0000-0000-000032460000}"/>
    <cellStyle name="Comma 2 9 7 3 2" xfId="17974" xr:uid="{00000000-0005-0000-0000-000033460000}"/>
    <cellStyle name="Comma 2 9 7 3 2 2" xfId="17975" xr:uid="{00000000-0005-0000-0000-000034460000}"/>
    <cellStyle name="Comma 2 9 7 3 2 2 2" xfId="17976" xr:uid="{00000000-0005-0000-0000-000035460000}"/>
    <cellStyle name="Comma 2 9 7 3 2 2 3" xfId="17977" xr:uid="{00000000-0005-0000-0000-000036460000}"/>
    <cellStyle name="Comma 2 9 7 3 2 3" xfId="17978" xr:uid="{00000000-0005-0000-0000-000037460000}"/>
    <cellStyle name="Comma 2 9 7 3 2 4" xfId="17979" xr:uid="{00000000-0005-0000-0000-000038460000}"/>
    <cellStyle name="Comma 2 9 7 3 2 5" xfId="17980" xr:uid="{00000000-0005-0000-0000-000039460000}"/>
    <cellStyle name="Comma 2 9 7 3 2 6" xfId="17981" xr:uid="{00000000-0005-0000-0000-00003A460000}"/>
    <cellStyle name="Comma 2 9 7 3 3" xfId="17982" xr:uid="{00000000-0005-0000-0000-00003B460000}"/>
    <cellStyle name="Comma 2 9 7 3 3 2" xfId="17983" xr:uid="{00000000-0005-0000-0000-00003C460000}"/>
    <cellStyle name="Comma 2 9 7 3 3 2 2" xfId="17984" xr:uid="{00000000-0005-0000-0000-00003D460000}"/>
    <cellStyle name="Comma 2 9 7 3 3 3" xfId="17985" xr:uid="{00000000-0005-0000-0000-00003E460000}"/>
    <cellStyle name="Comma 2 9 7 3 3 4" xfId="17986" xr:uid="{00000000-0005-0000-0000-00003F460000}"/>
    <cellStyle name="Comma 2 9 7 3 3 5" xfId="17987" xr:uid="{00000000-0005-0000-0000-000040460000}"/>
    <cellStyle name="Comma 2 9 7 3 4" xfId="17988" xr:uid="{00000000-0005-0000-0000-000041460000}"/>
    <cellStyle name="Comma 2 9 7 3 4 2" xfId="17989" xr:uid="{00000000-0005-0000-0000-000042460000}"/>
    <cellStyle name="Comma 2 9 7 3 4 3" xfId="17990" xr:uid="{00000000-0005-0000-0000-000043460000}"/>
    <cellStyle name="Comma 2 9 7 3 4 4" xfId="17991" xr:uid="{00000000-0005-0000-0000-000044460000}"/>
    <cellStyle name="Comma 2 9 7 3 5" xfId="17992" xr:uid="{00000000-0005-0000-0000-000045460000}"/>
    <cellStyle name="Comma 2 9 7 3 5 2" xfId="17993" xr:uid="{00000000-0005-0000-0000-000046460000}"/>
    <cellStyle name="Comma 2 9 7 3 6" xfId="17994" xr:uid="{00000000-0005-0000-0000-000047460000}"/>
    <cellStyle name="Comma 2 9 7 3 7" xfId="17995" xr:uid="{00000000-0005-0000-0000-000048460000}"/>
    <cellStyle name="Comma 2 9 7 3 8" xfId="17996" xr:uid="{00000000-0005-0000-0000-000049460000}"/>
    <cellStyle name="Comma 2 9 7 3 9" xfId="17997" xr:uid="{00000000-0005-0000-0000-00004A460000}"/>
    <cellStyle name="Comma 2 9 7 4" xfId="17998" xr:uid="{00000000-0005-0000-0000-00004B460000}"/>
    <cellStyle name="Comma 2 9 7 4 2" xfId="17999" xr:uid="{00000000-0005-0000-0000-00004C460000}"/>
    <cellStyle name="Comma 2 9 7 4 2 2" xfId="18000" xr:uid="{00000000-0005-0000-0000-00004D460000}"/>
    <cellStyle name="Comma 2 9 7 4 2 3" xfId="18001" xr:uid="{00000000-0005-0000-0000-00004E460000}"/>
    <cellStyle name="Comma 2 9 7 4 3" xfId="18002" xr:uid="{00000000-0005-0000-0000-00004F460000}"/>
    <cellStyle name="Comma 2 9 7 4 4" xfId="18003" xr:uid="{00000000-0005-0000-0000-000050460000}"/>
    <cellStyle name="Comma 2 9 7 4 5" xfId="18004" xr:uid="{00000000-0005-0000-0000-000051460000}"/>
    <cellStyle name="Comma 2 9 7 4 6" xfId="18005" xr:uid="{00000000-0005-0000-0000-000052460000}"/>
    <cellStyle name="Comma 2 9 7 5" xfId="18006" xr:uid="{00000000-0005-0000-0000-000053460000}"/>
    <cellStyle name="Comma 2 9 7 5 2" xfId="18007" xr:uid="{00000000-0005-0000-0000-000054460000}"/>
    <cellStyle name="Comma 2 9 7 5 2 2" xfId="18008" xr:uid="{00000000-0005-0000-0000-000055460000}"/>
    <cellStyle name="Comma 2 9 7 5 3" xfId="18009" xr:uid="{00000000-0005-0000-0000-000056460000}"/>
    <cellStyle name="Comma 2 9 7 5 4" xfId="18010" xr:uid="{00000000-0005-0000-0000-000057460000}"/>
    <cellStyle name="Comma 2 9 7 5 5" xfId="18011" xr:uid="{00000000-0005-0000-0000-000058460000}"/>
    <cellStyle name="Comma 2 9 7 6" xfId="18012" xr:uid="{00000000-0005-0000-0000-000059460000}"/>
    <cellStyle name="Comma 2 9 7 6 2" xfId="18013" xr:uid="{00000000-0005-0000-0000-00005A460000}"/>
    <cellStyle name="Comma 2 9 7 6 3" xfId="18014" xr:uid="{00000000-0005-0000-0000-00005B460000}"/>
    <cellStyle name="Comma 2 9 7 6 4" xfId="18015" xr:uid="{00000000-0005-0000-0000-00005C460000}"/>
    <cellStyle name="Comma 2 9 7 7" xfId="18016" xr:uid="{00000000-0005-0000-0000-00005D460000}"/>
    <cellStyle name="Comma 2 9 7 7 2" xfId="18017" xr:uid="{00000000-0005-0000-0000-00005E460000}"/>
    <cellStyle name="Comma 2 9 7 8" xfId="18018" xr:uid="{00000000-0005-0000-0000-00005F460000}"/>
    <cellStyle name="Comma 2 9 7 9" xfId="18019" xr:uid="{00000000-0005-0000-0000-000060460000}"/>
    <cellStyle name="Comma 2 9 8" xfId="18020" xr:uid="{00000000-0005-0000-0000-000061460000}"/>
    <cellStyle name="Comma 2 9 8 10" xfId="18021" xr:uid="{00000000-0005-0000-0000-000062460000}"/>
    <cellStyle name="Comma 2 9 8 2" xfId="18022" xr:uid="{00000000-0005-0000-0000-000063460000}"/>
    <cellStyle name="Comma 2 9 8 2 2" xfId="18023" xr:uid="{00000000-0005-0000-0000-000064460000}"/>
    <cellStyle name="Comma 2 9 8 2 2 2" xfId="18024" xr:uid="{00000000-0005-0000-0000-000065460000}"/>
    <cellStyle name="Comma 2 9 8 2 2 3" xfId="18025" xr:uid="{00000000-0005-0000-0000-000066460000}"/>
    <cellStyle name="Comma 2 9 8 2 3" xfId="18026" xr:uid="{00000000-0005-0000-0000-000067460000}"/>
    <cellStyle name="Comma 2 9 8 2 4" xfId="18027" xr:uid="{00000000-0005-0000-0000-000068460000}"/>
    <cellStyle name="Comma 2 9 8 2 5" xfId="18028" xr:uid="{00000000-0005-0000-0000-000069460000}"/>
    <cellStyle name="Comma 2 9 8 2 6" xfId="18029" xr:uid="{00000000-0005-0000-0000-00006A460000}"/>
    <cellStyle name="Comma 2 9 8 3" xfId="18030" xr:uid="{00000000-0005-0000-0000-00006B460000}"/>
    <cellStyle name="Comma 2 9 8 3 2" xfId="18031" xr:uid="{00000000-0005-0000-0000-00006C460000}"/>
    <cellStyle name="Comma 2 9 8 3 2 2" xfId="18032" xr:uid="{00000000-0005-0000-0000-00006D460000}"/>
    <cellStyle name="Comma 2 9 8 3 2 3" xfId="18033" xr:uid="{00000000-0005-0000-0000-00006E460000}"/>
    <cellStyle name="Comma 2 9 8 3 3" xfId="18034" xr:uid="{00000000-0005-0000-0000-00006F460000}"/>
    <cellStyle name="Comma 2 9 8 3 4" xfId="18035" xr:uid="{00000000-0005-0000-0000-000070460000}"/>
    <cellStyle name="Comma 2 9 8 3 5" xfId="18036" xr:uid="{00000000-0005-0000-0000-000071460000}"/>
    <cellStyle name="Comma 2 9 8 3 6" xfId="18037" xr:uid="{00000000-0005-0000-0000-000072460000}"/>
    <cellStyle name="Comma 2 9 8 4" xfId="18038" xr:uid="{00000000-0005-0000-0000-000073460000}"/>
    <cellStyle name="Comma 2 9 8 4 2" xfId="18039" xr:uid="{00000000-0005-0000-0000-000074460000}"/>
    <cellStyle name="Comma 2 9 8 4 2 2" xfId="18040" xr:uid="{00000000-0005-0000-0000-000075460000}"/>
    <cellStyle name="Comma 2 9 8 4 3" xfId="18041" xr:uid="{00000000-0005-0000-0000-000076460000}"/>
    <cellStyle name="Comma 2 9 8 4 4" xfId="18042" xr:uid="{00000000-0005-0000-0000-000077460000}"/>
    <cellStyle name="Comma 2 9 8 4 5" xfId="18043" xr:uid="{00000000-0005-0000-0000-000078460000}"/>
    <cellStyle name="Comma 2 9 8 5" xfId="18044" xr:uid="{00000000-0005-0000-0000-000079460000}"/>
    <cellStyle name="Comma 2 9 8 5 2" xfId="18045" xr:uid="{00000000-0005-0000-0000-00007A460000}"/>
    <cellStyle name="Comma 2 9 8 5 3" xfId="18046" xr:uid="{00000000-0005-0000-0000-00007B460000}"/>
    <cellStyle name="Comma 2 9 8 5 4" xfId="18047" xr:uid="{00000000-0005-0000-0000-00007C460000}"/>
    <cellStyle name="Comma 2 9 8 6" xfId="18048" xr:uid="{00000000-0005-0000-0000-00007D460000}"/>
    <cellStyle name="Comma 2 9 8 6 2" xfId="18049" xr:uid="{00000000-0005-0000-0000-00007E460000}"/>
    <cellStyle name="Comma 2 9 8 7" xfId="18050" xr:uid="{00000000-0005-0000-0000-00007F460000}"/>
    <cellStyle name="Comma 2 9 8 8" xfId="18051" xr:uid="{00000000-0005-0000-0000-000080460000}"/>
    <cellStyle name="Comma 2 9 8 9" xfId="18052" xr:uid="{00000000-0005-0000-0000-000081460000}"/>
    <cellStyle name="Comma 2 9 9" xfId="18053" xr:uid="{00000000-0005-0000-0000-000082460000}"/>
    <cellStyle name="Comma 2 9 9 10" xfId="18054" xr:uid="{00000000-0005-0000-0000-000083460000}"/>
    <cellStyle name="Comma 2 9 9 2" xfId="18055" xr:uid="{00000000-0005-0000-0000-000084460000}"/>
    <cellStyle name="Comma 2 9 9 2 2" xfId="18056" xr:uid="{00000000-0005-0000-0000-000085460000}"/>
    <cellStyle name="Comma 2 9 9 2 2 2" xfId="18057" xr:uid="{00000000-0005-0000-0000-000086460000}"/>
    <cellStyle name="Comma 2 9 9 2 2 3" xfId="18058" xr:uid="{00000000-0005-0000-0000-000087460000}"/>
    <cellStyle name="Comma 2 9 9 2 3" xfId="18059" xr:uid="{00000000-0005-0000-0000-000088460000}"/>
    <cellStyle name="Comma 2 9 9 2 4" xfId="18060" xr:uid="{00000000-0005-0000-0000-000089460000}"/>
    <cellStyle name="Comma 2 9 9 2 5" xfId="18061" xr:uid="{00000000-0005-0000-0000-00008A460000}"/>
    <cellStyle name="Comma 2 9 9 2 6" xfId="18062" xr:uid="{00000000-0005-0000-0000-00008B460000}"/>
    <cellStyle name="Comma 2 9 9 3" xfId="18063" xr:uid="{00000000-0005-0000-0000-00008C460000}"/>
    <cellStyle name="Comma 2 9 9 3 2" xfId="18064" xr:uid="{00000000-0005-0000-0000-00008D460000}"/>
    <cellStyle name="Comma 2 9 9 3 2 2" xfId="18065" xr:uid="{00000000-0005-0000-0000-00008E460000}"/>
    <cellStyle name="Comma 2 9 9 3 2 3" xfId="18066" xr:uid="{00000000-0005-0000-0000-00008F460000}"/>
    <cellStyle name="Comma 2 9 9 3 3" xfId="18067" xr:uid="{00000000-0005-0000-0000-000090460000}"/>
    <cellStyle name="Comma 2 9 9 3 4" xfId="18068" xr:uid="{00000000-0005-0000-0000-000091460000}"/>
    <cellStyle name="Comma 2 9 9 3 5" xfId="18069" xr:uid="{00000000-0005-0000-0000-000092460000}"/>
    <cellStyle name="Comma 2 9 9 3 6" xfId="18070" xr:uid="{00000000-0005-0000-0000-000093460000}"/>
    <cellStyle name="Comma 2 9 9 4" xfId="18071" xr:uid="{00000000-0005-0000-0000-000094460000}"/>
    <cellStyle name="Comma 2 9 9 4 2" xfId="18072" xr:uid="{00000000-0005-0000-0000-000095460000}"/>
    <cellStyle name="Comma 2 9 9 4 2 2" xfId="18073" xr:uid="{00000000-0005-0000-0000-000096460000}"/>
    <cellStyle name="Comma 2 9 9 4 3" xfId="18074" xr:uid="{00000000-0005-0000-0000-000097460000}"/>
    <cellStyle name="Comma 2 9 9 4 4" xfId="18075" xr:uid="{00000000-0005-0000-0000-000098460000}"/>
    <cellStyle name="Comma 2 9 9 4 5" xfId="18076" xr:uid="{00000000-0005-0000-0000-000099460000}"/>
    <cellStyle name="Comma 2 9 9 5" xfId="18077" xr:uid="{00000000-0005-0000-0000-00009A460000}"/>
    <cellStyle name="Comma 2 9 9 5 2" xfId="18078" xr:uid="{00000000-0005-0000-0000-00009B460000}"/>
    <cellStyle name="Comma 2 9 9 5 3" xfId="18079" xr:uid="{00000000-0005-0000-0000-00009C460000}"/>
    <cellStyle name="Comma 2 9 9 5 4" xfId="18080" xr:uid="{00000000-0005-0000-0000-00009D460000}"/>
    <cellStyle name="Comma 2 9 9 6" xfId="18081" xr:uid="{00000000-0005-0000-0000-00009E460000}"/>
    <cellStyle name="Comma 2 9 9 6 2" xfId="18082" xr:uid="{00000000-0005-0000-0000-00009F460000}"/>
    <cellStyle name="Comma 2 9 9 7" xfId="18083" xr:uid="{00000000-0005-0000-0000-0000A0460000}"/>
    <cellStyle name="Comma 2 9 9 8" xfId="18084" xr:uid="{00000000-0005-0000-0000-0000A1460000}"/>
    <cellStyle name="Comma 2 9 9 9" xfId="18085" xr:uid="{00000000-0005-0000-0000-0000A2460000}"/>
    <cellStyle name="Comma 20" xfId="18086" xr:uid="{00000000-0005-0000-0000-0000A3460000}"/>
    <cellStyle name="Comma 21" xfId="18087" xr:uid="{00000000-0005-0000-0000-0000A4460000}"/>
    <cellStyle name="Comma 22" xfId="18088" xr:uid="{00000000-0005-0000-0000-0000A5460000}"/>
    <cellStyle name="Comma 23" xfId="42320" xr:uid="{00000000-0005-0000-0000-0000A6460000}"/>
    <cellStyle name="Comma 25" xfId="18089" xr:uid="{00000000-0005-0000-0000-0000A7460000}"/>
    <cellStyle name="Comma 3" xfId="18090" xr:uid="{00000000-0005-0000-0000-0000A8460000}"/>
    <cellStyle name="Comma 3 10" xfId="18091" xr:uid="{00000000-0005-0000-0000-0000A9460000}"/>
    <cellStyle name="Comma 3 11" xfId="18092" xr:uid="{00000000-0005-0000-0000-0000AA460000}"/>
    <cellStyle name="Comma 3 12" xfId="18093" xr:uid="{00000000-0005-0000-0000-0000AB460000}"/>
    <cellStyle name="Comma 3 13" xfId="18094" xr:uid="{00000000-0005-0000-0000-0000AC460000}"/>
    <cellStyle name="Comma 3 14" xfId="18095" xr:uid="{00000000-0005-0000-0000-0000AD460000}"/>
    <cellStyle name="Comma 3 15" xfId="18096" xr:uid="{00000000-0005-0000-0000-0000AE460000}"/>
    <cellStyle name="Comma 3 16" xfId="18097" xr:uid="{00000000-0005-0000-0000-0000AF460000}"/>
    <cellStyle name="Comma 3 17" xfId="18098" xr:uid="{00000000-0005-0000-0000-0000B0460000}"/>
    <cellStyle name="Comma 3 18" xfId="18099" xr:uid="{00000000-0005-0000-0000-0000B1460000}"/>
    <cellStyle name="Comma 3 19" xfId="18100" xr:uid="{00000000-0005-0000-0000-0000B2460000}"/>
    <cellStyle name="Comma 3 2" xfId="18101" xr:uid="{00000000-0005-0000-0000-0000B3460000}"/>
    <cellStyle name="Comma 3 2 2" xfId="18102" xr:uid="{00000000-0005-0000-0000-0000B4460000}"/>
    <cellStyle name="Comma 3 2 2 2" xfId="18103" xr:uid="{00000000-0005-0000-0000-0000B5460000}"/>
    <cellStyle name="Comma 3 2 3" xfId="18104" xr:uid="{00000000-0005-0000-0000-0000B6460000}"/>
    <cellStyle name="Comma 3 2 3 2" xfId="18105" xr:uid="{00000000-0005-0000-0000-0000B7460000}"/>
    <cellStyle name="Comma 3 2 4" xfId="18106" xr:uid="{00000000-0005-0000-0000-0000B8460000}"/>
    <cellStyle name="Comma 3 2 5" xfId="18107" xr:uid="{00000000-0005-0000-0000-0000B9460000}"/>
    <cellStyle name="Comma 3 20" xfId="18108" xr:uid="{00000000-0005-0000-0000-0000BA460000}"/>
    <cellStyle name="Comma 3 21" xfId="18109" xr:uid="{00000000-0005-0000-0000-0000BB460000}"/>
    <cellStyle name="Comma 3 22" xfId="18110" xr:uid="{00000000-0005-0000-0000-0000BC460000}"/>
    <cellStyle name="Comma 3 23" xfId="18111" xr:uid="{00000000-0005-0000-0000-0000BD460000}"/>
    <cellStyle name="Comma 3 24" xfId="18112" xr:uid="{00000000-0005-0000-0000-0000BE460000}"/>
    <cellStyle name="Comma 3 25" xfId="18113" xr:uid="{00000000-0005-0000-0000-0000BF460000}"/>
    <cellStyle name="Comma 3 26" xfId="18114" xr:uid="{00000000-0005-0000-0000-0000C0460000}"/>
    <cellStyle name="Comma 3 27" xfId="18115" xr:uid="{00000000-0005-0000-0000-0000C1460000}"/>
    <cellStyle name="Comma 3 28" xfId="18116" xr:uid="{00000000-0005-0000-0000-0000C2460000}"/>
    <cellStyle name="Comma 3 29" xfId="18117" xr:uid="{00000000-0005-0000-0000-0000C3460000}"/>
    <cellStyle name="Comma 3 3" xfId="18118" xr:uid="{00000000-0005-0000-0000-0000C4460000}"/>
    <cellStyle name="Comma 3 3 2" xfId="18119" xr:uid="{00000000-0005-0000-0000-0000C5460000}"/>
    <cellStyle name="Comma 3 3 2 2" xfId="18120" xr:uid="{00000000-0005-0000-0000-0000C6460000}"/>
    <cellStyle name="Comma 3 3 3" xfId="18121" xr:uid="{00000000-0005-0000-0000-0000C7460000}"/>
    <cellStyle name="Comma 3 3 4" xfId="18122" xr:uid="{00000000-0005-0000-0000-0000C8460000}"/>
    <cellStyle name="Comma 3 30" xfId="18123" xr:uid="{00000000-0005-0000-0000-0000C9460000}"/>
    <cellStyle name="Comma 3 31" xfId="18124" xr:uid="{00000000-0005-0000-0000-0000CA460000}"/>
    <cellStyle name="Comma 3 32" xfId="18125" xr:uid="{00000000-0005-0000-0000-0000CB460000}"/>
    <cellStyle name="Comma 3 33" xfId="18126" xr:uid="{00000000-0005-0000-0000-0000CC460000}"/>
    <cellStyle name="Comma 3 34" xfId="18127" xr:uid="{00000000-0005-0000-0000-0000CD460000}"/>
    <cellStyle name="Comma 3 35" xfId="18128" xr:uid="{00000000-0005-0000-0000-0000CE460000}"/>
    <cellStyle name="Comma 3 36" xfId="18129" xr:uid="{00000000-0005-0000-0000-0000CF460000}"/>
    <cellStyle name="Comma 3 37" xfId="18130" xr:uid="{00000000-0005-0000-0000-0000D0460000}"/>
    <cellStyle name="Comma 3 38" xfId="18131" xr:uid="{00000000-0005-0000-0000-0000D1460000}"/>
    <cellStyle name="Comma 3 39" xfId="18132" xr:uid="{00000000-0005-0000-0000-0000D2460000}"/>
    <cellStyle name="Comma 3 4" xfId="18133" xr:uid="{00000000-0005-0000-0000-0000D3460000}"/>
    <cellStyle name="Comma 3 4 2" xfId="18134" xr:uid="{00000000-0005-0000-0000-0000D4460000}"/>
    <cellStyle name="Comma 3 40" xfId="18135" xr:uid="{00000000-0005-0000-0000-0000D5460000}"/>
    <cellStyle name="Comma 3 5" xfId="18136" xr:uid="{00000000-0005-0000-0000-0000D6460000}"/>
    <cellStyle name="Comma 3 6" xfId="18137" xr:uid="{00000000-0005-0000-0000-0000D7460000}"/>
    <cellStyle name="Comma 3 7" xfId="18138" xr:uid="{00000000-0005-0000-0000-0000D8460000}"/>
    <cellStyle name="Comma 3 8" xfId="18139" xr:uid="{00000000-0005-0000-0000-0000D9460000}"/>
    <cellStyle name="Comma 3 9" xfId="18140" xr:uid="{00000000-0005-0000-0000-0000DA460000}"/>
    <cellStyle name="Comma 31" xfId="18141" xr:uid="{00000000-0005-0000-0000-0000DB460000}"/>
    <cellStyle name="Comma 32" xfId="18142" xr:uid="{00000000-0005-0000-0000-0000DC460000}"/>
    <cellStyle name="Comma 4" xfId="18143" xr:uid="{00000000-0005-0000-0000-0000DD460000}"/>
    <cellStyle name="Comma 4 10" xfId="18144" xr:uid="{00000000-0005-0000-0000-0000DE460000}"/>
    <cellStyle name="Comma 4 11" xfId="18145" xr:uid="{00000000-0005-0000-0000-0000DF460000}"/>
    <cellStyle name="Comma 4 12" xfId="18146" xr:uid="{00000000-0005-0000-0000-0000E0460000}"/>
    <cellStyle name="Comma 4 13" xfId="18147" xr:uid="{00000000-0005-0000-0000-0000E1460000}"/>
    <cellStyle name="Comma 4 14" xfId="18148" xr:uid="{00000000-0005-0000-0000-0000E2460000}"/>
    <cellStyle name="Comma 4 15" xfId="18149" xr:uid="{00000000-0005-0000-0000-0000E3460000}"/>
    <cellStyle name="Comma 4 16" xfId="18150" xr:uid="{00000000-0005-0000-0000-0000E4460000}"/>
    <cellStyle name="Comma 4 17" xfId="18151" xr:uid="{00000000-0005-0000-0000-0000E5460000}"/>
    <cellStyle name="Comma 4 18" xfId="18152" xr:uid="{00000000-0005-0000-0000-0000E6460000}"/>
    <cellStyle name="Comma 4 18 2" xfId="18153" xr:uid="{00000000-0005-0000-0000-0000E7460000}"/>
    <cellStyle name="Comma 4 19" xfId="18154" xr:uid="{00000000-0005-0000-0000-0000E8460000}"/>
    <cellStyle name="Comma 4 2" xfId="18155" xr:uid="{00000000-0005-0000-0000-0000E9460000}"/>
    <cellStyle name="Comma 4 2 2" xfId="18156" xr:uid="{00000000-0005-0000-0000-0000EA460000}"/>
    <cellStyle name="Comma 4 2 2 2" xfId="18157" xr:uid="{00000000-0005-0000-0000-0000EB460000}"/>
    <cellStyle name="Comma 4 2 2 2 2" xfId="18158" xr:uid="{00000000-0005-0000-0000-0000EC460000}"/>
    <cellStyle name="Comma 4 2 2 2 3" xfId="18159" xr:uid="{00000000-0005-0000-0000-0000ED460000}"/>
    <cellStyle name="Comma 4 2 2 3" xfId="18160" xr:uid="{00000000-0005-0000-0000-0000EE460000}"/>
    <cellStyle name="Comma 4 2 2 4" xfId="18161" xr:uid="{00000000-0005-0000-0000-0000EF460000}"/>
    <cellStyle name="Comma 4 2 2 5" xfId="18162" xr:uid="{00000000-0005-0000-0000-0000F0460000}"/>
    <cellStyle name="Comma 4 2 2 6" xfId="18163" xr:uid="{00000000-0005-0000-0000-0000F1460000}"/>
    <cellStyle name="Comma 4 2 3" xfId="18164" xr:uid="{00000000-0005-0000-0000-0000F2460000}"/>
    <cellStyle name="Comma 4 2 3 2" xfId="18165" xr:uid="{00000000-0005-0000-0000-0000F3460000}"/>
    <cellStyle name="Comma 4 2 3 2 2" xfId="18166" xr:uid="{00000000-0005-0000-0000-0000F4460000}"/>
    <cellStyle name="Comma 4 2 3 3" xfId="18167" xr:uid="{00000000-0005-0000-0000-0000F5460000}"/>
    <cellStyle name="Comma 4 2 3 4" xfId="18168" xr:uid="{00000000-0005-0000-0000-0000F6460000}"/>
    <cellStyle name="Comma 4 2 3 5" xfId="18169" xr:uid="{00000000-0005-0000-0000-0000F7460000}"/>
    <cellStyle name="Comma 4 2 3 6" xfId="18170" xr:uid="{00000000-0005-0000-0000-0000F8460000}"/>
    <cellStyle name="Comma 4 2 4" xfId="18171" xr:uid="{00000000-0005-0000-0000-0000F9460000}"/>
    <cellStyle name="Comma 4 2 4 2" xfId="18172" xr:uid="{00000000-0005-0000-0000-0000FA460000}"/>
    <cellStyle name="Comma 4 2 4 3" xfId="18173" xr:uid="{00000000-0005-0000-0000-0000FB460000}"/>
    <cellStyle name="Comma 4 2 4 4" xfId="18174" xr:uid="{00000000-0005-0000-0000-0000FC460000}"/>
    <cellStyle name="Comma 4 2 5" xfId="18175" xr:uid="{00000000-0005-0000-0000-0000FD460000}"/>
    <cellStyle name="Comma 4 2 5 2" xfId="18176" xr:uid="{00000000-0005-0000-0000-0000FE460000}"/>
    <cellStyle name="Comma 4 2 6" xfId="18177" xr:uid="{00000000-0005-0000-0000-0000FF460000}"/>
    <cellStyle name="Comma 4 2 7" xfId="18178" xr:uid="{00000000-0005-0000-0000-000000470000}"/>
    <cellStyle name="Comma 4 2 8" xfId="18179" xr:uid="{00000000-0005-0000-0000-000001470000}"/>
    <cellStyle name="Comma 4 2 9" xfId="18180" xr:uid="{00000000-0005-0000-0000-000002470000}"/>
    <cellStyle name="Comma 4 20" xfId="18181" xr:uid="{00000000-0005-0000-0000-000003470000}"/>
    <cellStyle name="Comma 4 21" xfId="18182" xr:uid="{00000000-0005-0000-0000-000004470000}"/>
    <cellStyle name="Comma 4 3" xfId="18183" xr:uid="{00000000-0005-0000-0000-000005470000}"/>
    <cellStyle name="Comma 4 3 2" xfId="18184" xr:uid="{00000000-0005-0000-0000-000006470000}"/>
    <cellStyle name="Comma 4 3 2 2" xfId="18185" xr:uid="{00000000-0005-0000-0000-000007470000}"/>
    <cellStyle name="Comma 4 3 2 2 2" xfId="18186" xr:uid="{00000000-0005-0000-0000-000008470000}"/>
    <cellStyle name="Comma 4 3 2 3" xfId="18187" xr:uid="{00000000-0005-0000-0000-000009470000}"/>
    <cellStyle name="Comma 4 3 2 4" xfId="18188" xr:uid="{00000000-0005-0000-0000-00000A470000}"/>
    <cellStyle name="Comma 4 3 2 5" xfId="18189" xr:uid="{00000000-0005-0000-0000-00000B470000}"/>
    <cellStyle name="Comma 4 3 2 6" xfId="18190" xr:uid="{00000000-0005-0000-0000-00000C470000}"/>
    <cellStyle name="Comma 4 3 3" xfId="18191" xr:uid="{00000000-0005-0000-0000-00000D470000}"/>
    <cellStyle name="Comma 4 3 3 2" xfId="18192" xr:uid="{00000000-0005-0000-0000-00000E470000}"/>
    <cellStyle name="Comma 4 3 3 3" xfId="18193" xr:uid="{00000000-0005-0000-0000-00000F470000}"/>
    <cellStyle name="Comma 4 3 3 4" xfId="18194" xr:uid="{00000000-0005-0000-0000-000010470000}"/>
    <cellStyle name="Comma 4 3 4" xfId="18195" xr:uid="{00000000-0005-0000-0000-000011470000}"/>
    <cellStyle name="Comma 4 3 4 2" xfId="18196" xr:uid="{00000000-0005-0000-0000-000012470000}"/>
    <cellStyle name="Comma 4 3 5" xfId="18197" xr:uid="{00000000-0005-0000-0000-000013470000}"/>
    <cellStyle name="Comma 4 3 6" xfId="18198" xr:uid="{00000000-0005-0000-0000-000014470000}"/>
    <cellStyle name="Comma 4 3 7" xfId="18199" xr:uid="{00000000-0005-0000-0000-000015470000}"/>
    <cellStyle name="Comma 4 3 8" xfId="18200" xr:uid="{00000000-0005-0000-0000-000016470000}"/>
    <cellStyle name="Comma 4 4" xfId="18201" xr:uid="{00000000-0005-0000-0000-000017470000}"/>
    <cellStyle name="Comma 4 4 2" xfId="18202" xr:uid="{00000000-0005-0000-0000-000018470000}"/>
    <cellStyle name="Comma 4 4 2 2" xfId="18203" xr:uid="{00000000-0005-0000-0000-000019470000}"/>
    <cellStyle name="Comma 4 4 2 3" xfId="18204" xr:uid="{00000000-0005-0000-0000-00001A470000}"/>
    <cellStyle name="Comma 4 4 3" xfId="18205" xr:uid="{00000000-0005-0000-0000-00001B470000}"/>
    <cellStyle name="Comma 4 4 4" xfId="18206" xr:uid="{00000000-0005-0000-0000-00001C470000}"/>
    <cellStyle name="Comma 4 4 5" xfId="18207" xr:uid="{00000000-0005-0000-0000-00001D470000}"/>
    <cellStyle name="Comma 4 4 6" xfId="18208" xr:uid="{00000000-0005-0000-0000-00001E470000}"/>
    <cellStyle name="Comma 4 5" xfId="18209" xr:uid="{00000000-0005-0000-0000-00001F470000}"/>
    <cellStyle name="Comma 4 5 2" xfId="18210" xr:uid="{00000000-0005-0000-0000-000020470000}"/>
    <cellStyle name="Comma 4 5 2 2" xfId="18211" xr:uid="{00000000-0005-0000-0000-000021470000}"/>
    <cellStyle name="Comma 4 5 3" xfId="18212" xr:uid="{00000000-0005-0000-0000-000022470000}"/>
    <cellStyle name="Comma 4 5 4" xfId="18213" xr:uid="{00000000-0005-0000-0000-000023470000}"/>
    <cellStyle name="Comma 4 5 5" xfId="18214" xr:uid="{00000000-0005-0000-0000-000024470000}"/>
    <cellStyle name="Comma 4 5 6" xfId="18215" xr:uid="{00000000-0005-0000-0000-000025470000}"/>
    <cellStyle name="Comma 4 6" xfId="18216" xr:uid="{00000000-0005-0000-0000-000026470000}"/>
    <cellStyle name="Comma 4 6 2" xfId="18217" xr:uid="{00000000-0005-0000-0000-000027470000}"/>
    <cellStyle name="Comma 4 6 3" xfId="18218" xr:uid="{00000000-0005-0000-0000-000028470000}"/>
    <cellStyle name="Comma 4 6 4" xfId="18219" xr:uid="{00000000-0005-0000-0000-000029470000}"/>
    <cellStyle name="Comma 4 6 5" xfId="18220" xr:uid="{00000000-0005-0000-0000-00002A470000}"/>
    <cellStyle name="Comma 4 7" xfId="18221" xr:uid="{00000000-0005-0000-0000-00002B470000}"/>
    <cellStyle name="Comma 4 7 2" xfId="18222" xr:uid="{00000000-0005-0000-0000-00002C470000}"/>
    <cellStyle name="Comma 4 7 3" xfId="18223" xr:uid="{00000000-0005-0000-0000-00002D470000}"/>
    <cellStyle name="Comma 4 8" xfId="18224" xr:uid="{00000000-0005-0000-0000-00002E470000}"/>
    <cellStyle name="Comma 4 8 2" xfId="18225" xr:uid="{00000000-0005-0000-0000-00002F470000}"/>
    <cellStyle name="Comma 4 8 3" xfId="18226" xr:uid="{00000000-0005-0000-0000-000030470000}"/>
    <cellStyle name="Comma 4 9" xfId="18227" xr:uid="{00000000-0005-0000-0000-000031470000}"/>
    <cellStyle name="Comma 5" xfId="18228" xr:uid="{00000000-0005-0000-0000-000032470000}"/>
    <cellStyle name="Comma 5 10" xfId="18229" xr:uid="{00000000-0005-0000-0000-000033470000}"/>
    <cellStyle name="Comma 5 11" xfId="42321" xr:uid="{00000000-0005-0000-0000-000034470000}"/>
    <cellStyle name="Comma 5 2" xfId="18230" xr:uid="{00000000-0005-0000-0000-000035470000}"/>
    <cellStyle name="Comma 5 2 2" xfId="18231" xr:uid="{00000000-0005-0000-0000-000036470000}"/>
    <cellStyle name="Comma 5 2 2 2" xfId="18232" xr:uid="{00000000-0005-0000-0000-000037470000}"/>
    <cellStyle name="Comma 5 2 2 2 2" xfId="18233" xr:uid="{00000000-0005-0000-0000-000038470000}"/>
    <cellStyle name="Comma 5 2 2 2 3" xfId="18234" xr:uid="{00000000-0005-0000-0000-000039470000}"/>
    <cellStyle name="Comma 5 2 2 3" xfId="18235" xr:uid="{00000000-0005-0000-0000-00003A470000}"/>
    <cellStyle name="Comma 5 2 2 4" xfId="18236" xr:uid="{00000000-0005-0000-0000-00003B470000}"/>
    <cellStyle name="Comma 5 2 2 5" xfId="18237" xr:uid="{00000000-0005-0000-0000-00003C470000}"/>
    <cellStyle name="Comma 5 2 2 6" xfId="18238" xr:uid="{00000000-0005-0000-0000-00003D470000}"/>
    <cellStyle name="Comma 5 2 3" xfId="18239" xr:uid="{00000000-0005-0000-0000-00003E470000}"/>
    <cellStyle name="Comma 5 2 3 2" xfId="18240" xr:uid="{00000000-0005-0000-0000-00003F470000}"/>
    <cellStyle name="Comma 5 2 3 2 2" xfId="18241" xr:uid="{00000000-0005-0000-0000-000040470000}"/>
    <cellStyle name="Comma 5 2 3 3" xfId="18242" xr:uid="{00000000-0005-0000-0000-000041470000}"/>
    <cellStyle name="Comma 5 2 3 4" xfId="18243" xr:uid="{00000000-0005-0000-0000-000042470000}"/>
    <cellStyle name="Comma 5 2 3 5" xfId="18244" xr:uid="{00000000-0005-0000-0000-000043470000}"/>
    <cellStyle name="Comma 5 2 4" xfId="18245" xr:uid="{00000000-0005-0000-0000-000044470000}"/>
    <cellStyle name="Comma 5 2 4 2" xfId="18246" xr:uid="{00000000-0005-0000-0000-000045470000}"/>
    <cellStyle name="Comma 5 2 4 3" xfId="18247" xr:uid="{00000000-0005-0000-0000-000046470000}"/>
    <cellStyle name="Comma 5 2 4 4" xfId="18248" xr:uid="{00000000-0005-0000-0000-000047470000}"/>
    <cellStyle name="Comma 5 2 5" xfId="18249" xr:uid="{00000000-0005-0000-0000-000048470000}"/>
    <cellStyle name="Comma 5 2 5 2" xfId="18250" xr:uid="{00000000-0005-0000-0000-000049470000}"/>
    <cellStyle name="Comma 5 2 6" xfId="18251" xr:uid="{00000000-0005-0000-0000-00004A470000}"/>
    <cellStyle name="Comma 5 2 7" xfId="18252" xr:uid="{00000000-0005-0000-0000-00004B470000}"/>
    <cellStyle name="Comma 5 2 8" xfId="18253" xr:uid="{00000000-0005-0000-0000-00004C470000}"/>
    <cellStyle name="Comma 5 2 9" xfId="18254" xr:uid="{00000000-0005-0000-0000-00004D470000}"/>
    <cellStyle name="Comma 5 3" xfId="18255" xr:uid="{00000000-0005-0000-0000-00004E470000}"/>
    <cellStyle name="Comma 5 3 2" xfId="18256" xr:uid="{00000000-0005-0000-0000-00004F470000}"/>
    <cellStyle name="Comma 5 3 2 2" xfId="18257" xr:uid="{00000000-0005-0000-0000-000050470000}"/>
    <cellStyle name="Comma 5 3 2 3" xfId="18258" xr:uid="{00000000-0005-0000-0000-000051470000}"/>
    <cellStyle name="Comma 5 3 3" xfId="18259" xr:uid="{00000000-0005-0000-0000-000052470000}"/>
    <cellStyle name="Comma 5 3 4" xfId="18260" xr:uid="{00000000-0005-0000-0000-000053470000}"/>
    <cellStyle name="Comma 5 3 5" xfId="18261" xr:uid="{00000000-0005-0000-0000-000054470000}"/>
    <cellStyle name="Comma 5 3 6" xfId="18262" xr:uid="{00000000-0005-0000-0000-000055470000}"/>
    <cellStyle name="Comma 5 4" xfId="18263" xr:uid="{00000000-0005-0000-0000-000056470000}"/>
    <cellStyle name="Comma 5 4 2" xfId="18264" xr:uid="{00000000-0005-0000-0000-000057470000}"/>
    <cellStyle name="Comma 5 4 2 2" xfId="18265" xr:uid="{00000000-0005-0000-0000-000058470000}"/>
    <cellStyle name="Comma 5 4 3" xfId="18266" xr:uid="{00000000-0005-0000-0000-000059470000}"/>
    <cellStyle name="Comma 5 4 4" xfId="18267" xr:uid="{00000000-0005-0000-0000-00005A470000}"/>
    <cellStyle name="Comma 5 4 5" xfId="18268" xr:uid="{00000000-0005-0000-0000-00005B470000}"/>
    <cellStyle name="Comma 5 5" xfId="18269" xr:uid="{00000000-0005-0000-0000-00005C470000}"/>
    <cellStyle name="Comma 5 5 2" xfId="18270" xr:uid="{00000000-0005-0000-0000-00005D470000}"/>
    <cellStyle name="Comma 5 5 3" xfId="18271" xr:uid="{00000000-0005-0000-0000-00005E470000}"/>
    <cellStyle name="Comma 5 5 4" xfId="18272" xr:uid="{00000000-0005-0000-0000-00005F470000}"/>
    <cellStyle name="Comma 5 6" xfId="18273" xr:uid="{00000000-0005-0000-0000-000060470000}"/>
    <cellStyle name="Comma 5 6 2" xfId="18274" xr:uid="{00000000-0005-0000-0000-000061470000}"/>
    <cellStyle name="Comma 5 7" xfId="18275" xr:uid="{00000000-0005-0000-0000-000062470000}"/>
    <cellStyle name="Comma 5 8" xfId="18276" xr:uid="{00000000-0005-0000-0000-000063470000}"/>
    <cellStyle name="Comma 5 9" xfId="18277" xr:uid="{00000000-0005-0000-0000-000064470000}"/>
    <cellStyle name="Comma 6" xfId="18278" xr:uid="{00000000-0005-0000-0000-000065470000}"/>
    <cellStyle name="Comma 6 2" xfId="18279" xr:uid="{00000000-0005-0000-0000-000066470000}"/>
    <cellStyle name="Comma 6 2 2" xfId="18280" xr:uid="{00000000-0005-0000-0000-000067470000}"/>
    <cellStyle name="Comma 6 2 2 2" xfId="18281" xr:uid="{00000000-0005-0000-0000-000068470000}"/>
    <cellStyle name="Comma 6 2 2 3" xfId="18282" xr:uid="{00000000-0005-0000-0000-000069470000}"/>
    <cellStyle name="Comma 6 2 3" xfId="18283" xr:uid="{00000000-0005-0000-0000-00006A470000}"/>
    <cellStyle name="Comma 6 2 4" xfId="18284" xr:uid="{00000000-0005-0000-0000-00006B470000}"/>
    <cellStyle name="Comma 6 2 5" xfId="18285" xr:uid="{00000000-0005-0000-0000-00006C470000}"/>
    <cellStyle name="Comma 6 2 6" xfId="18286" xr:uid="{00000000-0005-0000-0000-00006D470000}"/>
    <cellStyle name="Comma 6 3" xfId="18287" xr:uid="{00000000-0005-0000-0000-00006E470000}"/>
    <cellStyle name="Comma 6 3 2" xfId="18288" xr:uid="{00000000-0005-0000-0000-00006F470000}"/>
    <cellStyle name="Comma 6 3 2 2" xfId="18289" xr:uid="{00000000-0005-0000-0000-000070470000}"/>
    <cellStyle name="Comma 6 3 3" xfId="18290" xr:uid="{00000000-0005-0000-0000-000071470000}"/>
    <cellStyle name="Comma 6 3 4" xfId="18291" xr:uid="{00000000-0005-0000-0000-000072470000}"/>
    <cellStyle name="Comma 6 3 5" xfId="18292" xr:uid="{00000000-0005-0000-0000-000073470000}"/>
    <cellStyle name="Comma 6 3 6" xfId="18293" xr:uid="{00000000-0005-0000-0000-000074470000}"/>
    <cellStyle name="Comma 6 4" xfId="18294" xr:uid="{00000000-0005-0000-0000-000075470000}"/>
    <cellStyle name="Comma 6 4 2" xfId="18295" xr:uid="{00000000-0005-0000-0000-000076470000}"/>
    <cellStyle name="Comma 6 4 3" xfId="18296" xr:uid="{00000000-0005-0000-0000-000077470000}"/>
    <cellStyle name="Comma 6 4 4" xfId="18297" xr:uid="{00000000-0005-0000-0000-000078470000}"/>
    <cellStyle name="Comma 6 5" xfId="18298" xr:uid="{00000000-0005-0000-0000-000079470000}"/>
    <cellStyle name="Comma 6 5 2" xfId="18299" xr:uid="{00000000-0005-0000-0000-00007A470000}"/>
    <cellStyle name="Comma 6 6" xfId="18300" xr:uid="{00000000-0005-0000-0000-00007B470000}"/>
    <cellStyle name="Comma 6 7" xfId="18301" xr:uid="{00000000-0005-0000-0000-00007C470000}"/>
    <cellStyle name="Comma 6 8" xfId="18302" xr:uid="{00000000-0005-0000-0000-00007D470000}"/>
    <cellStyle name="Comma 6 9" xfId="18303" xr:uid="{00000000-0005-0000-0000-00007E470000}"/>
    <cellStyle name="Comma 7" xfId="18304" xr:uid="{00000000-0005-0000-0000-00007F470000}"/>
    <cellStyle name="Comma 7 2" xfId="18305" xr:uid="{00000000-0005-0000-0000-000080470000}"/>
    <cellStyle name="Comma 7 2 2" xfId="18306" xr:uid="{00000000-0005-0000-0000-000081470000}"/>
    <cellStyle name="Comma 7 2 2 2" xfId="18307" xr:uid="{00000000-0005-0000-0000-000082470000}"/>
    <cellStyle name="Comma 7 2 3" xfId="18308" xr:uid="{00000000-0005-0000-0000-000083470000}"/>
    <cellStyle name="Comma 7 2 4" xfId="18309" xr:uid="{00000000-0005-0000-0000-000084470000}"/>
    <cellStyle name="Comma 7 2 5" xfId="18310" xr:uid="{00000000-0005-0000-0000-000085470000}"/>
    <cellStyle name="Comma 7 2 6" xfId="18311" xr:uid="{00000000-0005-0000-0000-000086470000}"/>
    <cellStyle name="Comma 7 3" xfId="18312" xr:uid="{00000000-0005-0000-0000-000087470000}"/>
    <cellStyle name="Comma 7 3 2" xfId="18313" xr:uid="{00000000-0005-0000-0000-000088470000}"/>
    <cellStyle name="Comma 7 3 3" xfId="18314" xr:uid="{00000000-0005-0000-0000-000089470000}"/>
    <cellStyle name="Comma 7 3 4" xfId="18315" xr:uid="{00000000-0005-0000-0000-00008A470000}"/>
    <cellStyle name="Comma 7 4" xfId="18316" xr:uid="{00000000-0005-0000-0000-00008B470000}"/>
    <cellStyle name="Comma 7 4 2" xfId="18317" xr:uid="{00000000-0005-0000-0000-00008C470000}"/>
    <cellStyle name="Comma 7 5" xfId="18318" xr:uid="{00000000-0005-0000-0000-00008D470000}"/>
    <cellStyle name="Comma 7 6" xfId="18319" xr:uid="{00000000-0005-0000-0000-00008E470000}"/>
    <cellStyle name="Comma 7 7" xfId="18320" xr:uid="{00000000-0005-0000-0000-00008F470000}"/>
    <cellStyle name="Comma 7 8" xfId="18321" xr:uid="{00000000-0005-0000-0000-000090470000}"/>
    <cellStyle name="Comma 8" xfId="18322" xr:uid="{00000000-0005-0000-0000-000091470000}"/>
    <cellStyle name="Comma 8 2" xfId="18323" xr:uid="{00000000-0005-0000-0000-000092470000}"/>
    <cellStyle name="Comma 8 2 2" xfId="18324" xr:uid="{00000000-0005-0000-0000-000093470000}"/>
    <cellStyle name="Comma 8 2 2 2" xfId="18325" xr:uid="{00000000-0005-0000-0000-000094470000}"/>
    <cellStyle name="Comma 8 2 3" xfId="18326" xr:uid="{00000000-0005-0000-0000-000095470000}"/>
    <cellStyle name="Comma 8 2 4" xfId="18327" xr:uid="{00000000-0005-0000-0000-000096470000}"/>
    <cellStyle name="Comma 8 2 5" xfId="18328" xr:uid="{00000000-0005-0000-0000-000097470000}"/>
    <cellStyle name="Comma 8 3" xfId="18329" xr:uid="{00000000-0005-0000-0000-000098470000}"/>
    <cellStyle name="Comma 8 3 2" xfId="18330" xr:uid="{00000000-0005-0000-0000-000099470000}"/>
    <cellStyle name="Comma 8 3 3" xfId="18331" xr:uid="{00000000-0005-0000-0000-00009A470000}"/>
    <cellStyle name="Comma 8 3 4" xfId="18332" xr:uid="{00000000-0005-0000-0000-00009B470000}"/>
    <cellStyle name="Comma 8 4" xfId="18333" xr:uid="{00000000-0005-0000-0000-00009C470000}"/>
    <cellStyle name="Comma 8 4 2" xfId="18334" xr:uid="{00000000-0005-0000-0000-00009D470000}"/>
    <cellStyle name="Comma 8 5" xfId="18335" xr:uid="{00000000-0005-0000-0000-00009E470000}"/>
    <cellStyle name="Comma 8 6" xfId="18336" xr:uid="{00000000-0005-0000-0000-00009F470000}"/>
    <cellStyle name="Comma 8 7" xfId="18337" xr:uid="{00000000-0005-0000-0000-0000A0470000}"/>
    <cellStyle name="Comma 8 8" xfId="18338" xr:uid="{00000000-0005-0000-0000-0000A1470000}"/>
    <cellStyle name="Comma 9" xfId="18339" xr:uid="{00000000-0005-0000-0000-0000A2470000}"/>
    <cellStyle name="Comma 9 2" xfId="18340" xr:uid="{00000000-0005-0000-0000-0000A3470000}"/>
    <cellStyle name="Comma 9 3" xfId="18341" xr:uid="{00000000-0005-0000-0000-0000A4470000}"/>
    <cellStyle name="Comma0" xfId="18342" xr:uid="{00000000-0005-0000-0000-0000A5470000}"/>
    <cellStyle name="Currency" xfId="2" builtinId="4"/>
    <cellStyle name="Currency 10" xfId="18343" xr:uid="{00000000-0005-0000-0000-0000A7470000}"/>
    <cellStyle name="Currency 10 2" xfId="18344" xr:uid="{00000000-0005-0000-0000-0000A8470000}"/>
    <cellStyle name="Currency 10 2 2" xfId="18345" xr:uid="{00000000-0005-0000-0000-0000A9470000}"/>
    <cellStyle name="Currency 10 2 3" xfId="18346" xr:uid="{00000000-0005-0000-0000-0000AA470000}"/>
    <cellStyle name="Currency 10 2 4" xfId="18347" xr:uid="{00000000-0005-0000-0000-0000AB470000}"/>
    <cellStyle name="Currency 10 3" xfId="18348" xr:uid="{00000000-0005-0000-0000-0000AC470000}"/>
    <cellStyle name="Currency 10 3 2" xfId="18349" xr:uid="{00000000-0005-0000-0000-0000AD470000}"/>
    <cellStyle name="Currency 10 4" xfId="18350" xr:uid="{00000000-0005-0000-0000-0000AE470000}"/>
    <cellStyle name="Currency 10 5" xfId="18351" xr:uid="{00000000-0005-0000-0000-0000AF470000}"/>
    <cellStyle name="Currency 10 6" xfId="18352" xr:uid="{00000000-0005-0000-0000-0000B0470000}"/>
    <cellStyle name="Currency 11" xfId="18353" xr:uid="{00000000-0005-0000-0000-0000B1470000}"/>
    <cellStyle name="Currency 11 2" xfId="18354" xr:uid="{00000000-0005-0000-0000-0000B2470000}"/>
    <cellStyle name="Currency 11 2 2" xfId="18355" xr:uid="{00000000-0005-0000-0000-0000B3470000}"/>
    <cellStyle name="Currency 11 2 3" xfId="18356" xr:uid="{00000000-0005-0000-0000-0000B4470000}"/>
    <cellStyle name="Currency 11 3" xfId="18357" xr:uid="{00000000-0005-0000-0000-0000B5470000}"/>
    <cellStyle name="Currency 12" xfId="18358" xr:uid="{00000000-0005-0000-0000-0000B6470000}"/>
    <cellStyle name="Currency 13" xfId="42322" xr:uid="{00000000-0005-0000-0000-0000B7470000}"/>
    <cellStyle name="Currency 2" xfId="18359" xr:uid="{00000000-0005-0000-0000-0000B8470000}"/>
    <cellStyle name="Currency 2 10" xfId="18360" xr:uid="{00000000-0005-0000-0000-0000B9470000}"/>
    <cellStyle name="Currency 2 10 2" xfId="18361" xr:uid="{00000000-0005-0000-0000-0000BA470000}"/>
    <cellStyle name="Currency 2 10 3" xfId="18362" xr:uid="{00000000-0005-0000-0000-0000BB470000}"/>
    <cellStyle name="Currency 2 10 4" xfId="18363" xr:uid="{00000000-0005-0000-0000-0000BC470000}"/>
    <cellStyle name="Currency 2 10 5" xfId="18364" xr:uid="{00000000-0005-0000-0000-0000BD470000}"/>
    <cellStyle name="Currency 2 10 6" xfId="18365" xr:uid="{00000000-0005-0000-0000-0000BE470000}"/>
    <cellStyle name="Currency 2 10 7" xfId="18366" xr:uid="{00000000-0005-0000-0000-0000BF470000}"/>
    <cellStyle name="Currency 2 11" xfId="18367" xr:uid="{00000000-0005-0000-0000-0000C0470000}"/>
    <cellStyle name="Currency 2 11 2" xfId="18368" xr:uid="{00000000-0005-0000-0000-0000C1470000}"/>
    <cellStyle name="Currency 2 11 3" xfId="18369" xr:uid="{00000000-0005-0000-0000-0000C2470000}"/>
    <cellStyle name="Currency 2 11 4" xfId="18370" xr:uid="{00000000-0005-0000-0000-0000C3470000}"/>
    <cellStyle name="Currency 2 11 5" xfId="18371" xr:uid="{00000000-0005-0000-0000-0000C4470000}"/>
    <cellStyle name="Currency 2 11 6" xfId="18372" xr:uid="{00000000-0005-0000-0000-0000C5470000}"/>
    <cellStyle name="Currency 2 11 7" xfId="18373" xr:uid="{00000000-0005-0000-0000-0000C6470000}"/>
    <cellStyle name="Currency 2 12" xfId="18374" xr:uid="{00000000-0005-0000-0000-0000C7470000}"/>
    <cellStyle name="Currency 2 12 2" xfId="18375" xr:uid="{00000000-0005-0000-0000-0000C8470000}"/>
    <cellStyle name="Currency 2 12 3" xfId="18376" xr:uid="{00000000-0005-0000-0000-0000C9470000}"/>
    <cellStyle name="Currency 2 12 4" xfId="18377" xr:uid="{00000000-0005-0000-0000-0000CA470000}"/>
    <cellStyle name="Currency 2 12 5" xfId="18378" xr:uid="{00000000-0005-0000-0000-0000CB470000}"/>
    <cellStyle name="Currency 2 12 6" xfId="18379" xr:uid="{00000000-0005-0000-0000-0000CC470000}"/>
    <cellStyle name="Currency 2 12 7" xfId="18380" xr:uid="{00000000-0005-0000-0000-0000CD470000}"/>
    <cellStyle name="Currency 2 13" xfId="18381" xr:uid="{00000000-0005-0000-0000-0000CE470000}"/>
    <cellStyle name="Currency 2 13 2" xfId="18382" xr:uid="{00000000-0005-0000-0000-0000CF470000}"/>
    <cellStyle name="Currency 2 13 3" xfId="18383" xr:uid="{00000000-0005-0000-0000-0000D0470000}"/>
    <cellStyle name="Currency 2 13 4" xfId="18384" xr:uid="{00000000-0005-0000-0000-0000D1470000}"/>
    <cellStyle name="Currency 2 13 5" xfId="18385" xr:uid="{00000000-0005-0000-0000-0000D2470000}"/>
    <cellStyle name="Currency 2 13 6" xfId="18386" xr:uid="{00000000-0005-0000-0000-0000D3470000}"/>
    <cellStyle name="Currency 2 13 7" xfId="18387" xr:uid="{00000000-0005-0000-0000-0000D4470000}"/>
    <cellStyle name="Currency 2 14" xfId="18388" xr:uid="{00000000-0005-0000-0000-0000D5470000}"/>
    <cellStyle name="Currency 2 14 2" xfId="18389" xr:uid="{00000000-0005-0000-0000-0000D6470000}"/>
    <cellStyle name="Currency 2 14 3" xfId="18390" xr:uid="{00000000-0005-0000-0000-0000D7470000}"/>
    <cellStyle name="Currency 2 14 4" xfId="18391" xr:uid="{00000000-0005-0000-0000-0000D8470000}"/>
    <cellStyle name="Currency 2 14 5" xfId="18392" xr:uid="{00000000-0005-0000-0000-0000D9470000}"/>
    <cellStyle name="Currency 2 14 6" xfId="18393" xr:uid="{00000000-0005-0000-0000-0000DA470000}"/>
    <cellStyle name="Currency 2 14 7" xfId="18394" xr:uid="{00000000-0005-0000-0000-0000DB470000}"/>
    <cellStyle name="Currency 2 15" xfId="18395" xr:uid="{00000000-0005-0000-0000-0000DC470000}"/>
    <cellStyle name="Currency 2 15 2" xfId="18396" xr:uid="{00000000-0005-0000-0000-0000DD470000}"/>
    <cellStyle name="Currency 2 15 3" xfId="18397" xr:uid="{00000000-0005-0000-0000-0000DE470000}"/>
    <cellStyle name="Currency 2 15 4" xfId="18398" xr:uid="{00000000-0005-0000-0000-0000DF470000}"/>
    <cellStyle name="Currency 2 15 5" xfId="18399" xr:uid="{00000000-0005-0000-0000-0000E0470000}"/>
    <cellStyle name="Currency 2 15 6" xfId="18400" xr:uid="{00000000-0005-0000-0000-0000E1470000}"/>
    <cellStyle name="Currency 2 15 7" xfId="18401" xr:uid="{00000000-0005-0000-0000-0000E2470000}"/>
    <cellStyle name="Currency 2 16" xfId="18402" xr:uid="{00000000-0005-0000-0000-0000E3470000}"/>
    <cellStyle name="Currency 2 16 2" xfId="18403" xr:uid="{00000000-0005-0000-0000-0000E4470000}"/>
    <cellStyle name="Currency 2 16 3" xfId="18404" xr:uid="{00000000-0005-0000-0000-0000E5470000}"/>
    <cellStyle name="Currency 2 16 4" xfId="18405" xr:uid="{00000000-0005-0000-0000-0000E6470000}"/>
    <cellStyle name="Currency 2 16 5" xfId="18406" xr:uid="{00000000-0005-0000-0000-0000E7470000}"/>
    <cellStyle name="Currency 2 16 6" xfId="18407" xr:uid="{00000000-0005-0000-0000-0000E8470000}"/>
    <cellStyle name="Currency 2 16 7" xfId="18408" xr:uid="{00000000-0005-0000-0000-0000E9470000}"/>
    <cellStyle name="Currency 2 17" xfId="18409" xr:uid="{00000000-0005-0000-0000-0000EA470000}"/>
    <cellStyle name="Currency 2 17 2" xfId="18410" xr:uid="{00000000-0005-0000-0000-0000EB470000}"/>
    <cellStyle name="Currency 2 17 2 2" xfId="18411" xr:uid="{00000000-0005-0000-0000-0000EC470000}"/>
    <cellStyle name="Currency 2 17 3" xfId="18412" xr:uid="{00000000-0005-0000-0000-0000ED470000}"/>
    <cellStyle name="Currency 2 17 4" xfId="18413" xr:uid="{00000000-0005-0000-0000-0000EE470000}"/>
    <cellStyle name="Currency 2 17 5" xfId="18414" xr:uid="{00000000-0005-0000-0000-0000EF470000}"/>
    <cellStyle name="Currency 2 17 6" xfId="18415" xr:uid="{00000000-0005-0000-0000-0000F0470000}"/>
    <cellStyle name="Currency 2 17 7" xfId="18416" xr:uid="{00000000-0005-0000-0000-0000F1470000}"/>
    <cellStyle name="Currency 2 18" xfId="18417" xr:uid="{00000000-0005-0000-0000-0000F2470000}"/>
    <cellStyle name="Currency 2 18 2" xfId="18418" xr:uid="{00000000-0005-0000-0000-0000F3470000}"/>
    <cellStyle name="Currency 2 18 3" xfId="18419" xr:uid="{00000000-0005-0000-0000-0000F4470000}"/>
    <cellStyle name="Currency 2 18 4" xfId="18420" xr:uid="{00000000-0005-0000-0000-0000F5470000}"/>
    <cellStyle name="Currency 2 18 5" xfId="18421" xr:uid="{00000000-0005-0000-0000-0000F6470000}"/>
    <cellStyle name="Currency 2 18 6" xfId="18422" xr:uid="{00000000-0005-0000-0000-0000F7470000}"/>
    <cellStyle name="Currency 2 18 7" xfId="18423" xr:uid="{00000000-0005-0000-0000-0000F8470000}"/>
    <cellStyle name="Currency 2 19" xfId="18424" xr:uid="{00000000-0005-0000-0000-0000F9470000}"/>
    <cellStyle name="Currency 2 19 2" xfId="18425" xr:uid="{00000000-0005-0000-0000-0000FA470000}"/>
    <cellStyle name="Currency 2 19 3" xfId="18426" xr:uid="{00000000-0005-0000-0000-0000FB470000}"/>
    <cellStyle name="Currency 2 19 4" xfId="18427" xr:uid="{00000000-0005-0000-0000-0000FC470000}"/>
    <cellStyle name="Currency 2 19 5" xfId="18428" xr:uid="{00000000-0005-0000-0000-0000FD470000}"/>
    <cellStyle name="Currency 2 19 6" xfId="18429" xr:uid="{00000000-0005-0000-0000-0000FE470000}"/>
    <cellStyle name="Currency 2 19 7" xfId="18430" xr:uid="{00000000-0005-0000-0000-0000FF470000}"/>
    <cellStyle name="Currency 2 2" xfId="18431" xr:uid="{00000000-0005-0000-0000-000000480000}"/>
    <cellStyle name="Currency 2 2 10" xfId="18432" xr:uid="{00000000-0005-0000-0000-000001480000}"/>
    <cellStyle name="Currency 2 2 10 2" xfId="18433" xr:uid="{00000000-0005-0000-0000-000002480000}"/>
    <cellStyle name="Currency 2 2 11" xfId="18434" xr:uid="{00000000-0005-0000-0000-000003480000}"/>
    <cellStyle name="Currency 2 2 11 2" xfId="18435" xr:uid="{00000000-0005-0000-0000-000004480000}"/>
    <cellStyle name="Currency 2 2 12" xfId="18436" xr:uid="{00000000-0005-0000-0000-000005480000}"/>
    <cellStyle name="Currency 2 2 12 2" xfId="18437" xr:uid="{00000000-0005-0000-0000-000006480000}"/>
    <cellStyle name="Currency 2 2 13" xfId="18438" xr:uid="{00000000-0005-0000-0000-000007480000}"/>
    <cellStyle name="Currency 2 2 13 2" xfId="18439" xr:uid="{00000000-0005-0000-0000-000008480000}"/>
    <cellStyle name="Currency 2 2 14" xfId="18440" xr:uid="{00000000-0005-0000-0000-000009480000}"/>
    <cellStyle name="Currency 2 2 14 2" xfId="18441" xr:uid="{00000000-0005-0000-0000-00000A480000}"/>
    <cellStyle name="Currency 2 2 15" xfId="18442" xr:uid="{00000000-0005-0000-0000-00000B480000}"/>
    <cellStyle name="Currency 2 2 15 2" xfId="18443" xr:uid="{00000000-0005-0000-0000-00000C480000}"/>
    <cellStyle name="Currency 2 2 16" xfId="18444" xr:uid="{00000000-0005-0000-0000-00000D480000}"/>
    <cellStyle name="Currency 2 2 16 2" xfId="18445" xr:uid="{00000000-0005-0000-0000-00000E480000}"/>
    <cellStyle name="Currency 2 2 17" xfId="18446" xr:uid="{00000000-0005-0000-0000-00000F480000}"/>
    <cellStyle name="Currency 2 2 18" xfId="18447" xr:uid="{00000000-0005-0000-0000-000010480000}"/>
    <cellStyle name="Currency 2 2 19" xfId="18448" xr:uid="{00000000-0005-0000-0000-000011480000}"/>
    <cellStyle name="Currency 2 2 2" xfId="18449" xr:uid="{00000000-0005-0000-0000-000012480000}"/>
    <cellStyle name="Currency 2 2 2 2" xfId="18450" xr:uid="{00000000-0005-0000-0000-000013480000}"/>
    <cellStyle name="Currency 2 2 2 3" xfId="18451" xr:uid="{00000000-0005-0000-0000-000014480000}"/>
    <cellStyle name="Currency 2 2 2 4" xfId="18452" xr:uid="{00000000-0005-0000-0000-000015480000}"/>
    <cellStyle name="Currency 2 2 20" xfId="18453" xr:uid="{00000000-0005-0000-0000-000016480000}"/>
    <cellStyle name="Currency 2 2 21" xfId="18454" xr:uid="{00000000-0005-0000-0000-000017480000}"/>
    <cellStyle name="Currency 2 2 22" xfId="18455" xr:uid="{00000000-0005-0000-0000-000018480000}"/>
    <cellStyle name="Currency 2 2 23" xfId="18456" xr:uid="{00000000-0005-0000-0000-000019480000}"/>
    <cellStyle name="Currency 2 2 24" xfId="18457" xr:uid="{00000000-0005-0000-0000-00001A480000}"/>
    <cellStyle name="Currency 2 2 25" xfId="18458" xr:uid="{00000000-0005-0000-0000-00001B480000}"/>
    <cellStyle name="Currency 2 2 26" xfId="18459" xr:uid="{00000000-0005-0000-0000-00001C480000}"/>
    <cellStyle name="Currency 2 2 27" xfId="18460" xr:uid="{00000000-0005-0000-0000-00001D480000}"/>
    <cellStyle name="Currency 2 2 28" xfId="18461" xr:uid="{00000000-0005-0000-0000-00001E480000}"/>
    <cellStyle name="Currency 2 2 29" xfId="18462" xr:uid="{00000000-0005-0000-0000-00001F480000}"/>
    <cellStyle name="Currency 2 2 3" xfId="18463" xr:uid="{00000000-0005-0000-0000-000020480000}"/>
    <cellStyle name="Currency 2 2 3 2" xfId="18464" xr:uid="{00000000-0005-0000-0000-000021480000}"/>
    <cellStyle name="Currency 2 2 3 3" xfId="18465" xr:uid="{00000000-0005-0000-0000-000022480000}"/>
    <cellStyle name="Currency 2 2 3 4" xfId="18466" xr:uid="{00000000-0005-0000-0000-000023480000}"/>
    <cellStyle name="Currency 2 2 3 4 2" xfId="18467" xr:uid="{00000000-0005-0000-0000-000024480000}"/>
    <cellStyle name="Currency 2 2 3 5" xfId="18468" xr:uid="{00000000-0005-0000-0000-000025480000}"/>
    <cellStyle name="Currency 2 2 3 6" xfId="18469" xr:uid="{00000000-0005-0000-0000-000026480000}"/>
    <cellStyle name="Currency 2 2 30" xfId="18470" xr:uid="{00000000-0005-0000-0000-000027480000}"/>
    <cellStyle name="Currency 2 2 31" xfId="18471" xr:uid="{00000000-0005-0000-0000-000028480000}"/>
    <cellStyle name="Currency 2 2 32" xfId="18472" xr:uid="{00000000-0005-0000-0000-000029480000}"/>
    <cellStyle name="Currency 2 2 33" xfId="18473" xr:uid="{00000000-0005-0000-0000-00002A480000}"/>
    <cellStyle name="Currency 2 2 34" xfId="18474" xr:uid="{00000000-0005-0000-0000-00002B480000}"/>
    <cellStyle name="Currency 2 2 35" xfId="18475" xr:uid="{00000000-0005-0000-0000-00002C480000}"/>
    <cellStyle name="Currency 2 2 36" xfId="18476" xr:uid="{00000000-0005-0000-0000-00002D480000}"/>
    <cellStyle name="Currency 2 2 37" xfId="18477" xr:uid="{00000000-0005-0000-0000-00002E480000}"/>
    <cellStyle name="Currency 2 2 38" xfId="18478" xr:uid="{00000000-0005-0000-0000-00002F480000}"/>
    <cellStyle name="Currency 2 2 39" xfId="18479" xr:uid="{00000000-0005-0000-0000-000030480000}"/>
    <cellStyle name="Currency 2 2 4" xfId="18480" xr:uid="{00000000-0005-0000-0000-000031480000}"/>
    <cellStyle name="Currency 2 2 4 2" xfId="18481" xr:uid="{00000000-0005-0000-0000-000032480000}"/>
    <cellStyle name="Currency 2 2 4 3" xfId="18482" xr:uid="{00000000-0005-0000-0000-000033480000}"/>
    <cellStyle name="Currency 2 2 40" xfId="18483" xr:uid="{00000000-0005-0000-0000-000034480000}"/>
    <cellStyle name="Currency 2 2 41" xfId="18484" xr:uid="{00000000-0005-0000-0000-000035480000}"/>
    <cellStyle name="Currency 2 2 42" xfId="18485" xr:uid="{00000000-0005-0000-0000-000036480000}"/>
    <cellStyle name="Currency 2 2 43" xfId="18486" xr:uid="{00000000-0005-0000-0000-000037480000}"/>
    <cellStyle name="Currency 2 2 44" xfId="18487" xr:uid="{00000000-0005-0000-0000-000038480000}"/>
    <cellStyle name="Currency 2 2 45" xfId="18488" xr:uid="{00000000-0005-0000-0000-000039480000}"/>
    <cellStyle name="Currency 2 2 46" xfId="18489" xr:uid="{00000000-0005-0000-0000-00003A480000}"/>
    <cellStyle name="Currency 2 2 47" xfId="18490" xr:uid="{00000000-0005-0000-0000-00003B480000}"/>
    <cellStyle name="Currency 2 2 48" xfId="18491" xr:uid="{00000000-0005-0000-0000-00003C480000}"/>
    <cellStyle name="Currency 2 2 49" xfId="18492" xr:uid="{00000000-0005-0000-0000-00003D480000}"/>
    <cellStyle name="Currency 2 2 5" xfId="18493" xr:uid="{00000000-0005-0000-0000-00003E480000}"/>
    <cellStyle name="Currency 2 2 5 2" xfId="18494" xr:uid="{00000000-0005-0000-0000-00003F480000}"/>
    <cellStyle name="Currency 2 2 5 3" xfId="18495" xr:uid="{00000000-0005-0000-0000-000040480000}"/>
    <cellStyle name="Currency 2 2 50" xfId="18496" xr:uid="{00000000-0005-0000-0000-000041480000}"/>
    <cellStyle name="Currency 2 2 51" xfId="18497" xr:uid="{00000000-0005-0000-0000-000042480000}"/>
    <cellStyle name="Currency 2 2 52" xfId="18498" xr:uid="{00000000-0005-0000-0000-000043480000}"/>
    <cellStyle name="Currency 2 2 6" xfId="18499" xr:uid="{00000000-0005-0000-0000-000044480000}"/>
    <cellStyle name="Currency 2 2 6 2" xfId="18500" xr:uid="{00000000-0005-0000-0000-000045480000}"/>
    <cellStyle name="Currency 2 2 6 3" xfId="18501" xr:uid="{00000000-0005-0000-0000-000046480000}"/>
    <cellStyle name="Currency 2 2 7" xfId="18502" xr:uid="{00000000-0005-0000-0000-000047480000}"/>
    <cellStyle name="Currency 2 2 7 2" xfId="18503" xr:uid="{00000000-0005-0000-0000-000048480000}"/>
    <cellStyle name="Currency 2 2 7 3" xfId="18504" xr:uid="{00000000-0005-0000-0000-000049480000}"/>
    <cellStyle name="Currency 2 2 8" xfId="18505" xr:uid="{00000000-0005-0000-0000-00004A480000}"/>
    <cellStyle name="Currency 2 2 8 2" xfId="18506" xr:uid="{00000000-0005-0000-0000-00004B480000}"/>
    <cellStyle name="Currency 2 2 8 3" xfId="18507" xr:uid="{00000000-0005-0000-0000-00004C480000}"/>
    <cellStyle name="Currency 2 2 9" xfId="18508" xr:uid="{00000000-0005-0000-0000-00004D480000}"/>
    <cellStyle name="Currency 2 2 9 2" xfId="18509" xr:uid="{00000000-0005-0000-0000-00004E480000}"/>
    <cellStyle name="Currency 2 20" xfId="18510" xr:uid="{00000000-0005-0000-0000-00004F480000}"/>
    <cellStyle name="Currency 2 20 2" xfId="18511" xr:uid="{00000000-0005-0000-0000-000050480000}"/>
    <cellStyle name="Currency 2 20 3" xfId="18512" xr:uid="{00000000-0005-0000-0000-000051480000}"/>
    <cellStyle name="Currency 2 20 4" xfId="18513" xr:uid="{00000000-0005-0000-0000-000052480000}"/>
    <cellStyle name="Currency 2 20 5" xfId="18514" xr:uid="{00000000-0005-0000-0000-000053480000}"/>
    <cellStyle name="Currency 2 20 6" xfId="18515" xr:uid="{00000000-0005-0000-0000-000054480000}"/>
    <cellStyle name="Currency 2 20 7" xfId="18516" xr:uid="{00000000-0005-0000-0000-000055480000}"/>
    <cellStyle name="Currency 2 21" xfId="18517" xr:uid="{00000000-0005-0000-0000-000056480000}"/>
    <cellStyle name="Currency 2 21 2" xfId="18518" xr:uid="{00000000-0005-0000-0000-000057480000}"/>
    <cellStyle name="Currency 2 21 3" xfId="18519" xr:uid="{00000000-0005-0000-0000-000058480000}"/>
    <cellStyle name="Currency 2 21 4" xfId="18520" xr:uid="{00000000-0005-0000-0000-000059480000}"/>
    <cellStyle name="Currency 2 21 5" xfId="18521" xr:uid="{00000000-0005-0000-0000-00005A480000}"/>
    <cellStyle name="Currency 2 21 6" xfId="18522" xr:uid="{00000000-0005-0000-0000-00005B480000}"/>
    <cellStyle name="Currency 2 22" xfId="18523" xr:uid="{00000000-0005-0000-0000-00005C480000}"/>
    <cellStyle name="Currency 2 22 2" xfId="18524" xr:uid="{00000000-0005-0000-0000-00005D480000}"/>
    <cellStyle name="Currency 2 22 3" xfId="18525" xr:uid="{00000000-0005-0000-0000-00005E480000}"/>
    <cellStyle name="Currency 2 22 4" xfId="18526" xr:uid="{00000000-0005-0000-0000-00005F480000}"/>
    <cellStyle name="Currency 2 22 5" xfId="18527" xr:uid="{00000000-0005-0000-0000-000060480000}"/>
    <cellStyle name="Currency 2 22 6" xfId="18528" xr:uid="{00000000-0005-0000-0000-000061480000}"/>
    <cellStyle name="Currency 2 23" xfId="18529" xr:uid="{00000000-0005-0000-0000-000062480000}"/>
    <cellStyle name="Currency 2 23 2" xfId="18530" xr:uid="{00000000-0005-0000-0000-000063480000}"/>
    <cellStyle name="Currency 2 23 3" xfId="18531" xr:uid="{00000000-0005-0000-0000-000064480000}"/>
    <cellStyle name="Currency 2 23 4" xfId="18532" xr:uid="{00000000-0005-0000-0000-000065480000}"/>
    <cellStyle name="Currency 2 23 5" xfId="18533" xr:uid="{00000000-0005-0000-0000-000066480000}"/>
    <cellStyle name="Currency 2 23 6" xfId="18534" xr:uid="{00000000-0005-0000-0000-000067480000}"/>
    <cellStyle name="Currency 2 24" xfId="18535" xr:uid="{00000000-0005-0000-0000-000068480000}"/>
    <cellStyle name="Currency 2 24 2" xfId="18536" xr:uid="{00000000-0005-0000-0000-000069480000}"/>
    <cellStyle name="Currency 2 24 3" xfId="18537" xr:uid="{00000000-0005-0000-0000-00006A480000}"/>
    <cellStyle name="Currency 2 24 4" xfId="18538" xr:uid="{00000000-0005-0000-0000-00006B480000}"/>
    <cellStyle name="Currency 2 24 5" xfId="18539" xr:uid="{00000000-0005-0000-0000-00006C480000}"/>
    <cellStyle name="Currency 2 24 6" xfId="18540" xr:uid="{00000000-0005-0000-0000-00006D480000}"/>
    <cellStyle name="Currency 2 25" xfId="18541" xr:uid="{00000000-0005-0000-0000-00006E480000}"/>
    <cellStyle name="Currency 2 25 2" xfId="18542" xr:uid="{00000000-0005-0000-0000-00006F480000}"/>
    <cellStyle name="Currency 2 25 3" xfId="18543" xr:uid="{00000000-0005-0000-0000-000070480000}"/>
    <cellStyle name="Currency 2 25 4" xfId="18544" xr:uid="{00000000-0005-0000-0000-000071480000}"/>
    <cellStyle name="Currency 2 25 5" xfId="18545" xr:uid="{00000000-0005-0000-0000-000072480000}"/>
    <cellStyle name="Currency 2 25 6" xfId="18546" xr:uid="{00000000-0005-0000-0000-000073480000}"/>
    <cellStyle name="Currency 2 26" xfId="18547" xr:uid="{00000000-0005-0000-0000-000074480000}"/>
    <cellStyle name="Currency 2 26 2" xfId="18548" xr:uid="{00000000-0005-0000-0000-000075480000}"/>
    <cellStyle name="Currency 2 26 3" xfId="18549" xr:uid="{00000000-0005-0000-0000-000076480000}"/>
    <cellStyle name="Currency 2 26 4" xfId="18550" xr:uid="{00000000-0005-0000-0000-000077480000}"/>
    <cellStyle name="Currency 2 26 5" xfId="18551" xr:uid="{00000000-0005-0000-0000-000078480000}"/>
    <cellStyle name="Currency 2 26 6" xfId="18552" xr:uid="{00000000-0005-0000-0000-000079480000}"/>
    <cellStyle name="Currency 2 27" xfId="18553" xr:uid="{00000000-0005-0000-0000-00007A480000}"/>
    <cellStyle name="Currency 2 27 2" xfId="18554" xr:uid="{00000000-0005-0000-0000-00007B480000}"/>
    <cellStyle name="Currency 2 27 3" xfId="18555" xr:uid="{00000000-0005-0000-0000-00007C480000}"/>
    <cellStyle name="Currency 2 27 4" xfId="18556" xr:uid="{00000000-0005-0000-0000-00007D480000}"/>
    <cellStyle name="Currency 2 27 5" xfId="18557" xr:uid="{00000000-0005-0000-0000-00007E480000}"/>
    <cellStyle name="Currency 2 27 6" xfId="18558" xr:uid="{00000000-0005-0000-0000-00007F480000}"/>
    <cellStyle name="Currency 2 28" xfId="18559" xr:uid="{00000000-0005-0000-0000-000080480000}"/>
    <cellStyle name="Currency 2 28 2" xfId="18560" xr:uid="{00000000-0005-0000-0000-000081480000}"/>
    <cellStyle name="Currency 2 28 3" xfId="18561" xr:uid="{00000000-0005-0000-0000-000082480000}"/>
    <cellStyle name="Currency 2 28 4" xfId="18562" xr:uid="{00000000-0005-0000-0000-000083480000}"/>
    <cellStyle name="Currency 2 28 5" xfId="18563" xr:uid="{00000000-0005-0000-0000-000084480000}"/>
    <cellStyle name="Currency 2 28 6" xfId="18564" xr:uid="{00000000-0005-0000-0000-000085480000}"/>
    <cellStyle name="Currency 2 29" xfId="18565" xr:uid="{00000000-0005-0000-0000-000086480000}"/>
    <cellStyle name="Currency 2 29 2" xfId="18566" xr:uid="{00000000-0005-0000-0000-000087480000}"/>
    <cellStyle name="Currency 2 29 3" xfId="18567" xr:uid="{00000000-0005-0000-0000-000088480000}"/>
    <cellStyle name="Currency 2 29 4" xfId="18568" xr:uid="{00000000-0005-0000-0000-000089480000}"/>
    <cellStyle name="Currency 2 29 5" xfId="18569" xr:uid="{00000000-0005-0000-0000-00008A480000}"/>
    <cellStyle name="Currency 2 29 6" xfId="18570" xr:uid="{00000000-0005-0000-0000-00008B480000}"/>
    <cellStyle name="Currency 2 3" xfId="18571" xr:uid="{00000000-0005-0000-0000-00008C480000}"/>
    <cellStyle name="Currency 2 3 2" xfId="18572" xr:uid="{00000000-0005-0000-0000-00008D480000}"/>
    <cellStyle name="Currency 2 3 2 2" xfId="18573" xr:uid="{00000000-0005-0000-0000-00008E480000}"/>
    <cellStyle name="Currency 2 3 3" xfId="18574" xr:uid="{00000000-0005-0000-0000-00008F480000}"/>
    <cellStyle name="Currency 2 3 4" xfId="18575" xr:uid="{00000000-0005-0000-0000-000090480000}"/>
    <cellStyle name="Currency 2 3 5" xfId="18576" xr:uid="{00000000-0005-0000-0000-000091480000}"/>
    <cellStyle name="Currency 2 3 6" xfId="18577" xr:uid="{00000000-0005-0000-0000-000092480000}"/>
    <cellStyle name="Currency 2 3 7" xfId="18578" xr:uid="{00000000-0005-0000-0000-000093480000}"/>
    <cellStyle name="Currency 2 30" xfId="18579" xr:uid="{00000000-0005-0000-0000-000094480000}"/>
    <cellStyle name="Currency 2 30 2" xfId="18580" xr:uid="{00000000-0005-0000-0000-000095480000}"/>
    <cellStyle name="Currency 2 30 3" xfId="18581" xr:uid="{00000000-0005-0000-0000-000096480000}"/>
    <cellStyle name="Currency 2 30 4" xfId="18582" xr:uid="{00000000-0005-0000-0000-000097480000}"/>
    <cellStyle name="Currency 2 30 5" xfId="18583" xr:uid="{00000000-0005-0000-0000-000098480000}"/>
    <cellStyle name="Currency 2 30 6" xfId="18584" xr:uid="{00000000-0005-0000-0000-000099480000}"/>
    <cellStyle name="Currency 2 31" xfId="18585" xr:uid="{00000000-0005-0000-0000-00009A480000}"/>
    <cellStyle name="Currency 2 31 2" xfId="18586" xr:uid="{00000000-0005-0000-0000-00009B480000}"/>
    <cellStyle name="Currency 2 31 3" xfId="18587" xr:uid="{00000000-0005-0000-0000-00009C480000}"/>
    <cellStyle name="Currency 2 31 4" xfId="18588" xr:uid="{00000000-0005-0000-0000-00009D480000}"/>
    <cellStyle name="Currency 2 31 5" xfId="18589" xr:uid="{00000000-0005-0000-0000-00009E480000}"/>
    <cellStyle name="Currency 2 31 6" xfId="18590" xr:uid="{00000000-0005-0000-0000-00009F480000}"/>
    <cellStyle name="Currency 2 32" xfId="18591" xr:uid="{00000000-0005-0000-0000-0000A0480000}"/>
    <cellStyle name="Currency 2 32 2" xfId="18592" xr:uid="{00000000-0005-0000-0000-0000A1480000}"/>
    <cellStyle name="Currency 2 32 3" xfId="18593" xr:uid="{00000000-0005-0000-0000-0000A2480000}"/>
    <cellStyle name="Currency 2 32 4" xfId="18594" xr:uid="{00000000-0005-0000-0000-0000A3480000}"/>
    <cellStyle name="Currency 2 32 5" xfId="18595" xr:uid="{00000000-0005-0000-0000-0000A4480000}"/>
    <cellStyle name="Currency 2 32 6" xfId="18596" xr:uid="{00000000-0005-0000-0000-0000A5480000}"/>
    <cellStyle name="Currency 2 33" xfId="18597" xr:uid="{00000000-0005-0000-0000-0000A6480000}"/>
    <cellStyle name="Currency 2 33 2" xfId="18598" xr:uid="{00000000-0005-0000-0000-0000A7480000}"/>
    <cellStyle name="Currency 2 33 3" xfId="18599" xr:uid="{00000000-0005-0000-0000-0000A8480000}"/>
    <cellStyle name="Currency 2 33 4" xfId="18600" xr:uid="{00000000-0005-0000-0000-0000A9480000}"/>
    <cellStyle name="Currency 2 33 5" xfId="18601" xr:uid="{00000000-0005-0000-0000-0000AA480000}"/>
    <cellStyle name="Currency 2 33 6" xfId="18602" xr:uid="{00000000-0005-0000-0000-0000AB480000}"/>
    <cellStyle name="Currency 2 34" xfId="18603" xr:uid="{00000000-0005-0000-0000-0000AC480000}"/>
    <cellStyle name="Currency 2 34 2" xfId="18604" xr:uid="{00000000-0005-0000-0000-0000AD480000}"/>
    <cellStyle name="Currency 2 34 3" xfId="18605" xr:uid="{00000000-0005-0000-0000-0000AE480000}"/>
    <cellStyle name="Currency 2 34 4" xfId="18606" xr:uid="{00000000-0005-0000-0000-0000AF480000}"/>
    <cellStyle name="Currency 2 34 5" xfId="18607" xr:uid="{00000000-0005-0000-0000-0000B0480000}"/>
    <cellStyle name="Currency 2 34 6" xfId="18608" xr:uid="{00000000-0005-0000-0000-0000B1480000}"/>
    <cellStyle name="Currency 2 35" xfId="18609" xr:uid="{00000000-0005-0000-0000-0000B2480000}"/>
    <cellStyle name="Currency 2 35 2" xfId="18610" xr:uid="{00000000-0005-0000-0000-0000B3480000}"/>
    <cellStyle name="Currency 2 35 3" xfId="18611" xr:uid="{00000000-0005-0000-0000-0000B4480000}"/>
    <cellStyle name="Currency 2 35 4" xfId="18612" xr:uid="{00000000-0005-0000-0000-0000B5480000}"/>
    <cellStyle name="Currency 2 35 5" xfId="18613" xr:uid="{00000000-0005-0000-0000-0000B6480000}"/>
    <cellStyle name="Currency 2 35 6" xfId="18614" xr:uid="{00000000-0005-0000-0000-0000B7480000}"/>
    <cellStyle name="Currency 2 36" xfId="18615" xr:uid="{00000000-0005-0000-0000-0000B8480000}"/>
    <cellStyle name="Currency 2 36 2" xfId="18616" xr:uid="{00000000-0005-0000-0000-0000B9480000}"/>
    <cellStyle name="Currency 2 36 3" xfId="18617" xr:uid="{00000000-0005-0000-0000-0000BA480000}"/>
    <cellStyle name="Currency 2 36 4" xfId="18618" xr:uid="{00000000-0005-0000-0000-0000BB480000}"/>
    <cellStyle name="Currency 2 36 5" xfId="18619" xr:uid="{00000000-0005-0000-0000-0000BC480000}"/>
    <cellStyle name="Currency 2 36 6" xfId="18620" xr:uid="{00000000-0005-0000-0000-0000BD480000}"/>
    <cellStyle name="Currency 2 37" xfId="18621" xr:uid="{00000000-0005-0000-0000-0000BE480000}"/>
    <cellStyle name="Currency 2 37 2" xfId="18622" xr:uid="{00000000-0005-0000-0000-0000BF480000}"/>
    <cellStyle name="Currency 2 37 3" xfId="18623" xr:uid="{00000000-0005-0000-0000-0000C0480000}"/>
    <cellStyle name="Currency 2 37 4" xfId="18624" xr:uid="{00000000-0005-0000-0000-0000C1480000}"/>
    <cellStyle name="Currency 2 37 5" xfId="18625" xr:uid="{00000000-0005-0000-0000-0000C2480000}"/>
    <cellStyle name="Currency 2 37 6" xfId="18626" xr:uid="{00000000-0005-0000-0000-0000C3480000}"/>
    <cellStyle name="Currency 2 38" xfId="18627" xr:uid="{00000000-0005-0000-0000-0000C4480000}"/>
    <cellStyle name="Currency 2 38 2" xfId="18628" xr:uid="{00000000-0005-0000-0000-0000C5480000}"/>
    <cellStyle name="Currency 2 38 3" xfId="18629" xr:uid="{00000000-0005-0000-0000-0000C6480000}"/>
    <cellStyle name="Currency 2 38 4" xfId="18630" xr:uid="{00000000-0005-0000-0000-0000C7480000}"/>
    <cellStyle name="Currency 2 38 5" xfId="18631" xr:uid="{00000000-0005-0000-0000-0000C8480000}"/>
    <cellStyle name="Currency 2 38 6" xfId="18632" xr:uid="{00000000-0005-0000-0000-0000C9480000}"/>
    <cellStyle name="Currency 2 39" xfId="18633" xr:uid="{00000000-0005-0000-0000-0000CA480000}"/>
    <cellStyle name="Currency 2 39 2" xfId="18634" xr:uid="{00000000-0005-0000-0000-0000CB480000}"/>
    <cellStyle name="Currency 2 39 3" xfId="18635" xr:uid="{00000000-0005-0000-0000-0000CC480000}"/>
    <cellStyle name="Currency 2 39 4" xfId="18636" xr:uid="{00000000-0005-0000-0000-0000CD480000}"/>
    <cellStyle name="Currency 2 39 5" xfId="18637" xr:uid="{00000000-0005-0000-0000-0000CE480000}"/>
    <cellStyle name="Currency 2 39 6" xfId="18638" xr:uid="{00000000-0005-0000-0000-0000CF480000}"/>
    <cellStyle name="Currency 2 4" xfId="18639" xr:uid="{00000000-0005-0000-0000-0000D0480000}"/>
    <cellStyle name="Currency 2 4 2" xfId="18640" xr:uid="{00000000-0005-0000-0000-0000D1480000}"/>
    <cellStyle name="Currency 2 4 3" xfId="18641" xr:uid="{00000000-0005-0000-0000-0000D2480000}"/>
    <cellStyle name="Currency 2 4 4" xfId="18642" xr:uid="{00000000-0005-0000-0000-0000D3480000}"/>
    <cellStyle name="Currency 2 4 5" xfId="18643" xr:uid="{00000000-0005-0000-0000-0000D4480000}"/>
    <cellStyle name="Currency 2 4 6" xfId="18644" xr:uid="{00000000-0005-0000-0000-0000D5480000}"/>
    <cellStyle name="Currency 2 4 7" xfId="18645" xr:uid="{00000000-0005-0000-0000-0000D6480000}"/>
    <cellStyle name="Currency 2 40" xfId="18646" xr:uid="{00000000-0005-0000-0000-0000D7480000}"/>
    <cellStyle name="Currency 2 40 2" xfId="18647" xr:uid="{00000000-0005-0000-0000-0000D8480000}"/>
    <cellStyle name="Currency 2 40 3" xfId="18648" xr:uid="{00000000-0005-0000-0000-0000D9480000}"/>
    <cellStyle name="Currency 2 40 4" xfId="18649" xr:uid="{00000000-0005-0000-0000-0000DA480000}"/>
    <cellStyle name="Currency 2 40 5" xfId="18650" xr:uid="{00000000-0005-0000-0000-0000DB480000}"/>
    <cellStyle name="Currency 2 40 6" xfId="18651" xr:uid="{00000000-0005-0000-0000-0000DC480000}"/>
    <cellStyle name="Currency 2 41" xfId="18652" xr:uid="{00000000-0005-0000-0000-0000DD480000}"/>
    <cellStyle name="Currency 2 41 2" xfId="18653" xr:uid="{00000000-0005-0000-0000-0000DE480000}"/>
    <cellStyle name="Currency 2 41 3" xfId="18654" xr:uid="{00000000-0005-0000-0000-0000DF480000}"/>
    <cellStyle name="Currency 2 41 4" xfId="18655" xr:uid="{00000000-0005-0000-0000-0000E0480000}"/>
    <cellStyle name="Currency 2 41 5" xfId="18656" xr:uid="{00000000-0005-0000-0000-0000E1480000}"/>
    <cellStyle name="Currency 2 41 6" xfId="18657" xr:uid="{00000000-0005-0000-0000-0000E2480000}"/>
    <cellStyle name="Currency 2 42" xfId="18658" xr:uid="{00000000-0005-0000-0000-0000E3480000}"/>
    <cellStyle name="Currency 2 42 2" xfId="18659" xr:uid="{00000000-0005-0000-0000-0000E4480000}"/>
    <cellStyle name="Currency 2 42 3" xfId="18660" xr:uid="{00000000-0005-0000-0000-0000E5480000}"/>
    <cellStyle name="Currency 2 42 4" xfId="18661" xr:uid="{00000000-0005-0000-0000-0000E6480000}"/>
    <cellStyle name="Currency 2 42 5" xfId="18662" xr:uid="{00000000-0005-0000-0000-0000E7480000}"/>
    <cellStyle name="Currency 2 42 6" xfId="18663" xr:uid="{00000000-0005-0000-0000-0000E8480000}"/>
    <cellStyle name="Currency 2 43" xfId="18664" xr:uid="{00000000-0005-0000-0000-0000E9480000}"/>
    <cellStyle name="Currency 2 43 2" xfId="18665" xr:uid="{00000000-0005-0000-0000-0000EA480000}"/>
    <cellStyle name="Currency 2 43 3" xfId="18666" xr:uid="{00000000-0005-0000-0000-0000EB480000}"/>
    <cellStyle name="Currency 2 43 4" xfId="18667" xr:uid="{00000000-0005-0000-0000-0000EC480000}"/>
    <cellStyle name="Currency 2 43 5" xfId="18668" xr:uid="{00000000-0005-0000-0000-0000ED480000}"/>
    <cellStyle name="Currency 2 43 6" xfId="18669" xr:uid="{00000000-0005-0000-0000-0000EE480000}"/>
    <cellStyle name="Currency 2 44" xfId="18670" xr:uid="{00000000-0005-0000-0000-0000EF480000}"/>
    <cellStyle name="Currency 2 44 2" xfId="18671" xr:uid="{00000000-0005-0000-0000-0000F0480000}"/>
    <cellStyle name="Currency 2 44 3" xfId="18672" xr:uid="{00000000-0005-0000-0000-0000F1480000}"/>
    <cellStyle name="Currency 2 44 4" xfId="18673" xr:uid="{00000000-0005-0000-0000-0000F2480000}"/>
    <cellStyle name="Currency 2 44 5" xfId="18674" xr:uid="{00000000-0005-0000-0000-0000F3480000}"/>
    <cellStyle name="Currency 2 44 6" xfId="18675" xr:uid="{00000000-0005-0000-0000-0000F4480000}"/>
    <cellStyle name="Currency 2 45" xfId="18676" xr:uid="{00000000-0005-0000-0000-0000F5480000}"/>
    <cellStyle name="Currency 2 45 2" xfId="18677" xr:uid="{00000000-0005-0000-0000-0000F6480000}"/>
    <cellStyle name="Currency 2 45 3" xfId="18678" xr:uid="{00000000-0005-0000-0000-0000F7480000}"/>
    <cellStyle name="Currency 2 45 4" xfId="18679" xr:uid="{00000000-0005-0000-0000-0000F8480000}"/>
    <cellStyle name="Currency 2 45 5" xfId="18680" xr:uid="{00000000-0005-0000-0000-0000F9480000}"/>
    <cellStyle name="Currency 2 45 6" xfId="18681" xr:uid="{00000000-0005-0000-0000-0000FA480000}"/>
    <cellStyle name="Currency 2 46" xfId="18682" xr:uid="{00000000-0005-0000-0000-0000FB480000}"/>
    <cellStyle name="Currency 2 46 2" xfId="18683" xr:uid="{00000000-0005-0000-0000-0000FC480000}"/>
    <cellStyle name="Currency 2 46 3" xfId="18684" xr:uid="{00000000-0005-0000-0000-0000FD480000}"/>
    <cellStyle name="Currency 2 46 4" xfId="18685" xr:uid="{00000000-0005-0000-0000-0000FE480000}"/>
    <cellStyle name="Currency 2 46 5" xfId="18686" xr:uid="{00000000-0005-0000-0000-0000FF480000}"/>
    <cellStyle name="Currency 2 46 6" xfId="18687" xr:uid="{00000000-0005-0000-0000-000000490000}"/>
    <cellStyle name="Currency 2 47" xfId="18688" xr:uid="{00000000-0005-0000-0000-000001490000}"/>
    <cellStyle name="Currency 2 47 2" xfId="18689" xr:uid="{00000000-0005-0000-0000-000002490000}"/>
    <cellStyle name="Currency 2 47 3" xfId="18690" xr:uid="{00000000-0005-0000-0000-000003490000}"/>
    <cellStyle name="Currency 2 47 4" xfId="18691" xr:uid="{00000000-0005-0000-0000-000004490000}"/>
    <cellStyle name="Currency 2 47 5" xfId="18692" xr:uid="{00000000-0005-0000-0000-000005490000}"/>
    <cellStyle name="Currency 2 47 6" xfId="18693" xr:uid="{00000000-0005-0000-0000-000006490000}"/>
    <cellStyle name="Currency 2 48" xfId="18694" xr:uid="{00000000-0005-0000-0000-000007490000}"/>
    <cellStyle name="Currency 2 48 2" xfId="18695" xr:uid="{00000000-0005-0000-0000-000008490000}"/>
    <cellStyle name="Currency 2 48 3" xfId="18696" xr:uid="{00000000-0005-0000-0000-000009490000}"/>
    <cellStyle name="Currency 2 48 4" xfId="18697" xr:uid="{00000000-0005-0000-0000-00000A490000}"/>
    <cellStyle name="Currency 2 48 5" xfId="18698" xr:uid="{00000000-0005-0000-0000-00000B490000}"/>
    <cellStyle name="Currency 2 48 6" xfId="18699" xr:uid="{00000000-0005-0000-0000-00000C490000}"/>
    <cellStyle name="Currency 2 49" xfId="18700" xr:uid="{00000000-0005-0000-0000-00000D490000}"/>
    <cellStyle name="Currency 2 49 2" xfId="18701" xr:uid="{00000000-0005-0000-0000-00000E490000}"/>
    <cellStyle name="Currency 2 49 3" xfId="18702" xr:uid="{00000000-0005-0000-0000-00000F490000}"/>
    <cellStyle name="Currency 2 49 4" xfId="18703" xr:uid="{00000000-0005-0000-0000-000010490000}"/>
    <cellStyle name="Currency 2 49 5" xfId="18704" xr:uid="{00000000-0005-0000-0000-000011490000}"/>
    <cellStyle name="Currency 2 49 6" xfId="18705" xr:uid="{00000000-0005-0000-0000-000012490000}"/>
    <cellStyle name="Currency 2 5" xfId="18706" xr:uid="{00000000-0005-0000-0000-000013490000}"/>
    <cellStyle name="Currency 2 5 2" xfId="18707" xr:uid="{00000000-0005-0000-0000-000014490000}"/>
    <cellStyle name="Currency 2 5 3" xfId="18708" xr:uid="{00000000-0005-0000-0000-000015490000}"/>
    <cellStyle name="Currency 2 5 4" xfId="18709" xr:uid="{00000000-0005-0000-0000-000016490000}"/>
    <cellStyle name="Currency 2 5 5" xfId="18710" xr:uid="{00000000-0005-0000-0000-000017490000}"/>
    <cellStyle name="Currency 2 5 6" xfId="18711" xr:uid="{00000000-0005-0000-0000-000018490000}"/>
    <cellStyle name="Currency 2 5 7" xfId="18712" xr:uid="{00000000-0005-0000-0000-000019490000}"/>
    <cellStyle name="Currency 2 50" xfId="18713" xr:uid="{00000000-0005-0000-0000-00001A490000}"/>
    <cellStyle name="Currency 2 50 2" xfId="18714" xr:uid="{00000000-0005-0000-0000-00001B490000}"/>
    <cellStyle name="Currency 2 50 3" xfId="18715" xr:uid="{00000000-0005-0000-0000-00001C490000}"/>
    <cellStyle name="Currency 2 50 4" xfId="18716" xr:uid="{00000000-0005-0000-0000-00001D490000}"/>
    <cellStyle name="Currency 2 50 5" xfId="18717" xr:uid="{00000000-0005-0000-0000-00001E490000}"/>
    <cellStyle name="Currency 2 50 6" xfId="18718" xr:uid="{00000000-0005-0000-0000-00001F490000}"/>
    <cellStyle name="Currency 2 51" xfId="18719" xr:uid="{00000000-0005-0000-0000-000020490000}"/>
    <cellStyle name="Currency 2 51 2" xfId="18720" xr:uid="{00000000-0005-0000-0000-000021490000}"/>
    <cellStyle name="Currency 2 51 3" xfId="18721" xr:uid="{00000000-0005-0000-0000-000022490000}"/>
    <cellStyle name="Currency 2 51 4" xfId="18722" xr:uid="{00000000-0005-0000-0000-000023490000}"/>
    <cellStyle name="Currency 2 51 5" xfId="18723" xr:uid="{00000000-0005-0000-0000-000024490000}"/>
    <cellStyle name="Currency 2 51 6" xfId="18724" xr:uid="{00000000-0005-0000-0000-000025490000}"/>
    <cellStyle name="Currency 2 52" xfId="18725" xr:uid="{00000000-0005-0000-0000-000026490000}"/>
    <cellStyle name="Currency 2 52 2" xfId="18726" xr:uid="{00000000-0005-0000-0000-000027490000}"/>
    <cellStyle name="Currency 2 52 3" xfId="18727" xr:uid="{00000000-0005-0000-0000-000028490000}"/>
    <cellStyle name="Currency 2 52 4" xfId="18728" xr:uid="{00000000-0005-0000-0000-000029490000}"/>
    <cellStyle name="Currency 2 52 5" xfId="18729" xr:uid="{00000000-0005-0000-0000-00002A490000}"/>
    <cellStyle name="Currency 2 52 6" xfId="18730" xr:uid="{00000000-0005-0000-0000-00002B490000}"/>
    <cellStyle name="Currency 2 53" xfId="18731" xr:uid="{00000000-0005-0000-0000-00002C490000}"/>
    <cellStyle name="Currency 2 53 2" xfId="18732" xr:uid="{00000000-0005-0000-0000-00002D490000}"/>
    <cellStyle name="Currency 2 53 3" xfId="18733" xr:uid="{00000000-0005-0000-0000-00002E490000}"/>
    <cellStyle name="Currency 2 53 4" xfId="18734" xr:uid="{00000000-0005-0000-0000-00002F490000}"/>
    <cellStyle name="Currency 2 53 5" xfId="18735" xr:uid="{00000000-0005-0000-0000-000030490000}"/>
    <cellStyle name="Currency 2 53 6" xfId="18736" xr:uid="{00000000-0005-0000-0000-000031490000}"/>
    <cellStyle name="Currency 2 54" xfId="18737" xr:uid="{00000000-0005-0000-0000-000032490000}"/>
    <cellStyle name="Currency 2 54 2" xfId="18738" xr:uid="{00000000-0005-0000-0000-000033490000}"/>
    <cellStyle name="Currency 2 54 3" xfId="18739" xr:uid="{00000000-0005-0000-0000-000034490000}"/>
    <cellStyle name="Currency 2 54 4" xfId="18740" xr:uid="{00000000-0005-0000-0000-000035490000}"/>
    <cellStyle name="Currency 2 54 5" xfId="18741" xr:uid="{00000000-0005-0000-0000-000036490000}"/>
    <cellStyle name="Currency 2 54 6" xfId="18742" xr:uid="{00000000-0005-0000-0000-000037490000}"/>
    <cellStyle name="Currency 2 55" xfId="18743" xr:uid="{00000000-0005-0000-0000-000038490000}"/>
    <cellStyle name="Currency 2 55 2" xfId="18744" xr:uid="{00000000-0005-0000-0000-000039490000}"/>
    <cellStyle name="Currency 2 55 3" xfId="18745" xr:uid="{00000000-0005-0000-0000-00003A490000}"/>
    <cellStyle name="Currency 2 55 4" xfId="18746" xr:uid="{00000000-0005-0000-0000-00003B490000}"/>
    <cellStyle name="Currency 2 55 5" xfId="18747" xr:uid="{00000000-0005-0000-0000-00003C490000}"/>
    <cellStyle name="Currency 2 55 6" xfId="18748" xr:uid="{00000000-0005-0000-0000-00003D490000}"/>
    <cellStyle name="Currency 2 56" xfId="18749" xr:uid="{00000000-0005-0000-0000-00003E490000}"/>
    <cellStyle name="Currency 2 6" xfId="18750" xr:uid="{00000000-0005-0000-0000-00003F490000}"/>
    <cellStyle name="Currency 2 6 2" xfId="18751" xr:uid="{00000000-0005-0000-0000-000040490000}"/>
    <cellStyle name="Currency 2 6 3" xfId="18752" xr:uid="{00000000-0005-0000-0000-000041490000}"/>
    <cellStyle name="Currency 2 6 4" xfId="18753" xr:uid="{00000000-0005-0000-0000-000042490000}"/>
    <cellStyle name="Currency 2 6 5" xfId="18754" xr:uid="{00000000-0005-0000-0000-000043490000}"/>
    <cellStyle name="Currency 2 6 6" xfId="18755" xr:uid="{00000000-0005-0000-0000-000044490000}"/>
    <cellStyle name="Currency 2 6 7" xfId="18756" xr:uid="{00000000-0005-0000-0000-000045490000}"/>
    <cellStyle name="Currency 2 7" xfId="18757" xr:uid="{00000000-0005-0000-0000-000046490000}"/>
    <cellStyle name="Currency 2 7 10" xfId="18758" xr:uid="{00000000-0005-0000-0000-000047490000}"/>
    <cellStyle name="Currency 2 7 2" xfId="18759" xr:uid="{00000000-0005-0000-0000-000048490000}"/>
    <cellStyle name="Currency 2 7 2 2" xfId="18760" xr:uid="{00000000-0005-0000-0000-000049490000}"/>
    <cellStyle name="Currency 2 7 2 2 2" xfId="18761" xr:uid="{00000000-0005-0000-0000-00004A490000}"/>
    <cellStyle name="Currency 2 7 2 3" xfId="18762" xr:uid="{00000000-0005-0000-0000-00004B490000}"/>
    <cellStyle name="Currency 2 7 2 4" xfId="18763" xr:uid="{00000000-0005-0000-0000-00004C490000}"/>
    <cellStyle name="Currency 2 7 2 5" xfId="18764" xr:uid="{00000000-0005-0000-0000-00004D490000}"/>
    <cellStyle name="Currency 2 7 2 6" xfId="18765" xr:uid="{00000000-0005-0000-0000-00004E490000}"/>
    <cellStyle name="Currency 2 7 3" xfId="18766" xr:uid="{00000000-0005-0000-0000-00004F490000}"/>
    <cellStyle name="Currency 2 7 3 2" xfId="18767" xr:uid="{00000000-0005-0000-0000-000050490000}"/>
    <cellStyle name="Currency 2 7 3 3" xfId="18768" xr:uid="{00000000-0005-0000-0000-000051490000}"/>
    <cellStyle name="Currency 2 7 3 4" xfId="18769" xr:uid="{00000000-0005-0000-0000-000052490000}"/>
    <cellStyle name="Currency 2 7 3 5" xfId="18770" xr:uid="{00000000-0005-0000-0000-000053490000}"/>
    <cellStyle name="Currency 2 7 4" xfId="18771" xr:uid="{00000000-0005-0000-0000-000054490000}"/>
    <cellStyle name="Currency 2 7 4 2" xfId="18772" xr:uid="{00000000-0005-0000-0000-000055490000}"/>
    <cellStyle name="Currency 2 7 4 3" xfId="18773" xr:uid="{00000000-0005-0000-0000-000056490000}"/>
    <cellStyle name="Currency 2 7 5" xfId="18774" xr:uid="{00000000-0005-0000-0000-000057490000}"/>
    <cellStyle name="Currency 2 7 5 2" xfId="18775" xr:uid="{00000000-0005-0000-0000-000058490000}"/>
    <cellStyle name="Currency 2 7 6" xfId="18776" xr:uid="{00000000-0005-0000-0000-000059490000}"/>
    <cellStyle name="Currency 2 7 6 2" xfId="18777" xr:uid="{00000000-0005-0000-0000-00005A490000}"/>
    <cellStyle name="Currency 2 7 7" xfId="18778" xr:uid="{00000000-0005-0000-0000-00005B490000}"/>
    <cellStyle name="Currency 2 7 7 2" xfId="18779" xr:uid="{00000000-0005-0000-0000-00005C490000}"/>
    <cellStyle name="Currency 2 7 8" xfId="18780" xr:uid="{00000000-0005-0000-0000-00005D490000}"/>
    <cellStyle name="Currency 2 7 9" xfId="18781" xr:uid="{00000000-0005-0000-0000-00005E490000}"/>
    <cellStyle name="Currency 2 8" xfId="18782" xr:uid="{00000000-0005-0000-0000-00005F490000}"/>
    <cellStyle name="Currency 2 8 2" xfId="18783" xr:uid="{00000000-0005-0000-0000-000060490000}"/>
    <cellStyle name="Currency 2 8 2 2" xfId="18784" xr:uid="{00000000-0005-0000-0000-000061490000}"/>
    <cellStyle name="Currency 2 8 3" xfId="18785" xr:uid="{00000000-0005-0000-0000-000062490000}"/>
    <cellStyle name="Currency 2 8 3 2" xfId="18786" xr:uid="{00000000-0005-0000-0000-000063490000}"/>
    <cellStyle name="Currency 2 8 4" xfId="18787" xr:uid="{00000000-0005-0000-0000-000064490000}"/>
    <cellStyle name="Currency 2 8 5" xfId="18788" xr:uid="{00000000-0005-0000-0000-000065490000}"/>
    <cellStyle name="Currency 2 8 6" xfId="18789" xr:uid="{00000000-0005-0000-0000-000066490000}"/>
    <cellStyle name="Currency 2 8 7" xfId="18790" xr:uid="{00000000-0005-0000-0000-000067490000}"/>
    <cellStyle name="Currency 2 9" xfId="18791" xr:uid="{00000000-0005-0000-0000-000068490000}"/>
    <cellStyle name="Currency 2 9 2" xfId="18792" xr:uid="{00000000-0005-0000-0000-000069490000}"/>
    <cellStyle name="Currency 2 9 3" xfId="18793" xr:uid="{00000000-0005-0000-0000-00006A490000}"/>
    <cellStyle name="Currency 2 9 4" xfId="18794" xr:uid="{00000000-0005-0000-0000-00006B490000}"/>
    <cellStyle name="Currency 2 9 5" xfId="18795" xr:uid="{00000000-0005-0000-0000-00006C490000}"/>
    <cellStyle name="Currency 2 9 6" xfId="18796" xr:uid="{00000000-0005-0000-0000-00006D490000}"/>
    <cellStyle name="Currency 2 9 7" xfId="18797" xr:uid="{00000000-0005-0000-0000-00006E490000}"/>
    <cellStyle name="Currency 3" xfId="18798" xr:uid="{00000000-0005-0000-0000-00006F490000}"/>
    <cellStyle name="Currency 3 10" xfId="18799" xr:uid="{00000000-0005-0000-0000-000070490000}"/>
    <cellStyle name="Currency 3 11" xfId="18800" xr:uid="{00000000-0005-0000-0000-000071490000}"/>
    <cellStyle name="Currency 3 12" xfId="18801" xr:uid="{00000000-0005-0000-0000-000072490000}"/>
    <cellStyle name="Currency 3 13" xfId="18802" xr:uid="{00000000-0005-0000-0000-000073490000}"/>
    <cellStyle name="Currency 3 14" xfId="18803" xr:uid="{00000000-0005-0000-0000-000074490000}"/>
    <cellStyle name="Currency 3 15" xfId="18804" xr:uid="{00000000-0005-0000-0000-000075490000}"/>
    <cellStyle name="Currency 3 16" xfId="18805" xr:uid="{00000000-0005-0000-0000-000076490000}"/>
    <cellStyle name="Currency 3 17" xfId="18806" xr:uid="{00000000-0005-0000-0000-000077490000}"/>
    <cellStyle name="Currency 3 18" xfId="18807" xr:uid="{00000000-0005-0000-0000-000078490000}"/>
    <cellStyle name="Currency 3 19" xfId="18808" xr:uid="{00000000-0005-0000-0000-000079490000}"/>
    <cellStyle name="Currency 3 2" xfId="18809" xr:uid="{00000000-0005-0000-0000-00007A490000}"/>
    <cellStyle name="Currency 3 2 2" xfId="18810" xr:uid="{00000000-0005-0000-0000-00007B490000}"/>
    <cellStyle name="Currency 3 20" xfId="18811" xr:uid="{00000000-0005-0000-0000-00007C490000}"/>
    <cellStyle name="Currency 3 21" xfId="18812" xr:uid="{00000000-0005-0000-0000-00007D490000}"/>
    <cellStyle name="Currency 3 22" xfId="18813" xr:uid="{00000000-0005-0000-0000-00007E490000}"/>
    <cellStyle name="Currency 3 23" xfId="18814" xr:uid="{00000000-0005-0000-0000-00007F490000}"/>
    <cellStyle name="Currency 3 24" xfId="18815" xr:uid="{00000000-0005-0000-0000-000080490000}"/>
    <cellStyle name="Currency 3 25" xfId="18816" xr:uid="{00000000-0005-0000-0000-000081490000}"/>
    <cellStyle name="Currency 3 26" xfId="18817" xr:uid="{00000000-0005-0000-0000-000082490000}"/>
    <cellStyle name="Currency 3 27" xfId="18818" xr:uid="{00000000-0005-0000-0000-000083490000}"/>
    <cellStyle name="Currency 3 28" xfId="18819" xr:uid="{00000000-0005-0000-0000-000084490000}"/>
    <cellStyle name="Currency 3 29" xfId="18820" xr:uid="{00000000-0005-0000-0000-000085490000}"/>
    <cellStyle name="Currency 3 3" xfId="18821" xr:uid="{00000000-0005-0000-0000-000086490000}"/>
    <cellStyle name="Currency 3 30" xfId="18822" xr:uid="{00000000-0005-0000-0000-000087490000}"/>
    <cellStyle name="Currency 3 31" xfId="18823" xr:uid="{00000000-0005-0000-0000-000088490000}"/>
    <cellStyle name="Currency 3 32" xfId="18824" xr:uid="{00000000-0005-0000-0000-000089490000}"/>
    <cellStyle name="Currency 3 33" xfId="18825" xr:uid="{00000000-0005-0000-0000-00008A490000}"/>
    <cellStyle name="Currency 3 34" xfId="18826" xr:uid="{00000000-0005-0000-0000-00008B490000}"/>
    <cellStyle name="Currency 3 35" xfId="18827" xr:uid="{00000000-0005-0000-0000-00008C490000}"/>
    <cellStyle name="Currency 3 36" xfId="18828" xr:uid="{00000000-0005-0000-0000-00008D490000}"/>
    <cellStyle name="Currency 3 37" xfId="18829" xr:uid="{00000000-0005-0000-0000-00008E490000}"/>
    <cellStyle name="Currency 3 38" xfId="18830" xr:uid="{00000000-0005-0000-0000-00008F490000}"/>
    <cellStyle name="Currency 3 39" xfId="18831" xr:uid="{00000000-0005-0000-0000-000090490000}"/>
    <cellStyle name="Currency 3 4" xfId="18832" xr:uid="{00000000-0005-0000-0000-000091490000}"/>
    <cellStyle name="Currency 3 40" xfId="18833" xr:uid="{00000000-0005-0000-0000-000092490000}"/>
    <cellStyle name="Currency 3 5" xfId="18834" xr:uid="{00000000-0005-0000-0000-000093490000}"/>
    <cellStyle name="Currency 3 6" xfId="18835" xr:uid="{00000000-0005-0000-0000-000094490000}"/>
    <cellStyle name="Currency 3 7" xfId="18836" xr:uid="{00000000-0005-0000-0000-000095490000}"/>
    <cellStyle name="Currency 3 8" xfId="18837" xr:uid="{00000000-0005-0000-0000-000096490000}"/>
    <cellStyle name="Currency 3 9" xfId="18838" xr:uid="{00000000-0005-0000-0000-000097490000}"/>
    <cellStyle name="Currency 4" xfId="18839" xr:uid="{00000000-0005-0000-0000-000098490000}"/>
    <cellStyle name="Currency 4 10" xfId="18840" xr:uid="{00000000-0005-0000-0000-000099490000}"/>
    <cellStyle name="Currency 4 10 2" xfId="18841" xr:uid="{00000000-0005-0000-0000-00009A490000}"/>
    <cellStyle name="Currency 4 10 2 2" xfId="18842" xr:uid="{00000000-0005-0000-0000-00009B490000}"/>
    <cellStyle name="Currency 4 10 2 3" xfId="18843" xr:uid="{00000000-0005-0000-0000-00009C490000}"/>
    <cellStyle name="Currency 4 10 3" xfId="18844" xr:uid="{00000000-0005-0000-0000-00009D490000}"/>
    <cellStyle name="Currency 4 10 4" xfId="18845" xr:uid="{00000000-0005-0000-0000-00009E490000}"/>
    <cellStyle name="Currency 4 10 5" xfId="18846" xr:uid="{00000000-0005-0000-0000-00009F490000}"/>
    <cellStyle name="Currency 4 10 6" xfId="18847" xr:uid="{00000000-0005-0000-0000-0000A0490000}"/>
    <cellStyle name="Currency 4 11" xfId="18848" xr:uid="{00000000-0005-0000-0000-0000A1490000}"/>
    <cellStyle name="Currency 4 11 2" xfId="18849" xr:uid="{00000000-0005-0000-0000-0000A2490000}"/>
    <cellStyle name="Currency 4 11 2 2" xfId="18850" xr:uid="{00000000-0005-0000-0000-0000A3490000}"/>
    <cellStyle name="Currency 4 11 3" xfId="18851" xr:uid="{00000000-0005-0000-0000-0000A4490000}"/>
    <cellStyle name="Currency 4 11 4" xfId="18852" xr:uid="{00000000-0005-0000-0000-0000A5490000}"/>
    <cellStyle name="Currency 4 11 5" xfId="18853" xr:uid="{00000000-0005-0000-0000-0000A6490000}"/>
    <cellStyle name="Currency 4 12" xfId="18854" xr:uid="{00000000-0005-0000-0000-0000A7490000}"/>
    <cellStyle name="Currency 4 12 2" xfId="18855" xr:uid="{00000000-0005-0000-0000-0000A8490000}"/>
    <cellStyle name="Currency 4 12 3" xfId="18856" xr:uid="{00000000-0005-0000-0000-0000A9490000}"/>
    <cellStyle name="Currency 4 12 4" xfId="18857" xr:uid="{00000000-0005-0000-0000-0000AA490000}"/>
    <cellStyle name="Currency 4 13" xfId="18858" xr:uid="{00000000-0005-0000-0000-0000AB490000}"/>
    <cellStyle name="Currency 4 14" xfId="18859" xr:uid="{00000000-0005-0000-0000-0000AC490000}"/>
    <cellStyle name="Currency 4 15" xfId="18860" xr:uid="{00000000-0005-0000-0000-0000AD490000}"/>
    <cellStyle name="Currency 4 16" xfId="18861" xr:uid="{00000000-0005-0000-0000-0000AE490000}"/>
    <cellStyle name="Currency 4 2" xfId="18862" xr:uid="{00000000-0005-0000-0000-0000AF490000}"/>
    <cellStyle name="Currency 4 2 10" xfId="18863" xr:uid="{00000000-0005-0000-0000-0000B0490000}"/>
    <cellStyle name="Currency 4 2 2" xfId="18864" xr:uid="{00000000-0005-0000-0000-0000B1490000}"/>
    <cellStyle name="Currency 4 2 2 2" xfId="18865" xr:uid="{00000000-0005-0000-0000-0000B2490000}"/>
    <cellStyle name="Currency 4 2 2 2 2" xfId="18866" xr:uid="{00000000-0005-0000-0000-0000B3490000}"/>
    <cellStyle name="Currency 4 2 2 2 2 2" xfId="18867" xr:uid="{00000000-0005-0000-0000-0000B4490000}"/>
    <cellStyle name="Currency 4 2 2 2 2 3" xfId="18868" xr:uid="{00000000-0005-0000-0000-0000B5490000}"/>
    <cellStyle name="Currency 4 2 2 2 3" xfId="18869" xr:uid="{00000000-0005-0000-0000-0000B6490000}"/>
    <cellStyle name="Currency 4 2 2 2 4" xfId="18870" xr:uid="{00000000-0005-0000-0000-0000B7490000}"/>
    <cellStyle name="Currency 4 2 2 2 5" xfId="18871" xr:uid="{00000000-0005-0000-0000-0000B8490000}"/>
    <cellStyle name="Currency 4 2 2 2 6" xfId="18872" xr:uid="{00000000-0005-0000-0000-0000B9490000}"/>
    <cellStyle name="Currency 4 2 2 3" xfId="18873" xr:uid="{00000000-0005-0000-0000-0000BA490000}"/>
    <cellStyle name="Currency 4 2 2 3 2" xfId="18874" xr:uid="{00000000-0005-0000-0000-0000BB490000}"/>
    <cellStyle name="Currency 4 2 2 3 2 2" xfId="18875" xr:uid="{00000000-0005-0000-0000-0000BC490000}"/>
    <cellStyle name="Currency 4 2 2 3 3" xfId="18876" xr:uid="{00000000-0005-0000-0000-0000BD490000}"/>
    <cellStyle name="Currency 4 2 2 3 4" xfId="18877" xr:uid="{00000000-0005-0000-0000-0000BE490000}"/>
    <cellStyle name="Currency 4 2 2 3 5" xfId="18878" xr:uid="{00000000-0005-0000-0000-0000BF490000}"/>
    <cellStyle name="Currency 4 2 2 4" xfId="18879" xr:uid="{00000000-0005-0000-0000-0000C0490000}"/>
    <cellStyle name="Currency 4 2 2 4 2" xfId="18880" xr:uid="{00000000-0005-0000-0000-0000C1490000}"/>
    <cellStyle name="Currency 4 2 2 4 3" xfId="18881" xr:uid="{00000000-0005-0000-0000-0000C2490000}"/>
    <cellStyle name="Currency 4 2 2 4 4" xfId="18882" xr:uid="{00000000-0005-0000-0000-0000C3490000}"/>
    <cellStyle name="Currency 4 2 2 5" xfId="18883" xr:uid="{00000000-0005-0000-0000-0000C4490000}"/>
    <cellStyle name="Currency 4 2 2 5 2" xfId="18884" xr:uid="{00000000-0005-0000-0000-0000C5490000}"/>
    <cellStyle name="Currency 4 2 2 6" xfId="18885" xr:uid="{00000000-0005-0000-0000-0000C6490000}"/>
    <cellStyle name="Currency 4 2 2 7" xfId="18886" xr:uid="{00000000-0005-0000-0000-0000C7490000}"/>
    <cellStyle name="Currency 4 2 2 8" xfId="18887" xr:uid="{00000000-0005-0000-0000-0000C8490000}"/>
    <cellStyle name="Currency 4 2 2 9" xfId="18888" xr:uid="{00000000-0005-0000-0000-0000C9490000}"/>
    <cellStyle name="Currency 4 2 3" xfId="18889" xr:uid="{00000000-0005-0000-0000-0000CA490000}"/>
    <cellStyle name="Currency 4 2 3 2" xfId="18890" xr:uid="{00000000-0005-0000-0000-0000CB490000}"/>
    <cellStyle name="Currency 4 2 3 2 2" xfId="18891" xr:uid="{00000000-0005-0000-0000-0000CC490000}"/>
    <cellStyle name="Currency 4 2 3 2 3" xfId="18892" xr:uid="{00000000-0005-0000-0000-0000CD490000}"/>
    <cellStyle name="Currency 4 2 3 3" xfId="18893" xr:uid="{00000000-0005-0000-0000-0000CE490000}"/>
    <cellStyle name="Currency 4 2 3 4" xfId="18894" xr:uid="{00000000-0005-0000-0000-0000CF490000}"/>
    <cellStyle name="Currency 4 2 3 5" xfId="18895" xr:uid="{00000000-0005-0000-0000-0000D0490000}"/>
    <cellStyle name="Currency 4 2 3 6" xfId="18896" xr:uid="{00000000-0005-0000-0000-0000D1490000}"/>
    <cellStyle name="Currency 4 2 4" xfId="18897" xr:uid="{00000000-0005-0000-0000-0000D2490000}"/>
    <cellStyle name="Currency 4 2 4 2" xfId="18898" xr:uid="{00000000-0005-0000-0000-0000D3490000}"/>
    <cellStyle name="Currency 4 2 4 2 2" xfId="18899" xr:uid="{00000000-0005-0000-0000-0000D4490000}"/>
    <cellStyle name="Currency 4 2 4 3" xfId="18900" xr:uid="{00000000-0005-0000-0000-0000D5490000}"/>
    <cellStyle name="Currency 4 2 4 4" xfId="18901" xr:uid="{00000000-0005-0000-0000-0000D6490000}"/>
    <cellStyle name="Currency 4 2 4 5" xfId="18902" xr:uid="{00000000-0005-0000-0000-0000D7490000}"/>
    <cellStyle name="Currency 4 2 5" xfId="18903" xr:uid="{00000000-0005-0000-0000-0000D8490000}"/>
    <cellStyle name="Currency 4 2 5 2" xfId="18904" xr:uid="{00000000-0005-0000-0000-0000D9490000}"/>
    <cellStyle name="Currency 4 2 5 2 2" xfId="18905" xr:uid="{00000000-0005-0000-0000-0000DA490000}"/>
    <cellStyle name="Currency 4 2 5 3" xfId="18906" xr:uid="{00000000-0005-0000-0000-0000DB490000}"/>
    <cellStyle name="Currency 4 2 5 4" xfId="18907" xr:uid="{00000000-0005-0000-0000-0000DC490000}"/>
    <cellStyle name="Currency 4 2 5 5" xfId="18908" xr:uid="{00000000-0005-0000-0000-0000DD490000}"/>
    <cellStyle name="Currency 4 2 6" xfId="18909" xr:uid="{00000000-0005-0000-0000-0000DE490000}"/>
    <cellStyle name="Currency 4 2 6 2" xfId="18910" xr:uid="{00000000-0005-0000-0000-0000DF490000}"/>
    <cellStyle name="Currency 4 2 7" xfId="18911" xr:uid="{00000000-0005-0000-0000-0000E0490000}"/>
    <cellStyle name="Currency 4 2 8" xfId="18912" xr:uid="{00000000-0005-0000-0000-0000E1490000}"/>
    <cellStyle name="Currency 4 2 9" xfId="18913" xr:uid="{00000000-0005-0000-0000-0000E2490000}"/>
    <cellStyle name="Currency 4 3" xfId="18914" xr:uid="{00000000-0005-0000-0000-0000E3490000}"/>
    <cellStyle name="Currency 4 3 10" xfId="18915" xr:uid="{00000000-0005-0000-0000-0000E4490000}"/>
    <cellStyle name="Currency 4 3 2" xfId="18916" xr:uid="{00000000-0005-0000-0000-0000E5490000}"/>
    <cellStyle name="Currency 4 3 2 2" xfId="18917" xr:uid="{00000000-0005-0000-0000-0000E6490000}"/>
    <cellStyle name="Currency 4 3 2 2 2" xfId="18918" xr:uid="{00000000-0005-0000-0000-0000E7490000}"/>
    <cellStyle name="Currency 4 3 2 2 2 2" xfId="18919" xr:uid="{00000000-0005-0000-0000-0000E8490000}"/>
    <cellStyle name="Currency 4 3 2 2 2 3" xfId="18920" xr:uid="{00000000-0005-0000-0000-0000E9490000}"/>
    <cellStyle name="Currency 4 3 2 2 3" xfId="18921" xr:uid="{00000000-0005-0000-0000-0000EA490000}"/>
    <cellStyle name="Currency 4 3 2 2 4" xfId="18922" xr:uid="{00000000-0005-0000-0000-0000EB490000}"/>
    <cellStyle name="Currency 4 3 2 2 5" xfId="18923" xr:uid="{00000000-0005-0000-0000-0000EC490000}"/>
    <cellStyle name="Currency 4 3 2 2 6" xfId="18924" xr:uid="{00000000-0005-0000-0000-0000ED490000}"/>
    <cellStyle name="Currency 4 3 2 3" xfId="18925" xr:uid="{00000000-0005-0000-0000-0000EE490000}"/>
    <cellStyle name="Currency 4 3 2 3 2" xfId="18926" xr:uid="{00000000-0005-0000-0000-0000EF490000}"/>
    <cellStyle name="Currency 4 3 2 3 2 2" xfId="18927" xr:uid="{00000000-0005-0000-0000-0000F0490000}"/>
    <cellStyle name="Currency 4 3 2 3 3" xfId="18928" xr:uid="{00000000-0005-0000-0000-0000F1490000}"/>
    <cellStyle name="Currency 4 3 2 3 4" xfId="18929" xr:uid="{00000000-0005-0000-0000-0000F2490000}"/>
    <cellStyle name="Currency 4 3 2 3 5" xfId="18930" xr:uid="{00000000-0005-0000-0000-0000F3490000}"/>
    <cellStyle name="Currency 4 3 2 4" xfId="18931" xr:uid="{00000000-0005-0000-0000-0000F4490000}"/>
    <cellStyle name="Currency 4 3 2 4 2" xfId="18932" xr:uid="{00000000-0005-0000-0000-0000F5490000}"/>
    <cellStyle name="Currency 4 3 2 4 3" xfId="18933" xr:uid="{00000000-0005-0000-0000-0000F6490000}"/>
    <cellStyle name="Currency 4 3 2 4 4" xfId="18934" xr:uid="{00000000-0005-0000-0000-0000F7490000}"/>
    <cellStyle name="Currency 4 3 2 5" xfId="18935" xr:uid="{00000000-0005-0000-0000-0000F8490000}"/>
    <cellStyle name="Currency 4 3 2 5 2" xfId="18936" xr:uid="{00000000-0005-0000-0000-0000F9490000}"/>
    <cellStyle name="Currency 4 3 2 6" xfId="18937" xr:uid="{00000000-0005-0000-0000-0000FA490000}"/>
    <cellStyle name="Currency 4 3 2 7" xfId="18938" xr:uid="{00000000-0005-0000-0000-0000FB490000}"/>
    <cellStyle name="Currency 4 3 2 8" xfId="18939" xr:uid="{00000000-0005-0000-0000-0000FC490000}"/>
    <cellStyle name="Currency 4 3 2 9" xfId="18940" xr:uid="{00000000-0005-0000-0000-0000FD490000}"/>
    <cellStyle name="Currency 4 3 3" xfId="18941" xr:uid="{00000000-0005-0000-0000-0000FE490000}"/>
    <cellStyle name="Currency 4 3 3 2" xfId="18942" xr:uid="{00000000-0005-0000-0000-0000FF490000}"/>
    <cellStyle name="Currency 4 3 3 2 2" xfId="18943" xr:uid="{00000000-0005-0000-0000-0000004A0000}"/>
    <cellStyle name="Currency 4 3 3 2 3" xfId="18944" xr:uid="{00000000-0005-0000-0000-0000014A0000}"/>
    <cellStyle name="Currency 4 3 3 3" xfId="18945" xr:uid="{00000000-0005-0000-0000-0000024A0000}"/>
    <cellStyle name="Currency 4 3 3 4" xfId="18946" xr:uid="{00000000-0005-0000-0000-0000034A0000}"/>
    <cellStyle name="Currency 4 3 3 5" xfId="18947" xr:uid="{00000000-0005-0000-0000-0000044A0000}"/>
    <cellStyle name="Currency 4 3 3 6" xfId="18948" xr:uid="{00000000-0005-0000-0000-0000054A0000}"/>
    <cellStyle name="Currency 4 3 4" xfId="18949" xr:uid="{00000000-0005-0000-0000-0000064A0000}"/>
    <cellStyle name="Currency 4 3 4 2" xfId="18950" xr:uid="{00000000-0005-0000-0000-0000074A0000}"/>
    <cellStyle name="Currency 4 3 4 2 2" xfId="18951" xr:uid="{00000000-0005-0000-0000-0000084A0000}"/>
    <cellStyle name="Currency 4 3 4 3" xfId="18952" xr:uid="{00000000-0005-0000-0000-0000094A0000}"/>
    <cellStyle name="Currency 4 3 4 4" xfId="18953" xr:uid="{00000000-0005-0000-0000-00000A4A0000}"/>
    <cellStyle name="Currency 4 3 4 5" xfId="18954" xr:uid="{00000000-0005-0000-0000-00000B4A0000}"/>
    <cellStyle name="Currency 4 3 5" xfId="18955" xr:uid="{00000000-0005-0000-0000-00000C4A0000}"/>
    <cellStyle name="Currency 4 3 5 2" xfId="18956" xr:uid="{00000000-0005-0000-0000-00000D4A0000}"/>
    <cellStyle name="Currency 4 3 5 2 2" xfId="18957" xr:uid="{00000000-0005-0000-0000-00000E4A0000}"/>
    <cellStyle name="Currency 4 3 5 3" xfId="18958" xr:uid="{00000000-0005-0000-0000-00000F4A0000}"/>
    <cellStyle name="Currency 4 3 5 4" xfId="18959" xr:uid="{00000000-0005-0000-0000-0000104A0000}"/>
    <cellStyle name="Currency 4 3 5 5" xfId="18960" xr:uid="{00000000-0005-0000-0000-0000114A0000}"/>
    <cellStyle name="Currency 4 3 6" xfId="18961" xr:uid="{00000000-0005-0000-0000-0000124A0000}"/>
    <cellStyle name="Currency 4 3 6 2" xfId="18962" xr:uid="{00000000-0005-0000-0000-0000134A0000}"/>
    <cellStyle name="Currency 4 3 7" xfId="18963" xr:uid="{00000000-0005-0000-0000-0000144A0000}"/>
    <cellStyle name="Currency 4 3 8" xfId="18964" xr:uid="{00000000-0005-0000-0000-0000154A0000}"/>
    <cellStyle name="Currency 4 3 9" xfId="18965" xr:uid="{00000000-0005-0000-0000-0000164A0000}"/>
    <cellStyle name="Currency 4 4" xfId="18966" xr:uid="{00000000-0005-0000-0000-0000174A0000}"/>
    <cellStyle name="Currency 4 4 10" xfId="18967" xr:uid="{00000000-0005-0000-0000-0000184A0000}"/>
    <cellStyle name="Currency 4 4 2" xfId="18968" xr:uid="{00000000-0005-0000-0000-0000194A0000}"/>
    <cellStyle name="Currency 4 4 2 2" xfId="18969" xr:uid="{00000000-0005-0000-0000-00001A4A0000}"/>
    <cellStyle name="Currency 4 4 2 2 2" xfId="18970" xr:uid="{00000000-0005-0000-0000-00001B4A0000}"/>
    <cellStyle name="Currency 4 4 2 2 2 2" xfId="18971" xr:uid="{00000000-0005-0000-0000-00001C4A0000}"/>
    <cellStyle name="Currency 4 4 2 2 2 3" xfId="18972" xr:uid="{00000000-0005-0000-0000-00001D4A0000}"/>
    <cellStyle name="Currency 4 4 2 2 3" xfId="18973" xr:uid="{00000000-0005-0000-0000-00001E4A0000}"/>
    <cellStyle name="Currency 4 4 2 2 4" xfId="18974" xr:uid="{00000000-0005-0000-0000-00001F4A0000}"/>
    <cellStyle name="Currency 4 4 2 2 5" xfId="18975" xr:uid="{00000000-0005-0000-0000-0000204A0000}"/>
    <cellStyle name="Currency 4 4 2 2 6" xfId="18976" xr:uid="{00000000-0005-0000-0000-0000214A0000}"/>
    <cellStyle name="Currency 4 4 2 3" xfId="18977" xr:uid="{00000000-0005-0000-0000-0000224A0000}"/>
    <cellStyle name="Currency 4 4 2 3 2" xfId="18978" xr:uid="{00000000-0005-0000-0000-0000234A0000}"/>
    <cellStyle name="Currency 4 4 2 3 2 2" xfId="18979" xr:uid="{00000000-0005-0000-0000-0000244A0000}"/>
    <cellStyle name="Currency 4 4 2 3 3" xfId="18980" xr:uid="{00000000-0005-0000-0000-0000254A0000}"/>
    <cellStyle name="Currency 4 4 2 3 4" xfId="18981" xr:uid="{00000000-0005-0000-0000-0000264A0000}"/>
    <cellStyle name="Currency 4 4 2 3 5" xfId="18982" xr:uid="{00000000-0005-0000-0000-0000274A0000}"/>
    <cellStyle name="Currency 4 4 2 4" xfId="18983" xr:uid="{00000000-0005-0000-0000-0000284A0000}"/>
    <cellStyle name="Currency 4 4 2 4 2" xfId="18984" xr:uid="{00000000-0005-0000-0000-0000294A0000}"/>
    <cellStyle name="Currency 4 4 2 4 3" xfId="18985" xr:uid="{00000000-0005-0000-0000-00002A4A0000}"/>
    <cellStyle name="Currency 4 4 2 4 4" xfId="18986" xr:uid="{00000000-0005-0000-0000-00002B4A0000}"/>
    <cellStyle name="Currency 4 4 2 5" xfId="18987" xr:uid="{00000000-0005-0000-0000-00002C4A0000}"/>
    <cellStyle name="Currency 4 4 2 5 2" xfId="18988" xr:uid="{00000000-0005-0000-0000-00002D4A0000}"/>
    <cellStyle name="Currency 4 4 2 6" xfId="18989" xr:uid="{00000000-0005-0000-0000-00002E4A0000}"/>
    <cellStyle name="Currency 4 4 2 7" xfId="18990" xr:uid="{00000000-0005-0000-0000-00002F4A0000}"/>
    <cellStyle name="Currency 4 4 2 8" xfId="18991" xr:uid="{00000000-0005-0000-0000-0000304A0000}"/>
    <cellStyle name="Currency 4 4 2 9" xfId="18992" xr:uid="{00000000-0005-0000-0000-0000314A0000}"/>
    <cellStyle name="Currency 4 4 3" xfId="18993" xr:uid="{00000000-0005-0000-0000-0000324A0000}"/>
    <cellStyle name="Currency 4 4 3 2" xfId="18994" xr:uid="{00000000-0005-0000-0000-0000334A0000}"/>
    <cellStyle name="Currency 4 4 3 2 2" xfId="18995" xr:uid="{00000000-0005-0000-0000-0000344A0000}"/>
    <cellStyle name="Currency 4 4 3 2 3" xfId="18996" xr:uid="{00000000-0005-0000-0000-0000354A0000}"/>
    <cellStyle name="Currency 4 4 3 3" xfId="18997" xr:uid="{00000000-0005-0000-0000-0000364A0000}"/>
    <cellStyle name="Currency 4 4 3 4" xfId="18998" xr:uid="{00000000-0005-0000-0000-0000374A0000}"/>
    <cellStyle name="Currency 4 4 3 5" xfId="18999" xr:uid="{00000000-0005-0000-0000-0000384A0000}"/>
    <cellStyle name="Currency 4 4 3 6" xfId="19000" xr:uid="{00000000-0005-0000-0000-0000394A0000}"/>
    <cellStyle name="Currency 4 4 4" xfId="19001" xr:uid="{00000000-0005-0000-0000-00003A4A0000}"/>
    <cellStyle name="Currency 4 4 4 2" xfId="19002" xr:uid="{00000000-0005-0000-0000-00003B4A0000}"/>
    <cellStyle name="Currency 4 4 4 2 2" xfId="19003" xr:uid="{00000000-0005-0000-0000-00003C4A0000}"/>
    <cellStyle name="Currency 4 4 4 3" xfId="19004" xr:uid="{00000000-0005-0000-0000-00003D4A0000}"/>
    <cellStyle name="Currency 4 4 4 4" xfId="19005" xr:uid="{00000000-0005-0000-0000-00003E4A0000}"/>
    <cellStyle name="Currency 4 4 4 5" xfId="19006" xr:uid="{00000000-0005-0000-0000-00003F4A0000}"/>
    <cellStyle name="Currency 4 4 5" xfId="19007" xr:uid="{00000000-0005-0000-0000-0000404A0000}"/>
    <cellStyle name="Currency 4 4 5 2" xfId="19008" xr:uid="{00000000-0005-0000-0000-0000414A0000}"/>
    <cellStyle name="Currency 4 4 5 2 2" xfId="19009" xr:uid="{00000000-0005-0000-0000-0000424A0000}"/>
    <cellStyle name="Currency 4 4 5 3" xfId="19010" xr:uid="{00000000-0005-0000-0000-0000434A0000}"/>
    <cellStyle name="Currency 4 4 5 4" xfId="19011" xr:uid="{00000000-0005-0000-0000-0000444A0000}"/>
    <cellStyle name="Currency 4 4 5 5" xfId="19012" xr:uid="{00000000-0005-0000-0000-0000454A0000}"/>
    <cellStyle name="Currency 4 4 6" xfId="19013" xr:uid="{00000000-0005-0000-0000-0000464A0000}"/>
    <cellStyle name="Currency 4 4 6 2" xfId="19014" xr:uid="{00000000-0005-0000-0000-0000474A0000}"/>
    <cellStyle name="Currency 4 4 7" xfId="19015" xr:uid="{00000000-0005-0000-0000-0000484A0000}"/>
    <cellStyle name="Currency 4 4 8" xfId="19016" xr:uid="{00000000-0005-0000-0000-0000494A0000}"/>
    <cellStyle name="Currency 4 4 9" xfId="19017" xr:uid="{00000000-0005-0000-0000-00004A4A0000}"/>
    <cellStyle name="Currency 4 5" xfId="19018" xr:uid="{00000000-0005-0000-0000-00004B4A0000}"/>
    <cellStyle name="Currency 4 5 10" xfId="19019" xr:uid="{00000000-0005-0000-0000-00004C4A0000}"/>
    <cellStyle name="Currency 4 5 2" xfId="19020" xr:uid="{00000000-0005-0000-0000-00004D4A0000}"/>
    <cellStyle name="Currency 4 5 2 2" xfId="19021" xr:uid="{00000000-0005-0000-0000-00004E4A0000}"/>
    <cellStyle name="Currency 4 5 2 2 2" xfId="19022" xr:uid="{00000000-0005-0000-0000-00004F4A0000}"/>
    <cellStyle name="Currency 4 5 2 2 2 2" xfId="19023" xr:uid="{00000000-0005-0000-0000-0000504A0000}"/>
    <cellStyle name="Currency 4 5 2 2 2 3" xfId="19024" xr:uid="{00000000-0005-0000-0000-0000514A0000}"/>
    <cellStyle name="Currency 4 5 2 2 3" xfId="19025" xr:uid="{00000000-0005-0000-0000-0000524A0000}"/>
    <cellStyle name="Currency 4 5 2 2 4" xfId="19026" xr:uid="{00000000-0005-0000-0000-0000534A0000}"/>
    <cellStyle name="Currency 4 5 2 2 5" xfId="19027" xr:uid="{00000000-0005-0000-0000-0000544A0000}"/>
    <cellStyle name="Currency 4 5 2 2 6" xfId="19028" xr:uid="{00000000-0005-0000-0000-0000554A0000}"/>
    <cellStyle name="Currency 4 5 2 3" xfId="19029" xr:uid="{00000000-0005-0000-0000-0000564A0000}"/>
    <cellStyle name="Currency 4 5 2 3 2" xfId="19030" xr:uid="{00000000-0005-0000-0000-0000574A0000}"/>
    <cellStyle name="Currency 4 5 2 3 2 2" xfId="19031" xr:uid="{00000000-0005-0000-0000-0000584A0000}"/>
    <cellStyle name="Currency 4 5 2 3 3" xfId="19032" xr:uid="{00000000-0005-0000-0000-0000594A0000}"/>
    <cellStyle name="Currency 4 5 2 3 4" xfId="19033" xr:uid="{00000000-0005-0000-0000-00005A4A0000}"/>
    <cellStyle name="Currency 4 5 2 3 5" xfId="19034" xr:uid="{00000000-0005-0000-0000-00005B4A0000}"/>
    <cellStyle name="Currency 4 5 2 4" xfId="19035" xr:uid="{00000000-0005-0000-0000-00005C4A0000}"/>
    <cellStyle name="Currency 4 5 2 4 2" xfId="19036" xr:uid="{00000000-0005-0000-0000-00005D4A0000}"/>
    <cellStyle name="Currency 4 5 2 4 3" xfId="19037" xr:uid="{00000000-0005-0000-0000-00005E4A0000}"/>
    <cellStyle name="Currency 4 5 2 4 4" xfId="19038" xr:uid="{00000000-0005-0000-0000-00005F4A0000}"/>
    <cellStyle name="Currency 4 5 2 5" xfId="19039" xr:uid="{00000000-0005-0000-0000-0000604A0000}"/>
    <cellStyle name="Currency 4 5 2 5 2" xfId="19040" xr:uid="{00000000-0005-0000-0000-0000614A0000}"/>
    <cellStyle name="Currency 4 5 2 6" xfId="19041" xr:uid="{00000000-0005-0000-0000-0000624A0000}"/>
    <cellStyle name="Currency 4 5 2 7" xfId="19042" xr:uid="{00000000-0005-0000-0000-0000634A0000}"/>
    <cellStyle name="Currency 4 5 2 8" xfId="19043" xr:uid="{00000000-0005-0000-0000-0000644A0000}"/>
    <cellStyle name="Currency 4 5 2 9" xfId="19044" xr:uid="{00000000-0005-0000-0000-0000654A0000}"/>
    <cellStyle name="Currency 4 5 3" xfId="19045" xr:uid="{00000000-0005-0000-0000-0000664A0000}"/>
    <cellStyle name="Currency 4 5 3 2" xfId="19046" xr:uid="{00000000-0005-0000-0000-0000674A0000}"/>
    <cellStyle name="Currency 4 5 3 2 2" xfId="19047" xr:uid="{00000000-0005-0000-0000-0000684A0000}"/>
    <cellStyle name="Currency 4 5 3 2 3" xfId="19048" xr:uid="{00000000-0005-0000-0000-0000694A0000}"/>
    <cellStyle name="Currency 4 5 3 3" xfId="19049" xr:uid="{00000000-0005-0000-0000-00006A4A0000}"/>
    <cellStyle name="Currency 4 5 3 4" xfId="19050" xr:uid="{00000000-0005-0000-0000-00006B4A0000}"/>
    <cellStyle name="Currency 4 5 3 5" xfId="19051" xr:uid="{00000000-0005-0000-0000-00006C4A0000}"/>
    <cellStyle name="Currency 4 5 3 6" xfId="19052" xr:uid="{00000000-0005-0000-0000-00006D4A0000}"/>
    <cellStyle name="Currency 4 5 4" xfId="19053" xr:uid="{00000000-0005-0000-0000-00006E4A0000}"/>
    <cellStyle name="Currency 4 5 4 2" xfId="19054" xr:uid="{00000000-0005-0000-0000-00006F4A0000}"/>
    <cellStyle name="Currency 4 5 4 2 2" xfId="19055" xr:uid="{00000000-0005-0000-0000-0000704A0000}"/>
    <cellStyle name="Currency 4 5 4 3" xfId="19056" xr:uid="{00000000-0005-0000-0000-0000714A0000}"/>
    <cellStyle name="Currency 4 5 4 4" xfId="19057" xr:uid="{00000000-0005-0000-0000-0000724A0000}"/>
    <cellStyle name="Currency 4 5 4 5" xfId="19058" xr:uid="{00000000-0005-0000-0000-0000734A0000}"/>
    <cellStyle name="Currency 4 5 5" xfId="19059" xr:uid="{00000000-0005-0000-0000-0000744A0000}"/>
    <cellStyle name="Currency 4 5 5 2" xfId="19060" xr:uid="{00000000-0005-0000-0000-0000754A0000}"/>
    <cellStyle name="Currency 4 5 5 2 2" xfId="19061" xr:uid="{00000000-0005-0000-0000-0000764A0000}"/>
    <cellStyle name="Currency 4 5 5 3" xfId="19062" xr:uid="{00000000-0005-0000-0000-0000774A0000}"/>
    <cellStyle name="Currency 4 5 5 4" xfId="19063" xr:uid="{00000000-0005-0000-0000-0000784A0000}"/>
    <cellStyle name="Currency 4 5 5 5" xfId="19064" xr:uid="{00000000-0005-0000-0000-0000794A0000}"/>
    <cellStyle name="Currency 4 5 6" xfId="19065" xr:uid="{00000000-0005-0000-0000-00007A4A0000}"/>
    <cellStyle name="Currency 4 5 6 2" xfId="19066" xr:uid="{00000000-0005-0000-0000-00007B4A0000}"/>
    <cellStyle name="Currency 4 5 7" xfId="19067" xr:uid="{00000000-0005-0000-0000-00007C4A0000}"/>
    <cellStyle name="Currency 4 5 8" xfId="19068" xr:uid="{00000000-0005-0000-0000-00007D4A0000}"/>
    <cellStyle name="Currency 4 5 9" xfId="19069" xr:uid="{00000000-0005-0000-0000-00007E4A0000}"/>
    <cellStyle name="Currency 4 6" xfId="19070" xr:uid="{00000000-0005-0000-0000-00007F4A0000}"/>
    <cellStyle name="Currency 4 6 10" xfId="19071" xr:uid="{00000000-0005-0000-0000-0000804A0000}"/>
    <cellStyle name="Currency 4 6 2" xfId="19072" xr:uid="{00000000-0005-0000-0000-0000814A0000}"/>
    <cellStyle name="Currency 4 6 2 2" xfId="19073" xr:uid="{00000000-0005-0000-0000-0000824A0000}"/>
    <cellStyle name="Currency 4 6 2 2 2" xfId="19074" xr:uid="{00000000-0005-0000-0000-0000834A0000}"/>
    <cellStyle name="Currency 4 6 2 2 2 2" xfId="19075" xr:uid="{00000000-0005-0000-0000-0000844A0000}"/>
    <cellStyle name="Currency 4 6 2 2 2 3" xfId="19076" xr:uid="{00000000-0005-0000-0000-0000854A0000}"/>
    <cellStyle name="Currency 4 6 2 2 3" xfId="19077" xr:uid="{00000000-0005-0000-0000-0000864A0000}"/>
    <cellStyle name="Currency 4 6 2 2 4" xfId="19078" xr:uid="{00000000-0005-0000-0000-0000874A0000}"/>
    <cellStyle name="Currency 4 6 2 2 5" xfId="19079" xr:uid="{00000000-0005-0000-0000-0000884A0000}"/>
    <cellStyle name="Currency 4 6 2 2 6" xfId="19080" xr:uid="{00000000-0005-0000-0000-0000894A0000}"/>
    <cellStyle name="Currency 4 6 2 3" xfId="19081" xr:uid="{00000000-0005-0000-0000-00008A4A0000}"/>
    <cellStyle name="Currency 4 6 2 3 2" xfId="19082" xr:uid="{00000000-0005-0000-0000-00008B4A0000}"/>
    <cellStyle name="Currency 4 6 2 3 2 2" xfId="19083" xr:uid="{00000000-0005-0000-0000-00008C4A0000}"/>
    <cellStyle name="Currency 4 6 2 3 3" xfId="19084" xr:uid="{00000000-0005-0000-0000-00008D4A0000}"/>
    <cellStyle name="Currency 4 6 2 3 4" xfId="19085" xr:uid="{00000000-0005-0000-0000-00008E4A0000}"/>
    <cellStyle name="Currency 4 6 2 3 5" xfId="19086" xr:uid="{00000000-0005-0000-0000-00008F4A0000}"/>
    <cellStyle name="Currency 4 6 2 4" xfId="19087" xr:uid="{00000000-0005-0000-0000-0000904A0000}"/>
    <cellStyle name="Currency 4 6 2 4 2" xfId="19088" xr:uid="{00000000-0005-0000-0000-0000914A0000}"/>
    <cellStyle name="Currency 4 6 2 4 3" xfId="19089" xr:uid="{00000000-0005-0000-0000-0000924A0000}"/>
    <cellStyle name="Currency 4 6 2 4 4" xfId="19090" xr:uid="{00000000-0005-0000-0000-0000934A0000}"/>
    <cellStyle name="Currency 4 6 2 5" xfId="19091" xr:uid="{00000000-0005-0000-0000-0000944A0000}"/>
    <cellStyle name="Currency 4 6 2 5 2" xfId="19092" xr:uid="{00000000-0005-0000-0000-0000954A0000}"/>
    <cellStyle name="Currency 4 6 2 6" xfId="19093" xr:uid="{00000000-0005-0000-0000-0000964A0000}"/>
    <cellStyle name="Currency 4 6 2 7" xfId="19094" xr:uid="{00000000-0005-0000-0000-0000974A0000}"/>
    <cellStyle name="Currency 4 6 2 8" xfId="19095" xr:uid="{00000000-0005-0000-0000-0000984A0000}"/>
    <cellStyle name="Currency 4 6 2 9" xfId="19096" xr:uid="{00000000-0005-0000-0000-0000994A0000}"/>
    <cellStyle name="Currency 4 6 3" xfId="19097" xr:uid="{00000000-0005-0000-0000-00009A4A0000}"/>
    <cellStyle name="Currency 4 6 3 2" xfId="19098" xr:uid="{00000000-0005-0000-0000-00009B4A0000}"/>
    <cellStyle name="Currency 4 6 3 2 2" xfId="19099" xr:uid="{00000000-0005-0000-0000-00009C4A0000}"/>
    <cellStyle name="Currency 4 6 3 2 3" xfId="19100" xr:uid="{00000000-0005-0000-0000-00009D4A0000}"/>
    <cellStyle name="Currency 4 6 3 3" xfId="19101" xr:uid="{00000000-0005-0000-0000-00009E4A0000}"/>
    <cellStyle name="Currency 4 6 3 4" xfId="19102" xr:uid="{00000000-0005-0000-0000-00009F4A0000}"/>
    <cellStyle name="Currency 4 6 3 5" xfId="19103" xr:uid="{00000000-0005-0000-0000-0000A04A0000}"/>
    <cellStyle name="Currency 4 6 3 6" xfId="19104" xr:uid="{00000000-0005-0000-0000-0000A14A0000}"/>
    <cellStyle name="Currency 4 6 4" xfId="19105" xr:uid="{00000000-0005-0000-0000-0000A24A0000}"/>
    <cellStyle name="Currency 4 6 4 2" xfId="19106" xr:uid="{00000000-0005-0000-0000-0000A34A0000}"/>
    <cellStyle name="Currency 4 6 4 2 2" xfId="19107" xr:uid="{00000000-0005-0000-0000-0000A44A0000}"/>
    <cellStyle name="Currency 4 6 4 3" xfId="19108" xr:uid="{00000000-0005-0000-0000-0000A54A0000}"/>
    <cellStyle name="Currency 4 6 4 4" xfId="19109" xr:uid="{00000000-0005-0000-0000-0000A64A0000}"/>
    <cellStyle name="Currency 4 6 4 5" xfId="19110" xr:uid="{00000000-0005-0000-0000-0000A74A0000}"/>
    <cellStyle name="Currency 4 6 5" xfId="19111" xr:uid="{00000000-0005-0000-0000-0000A84A0000}"/>
    <cellStyle name="Currency 4 6 5 2" xfId="19112" xr:uid="{00000000-0005-0000-0000-0000A94A0000}"/>
    <cellStyle name="Currency 4 6 5 2 2" xfId="19113" xr:uid="{00000000-0005-0000-0000-0000AA4A0000}"/>
    <cellStyle name="Currency 4 6 5 3" xfId="19114" xr:uid="{00000000-0005-0000-0000-0000AB4A0000}"/>
    <cellStyle name="Currency 4 6 5 4" xfId="19115" xr:uid="{00000000-0005-0000-0000-0000AC4A0000}"/>
    <cellStyle name="Currency 4 6 5 5" xfId="19116" xr:uid="{00000000-0005-0000-0000-0000AD4A0000}"/>
    <cellStyle name="Currency 4 6 6" xfId="19117" xr:uid="{00000000-0005-0000-0000-0000AE4A0000}"/>
    <cellStyle name="Currency 4 6 6 2" xfId="19118" xr:uid="{00000000-0005-0000-0000-0000AF4A0000}"/>
    <cellStyle name="Currency 4 6 7" xfId="19119" xr:uid="{00000000-0005-0000-0000-0000B04A0000}"/>
    <cellStyle name="Currency 4 6 8" xfId="19120" xr:uid="{00000000-0005-0000-0000-0000B14A0000}"/>
    <cellStyle name="Currency 4 6 9" xfId="19121" xr:uid="{00000000-0005-0000-0000-0000B24A0000}"/>
    <cellStyle name="Currency 4 7" xfId="19122" xr:uid="{00000000-0005-0000-0000-0000B34A0000}"/>
    <cellStyle name="Currency 4 7 10" xfId="19123" xr:uid="{00000000-0005-0000-0000-0000B44A0000}"/>
    <cellStyle name="Currency 4 7 2" xfId="19124" xr:uid="{00000000-0005-0000-0000-0000B54A0000}"/>
    <cellStyle name="Currency 4 7 2 2" xfId="19125" xr:uid="{00000000-0005-0000-0000-0000B64A0000}"/>
    <cellStyle name="Currency 4 7 2 2 2" xfId="19126" xr:uid="{00000000-0005-0000-0000-0000B74A0000}"/>
    <cellStyle name="Currency 4 7 2 2 2 2" xfId="19127" xr:uid="{00000000-0005-0000-0000-0000B84A0000}"/>
    <cellStyle name="Currency 4 7 2 2 2 3" xfId="19128" xr:uid="{00000000-0005-0000-0000-0000B94A0000}"/>
    <cellStyle name="Currency 4 7 2 2 3" xfId="19129" xr:uid="{00000000-0005-0000-0000-0000BA4A0000}"/>
    <cellStyle name="Currency 4 7 2 2 4" xfId="19130" xr:uid="{00000000-0005-0000-0000-0000BB4A0000}"/>
    <cellStyle name="Currency 4 7 2 2 5" xfId="19131" xr:uid="{00000000-0005-0000-0000-0000BC4A0000}"/>
    <cellStyle name="Currency 4 7 2 2 6" xfId="19132" xr:uid="{00000000-0005-0000-0000-0000BD4A0000}"/>
    <cellStyle name="Currency 4 7 2 3" xfId="19133" xr:uid="{00000000-0005-0000-0000-0000BE4A0000}"/>
    <cellStyle name="Currency 4 7 2 3 2" xfId="19134" xr:uid="{00000000-0005-0000-0000-0000BF4A0000}"/>
    <cellStyle name="Currency 4 7 2 3 2 2" xfId="19135" xr:uid="{00000000-0005-0000-0000-0000C04A0000}"/>
    <cellStyle name="Currency 4 7 2 3 3" xfId="19136" xr:uid="{00000000-0005-0000-0000-0000C14A0000}"/>
    <cellStyle name="Currency 4 7 2 3 4" xfId="19137" xr:uid="{00000000-0005-0000-0000-0000C24A0000}"/>
    <cellStyle name="Currency 4 7 2 3 5" xfId="19138" xr:uid="{00000000-0005-0000-0000-0000C34A0000}"/>
    <cellStyle name="Currency 4 7 2 4" xfId="19139" xr:uid="{00000000-0005-0000-0000-0000C44A0000}"/>
    <cellStyle name="Currency 4 7 2 4 2" xfId="19140" xr:uid="{00000000-0005-0000-0000-0000C54A0000}"/>
    <cellStyle name="Currency 4 7 2 4 3" xfId="19141" xr:uid="{00000000-0005-0000-0000-0000C64A0000}"/>
    <cellStyle name="Currency 4 7 2 4 4" xfId="19142" xr:uid="{00000000-0005-0000-0000-0000C74A0000}"/>
    <cellStyle name="Currency 4 7 2 5" xfId="19143" xr:uid="{00000000-0005-0000-0000-0000C84A0000}"/>
    <cellStyle name="Currency 4 7 2 5 2" xfId="19144" xr:uid="{00000000-0005-0000-0000-0000C94A0000}"/>
    <cellStyle name="Currency 4 7 2 6" xfId="19145" xr:uid="{00000000-0005-0000-0000-0000CA4A0000}"/>
    <cellStyle name="Currency 4 7 2 7" xfId="19146" xr:uid="{00000000-0005-0000-0000-0000CB4A0000}"/>
    <cellStyle name="Currency 4 7 2 8" xfId="19147" xr:uid="{00000000-0005-0000-0000-0000CC4A0000}"/>
    <cellStyle name="Currency 4 7 2 9" xfId="19148" xr:uid="{00000000-0005-0000-0000-0000CD4A0000}"/>
    <cellStyle name="Currency 4 7 3" xfId="19149" xr:uid="{00000000-0005-0000-0000-0000CE4A0000}"/>
    <cellStyle name="Currency 4 7 3 2" xfId="19150" xr:uid="{00000000-0005-0000-0000-0000CF4A0000}"/>
    <cellStyle name="Currency 4 7 3 2 2" xfId="19151" xr:uid="{00000000-0005-0000-0000-0000D04A0000}"/>
    <cellStyle name="Currency 4 7 3 2 3" xfId="19152" xr:uid="{00000000-0005-0000-0000-0000D14A0000}"/>
    <cellStyle name="Currency 4 7 3 3" xfId="19153" xr:uid="{00000000-0005-0000-0000-0000D24A0000}"/>
    <cellStyle name="Currency 4 7 3 4" xfId="19154" xr:uid="{00000000-0005-0000-0000-0000D34A0000}"/>
    <cellStyle name="Currency 4 7 3 5" xfId="19155" xr:uid="{00000000-0005-0000-0000-0000D44A0000}"/>
    <cellStyle name="Currency 4 7 3 6" xfId="19156" xr:uid="{00000000-0005-0000-0000-0000D54A0000}"/>
    <cellStyle name="Currency 4 7 4" xfId="19157" xr:uid="{00000000-0005-0000-0000-0000D64A0000}"/>
    <cellStyle name="Currency 4 7 4 2" xfId="19158" xr:uid="{00000000-0005-0000-0000-0000D74A0000}"/>
    <cellStyle name="Currency 4 7 4 2 2" xfId="19159" xr:uid="{00000000-0005-0000-0000-0000D84A0000}"/>
    <cellStyle name="Currency 4 7 4 3" xfId="19160" xr:uid="{00000000-0005-0000-0000-0000D94A0000}"/>
    <cellStyle name="Currency 4 7 4 4" xfId="19161" xr:uid="{00000000-0005-0000-0000-0000DA4A0000}"/>
    <cellStyle name="Currency 4 7 4 5" xfId="19162" xr:uid="{00000000-0005-0000-0000-0000DB4A0000}"/>
    <cellStyle name="Currency 4 7 5" xfId="19163" xr:uid="{00000000-0005-0000-0000-0000DC4A0000}"/>
    <cellStyle name="Currency 4 7 5 2" xfId="19164" xr:uid="{00000000-0005-0000-0000-0000DD4A0000}"/>
    <cellStyle name="Currency 4 7 5 2 2" xfId="19165" xr:uid="{00000000-0005-0000-0000-0000DE4A0000}"/>
    <cellStyle name="Currency 4 7 5 3" xfId="19166" xr:uid="{00000000-0005-0000-0000-0000DF4A0000}"/>
    <cellStyle name="Currency 4 7 5 4" xfId="19167" xr:uid="{00000000-0005-0000-0000-0000E04A0000}"/>
    <cellStyle name="Currency 4 7 5 5" xfId="19168" xr:uid="{00000000-0005-0000-0000-0000E14A0000}"/>
    <cellStyle name="Currency 4 7 6" xfId="19169" xr:uid="{00000000-0005-0000-0000-0000E24A0000}"/>
    <cellStyle name="Currency 4 7 6 2" xfId="19170" xr:uid="{00000000-0005-0000-0000-0000E34A0000}"/>
    <cellStyle name="Currency 4 7 7" xfId="19171" xr:uid="{00000000-0005-0000-0000-0000E44A0000}"/>
    <cellStyle name="Currency 4 7 8" xfId="19172" xr:uid="{00000000-0005-0000-0000-0000E54A0000}"/>
    <cellStyle name="Currency 4 7 9" xfId="19173" xr:uid="{00000000-0005-0000-0000-0000E64A0000}"/>
    <cellStyle name="Currency 4 8" xfId="19174" xr:uid="{00000000-0005-0000-0000-0000E74A0000}"/>
    <cellStyle name="Currency 4 8 10" xfId="19175" xr:uid="{00000000-0005-0000-0000-0000E84A0000}"/>
    <cellStyle name="Currency 4 8 2" xfId="19176" xr:uid="{00000000-0005-0000-0000-0000E94A0000}"/>
    <cellStyle name="Currency 4 8 2 2" xfId="19177" xr:uid="{00000000-0005-0000-0000-0000EA4A0000}"/>
    <cellStyle name="Currency 4 8 2 2 2" xfId="19178" xr:uid="{00000000-0005-0000-0000-0000EB4A0000}"/>
    <cellStyle name="Currency 4 8 2 2 2 2" xfId="19179" xr:uid="{00000000-0005-0000-0000-0000EC4A0000}"/>
    <cellStyle name="Currency 4 8 2 2 2 3" xfId="19180" xr:uid="{00000000-0005-0000-0000-0000ED4A0000}"/>
    <cellStyle name="Currency 4 8 2 2 3" xfId="19181" xr:uid="{00000000-0005-0000-0000-0000EE4A0000}"/>
    <cellStyle name="Currency 4 8 2 2 4" xfId="19182" xr:uid="{00000000-0005-0000-0000-0000EF4A0000}"/>
    <cellStyle name="Currency 4 8 2 2 5" xfId="19183" xr:uid="{00000000-0005-0000-0000-0000F04A0000}"/>
    <cellStyle name="Currency 4 8 2 2 6" xfId="19184" xr:uid="{00000000-0005-0000-0000-0000F14A0000}"/>
    <cellStyle name="Currency 4 8 2 3" xfId="19185" xr:uid="{00000000-0005-0000-0000-0000F24A0000}"/>
    <cellStyle name="Currency 4 8 2 3 2" xfId="19186" xr:uid="{00000000-0005-0000-0000-0000F34A0000}"/>
    <cellStyle name="Currency 4 8 2 3 2 2" xfId="19187" xr:uid="{00000000-0005-0000-0000-0000F44A0000}"/>
    <cellStyle name="Currency 4 8 2 3 3" xfId="19188" xr:uid="{00000000-0005-0000-0000-0000F54A0000}"/>
    <cellStyle name="Currency 4 8 2 3 4" xfId="19189" xr:uid="{00000000-0005-0000-0000-0000F64A0000}"/>
    <cellStyle name="Currency 4 8 2 3 5" xfId="19190" xr:uid="{00000000-0005-0000-0000-0000F74A0000}"/>
    <cellStyle name="Currency 4 8 2 4" xfId="19191" xr:uid="{00000000-0005-0000-0000-0000F84A0000}"/>
    <cellStyle name="Currency 4 8 2 4 2" xfId="19192" xr:uid="{00000000-0005-0000-0000-0000F94A0000}"/>
    <cellStyle name="Currency 4 8 2 4 3" xfId="19193" xr:uid="{00000000-0005-0000-0000-0000FA4A0000}"/>
    <cellStyle name="Currency 4 8 2 4 4" xfId="19194" xr:uid="{00000000-0005-0000-0000-0000FB4A0000}"/>
    <cellStyle name="Currency 4 8 2 5" xfId="19195" xr:uid="{00000000-0005-0000-0000-0000FC4A0000}"/>
    <cellStyle name="Currency 4 8 2 5 2" xfId="19196" xr:uid="{00000000-0005-0000-0000-0000FD4A0000}"/>
    <cellStyle name="Currency 4 8 2 6" xfId="19197" xr:uid="{00000000-0005-0000-0000-0000FE4A0000}"/>
    <cellStyle name="Currency 4 8 2 7" xfId="19198" xr:uid="{00000000-0005-0000-0000-0000FF4A0000}"/>
    <cellStyle name="Currency 4 8 2 8" xfId="19199" xr:uid="{00000000-0005-0000-0000-0000004B0000}"/>
    <cellStyle name="Currency 4 8 2 9" xfId="19200" xr:uid="{00000000-0005-0000-0000-0000014B0000}"/>
    <cellStyle name="Currency 4 8 3" xfId="19201" xr:uid="{00000000-0005-0000-0000-0000024B0000}"/>
    <cellStyle name="Currency 4 8 3 2" xfId="19202" xr:uid="{00000000-0005-0000-0000-0000034B0000}"/>
    <cellStyle name="Currency 4 8 3 2 2" xfId="19203" xr:uid="{00000000-0005-0000-0000-0000044B0000}"/>
    <cellStyle name="Currency 4 8 3 2 3" xfId="19204" xr:uid="{00000000-0005-0000-0000-0000054B0000}"/>
    <cellStyle name="Currency 4 8 3 3" xfId="19205" xr:uid="{00000000-0005-0000-0000-0000064B0000}"/>
    <cellStyle name="Currency 4 8 3 4" xfId="19206" xr:uid="{00000000-0005-0000-0000-0000074B0000}"/>
    <cellStyle name="Currency 4 8 3 5" xfId="19207" xr:uid="{00000000-0005-0000-0000-0000084B0000}"/>
    <cellStyle name="Currency 4 8 3 6" xfId="19208" xr:uid="{00000000-0005-0000-0000-0000094B0000}"/>
    <cellStyle name="Currency 4 8 4" xfId="19209" xr:uid="{00000000-0005-0000-0000-00000A4B0000}"/>
    <cellStyle name="Currency 4 8 4 2" xfId="19210" xr:uid="{00000000-0005-0000-0000-00000B4B0000}"/>
    <cellStyle name="Currency 4 8 4 2 2" xfId="19211" xr:uid="{00000000-0005-0000-0000-00000C4B0000}"/>
    <cellStyle name="Currency 4 8 4 3" xfId="19212" xr:uid="{00000000-0005-0000-0000-00000D4B0000}"/>
    <cellStyle name="Currency 4 8 4 4" xfId="19213" xr:uid="{00000000-0005-0000-0000-00000E4B0000}"/>
    <cellStyle name="Currency 4 8 4 5" xfId="19214" xr:uid="{00000000-0005-0000-0000-00000F4B0000}"/>
    <cellStyle name="Currency 4 8 5" xfId="19215" xr:uid="{00000000-0005-0000-0000-0000104B0000}"/>
    <cellStyle name="Currency 4 8 5 2" xfId="19216" xr:uid="{00000000-0005-0000-0000-0000114B0000}"/>
    <cellStyle name="Currency 4 8 5 2 2" xfId="19217" xr:uid="{00000000-0005-0000-0000-0000124B0000}"/>
    <cellStyle name="Currency 4 8 5 3" xfId="19218" xr:uid="{00000000-0005-0000-0000-0000134B0000}"/>
    <cellStyle name="Currency 4 8 5 4" xfId="19219" xr:uid="{00000000-0005-0000-0000-0000144B0000}"/>
    <cellStyle name="Currency 4 8 5 5" xfId="19220" xr:uid="{00000000-0005-0000-0000-0000154B0000}"/>
    <cellStyle name="Currency 4 8 6" xfId="19221" xr:uid="{00000000-0005-0000-0000-0000164B0000}"/>
    <cellStyle name="Currency 4 8 6 2" xfId="19222" xr:uid="{00000000-0005-0000-0000-0000174B0000}"/>
    <cellStyle name="Currency 4 8 7" xfId="19223" xr:uid="{00000000-0005-0000-0000-0000184B0000}"/>
    <cellStyle name="Currency 4 8 8" xfId="19224" xr:uid="{00000000-0005-0000-0000-0000194B0000}"/>
    <cellStyle name="Currency 4 8 9" xfId="19225" xr:uid="{00000000-0005-0000-0000-00001A4B0000}"/>
    <cellStyle name="Currency 4 9" xfId="19226" xr:uid="{00000000-0005-0000-0000-00001B4B0000}"/>
    <cellStyle name="Currency 4 9 2" xfId="19227" xr:uid="{00000000-0005-0000-0000-00001C4B0000}"/>
    <cellStyle name="Currency 4 9 2 2" xfId="19228" xr:uid="{00000000-0005-0000-0000-00001D4B0000}"/>
    <cellStyle name="Currency 4 9 2 2 2" xfId="19229" xr:uid="{00000000-0005-0000-0000-00001E4B0000}"/>
    <cellStyle name="Currency 4 9 2 2 3" xfId="19230" xr:uid="{00000000-0005-0000-0000-00001F4B0000}"/>
    <cellStyle name="Currency 4 9 2 3" xfId="19231" xr:uid="{00000000-0005-0000-0000-0000204B0000}"/>
    <cellStyle name="Currency 4 9 2 4" xfId="19232" xr:uid="{00000000-0005-0000-0000-0000214B0000}"/>
    <cellStyle name="Currency 4 9 2 5" xfId="19233" xr:uid="{00000000-0005-0000-0000-0000224B0000}"/>
    <cellStyle name="Currency 4 9 2 6" xfId="19234" xr:uid="{00000000-0005-0000-0000-0000234B0000}"/>
    <cellStyle name="Currency 4 9 3" xfId="19235" xr:uid="{00000000-0005-0000-0000-0000244B0000}"/>
    <cellStyle name="Currency 4 9 3 2" xfId="19236" xr:uid="{00000000-0005-0000-0000-0000254B0000}"/>
    <cellStyle name="Currency 4 9 3 2 2" xfId="19237" xr:uid="{00000000-0005-0000-0000-0000264B0000}"/>
    <cellStyle name="Currency 4 9 3 3" xfId="19238" xr:uid="{00000000-0005-0000-0000-0000274B0000}"/>
    <cellStyle name="Currency 4 9 3 4" xfId="19239" xr:uid="{00000000-0005-0000-0000-0000284B0000}"/>
    <cellStyle name="Currency 4 9 3 5" xfId="19240" xr:uid="{00000000-0005-0000-0000-0000294B0000}"/>
    <cellStyle name="Currency 4 9 4" xfId="19241" xr:uid="{00000000-0005-0000-0000-00002A4B0000}"/>
    <cellStyle name="Currency 4 9 4 2" xfId="19242" xr:uid="{00000000-0005-0000-0000-00002B4B0000}"/>
    <cellStyle name="Currency 4 9 4 3" xfId="19243" xr:uid="{00000000-0005-0000-0000-00002C4B0000}"/>
    <cellStyle name="Currency 4 9 4 4" xfId="19244" xr:uid="{00000000-0005-0000-0000-00002D4B0000}"/>
    <cellStyle name="Currency 4 9 5" xfId="19245" xr:uid="{00000000-0005-0000-0000-00002E4B0000}"/>
    <cellStyle name="Currency 4 9 5 2" xfId="19246" xr:uid="{00000000-0005-0000-0000-00002F4B0000}"/>
    <cellStyle name="Currency 4 9 6" xfId="19247" xr:uid="{00000000-0005-0000-0000-0000304B0000}"/>
    <cellStyle name="Currency 4 9 7" xfId="19248" xr:uid="{00000000-0005-0000-0000-0000314B0000}"/>
    <cellStyle name="Currency 4 9 8" xfId="19249" xr:uid="{00000000-0005-0000-0000-0000324B0000}"/>
    <cellStyle name="Currency 4 9 9" xfId="19250" xr:uid="{00000000-0005-0000-0000-0000334B0000}"/>
    <cellStyle name="Currency 5" xfId="19251" xr:uid="{00000000-0005-0000-0000-0000344B0000}"/>
    <cellStyle name="Currency 5 10" xfId="19252" xr:uid="{00000000-0005-0000-0000-0000354B0000}"/>
    <cellStyle name="Currency 5 2" xfId="19253" xr:uid="{00000000-0005-0000-0000-0000364B0000}"/>
    <cellStyle name="Currency 5 2 2" xfId="19254" xr:uid="{00000000-0005-0000-0000-0000374B0000}"/>
    <cellStyle name="Currency 5 2 2 2" xfId="19255" xr:uid="{00000000-0005-0000-0000-0000384B0000}"/>
    <cellStyle name="Currency 5 2 2 2 2" xfId="19256" xr:uid="{00000000-0005-0000-0000-0000394B0000}"/>
    <cellStyle name="Currency 5 2 2 2 3" xfId="19257" xr:uid="{00000000-0005-0000-0000-00003A4B0000}"/>
    <cellStyle name="Currency 5 2 2 3" xfId="19258" xr:uid="{00000000-0005-0000-0000-00003B4B0000}"/>
    <cellStyle name="Currency 5 2 2 4" xfId="19259" xr:uid="{00000000-0005-0000-0000-00003C4B0000}"/>
    <cellStyle name="Currency 5 2 2 5" xfId="19260" xr:uid="{00000000-0005-0000-0000-00003D4B0000}"/>
    <cellStyle name="Currency 5 2 2 6" xfId="19261" xr:uid="{00000000-0005-0000-0000-00003E4B0000}"/>
    <cellStyle name="Currency 5 2 3" xfId="19262" xr:uid="{00000000-0005-0000-0000-00003F4B0000}"/>
    <cellStyle name="Currency 5 2 3 2" xfId="19263" xr:uid="{00000000-0005-0000-0000-0000404B0000}"/>
    <cellStyle name="Currency 5 2 3 2 2" xfId="19264" xr:uid="{00000000-0005-0000-0000-0000414B0000}"/>
    <cellStyle name="Currency 5 2 3 3" xfId="19265" xr:uid="{00000000-0005-0000-0000-0000424B0000}"/>
    <cellStyle name="Currency 5 2 3 4" xfId="19266" xr:uid="{00000000-0005-0000-0000-0000434B0000}"/>
    <cellStyle name="Currency 5 2 3 5" xfId="19267" xr:uid="{00000000-0005-0000-0000-0000444B0000}"/>
    <cellStyle name="Currency 5 2 4" xfId="19268" xr:uid="{00000000-0005-0000-0000-0000454B0000}"/>
    <cellStyle name="Currency 5 2 4 2" xfId="19269" xr:uid="{00000000-0005-0000-0000-0000464B0000}"/>
    <cellStyle name="Currency 5 2 4 3" xfId="19270" xr:uid="{00000000-0005-0000-0000-0000474B0000}"/>
    <cellStyle name="Currency 5 2 4 4" xfId="19271" xr:uid="{00000000-0005-0000-0000-0000484B0000}"/>
    <cellStyle name="Currency 5 2 5" xfId="19272" xr:uid="{00000000-0005-0000-0000-0000494B0000}"/>
    <cellStyle name="Currency 5 2 5 2" xfId="19273" xr:uid="{00000000-0005-0000-0000-00004A4B0000}"/>
    <cellStyle name="Currency 5 2 6" xfId="19274" xr:uid="{00000000-0005-0000-0000-00004B4B0000}"/>
    <cellStyle name="Currency 5 2 7" xfId="19275" xr:uid="{00000000-0005-0000-0000-00004C4B0000}"/>
    <cellStyle name="Currency 5 2 8" xfId="19276" xr:uid="{00000000-0005-0000-0000-00004D4B0000}"/>
    <cellStyle name="Currency 5 2 9" xfId="19277" xr:uid="{00000000-0005-0000-0000-00004E4B0000}"/>
    <cellStyle name="Currency 5 3" xfId="19278" xr:uid="{00000000-0005-0000-0000-00004F4B0000}"/>
    <cellStyle name="Currency 5 3 2" xfId="19279" xr:uid="{00000000-0005-0000-0000-0000504B0000}"/>
    <cellStyle name="Currency 5 3 2 2" xfId="19280" xr:uid="{00000000-0005-0000-0000-0000514B0000}"/>
    <cellStyle name="Currency 5 3 2 3" xfId="19281" xr:uid="{00000000-0005-0000-0000-0000524B0000}"/>
    <cellStyle name="Currency 5 3 3" xfId="19282" xr:uid="{00000000-0005-0000-0000-0000534B0000}"/>
    <cellStyle name="Currency 5 3 4" xfId="19283" xr:uid="{00000000-0005-0000-0000-0000544B0000}"/>
    <cellStyle name="Currency 5 3 5" xfId="19284" xr:uid="{00000000-0005-0000-0000-0000554B0000}"/>
    <cellStyle name="Currency 5 3 6" xfId="19285" xr:uid="{00000000-0005-0000-0000-0000564B0000}"/>
    <cellStyle name="Currency 5 4" xfId="19286" xr:uid="{00000000-0005-0000-0000-0000574B0000}"/>
    <cellStyle name="Currency 5 4 2" xfId="19287" xr:uid="{00000000-0005-0000-0000-0000584B0000}"/>
    <cellStyle name="Currency 5 4 2 2" xfId="19288" xr:uid="{00000000-0005-0000-0000-0000594B0000}"/>
    <cellStyle name="Currency 5 4 3" xfId="19289" xr:uid="{00000000-0005-0000-0000-00005A4B0000}"/>
    <cellStyle name="Currency 5 4 4" xfId="19290" xr:uid="{00000000-0005-0000-0000-00005B4B0000}"/>
    <cellStyle name="Currency 5 4 5" xfId="19291" xr:uid="{00000000-0005-0000-0000-00005C4B0000}"/>
    <cellStyle name="Currency 5 5" xfId="19292" xr:uid="{00000000-0005-0000-0000-00005D4B0000}"/>
    <cellStyle name="Currency 5 5 2" xfId="19293" xr:uid="{00000000-0005-0000-0000-00005E4B0000}"/>
    <cellStyle name="Currency 5 5 3" xfId="19294" xr:uid="{00000000-0005-0000-0000-00005F4B0000}"/>
    <cellStyle name="Currency 5 5 4" xfId="19295" xr:uid="{00000000-0005-0000-0000-0000604B0000}"/>
    <cellStyle name="Currency 5 6" xfId="19296" xr:uid="{00000000-0005-0000-0000-0000614B0000}"/>
    <cellStyle name="Currency 5 6 2" xfId="19297" xr:uid="{00000000-0005-0000-0000-0000624B0000}"/>
    <cellStyle name="Currency 5 7" xfId="19298" xr:uid="{00000000-0005-0000-0000-0000634B0000}"/>
    <cellStyle name="Currency 5 8" xfId="19299" xr:uid="{00000000-0005-0000-0000-0000644B0000}"/>
    <cellStyle name="Currency 5 9" xfId="19300" xr:uid="{00000000-0005-0000-0000-0000654B0000}"/>
    <cellStyle name="Currency 6" xfId="19301" xr:uid="{00000000-0005-0000-0000-0000664B0000}"/>
    <cellStyle name="Currency 6 2" xfId="19302" xr:uid="{00000000-0005-0000-0000-0000674B0000}"/>
    <cellStyle name="Currency 6 2 2" xfId="19303" xr:uid="{00000000-0005-0000-0000-0000684B0000}"/>
    <cellStyle name="Currency 6 2 2 2" xfId="19304" xr:uid="{00000000-0005-0000-0000-0000694B0000}"/>
    <cellStyle name="Currency 6 2 2 3" xfId="19305" xr:uid="{00000000-0005-0000-0000-00006A4B0000}"/>
    <cellStyle name="Currency 6 2 3" xfId="19306" xr:uid="{00000000-0005-0000-0000-00006B4B0000}"/>
    <cellStyle name="Currency 6 2 4" xfId="19307" xr:uid="{00000000-0005-0000-0000-00006C4B0000}"/>
    <cellStyle name="Currency 6 2 5" xfId="19308" xr:uid="{00000000-0005-0000-0000-00006D4B0000}"/>
    <cellStyle name="Currency 6 2 6" xfId="19309" xr:uid="{00000000-0005-0000-0000-00006E4B0000}"/>
    <cellStyle name="Currency 6 3" xfId="19310" xr:uid="{00000000-0005-0000-0000-00006F4B0000}"/>
    <cellStyle name="Currency 6 3 2" xfId="19311" xr:uid="{00000000-0005-0000-0000-0000704B0000}"/>
    <cellStyle name="Currency 6 3 2 2" xfId="19312" xr:uid="{00000000-0005-0000-0000-0000714B0000}"/>
    <cellStyle name="Currency 6 3 3" xfId="19313" xr:uid="{00000000-0005-0000-0000-0000724B0000}"/>
    <cellStyle name="Currency 6 3 4" xfId="19314" xr:uid="{00000000-0005-0000-0000-0000734B0000}"/>
    <cellStyle name="Currency 6 3 5" xfId="19315" xr:uid="{00000000-0005-0000-0000-0000744B0000}"/>
    <cellStyle name="Currency 6 4" xfId="19316" xr:uid="{00000000-0005-0000-0000-0000754B0000}"/>
    <cellStyle name="Currency 6 4 2" xfId="19317" xr:uid="{00000000-0005-0000-0000-0000764B0000}"/>
    <cellStyle name="Currency 6 4 3" xfId="19318" xr:uid="{00000000-0005-0000-0000-0000774B0000}"/>
    <cellStyle name="Currency 6 4 4" xfId="19319" xr:uid="{00000000-0005-0000-0000-0000784B0000}"/>
    <cellStyle name="Currency 6 5" xfId="19320" xr:uid="{00000000-0005-0000-0000-0000794B0000}"/>
    <cellStyle name="Currency 6 5 2" xfId="19321" xr:uid="{00000000-0005-0000-0000-00007A4B0000}"/>
    <cellStyle name="Currency 6 6" xfId="19322" xr:uid="{00000000-0005-0000-0000-00007B4B0000}"/>
    <cellStyle name="Currency 6 7" xfId="19323" xr:uid="{00000000-0005-0000-0000-00007C4B0000}"/>
    <cellStyle name="Currency 6 8" xfId="19324" xr:uid="{00000000-0005-0000-0000-00007D4B0000}"/>
    <cellStyle name="Currency 6 9" xfId="19325" xr:uid="{00000000-0005-0000-0000-00007E4B0000}"/>
    <cellStyle name="Currency 7" xfId="19326" xr:uid="{00000000-0005-0000-0000-00007F4B0000}"/>
    <cellStyle name="Currency 7 2" xfId="19327" xr:uid="{00000000-0005-0000-0000-0000804B0000}"/>
    <cellStyle name="Currency 7 2 2" xfId="19328" xr:uid="{00000000-0005-0000-0000-0000814B0000}"/>
    <cellStyle name="Currency 7 2 2 2" xfId="19329" xr:uid="{00000000-0005-0000-0000-0000824B0000}"/>
    <cellStyle name="Currency 7 2 3" xfId="19330" xr:uid="{00000000-0005-0000-0000-0000834B0000}"/>
    <cellStyle name="Currency 7 2 4" xfId="19331" xr:uid="{00000000-0005-0000-0000-0000844B0000}"/>
    <cellStyle name="Currency 7 2 5" xfId="19332" xr:uid="{00000000-0005-0000-0000-0000854B0000}"/>
    <cellStyle name="Currency 7 3" xfId="19333" xr:uid="{00000000-0005-0000-0000-0000864B0000}"/>
    <cellStyle name="Currency 7 3 2" xfId="19334" xr:uid="{00000000-0005-0000-0000-0000874B0000}"/>
    <cellStyle name="Currency 7 3 3" xfId="19335" xr:uid="{00000000-0005-0000-0000-0000884B0000}"/>
    <cellStyle name="Currency 7 3 4" xfId="19336" xr:uid="{00000000-0005-0000-0000-0000894B0000}"/>
    <cellStyle name="Currency 7 4" xfId="19337" xr:uid="{00000000-0005-0000-0000-00008A4B0000}"/>
    <cellStyle name="Currency 7 4 2" xfId="19338" xr:uid="{00000000-0005-0000-0000-00008B4B0000}"/>
    <cellStyle name="Currency 7 5" xfId="19339" xr:uid="{00000000-0005-0000-0000-00008C4B0000}"/>
    <cellStyle name="Currency 7 6" xfId="19340" xr:uid="{00000000-0005-0000-0000-00008D4B0000}"/>
    <cellStyle name="Currency 7 7" xfId="19341" xr:uid="{00000000-0005-0000-0000-00008E4B0000}"/>
    <cellStyle name="Currency 7 8" xfId="19342" xr:uid="{00000000-0005-0000-0000-00008F4B0000}"/>
    <cellStyle name="Currency 8" xfId="19343" xr:uid="{00000000-0005-0000-0000-0000904B0000}"/>
    <cellStyle name="Currency 8 2" xfId="19344" xr:uid="{00000000-0005-0000-0000-0000914B0000}"/>
    <cellStyle name="Currency 8 2 2" xfId="19345" xr:uid="{00000000-0005-0000-0000-0000924B0000}"/>
    <cellStyle name="Currency 8 2 2 2" xfId="19346" xr:uid="{00000000-0005-0000-0000-0000934B0000}"/>
    <cellStyle name="Currency 8 2 3" xfId="19347" xr:uid="{00000000-0005-0000-0000-0000944B0000}"/>
    <cellStyle name="Currency 8 2 4" xfId="19348" xr:uid="{00000000-0005-0000-0000-0000954B0000}"/>
    <cellStyle name="Currency 8 2 5" xfId="19349" xr:uid="{00000000-0005-0000-0000-0000964B0000}"/>
    <cellStyle name="Currency 8 3" xfId="19350" xr:uid="{00000000-0005-0000-0000-0000974B0000}"/>
    <cellStyle name="Currency 8 3 2" xfId="19351" xr:uid="{00000000-0005-0000-0000-0000984B0000}"/>
    <cellStyle name="Currency 8 3 3" xfId="19352" xr:uid="{00000000-0005-0000-0000-0000994B0000}"/>
    <cellStyle name="Currency 8 3 4" xfId="19353" xr:uid="{00000000-0005-0000-0000-00009A4B0000}"/>
    <cellStyle name="Currency 8 4" xfId="19354" xr:uid="{00000000-0005-0000-0000-00009B4B0000}"/>
    <cellStyle name="Currency 8 4 2" xfId="19355" xr:uid="{00000000-0005-0000-0000-00009C4B0000}"/>
    <cellStyle name="Currency 8 5" xfId="19356" xr:uid="{00000000-0005-0000-0000-00009D4B0000}"/>
    <cellStyle name="Currency 8 6" xfId="19357" xr:uid="{00000000-0005-0000-0000-00009E4B0000}"/>
    <cellStyle name="Currency 8 7" xfId="19358" xr:uid="{00000000-0005-0000-0000-00009F4B0000}"/>
    <cellStyle name="Currency 8 8" xfId="19359" xr:uid="{00000000-0005-0000-0000-0000A04B0000}"/>
    <cellStyle name="Currency 9" xfId="19360" xr:uid="{00000000-0005-0000-0000-0000A14B0000}"/>
    <cellStyle name="Currency 9 2" xfId="19361" xr:uid="{00000000-0005-0000-0000-0000A24B0000}"/>
    <cellStyle name="Currency 9 2 2" xfId="19362" xr:uid="{00000000-0005-0000-0000-0000A34B0000}"/>
    <cellStyle name="Currency 9 2 3" xfId="19363" xr:uid="{00000000-0005-0000-0000-0000A44B0000}"/>
    <cellStyle name="Currency 9 2 4" xfId="19364" xr:uid="{00000000-0005-0000-0000-0000A54B0000}"/>
    <cellStyle name="Currency 9 3" xfId="19365" xr:uid="{00000000-0005-0000-0000-0000A64B0000}"/>
    <cellStyle name="Currency 9 3 2" xfId="19366" xr:uid="{00000000-0005-0000-0000-0000A74B0000}"/>
    <cellStyle name="Currency 9 4" xfId="19367" xr:uid="{00000000-0005-0000-0000-0000A84B0000}"/>
    <cellStyle name="Currency 9 5" xfId="19368" xr:uid="{00000000-0005-0000-0000-0000A94B0000}"/>
    <cellStyle name="Currency 9 6" xfId="19369" xr:uid="{00000000-0005-0000-0000-0000AA4B0000}"/>
    <cellStyle name="Currency0" xfId="19370" xr:uid="{00000000-0005-0000-0000-0000AB4B0000}"/>
    <cellStyle name="Date" xfId="19371" xr:uid="{00000000-0005-0000-0000-0000AC4B0000}"/>
    <cellStyle name="Fixed" xfId="19372" xr:uid="{00000000-0005-0000-0000-0000AD4B0000}"/>
    <cellStyle name="govt_labor" xfId="19373" xr:uid="{00000000-0005-0000-0000-0000AE4B0000}"/>
    <cellStyle name="Grey" xfId="19374" xr:uid="{00000000-0005-0000-0000-0000AF4B0000}"/>
    <cellStyle name="Heading 1 2" xfId="19375" xr:uid="{00000000-0005-0000-0000-0000B04B0000}"/>
    <cellStyle name="Heading 2 2" xfId="19376" xr:uid="{00000000-0005-0000-0000-0000B14B0000}"/>
    <cellStyle name="Heading1" xfId="19377" xr:uid="{00000000-0005-0000-0000-0000B24B0000}"/>
    <cellStyle name="Heading2" xfId="19378" xr:uid="{00000000-0005-0000-0000-0000B34B0000}"/>
    <cellStyle name="Hyperlink" xfId="42327" builtinId="8"/>
    <cellStyle name="Hyperlink 2" xfId="19379" xr:uid="{00000000-0005-0000-0000-0000B54B0000}"/>
    <cellStyle name="Input [yellow]" xfId="19380" xr:uid="{00000000-0005-0000-0000-0000B64B0000}"/>
    <cellStyle name="Normal" xfId="0" builtinId="0"/>
    <cellStyle name="Normal - Style1" xfId="19381" xr:uid="{00000000-0005-0000-0000-0000B84B0000}"/>
    <cellStyle name="Normal 10" xfId="19382" xr:uid="{00000000-0005-0000-0000-0000B94B0000}"/>
    <cellStyle name="Normal 10 2" xfId="19383" xr:uid="{00000000-0005-0000-0000-0000BA4B0000}"/>
    <cellStyle name="Normal 10 2 2" xfId="19384" xr:uid="{00000000-0005-0000-0000-0000BB4B0000}"/>
    <cellStyle name="Normal 10 3" xfId="19385" xr:uid="{00000000-0005-0000-0000-0000BC4B0000}"/>
    <cellStyle name="Normal 11" xfId="19386" xr:uid="{00000000-0005-0000-0000-0000BD4B0000}"/>
    <cellStyle name="Normal 11 2" xfId="19387" xr:uid="{00000000-0005-0000-0000-0000BE4B0000}"/>
    <cellStyle name="Normal 11 2 2" xfId="19388" xr:uid="{00000000-0005-0000-0000-0000BF4B0000}"/>
    <cellStyle name="Normal 11 3" xfId="19389" xr:uid="{00000000-0005-0000-0000-0000C04B0000}"/>
    <cellStyle name="Normal 11 4" xfId="19390" xr:uid="{00000000-0005-0000-0000-0000C14B0000}"/>
    <cellStyle name="Normal 11 5" xfId="19391" xr:uid="{00000000-0005-0000-0000-0000C24B0000}"/>
    <cellStyle name="Normal 12" xfId="19392" xr:uid="{00000000-0005-0000-0000-0000C34B0000}"/>
    <cellStyle name="Normal 12 10" xfId="19393" xr:uid="{00000000-0005-0000-0000-0000C44B0000}"/>
    <cellStyle name="Normal 12 2" xfId="19394" xr:uid="{00000000-0005-0000-0000-0000C54B0000}"/>
    <cellStyle name="Normal 12 2 2" xfId="19395" xr:uid="{00000000-0005-0000-0000-0000C64B0000}"/>
    <cellStyle name="Normal 12 2 2 2" xfId="19396" xr:uid="{00000000-0005-0000-0000-0000C74B0000}"/>
    <cellStyle name="Normal 12 2 2 2 2" xfId="19397" xr:uid="{00000000-0005-0000-0000-0000C84B0000}"/>
    <cellStyle name="Normal 12 2 2 2 3" xfId="19398" xr:uid="{00000000-0005-0000-0000-0000C94B0000}"/>
    <cellStyle name="Normal 12 2 2 3" xfId="19399" xr:uid="{00000000-0005-0000-0000-0000CA4B0000}"/>
    <cellStyle name="Normal 12 2 2 4" xfId="19400" xr:uid="{00000000-0005-0000-0000-0000CB4B0000}"/>
    <cellStyle name="Normal 12 2 2 5" xfId="19401" xr:uid="{00000000-0005-0000-0000-0000CC4B0000}"/>
    <cellStyle name="Normal 12 2 2 6" xfId="19402" xr:uid="{00000000-0005-0000-0000-0000CD4B0000}"/>
    <cellStyle name="Normal 12 2 3" xfId="19403" xr:uid="{00000000-0005-0000-0000-0000CE4B0000}"/>
    <cellStyle name="Normal 12 2 3 2" xfId="19404" xr:uid="{00000000-0005-0000-0000-0000CF4B0000}"/>
    <cellStyle name="Normal 12 2 3 2 2" xfId="19405" xr:uid="{00000000-0005-0000-0000-0000D04B0000}"/>
    <cellStyle name="Normal 12 2 3 3" xfId="19406" xr:uid="{00000000-0005-0000-0000-0000D14B0000}"/>
    <cellStyle name="Normal 12 2 3 4" xfId="19407" xr:uid="{00000000-0005-0000-0000-0000D24B0000}"/>
    <cellStyle name="Normal 12 2 3 5" xfId="19408" xr:uid="{00000000-0005-0000-0000-0000D34B0000}"/>
    <cellStyle name="Normal 12 2 4" xfId="19409" xr:uid="{00000000-0005-0000-0000-0000D44B0000}"/>
    <cellStyle name="Normal 12 2 4 2" xfId="19410" xr:uid="{00000000-0005-0000-0000-0000D54B0000}"/>
    <cellStyle name="Normal 12 2 4 3" xfId="19411" xr:uid="{00000000-0005-0000-0000-0000D64B0000}"/>
    <cellStyle name="Normal 12 2 4 4" xfId="19412" xr:uid="{00000000-0005-0000-0000-0000D74B0000}"/>
    <cellStyle name="Normal 12 2 5" xfId="19413" xr:uid="{00000000-0005-0000-0000-0000D84B0000}"/>
    <cellStyle name="Normal 12 2 5 2" xfId="19414" xr:uid="{00000000-0005-0000-0000-0000D94B0000}"/>
    <cellStyle name="Normal 12 2 6" xfId="19415" xr:uid="{00000000-0005-0000-0000-0000DA4B0000}"/>
    <cellStyle name="Normal 12 2 7" xfId="19416" xr:uid="{00000000-0005-0000-0000-0000DB4B0000}"/>
    <cellStyle name="Normal 12 2 8" xfId="19417" xr:uid="{00000000-0005-0000-0000-0000DC4B0000}"/>
    <cellStyle name="Normal 12 2 9" xfId="19418" xr:uid="{00000000-0005-0000-0000-0000DD4B0000}"/>
    <cellStyle name="Normal 12 3" xfId="19419" xr:uid="{00000000-0005-0000-0000-0000DE4B0000}"/>
    <cellStyle name="Normal 12 3 2" xfId="19420" xr:uid="{00000000-0005-0000-0000-0000DF4B0000}"/>
    <cellStyle name="Normal 12 3 2 2" xfId="19421" xr:uid="{00000000-0005-0000-0000-0000E04B0000}"/>
    <cellStyle name="Normal 12 3 2 3" xfId="19422" xr:uid="{00000000-0005-0000-0000-0000E14B0000}"/>
    <cellStyle name="Normal 12 3 3" xfId="19423" xr:uid="{00000000-0005-0000-0000-0000E24B0000}"/>
    <cellStyle name="Normal 12 3 4" xfId="19424" xr:uid="{00000000-0005-0000-0000-0000E34B0000}"/>
    <cellStyle name="Normal 12 3 5" xfId="19425" xr:uid="{00000000-0005-0000-0000-0000E44B0000}"/>
    <cellStyle name="Normal 12 3 6" xfId="19426" xr:uid="{00000000-0005-0000-0000-0000E54B0000}"/>
    <cellStyle name="Normal 12 4" xfId="19427" xr:uid="{00000000-0005-0000-0000-0000E64B0000}"/>
    <cellStyle name="Normal 12 4 2" xfId="19428" xr:uid="{00000000-0005-0000-0000-0000E74B0000}"/>
    <cellStyle name="Normal 12 4 2 2" xfId="19429" xr:uid="{00000000-0005-0000-0000-0000E84B0000}"/>
    <cellStyle name="Normal 12 4 3" xfId="19430" xr:uid="{00000000-0005-0000-0000-0000E94B0000}"/>
    <cellStyle name="Normal 12 4 4" xfId="19431" xr:uid="{00000000-0005-0000-0000-0000EA4B0000}"/>
    <cellStyle name="Normal 12 4 5" xfId="19432" xr:uid="{00000000-0005-0000-0000-0000EB4B0000}"/>
    <cellStyle name="Normal 12 5" xfId="19433" xr:uid="{00000000-0005-0000-0000-0000EC4B0000}"/>
    <cellStyle name="Normal 12 5 2" xfId="19434" xr:uid="{00000000-0005-0000-0000-0000ED4B0000}"/>
    <cellStyle name="Normal 12 5 2 2" xfId="19435" xr:uid="{00000000-0005-0000-0000-0000EE4B0000}"/>
    <cellStyle name="Normal 12 5 3" xfId="19436" xr:uid="{00000000-0005-0000-0000-0000EF4B0000}"/>
    <cellStyle name="Normal 12 5 4" xfId="19437" xr:uid="{00000000-0005-0000-0000-0000F04B0000}"/>
    <cellStyle name="Normal 12 5 5" xfId="19438" xr:uid="{00000000-0005-0000-0000-0000F14B0000}"/>
    <cellStyle name="Normal 12 6" xfId="19439" xr:uid="{00000000-0005-0000-0000-0000F24B0000}"/>
    <cellStyle name="Normal 12 6 2" xfId="19440" xr:uid="{00000000-0005-0000-0000-0000F34B0000}"/>
    <cellStyle name="Normal 12 7" xfId="19441" xr:uid="{00000000-0005-0000-0000-0000F44B0000}"/>
    <cellStyle name="Normal 12 8" xfId="19442" xr:uid="{00000000-0005-0000-0000-0000F54B0000}"/>
    <cellStyle name="Normal 12 9" xfId="19443" xr:uid="{00000000-0005-0000-0000-0000F64B0000}"/>
    <cellStyle name="Normal 13" xfId="19444" xr:uid="{00000000-0005-0000-0000-0000F74B0000}"/>
    <cellStyle name="Normal 13 10" xfId="19445" xr:uid="{00000000-0005-0000-0000-0000F84B0000}"/>
    <cellStyle name="Normal 13 2" xfId="19446" xr:uid="{00000000-0005-0000-0000-0000F94B0000}"/>
    <cellStyle name="Normal 13 2 2" xfId="19447" xr:uid="{00000000-0005-0000-0000-0000FA4B0000}"/>
    <cellStyle name="Normal 13 2 2 2" xfId="19448" xr:uid="{00000000-0005-0000-0000-0000FB4B0000}"/>
    <cellStyle name="Normal 13 2 2 2 2" xfId="19449" xr:uid="{00000000-0005-0000-0000-0000FC4B0000}"/>
    <cellStyle name="Normal 13 2 2 2 3" xfId="19450" xr:uid="{00000000-0005-0000-0000-0000FD4B0000}"/>
    <cellStyle name="Normal 13 2 2 3" xfId="19451" xr:uid="{00000000-0005-0000-0000-0000FE4B0000}"/>
    <cellStyle name="Normal 13 2 2 4" xfId="19452" xr:uid="{00000000-0005-0000-0000-0000FF4B0000}"/>
    <cellStyle name="Normal 13 2 2 5" xfId="19453" xr:uid="{00000000-0005-0000-0000-0000004C0000}"/>
    <cellStyle name="Normal 13 2 2 6" xfId="19454" xr:uid="{00000000-0005-0000-0000-0000014C0000}"/>
    <cellStyle name="Normal 13 2 3" xfId="19455" xr:uid="{00000000-0005-0000-0000-0000024C0000}"/>
    <cellStyle name="Normal 13 2 3 2" xfId="19456" xr:uid="{00000000-0005-0000-0000-0000034C0000}"/>
    <cellStyle name="Normal 13 2 3 2 2" xfId="19457" xr:uid="{00000000-0005-0000-0000-0000044C0000}"/>
    <cellStyle name="Normal 13 2 3 3" xfId="19458" xr:uid="{00000000-0005-0000-0000-0000054C0000}"/>
    <cellStyle name="Normal 13 2 3 4" xfId="19459" xr:uid="{00000000-0005-0000-0000-0000064C0000}"/>
    <cellStyle name="Normal 13 2 3 5" xfId="19460" xr:uid="{00000000-0005-0000-0000-0000074C0000}"/>
    <cellStyle name="Normal 13 2 4" xfId="19461" xr:uid="{00000000-0005-0000-0000-0000084C0000}"/>
    <cellStyle name="Normal 13 2 4 2" xfId="19462" xr:uid="{00000000-0005-0000-0000-0000094C0000}"/>
    <cellStyle name="Normal 13 2 4 3" xfId="19463" xr:uid="{00000000-0005-0000-0000-00000A4C0000}"/>
    <cellStyle name="Normal 13 2 4 4" xfId="19464" xr:uid="{00000000-0005-0000-0000-00000B4C0000}"/>
    <cellStyle name="Normal 13 2 5" xfId="19465" xr:uid="{00000000-0005-0000-0000-00000C4C0000}"/>
    <cellStyle name="Normal 13 2 5 2" xfId="19466" xr:uid="{00000000-0005-0000-0000-00000D4C0000}"/>
    <cellStyle name="Normal 13 2 6" xfId="19467" xr:uid="{00000000-0005-0000-0000-00000E4C0000}"/>
    <cellStyle name="Normal 13 2 7" xfId="19468" xr:uid="{00000000-0005-0000-0000-00000F4C0000}"/>
    <cellStyle name="Normal 13 2 8" xfId="19469" xr:uid="{00000000-0005-0000-0000-0000104C0000}"/>
    <cellStyle name="Normal 13 2 9" xfId="19470" xr:uid="{00000000-0005-0000-0000-0000114C0000}"/>
    <cellStyle name="Normal 13 3" xfId="19471" xr:uid="{00000000-0005-0000-0000-0000124C0000}"/>
    <cellStyle name="Normal 13 3 2" xfId="19472" xr:uid="{00000000-0005-0000-0000-0000134C0000}"/>
    <cellStyle name="Normal 13 3 2 2" xfId="19473" xr:uid="{00000000-0005-0000-0000-0000144C0000}"/>
    <cellStyle name="Normal 13 3 2 3" xfId="19474" xr:uid="{00000000-0005-0000-0000-0000154C0000}"/>
    <cellStyle name="Normal 13 3 3" xfId="19475" xr:uid="{00000000-0005-0000-0000-0000164C0000}"/>
    <cellStyle name="Normal 13 3 4" xfId="19476" xr:uid="{00000000-0005-0000-0000-0000174C0000}"/>
    <cellStyle name="Normal 13 3 5" xfId="19477" xr:uid="{00000000-0005-0000-0000-0000184C0000}"/>
    <cellStyle name="Normal 13 3 6" xfId="19478" xr:uid="{00000000-0005-0000-0000-0000194C0000}"/>
    <cellStyle name="Normal 13 4" xfId="19479" xr:uid="{00000000-0005-0000-0000-00001A4C0000}"/>
    <cellStyle name="Normal 13 4 2" xfId="19480" xr:uid="{00000000-0005-0000-0000-00001B4C0000}"/>
    <cellStyle name="Normal 13 4 2 2" xfId="19481" xr:uid="{00000000-0005-0000-0000-00001C4C0000}"/>
    <cellStyle name="Normal 13 4 3" xfId="19482" xr:uid="{00000000-0005-0000-0000-00001D4C0000}"/>
    <cellStyle name="Normal 13 4 4" xfId="19483" xr:uid="{00000000-0005-0000-0000-00001E4C0000}"/>
    <cellStyle name="Normal 13 4 5" xfId="19484" xr:uid="{00000000-0005-0000-0000-00001F4C0000}"/>
    <cellStyle name="Normal 13 5" xfId="19485" xr:uid="{00000000-0005-0000-0000-0000204C0000}"/>
    <cellStyle name="Normal 13 5 2" xfId="19486" xr:uid="{00000000-0005-0000-0000-0000214C0000}"/>
    <cellStyle name="Normal 13 5 2 2" xfId="19487" xr:uid="{00000000-0005-0000-0000-0000224C0000}"/>
    <cellStyle name="Normal 13 5 3" xfId="19488" xr:uid="{00000000-0005-0000-0000-0000234C0000}"/>
    <cellStyle name="Normal 13 5 4" xfId="19489" xr:uid="{00000000-0005-0000-0000-0000244C0000}"/>
    <cellStyle name="Normal 13 5 5" xfId="19490" xr:uid="{00000000-0005-0000-0000-0000254C0000}"/>
    <cellStyle name="Normal 13 6" xfId="19491" xr:uid="{00000000-0005-0000-0000-0000264C0000}"/>
    <cellStyle name="Normal 13 6 2" xfId="19492" xr:uid="{00000000-0005-0000-0000-0000274C0000}"/>
    <cellStyle name="Normal 13 7" xfId="19493" xr:uid="{00000000-0005-0000-0000-0000284C0000}"/>
    <cellStyle name="Normal 13 8" xfId="19494" xr:uid="{00000000-0005-0000-0000-0000294C0000}"/>
    <cellStyle name="Normal 13 9" xfId="19495" xr:uid="{00000000-0005-0000-0000-00002A4C0000}"/>
    <cellStyle name="Normal 14" xfId="19496" xr:uid="{00000000-0005-0000-0000-00002B4C0000}"/>
    <cellStyle name="Normal 14 10" xfId="19497" xr:uid="{00000000-0005-0000-0000-00002C4C0000}"/>
    <cellStyle name="Normal 14 2" xfId="19498" xr:uid="{00000000-0005-0000-0000-00002D4C0000}"/>
    <cellStyle name="Normal 14 2 2" xfId="19499" xr:uid="{00000000-0005-0000-0000-00002E4C0000}"/>
    <cellStyle name="Normal 14 2 2 2" xfId="19500" xr:uid="{00000000-0005-0000-0000-00002F4C0000}"/>
    <cellStyle name="Normal 14 2 2 2 2" xfId="19501" xr:uid="{00000000-0005-0000-0000-0000304C0000}"/>
    <cellStyle name="Normal 14 2 2 2 3" xfId="19502" xr:uid="{00000000-0005-0000-0000-0000314C0000}"/>
    <cellStyle name="Normal 14 2 2 3" xfId="19503" xr:uid="{00000000-0005-0000-0000-0000324C0000}"/>
    <cellStyle name="Normal 14 2 2 4" xfId="19504" xr:uid="{00000000-0005-0000-0000-0000334C0000}"/>
    <cellStyle name="Normal 14 2 2 5" xfId="19505" xr:uid="{00000000-0005-0000-0000-0000344C0000}"/>
    <cellStyle name="Normal 14 2 2 6" xfId="19506" xr:uid="{00000000-0005-0000-0000-0000354C0000}"/>
    <cellStyle name="Normal 14 2 3" xfId="19507" xr:uid="{00000000-0005-0000-0000-0000364C0000}"/>
    <cellStyle name="Normal 14 2 3 2" xfId="19508" xr:uid="{00000000-0005-0000-0000-0000374C0000}"/>
    <cellStyle name="Normal 14 2 3 2 2" xfId="19509" xr:uid="{00000000-0005-0000-0000-0000384C0000}"/>
    <cellStyle name="Normal 14 2 3 3" xfId="19510" xr:uid="{00000000-0005-0000-0000-0000394C0000}"/>
    <cellStyle name="Normal 14 2 3 4" xfId="19511" xr:uid="{00000000-0005-0000-0000-00003A4C0000}"/>
    <cellStyle name="Normal 14 2 3 5" xfId="19512" xr:uid="{00000000-0005-0000-0000-00003B4C0000}"/>
    <cellStyle name="Normal 14 2 4" xfId="19513" xr:uid="{00000000-0005-0000-0000-00003C4C0000}"/>
    <cellStyle name="Normal 14 2 4 2" xfId="19514" xr:uid="{00000000-0005-0000-0000-00003D4C0000}"/>
    <cellStyle name="Normal 14 2 4 3" xfId="19515" xr:uid="{00000000-0005-0000-0000-00003E4C0000}"/>
    <cellStyle name="Normal 14 2 4 4" xfId="19516" xr:uid="{00000000-0005-0000-0000-00003F4C0000}"/>
    <cellStyle name="Normal 14 2 5" xfId="19517" xr:uid="{00000000-0005-0000-0000-0000404C0000}"/>
    <cellStyle name="Normal 14 2 5 2" xfId="19518" xr:uid="{00000000-0005-0000-0000-0000414C0000}"/>
    <cellStyle name="Normal 14 2 6" xfId="19519" xr:uid="{00000000-0005-0000-0000-0000424C0000}"/>
    <cellStyle name="Normal 14 2 7" xfId="19520" xr:uid="{00000000-0005-0000-0000-0000434C0000}"/>
    <cellStyle name="Normal 14 2 8" xfId="19521" xr:uid="{00000000-0005-0000-0000-0000444C0000}"/>
    <cellStyle name="Normal 14 2 9" xfId="19522" xr:uid="{00000000-0005-0000-0000-0000454C0000}"/>
    <cellStyle name="Normal 14 3" xfId="19523" xr:uid="{00000000-0005-0000-0000-0000464C0000}"/>
    <cellStyle name="Normal 14 3 2" xfId="19524" xr:uid="{00000000-0005-0000-0000-0000474C0000}"/>
    <cellStyle name="Normal 14 3 2 2" xfId="19525" xr:uid="{00000000-0005-0000-0000-0000484C0000}"/>
    <cellStyle name="Normal 14 3 2 3" xfId="19526" xr:uid="{00000000-0005-0000-0000-0000494C0000}"/>
    <cellStyle name="Normal 14 3 3" xfId="19527" xr:uid="{00000000-0005-0000-0000-00004A4C0000}"/>
    <cellStyle name="Normal 14 3 4" xfId="19528" xr:uid="{00000000-0005-0000-0000-00004B4C0000}"/>
    <cellStyle name="Normal 14 3 5" xfId="19529" xr:uid="{00000000-0005-0000-0000-00004C4C0000}"/>
    <cellStyle name="Normal 14 3 6" xfId="19530" xr:uid="{00000000-0005-0000-0000-00004D4C0000}"/>
    <cellStyle name="Normal 14 4" xfId="19531" xr:uid="{00000000-0005-0000-0000-00004E4C0000}"/>
    <cellStyle name="Normal 14 4 2" xfId="19532" xr:uid="{00000000-0005-0000-0000-00004F4C0000}"/>
    <cellStyle name="Normal 14 4 2 2" xfId="19533" xr:uid="{00000000-0005-0000-0000-0000504C0000}"/>
    <cellStyle name="Normal 14 4 3" xfId="19534" xr:uid="{00000000-0005-0000-0000-0000514C0000}"/>
    <cellStyle name="Normal 14 4 4" xfId="19535" xr:uid="{00000000-0005-0000-0000-0000524C0000}"/>
    <cellStyle name="Normal 14 4 5" xfId="19536" xr:uid="{00000000-0005-0000-0000-0000534C0000}"/>
    <cellStyle name="Normal 14 5" xfId="19537" xr:uid="{00000000-0005-0000-0000-0000544C0000}"/>
    <cellStyle name="Normal 14 5 2" xfId="19538" xr:uid="{00000000-0005-0000-0000-0000554C0000}"/>
    <cellStyle name="Normal 14 5 3" xfId="19539" xr:uid="{00000000-0005-0000-0000-0000564C0000}"/>
    <cellStyle name="Normal 14 5 4" xfId="19540" xr:uid="{00000000-0005-0000-0000-0000574C0000}"/>
    <cellStyle name="Normal 14 6" xfId="19541" xr:uid="{00000000-0005-0000-0000-0000584C0000}"/>
    <cellStyle name="Normal 14 6 2" xfId="19542" xr:uid="{00000000-0005-0000-0000-0000594C0000}"/>
    <cellStyle name="Normal 14 7" xfId="19543" xr:uid="{00000000-0005-0000-0000-00005A4C0000}"/>
    <cellStyle name="Normal 14 8" xfId="19544" xr:uid="{00000000-0005-0000-0000-00005B4C0000}"/>
    <cellStyle name="Normal 14 9" xfId="19545" xr:uid="{00000000-0005-0000-0000-00005C4C0000}"/>
    <cellStyle name="Normal 15" xfId="19546" xr:uid="{00000000-0005-0000-0000-00005D4C0000}"/>
    <cellStyle name="Normal 15 2" xfId="19547" xr:uid="{00000000-0005-0000-0000-00005E4C0000}"/>
    <cellStyle name="Normal 15 2 2" xfId="19548" xr:uid="{00000000-0005-0000-0000-00005F4C0000}"/>
    <cellStyle name="Normal 15 2 2 2" xfId="19549" xr:uid="{00000000-0005-0000-0000-0000604C0000}"/>
    <cellStyle name="Normal 15 2 2 3" xfId="19550" xr:uid="{00000000-0005-0000-0000-0000614C0000}"/>
    <cellStyle name="Normal 15 2 3" xfId="19551" xr:uid="{00000000-0005-0000-0000-0000624C0000}"/>
    <cellStyle name="Normal 15 2 4" xfId="19552" xr:uid="{00000000-0005-0000-0000-0000634C0000}"/>
    <cellStyle name="Normal 15 2 5" xfId="19553" xr:uid="{00000000-0005-0000-0000-0000644C0000}"/>
    <cellStyle name="Normal 15 2 6" xfId="19554" xr:uid="{00000000-0005-0000-0000-0000654C0000}"/>
    <cellStyle name="Normal 15 3" xfId="19555" xr:uid="{00000000-0005-0000-0000-0000664C0000}"/>
    <cellStyle name="Normal 15 3 2" xfId="19556" xr:uid="{00000000-0005-0000-0000-0000674C0000}"/>
    <cellStyle name="Normal 15 3 2 2" xfId="19557" xr:uid="{00000000-0005-0000-0000-0000684C0000}"/>
    <cellStyle name="Normal 15 3 3" xfId="19558" xr:uid="{00000000-0005-0000-0000-0000694C0000}"/>
    <cellStyle name="Normal 15 3 4" xfId="19559" xr:uid="{00000000-0005-0000-0000-00006A4C0000}"/>
    <cellStyle name="Normal 15 3 5" xfId="19560" xr:uid="{00000000-0005-0000-0000-00006B4C0000}"/>
    <cellStyle name="Normal 15 4" xfId="19561" xr:uid="{00000000-0005-0000-0000-00006C4C0000}"/>
    <cellStyle name="Normal 15 4 2" xfId="19562" xr:uid="{00000000-0005-0000-0000-00006D4C0000}"/>
    <cellStyle name="Normal 15 4 3" xfId="19563" xr:uid="{00000000-0005-0000-0000-00006E4C0000}"/>
    <cellStyle name="Normal 15 4 4" xfId="19564" xr:uid="{00000000-0005-0000-0000-00006F4C0000}"/>
    <cellStyle name="Normal 15 5" xfId="19565" xr:uid="{00000000-0005-0000-0000-0000704C0000}"/>
    <cellStyle name="Normal 15 5 2" xfId="19566" xr:uid="{00000000-0005-0000-0000-0000714C0000}"/>
    <cellStyle name="Normal 15 6" xfId="19567" xr:uid="{00000000-0005-0000-0000-0000724C0000}"/>
    <cellStyle name="Normal 15 7" xfId="19568" xr:uid="{00000000-0005-0000-0000-0000734C0000}"/>
    <cellStyle name="Normal 15 8" xfId="19569" xr:uid="{00000000-0005-0000-0000-0000744C0000}"/>
    <cellStyle name="Normal 15 9" xfId="19570" xr:uid="{00000000-0005-0000-0000-0000754C0000}"/>
    <cellStyle name="Normal 16" xfId="19571" xr:uid="{00000000-0005-0000-0000-0000764C0000}"/>
    <cellStyle name="Normal 16 2" xfId="19572" xr:uid="{00000000-0005-0000-0000-0000774C0000}"/>
    <cellStyle name="Normal 16 2 2" xfId="19573" xr:uid="{00000000-0005-0000-0000-0000784C0000}"/>
    <cellStyle name="Normal 16 2 2 2" xfId="19574" xr:uid="{00000000-0005-0000-0000-0000794C0000}"/>
    <cellStyle name="Normal 16 2 3" xfId="19575" xr:uid="{00000000-0005-0000-0000-00007A4C0000}"/>
    <cellStyle name="Normal 16 2 4" xfId="19576" xr:uid="{00000000-0005-0000-0000-00007B4C0000}"/>
    <cellStyle name="Normal 16 2 5" xfId="19577" xr:uid="{00000000-0005-0000-0000-00007C4C0000}"/>
    <cellStyle name="Normal 16 2 6" xfId="19578" xr:uid="{00000000-0005-0000-0000-00007D4C0000}"/>
    <cellStyle name="Normal 16 3" xfId="19579" xr:uid="{00000000-0005-0000-0000-00007E4C0000}"/>
    <cellStyle name="Normal 16 3 2" xfId="19580" xr:uid="{00000000-0005-0000-0000-00007F4C0000}"/>
    <cellStyle name="Normal 16 3 3" xfId="19581" xr:uid="{00000000-0005-0000-0000-0000804C0000}"/>
    <cellStyle name="Normal 16 3 4" xfId="19582" xr:uid="{00000000-0005-0000-0000-0000814C0000}"/>
    <cellStyle name="Normal 16 4" xfId="19583" xr:uid="{00000000-0005-0000-0000-0000824C0000}"/>
    <cellStyle name="Normal 16 4 2" xfId="19584" xr:uid="{00000000-0005-0000-0000-0000834C0000}"/>
    <cellStyle name="Normal 16 5" xfId="19585" xr:uid="{00000000-0005-0000-0000-0000844C0000}"/>
    <cellStyle name="Normal 16 6" xfId="19586" xr:uid="{00000000-0005-0000-0000-0000854C0000}"/>
    <cellStyle name="Normal 16 7" xfId="19587" xr:uid="{00000000-0005-0000-0000-0000864C0000}"/>
    <cellStyle name="Normal 16 8" xfId="19588" xr:uid="{00000000-0005-0000-0000-0000874C0000}"/>
    <cellStyle name="Normal 17" xfId="19589" xr:uid="{00000000-0005-0000-0000-0000884C0000}"/>
    <cellStyle name="Normal 17 2" xfId="19590" xr:uid="{00000000-0005-0000-0000-0000894C0000}"/>
    <cellStyle name="Normal 17 2 2" xfId="19591" xr:uid="{00000000-0005-0000-0000-00008A4C0000}"/>
    <cellStyle name="Normal 17 2 2 2" xfId="19592" xr:uid="{00000000-0005-0000-0000-00008B4C0000}"/>
    <cellStyle name="Normal 17 2 3" xfId="19593" xr:uid="{00000000-0005-0000-0000-00008C4C0000}"/>
    <cellStyle name="Normal 17 2 4" xfId="19594" xr:uid="{00000000-0005-0000-0000-00008D4C0000}"/>
    <cellStyle name="Normal 17 2 5" xfId="19595" xr:uid="{00000000-0005-0000-0000-00008E4C0000}"/>
    <cellStyle name="Normal 17 2 6" xfId="19596" xr:uid="{00000000-0005-0000-0000-00008F4C0000}"/>
    <cellStyle name="Normal 17 3" xfId="19597" xr:uid="{00000000-0005-0000-0000-0000904C0000}"/>
    <cellStyle name="Normal 17 3 2" xfId="19598" xr:uid="{00000000-0005-0000-0000-0000914C0000}"/>
    <cellStyle name="Normal 17 3 3" xfId="19599" xr:uid="{00000000-0005-0000-0000-0000924C0000}"/>
    <cellStyle name="Normal 17 3 4" xfId="19600" xr:uid="{00000000-0005-0000-0000-0000934C0000}"/>
    <cellStyle name="Normal 17 4" xfId="19601" xr:uid="{00000000-0005-0000-0000-0000944C0000}"/>
    <cellStyle name="Normal 17 4 2" xfId="19602" xr:uid="{00000000-0005-0000-0000-0000954C0000}"/>
    <cellStyle name="Normal 17 5" xfId="19603" xr:uid="{00000000-0005-0000-0000-0000964C0000}"/>
    <cellStyle name="Normal 17 6" xfId="19604" xr:uid="{00000000-0005-0000-0000-0000974C0000}"/>
    <cellStyle name="Normal 17 7" xfId="19605" xr:uid="{00000000-0005-0000-0000-0000984C0000}"/>
    <cellStyle name="Normal 17 8" xfId="19606" xr:uid="{00000000-0005-0000-0000-0000994C0000}"/>
    <cellStyle name="Normal 18" xfId="19607" xr:uid="{00000000-0005-0000-0000-00009A4C0000}"/>
    <cellStyle name="Normal 18 2" xfId="19608" xr:uid="{00000000-0005-0000-0000-00009B4C0000}"/>
    <cellStyle name="Normal 18 2 2" xfId="19609" xr:uid="{00000000-0005-0000-0000-00009C4C0000}"/>
    <cellStyle name="Normal 18 2 3" xfId="19610" xr:uid="{00000000-0005-0000-0000-00009D4C0000}"/>
    <cellStyle name="Normal 18 2 4" xfId="19611" xr:uid="{00000000-0005-0000-0000-00009E4C0000}"/>
    <cellStyle name="Normal 18 2 5" xfId="19612" xr:uid="{00000000-0005-0000-0000-00009F4C0000}"/>
    <cellStyle name="Normal 18 3" xfId="19613" xr:uid="{00000000-0005-0000-0000-0000A04C0000}"/>
    <cellStyle name="Normal 18 3 2" xfId="19614" xr:uid="{00000000-0005-0000-0000-0000A14C0000}"/>
    <cellStyle name="Normal 18 4" xfId="19615" xr:uid="{00000000-0005-0000-0000-0000A24C0000}"/>
    <cellStyle name="Normal 18 5" xfId="19616" xr:uid="{00000000-0005-0000-0000-0000A34C0000}"/>
    <cellStyle name="Normal 18 6" xfId="19617" xr:uid="{00000000-0005-0000-0000-0000A44C0000}"/>
    <cellStyle name="Normal 18 7" xfId="19618" xr:uid="{00000000-0005-0000-0000-0000A54C0000}"/>
    <cellStyle name="Normal 19" xfId="19619" xr:uid="{00000000-0005-0000-0000-0000A64C0000}"/>
    <cellStyle name="Normal 19 2" xfId="19620" xr:uid="{00000000-0005-0000-0000-0000A74C0000}"/>
    <cellStyle name="Normal 19 2 2" xfId="19621" xr:uid="{00000000-0005-0000-0000-0000A84C0000}"/>
    <cellStyle name="Normal 19 2 3" xfId="19622" xr:uid="{00000000-0005-0000-0000-0000A94C0000}"/>
    <cellStyle name="Normal 19 2 4" xfId="19623" xr:uid="{00000000-0005-0000-0000-0000AA4C0000}"/>
    <cellStyle name="Normal 19 2 5" xfId="19624" xr:uid="{00000000-0005-0000-0000-0000AB4C0000}"/>
    <cellStyle name="Normal 19 3" xfId="19625" xr:uid="{00000000-0005-0000-0000-0000AC4C0000}"/>
    <cellStyle name="Normal 19 3 2" xfId="19626" xr:uid="{00000000-0005-0000-0000-0000AD4C0000}"/>
    <cellStyle name="Normal 19 4" xfId="19627" xr:uid="{00000000-0005-0000-0000-0000AE4C0000}"/>
    <cellStyle name="Normal 19 5" xfId="19628" xr:uid="{00000000-0005-0000-0000-0000AF4C0000}"/>
    <cellStyle name="Normal 19 6" xfId="19629" xr:uid="{00000000-0005-0000-0000-0000B04C0000}"/>
    <cellStyle name="Normal 19 7" xfId="19630" xr:uid="{00000000-0005-0000-0000-0000B14C0000}"/>
    <cellStyle name="Normal 2" xfId="19631" xr:uid="{00000000-0005-0000-0000-0000B24C0000}"/>
    <cellStyle name="Normal 2 10" xfId="19632" xr:uid="{00000000-0005-0000-0000-0000B34C0000}"/>
    <cellStyle name="Normal 2 10 2" xfId="19633" xr:uid="{00000000-0005-0000-0000-0000B44C0000}"/>
    <cellStyle name="Normal 2 10 2 2" xfId="19634" xr:uid="{00000000-0005-0000-0000-0000B54C0000}"/>
    <cellStyle name="Normal 2 10 3" xfId="19635" xr:uid="{00000000-0005-0000-0000-0000B64C0000}"/>
    <cellStyle name="Normal 2 10 3 2" xfId="19636" xr:uid="{00000000-0005-0000-0000-0000B74C0000}"/>
    <cellStyle name="Normal 2 10 4" xfId="19637" xr:uid="{00000000-0005-0000-0000-0000B84C0000}"/>
    <cellStyle name="Normal 2 10 5" xfId="19638" xr:uid="{00000000-0005-0000-0000-0000B94C0000}"/>
    <cellStyle name="Normal 2 10 6" xfId="19639" xr:uid="{00000000-0005-0000-0000-0000BA4C0000}"/>
    <cellStyle name="Normal 2 10 7" xfId="19640" xr:uid="{00000000-0005-0000-0000-0000BB4C0000}"/>
    <cellStyle name="Normal 2 10 8" xfId="19641" xr:uid="{00000000-0005-0000-0000-0000BC4C0000}"/>
    <cellStyle name="Normal 2 11" xfId="19642" xr:uid="{00000000-0005-0000-0000-0000BD4C0000}"/>
    <cellStyle name="Normal 2 11 10" xfId="19643" xr:uid="{00000000-0005-0000-0000-0000BE4C0000}"/>
    <cellStyle name="Normal 2 11 10 10" xfId="19644" xr:uid="{00000000-0005-0000-0000-0000BF4C0000}"/>
    <cellStyle name="Normal 2 11 10 2" xfId="19645" xr:uid="{00000000-0005-0000-0000-0000C04C0000}"/>
    <cellStyle name="Normal 2 11 10 2 2" xfId="19646" xr:uid="{00000000-0005-0000-0000-0000C14C0000}"/>
    <cellStyle name="Normal 2 11 10 2 2 2" xfId="19647" xr:uid="{00000000-0005-0000-0000-0000C24C0000}"/>
    <cellStyle name="Normal 2 11 10 2 2 3" xfId="19648" xr:uid="{00000000-0005-0000-0000-0000C34C0000}"/>
    <cellStyle name="Normal 2 11 10 2 3" xfId="19649" xr:uid="{00000000-0005-0000-0000-0000C44C0000}"/>
    <cellStyle name="Normal 2 11 10 2 4" xfId="19650" xr:uid="{00000000-0005-0000-0000-0000C54C0000}"/>
    <cellStyle name="Normal 2 11 10 2 5" xfId="19651" xr:uid="{00000000-0005-0000-0000-0000C64C0000}"/>
    <cellStyle name="Normal 2 11 10 2 6" xfId="19652" xr:uid="{00000000-0005-0000-0000-0000C74C0000}"/>
    <cellStyle name="Normal 2 11 10 3" xfId="19653" xr:uid="{00000000-0005-0000-0000-0000C84C0000}"/>
    <cellStyle name="Normal 2 11 10 3 2" xfId="19654" xr:uid="{00000000-0005-0000-0000-0000C94C0000}"/>
    <cellStyle name="Normal 2 11 10 3 2 2" xfId="19655" xr:uid="{00000000-0005-0000-0000-0000CA4C0000}"/>
    <cellStyle name="Normal 2 11 10 3 2 3" xfId="19656" xr:uid="{00000000-0005-0000-0000-0000CB4C0000}"/>
    <cellStyle name="Normal 2 11 10 3 3" xfId="19657" xr:uid="{00000000-0005-0000-0000-0000CC4C0000}"/>
    <cellStyle name="Normal 2 11 10 3 4" xfId="19658" xr:uid="{00000000-0005-0000-0000-0000CD4C0000}"/>
    <cellStyle name="Normal 2 11 10 3 5" xfId="19659" xr:uid="{00000000-0005-0000-0000-0000CE4C0000}"/>
    <cellStyle name="Normal 2 11 10 3 6" xfId="19660" xr:uid="{00000000-0005-0000-0000-0000CF4C0000}"/>
    <cellStyle name="Normal 2 11 10 4" xfId="19661" xr:uid="{00000000-0005-0000-0000-0000D04C0000}"/>
    <cellStyle name="Normal 2 11 10 4 2" xfId="19662" xr:uid="{00000000-0005-0000-0000-0000D14C0000}"/>
    <cellStyle name="Normal 2 11 10 4 2 2" xfId="19663" xr:uid="{00000000-0005-0000-0000-0000D24C0000}"/>
    <cellStyle name="Normal 2 11 10 4 3" xfId="19664" xr:uid="{00000000-0005-0000-0000-0000D34C0000}"/>
    <cellStyle name="Normal 2 11 10 4 4" xfId="19665" xr:uid="{00000000-0005-0000-0000-0000D44C0000}"/>
    <cellStyle name="Normal 2 11 10 4 5" xfId="19666" xr:uid="{00000000-0005-0000-0000-0000D54C0000}"/>
    <cellStyle name="Normal 2 11 10 5" xfId="19667" xr:uid="{00000000-0005-0000-0000-0000D64C0000}"/>
    <cellStyle name="Normal 2 11 10 5 2" xfId="19668" xr:uid="{00000000-0005-0000-0000-0000D74C0000}"/>
    <cellStyle name="Normal 2 11 10 5 3" xfId="19669" xr:uid="{00000000-0005-0000-0000-0000D84C0000}"/>
    <cellStyle name="Normal 2 11 10 5 4" xfId="19670" xr:uid="{00000000-0005-0000-0000-0000D94C0000}"/>
    <cellStyle name="Normal 2 11 10 6" xfId="19671" xr:uid="{00000000-0005-0000-0000-0000DA4C0000}"/>
    <cellStyle name="Normal 2 11 10 6 2" xfId="19672" xr:uid="{00000000-0005-0000-0000-0000DB4C0000}"/>
    <cellStyle name="Normal 2 11 10 7" xfId="19673" xr:uid="{00000000-0005-0000-0000-0000DC4C0000}"/>
    <cellStyle name="Normal 2 11 10 8" xfId="19674" xr:uid="{00000000-0005-0000-0000-0000DD4C0000}"/>
    <cellStyle name="Normal 2 11 10 9" xfId="19675" xr:uid="{00000000-0005-0000-0000-0000DE4C0000}"/>
    <cellStyle name="Normal 2 11 11" xfId="19676" xr:uid="{00000000-0005-0000-0000-0000DF4C0000}"/>
    <cellStyle name="Normal 2 11 11 10" xfId="19677" xr:uid="{00000000-0005-0000-0000-0000E04C0000}"/>
    <cellStyle name="Normal 2 11 11 2" xfId="19678" xr:uid="{00000000-0005-0000-0000-0000E14C0000}"/>
    <cellStyle name="Normal 2 11 11 2 2" xfId="19679" xr:uid="{00000000-0005-0000-0000-0000E24C0000}"/>
    <cellStyle name="Normal 2 11 11 2 2 2" xfId="19680" xr:uid="{00000000-0005-0000-0000-0000E34C0000}"/>
    <cellStyle name="Normal 2 11 11 2 2 3" xfId="19681" xr:uid="{00000000-0005-0000-0000-0000E44C0000}"/>
    <cellStyle name="Normal 2 11 11 2 3" xfId="19682" xr:uid="{00000000-0005-0000-0000-0000E54C0000}"/>
    <cellStyle name="Normal 2 11 11 2 4" xfId="19683" xr:uid="{00000000-0005-0000-0000-0000E64C0000}"/>
    <cellStyle name="Normal 2 11 11 2 5" xfId="19684" xr:uid="{00000000-0005-0000-0000-0000E74C0000}"/>
    <cellStyle name="Normal 2 11 11 2 6" xfId="19685" xr:uid="{00000000-0005-0000-0000-0000E84C0000}"/>
    <cellStyle name="Normal 2 11 11 3" xfId="19686" xr:uid="{00000000-0005-0000-0000-0000E94C0000}"/>
    <cellStyle name="Normal 2 11 11 3 2" xfId="19687" xr:uid="{00000000-0005-0000-0000-0000EA4C0000}"/>
    <cellStyle name="Normal 2 11 11 3 2 2" xfId="19688" xr:uid="{00000000-0005-0000-0000-0000EB4C0000}"/>
    <cellStyle name="Normal 2 11 11 3 2 3" xfId="19689" xr:uid="{00000000-0005-0000-0000-0000EC4C0000}"/>
    <cellStyle name="Normal 2 11 11 3 3" xfId="19690" xr:uid="{00000000-0005-0000-0000-0000ED4C0000}"/>
    <cellStyle name="Normal 2 11 11 3 4" xfId="19691" xr:uid="{00000000-0005-0000-0000-0000EE4C0000}"/>
    <cellStyle name="Normal 2 11 11 3 5" xfId="19692" xr:uid="{00000000-0005-0000-0000-0000EF4C0000}"/>
    <cellStyle name="Normal 2 11 11 3 6" xfId="19693" xr:uid="{00000000-0005-0000-0000-0000F04C0000}"/>
    <cellStyle name="Normal 2 11 11 4" xfId="19694" xr:uid="{00000000-0005-0000-0000-0000F14C0000}"/>
    <cellStyle name="Normal 2 11 11 4 2" xfId="19695" xr:uid="{00000000-0005-0000-0000-0000F24C0000}"/>
    <cellStyle name="Normal 2 11 11 4 2 2" xfId="19696" xr:uid="{00000000-0005-0000-0000-0000F34C0000}"/>
    <cellStyle name="Normal 2 11 11 4 3" xfId="19697" xr:uid="{00000000-0005-0000-0000-0000F44C0000}"/>
    <cellStyle name="Normal 2 11 11 4 4" xfId="19698" xr:uid="{00000000-0005-0000-0000-0000F54C0000}"/>
    <cellStyle name="Normal 2 11 11 4 5" xfId="19699" xr:uid="{00000000-0005-0000-0000-0000F64C0000}"/>
    <cellStyle name="Normal 2 11 11 5" xfId="19700" xr:uid="{00000000-0005-0000-0000-0000F74C0000}"/>
    <cellStyle name="Normal 2 11 11 5 2" xfId="19701" xr:uid="{00000000-0005-0000-0000-0000F84C0000}"/>
    <cellStyle name="Normal 2 11 11 5 3" xfId="19702" xr:uid="{00000000-0005-0000-0000-0000F94C0000}"/>
    <cellStyle name="Normal 2 11 11 5 4" xfId="19703" xr:uid="{00000000-0005-0000-0000-0000FA4C0000}"/>
    <cellStyle name="Normal 2 11 11 6" xfId="19704" xr:uid="{00000000-0005-0000-0000-0000FB4C0000}"/>
    <cellStyle name="Normal 2 11 11 6 2" xfId="19705" xr:uid="{00000000-0005-0000-0000-0000FC4C0000}"/>
    <cellStyle name="Normal 2 11 11 7" xfId="19706" xr:uid="{00000000-0005-0000-0000-0000FD4C0000}"/>
    <cellStyle name="Normal 2 11 11 8" xfId="19707" xr:uid="{00000000-0005-0000-0000-0000FE4C0000}"/>
    <cellStyle name="Normal 2 11 11 9" xfId="19708" xr:uid="{00000000-0005-0000-0000-0000FF4C0000}"/>
    <cellStyle name="Normal 2 11 12" xfId="19709" xr:uid="{00000000-0005-0000-0000-0000004D0000}"/>
    <cellStyle name="Normal 2 11 12 10" xfId="19710" xr:uid="{00000000-0005-0000-0000-0000014D0000}"/>
    <cellStyle name="Normal 2 11 12 2" xfId="19711" xr:uid="{00000000-0005-0000-0000-0000024D0000}"/>
    <cellStyle name="Normal 2 11 12 2 2" xfId="19712" xr:uid="{00000000-0005-0000-0000-0000034D0000}"/>
    <cellStyle name="Normal 2 11 12 2 2 2" xfId="19713" xr:uid="{00000000-0005-0000-0000-0000044D0000}"/>
    <cellStyle name="Normal 2 11 12 2 2 3" xfId="19714" xr:uid="{00000000-0005-0000-0000-0000054D0000}"/>
    <cellStyle name="Normal 2 11 12 2 3" xfId="19715" xr:uid="{00000000-0005-0000-0000-0000064D0000}"/>
    <cellStyle name="Normal 2 11 12 2 4" xfId="19716" xr:uid="{00000000-0005-0000-0000-0000074D0000}"/>
    <cellStyle name="Normal 2 11 12 2 5" xfId="19717" xr:uid="{00000000-0005-0000-0000-0000084D0000}"/>
    <cellStyle name="Normal 2 11 12 2 6" xfId="19718" xr:uid="{00000000-0005-0000-0000-0000094D0000}"/>
    <cellStyle name="Normal 2 11 12 3" xfId="19719" xr:uid="{00000000-0005-0000-0000-00000A4D0000}"/>
    <cellStyle name="Normal 2 11 12 3 2" xfId="19720" xr:uid="{00000000-0005-0000-0000-00000B4D0000}"/>
    <cellStyle name="Normal 2 11 12 3 2 2" xfId="19721" xr:uid="{00000000-0005-0000-0000-00000C4D0000}"/>
    <cellStyle name="Normal 2 11 12 3 2 3" xfId="19722" xr:uid="{00000000-0005-0000-0000-00000D4D0000}"/>
    <cellStyle name="Normal 2 11 12 3 3" xfId="19723" xr:uid="{00000000-0005-0000-0000-00000E4D0000}"/>
    <cellStyle name="Normal 2 11 12 3 4" xfId="19724" xr:uid="{00000000-0005-0000-0000-00000F4D0000}"/>
    <cellStyle name="Normal 2 11 12 3 5" xfId="19725" xr:uid="{00000000-0005-0000-0000-0000104D0000}"/>
    <cellStyle name="Normal 2 11 12 3 6" xfId="19726" xr:uid="{00000000-0005-0000-0000-0000114D0000}"/>
    <cellStyle name="Normal 2 11 12 4" xfId="19727" xr:uid="{00000000-0005-0000-0000-0000124D0000}"/>
    <cellStyle name="Normal 2 11 12 4 2" xfId="19728" xr:uid="{00000000-0005-0000-0000-0000134D0000}"/>
    <cellStyle name="Normal 2 11 12 4 2 2" xfId="19729" xr:uid="{00000000-0005-0000-0000-0000144D0000}"/>
    <cellStyle name="Normal 2 11 12 4 3" xfId="19730" xr:uid="{00000000-0005-0000-0000-0000154D0000}"/>
    <cellStyle name="Normal 2 11 12 4 4" xfId="19731" xr:uid="{00000000-0005-0000-0000-0000164D0000}"/>
    <cellStyle name="Normal 2 11 12 4 5" xfId="19732" xr:uid="{00000000-0005-0000-0000-0000174D0000}"/>
    <cellStyle name="Normal 2 11 12 5" xfId="19733" xr:uid="{00000000-0005-0000-0000-0000184D0000}"/>
    <cellStyle name="Normal 2 11 12 5 2" xfId="19734" xr:uid="{00000000-0005-0000-0000-0000194D0000}"/>
    <cellStyle name="Normal 2 11 12 5 3" xfId="19735" xr:uid="{00000000-0005-0000-0000-00001A4D0000}"/>
    <cellStyle name="Normal 2 11 12 5 4" xfId="19736" xr:uid="{00000000-0005-0000-0000-00001B4D0000}"/>
    <cellStyle name="Normal 2 11 12 6" xfId="19737" xr:uid="{00000000-0005-0000-0000-00001C4D0000}"/>
    <cellStyle name="Normal 2 11 12 6 2" xfId="19738" xr:uid="{00000000-0005-0000-0000-00001D4D0000}"/>
    <cellStyle name="Normal 2 11 12 7" xfId="19739" xr:uid="{00000000-0005-0000-0000-00001E4D0000}"/>
    <cellStyle name="Normal 2 11 12 8" xfId="19740" xr:uid="{00000000-0005-0000-0000-00001F4D0000}"/>
    <cellStyle name="Normal 2 11 12 9" xfId="19741" xr:uid="{00000000-0005-0000-0000-0000204D0000}"/>
    <cellStyle name="Normal 2 11 13" xfId="19742" xr:uid="{00000000-0005-0000-0000-0000214D0000}"/>
    <cellStyle name="Normal 2 11 13 2" xfId="19743" xr:uid="{00000000-0005-0000-0000-0000224D0000}"/>
    <cellStyle name="Normal 2 11 13 2 2" xfId="19744" xr:uid="{00000000-0005-0000-0000-0000234D0000}"/>
    <cellStyle name="Normal 2 11 13 2 2 2" xfId="19745" xr:uid="{00000000-0005-0000-0000-0000244D0000}"/>
    <cellStyle name="Normal 2 11 13 2 2 3" xfId="19746" xr:uid="{00000000-0005-0000-0000-0000254D0000}"/>
    <cellStyle name="Normal 2 11 13 2 3" xfId="19747" xr:uid="{00000000-0005-0000-0000-0000264D0000}"/>
    <cellStyle name="Normal 2 11 13 2 4" xfId="19748" xr:uid="{00000000-0005-0000-0000-0000274D0000}"/>
    <cellStyle name="Normal 2 11 13 2 5" xfId="19749" xr:uid="{00000000-0005-0000-0000-0000284D0000}"/>
    <cellStyle name="Normal 2 11 13 2 6" xfId="19750" xr:uid="{00000000-0005-0000-0000-0000294D0000}"/>
    <cellStyle name="Normal 2 11 13 3" xfId="19751" xr:uid="{00000000-0005-0000-0000-00002A4D0000}"/>
    <cellStyle name="Normal 2 11 13 3 2" xfId="19752" xr:uid="{00000000-0005-0000-0000-00002B4D0000}"/>
    <cellStyle name="Normal 2 11 13 3 2 2" xfId="19753" xr:uid="{00000000-0005-0000-0000-00002C4D0000}"/>
    <cellStyle name="Normal 2 11 13 3 3" xfId="19754" xr:uid="{00000000-0005-0000-0000-00002D4D0000}"/>
    <cellStyle name="Normal 2 11 13 3 4" xfId="19755" xr:uid="{00000000-0005-0000-0000-00002E4D0000}"/>
    <cellStyle name="Normal 2 11 13 3 5" xfId="19756" xr:uid="{00000000-0005-0000-0000-00002F4D0000}"/>
    <cellStyle name="Normal 2 11 13 4" xfId="19757" xr:uid="{00000000-0005-0000-0000-0000304D0000}"/>
    <cellStyle name="Normal 2 11 13 4 2" xfId="19758" xr:uid="{00000000-0005-0000-0000-0000314D0000}"/>
    <cellStyle name="Normal 2 11 13 4 3" xfId="19759" xr:uid="{00000000-0005-0000-0000-0000324D0000}"/>
    <cellStyle name="Normal 2 11 13 4 4" xfId="19760" xr:uid="{00000000-0005-0000-0000-0000334D0000}"/>
    <cellStyle name="Normal 2 11 13 5" xfId="19761" xr:uid="{00000000-0005-0000-0000-0000344D0000}"/>
    <cellStyle name="Normal 2 11 13 5 2" xfId="19762" xr:uid="{00000000-0005-0000-0000-0000354D0000}"/>
    <cellStyle name="Normal 2 11 13 6" xfId="19763" xr:uid="{00000000-0005-0000-0000-0000364D0000}"/>
    <cellStyle name="Normal 2 11 13 7" xfId="19764" xr:uid="{00000000-0005-0000-0000-0000374D0000}"/>
    <cellStyle name="Normal 2 11 13 8" xfId="19765" xr:uid="{00000000-0005-0000-0000-0000384D0000}"/>
    <cellStyle name="Normal 2 11 13 9" xfId="19766" xr:uid="{00000000-0005-0000-0000-0000394D0000}"/>
    <cellStyle name="Normal 2 11 14" xfId="19767" xr:uid="{00000000-0005-0000-0000-00003A4D0000}"/>
    <cellStyle name="Normal 2 11 14 2" xfId="19768" xr:uid="{00000000-0005-0000-0000-00003B4D0000}"/>
    <cellStyle name="Normal 2 11 14 2 2" xfId="19769" xr:uid="{00000000-0005-0000-0000-00003C4D0000}"/>
    <cellStyle name="Normal 2 11 14 2 2 2" xfId="19770" xr:uid="{00000000-0005-0000-0000-00003D4D0000}"/>
    <cellStyle name="Normal 2 11 14 2 2 3" xfId="19771" xr:uid="{00000000-0005-0000-0000-00003E4D0000}"/>
    <cellStyle name="Normal 2 11 14 2 3" xfId="19772" xr:uid="{00000000-0005-0000-0000-00003F4D0000}"/>
    <cellStyle name="Normal 2 11 14 2 4" xfId="19773" xr:uid="{00000000-0005-0000-0000-0000404D0000}"/>
    <cellStyle name="Normal 2 11 14 2 5" xfId="19774" xr:uid="{00000000-0005-0000-0000-0000414D0000}"/>
    <cellStyle name="Normal 2 11 14 2 6" xfId="19775" xr:uid="{00000000-0005-0000-0000-0000424D0000}"/>
    <cellStyle name="Normal 2 11 14 3" xfId="19776" xr:uid="{00000000-0005-0000-0000-0000434D0000}"/>
    <cellStyle name="Normal 2 11 14 3 2" xfId="19777" xr:uid="{00000000-0005-0000-0000-0000444D0000}"/>
    <cellStyle name="Normal 2 11 14 3 2 2" xfId="19778" xr:uid="{00000000-0005-0000-0000-0000454D0000}"/>
    <cellStyle name="Normal 2 11 14 3 3" xfId="19779" xr:uid="{00000000-0005-0000-0000-0000464D0000}"/>
    <cellStyle name="Normal 2 11 14 3 4" xfId="19780" xr:uid="{00000000-0005-0000-0000-0000474D0000}"/>
    <cellStyle name="Normal 2 11 14 3 5" xfId="19781" xr:uid="{00000000-0005-0000-0000-0000484D0000}"/>
    <cellStyle name="Normal 2 11 14 4" xfId="19782" xr:uid="{00000000-0005-0000-0000-0000494D0000}"/>
    <cellStyle name="Normal 2 11 14 4 2" xfId="19783" xr:uid="{00000000-0005-0000-0000-00004A4D0000}"/>
    <cellStyle name="Normal 2 11 14 4 3" xfId="19784" xr:uid="{00000000-0005-0000-0000-00004B4D0000}"/>
    <cellStyle name="Normal 2 11 14 4 4" xfId="19785" xr:uid="{00000000-0005-0000-0000-00004C4D0000}"/>
    <cellStyle name="Normal 2 11 14 5" xfId="19786" xr:uid="{00000000-0005-0000-0000-00004D4D0000}"/>
    <cellStyle name="Normal 2 11 14 5 2" xfId="19787" xr:uid="{00000000-0005-0000-0000-00004E4D0000}"/>
    <cellStyle name="Normal 2 11 14 6" xfId="19788" xr:uid="{00000000-0005-0000-0000-00004F4D0000}"/>
    <cellStyle name="Normal 2 11 14 7" xfId="19789" xr:uid="{00000000-0005-0000-0000-0000504D0000}"/>
    <cellStyle name="Normal 2 11 14 8" xfId="19790" xr:uid="{00000000-0005-0000-0000-0000514D0000}"/>
    <cellStyle name="Normal 2 11 14 9" xfId="19791" xr:uid="{00000000-0005-0000-0000-0000524D0000}"/>
    <cellStyle name="Normal 2 11 15" xfId="19792" xr:uid="{00000000-0005-0000-0000-0000534D0000}"/>
    <cellStyle name="Normal 2 11 15 2" xfId="19793" xr:uid="{00000000-0005-0000-0000-0000544D0000}"/>
    <cellStyle name="Normal 2 11 15 2 2" xfId="19794" xr:uid="{00000000-0005-0000-0000-0000554D0000}"/>
    <cellStyle name="Normal 2 11 15 2 3" xfId="19795" xr:uid="{00000000-0005-0000-0000-0000564D0000}"/>
    <cellStyle name="Normal 2 11 15 3" xfId="19796" xr:uid="{00000000-0005-0000-0000-0000574D0000}"/>
    <cellStyle name="Normal 2 11 15 4" xfId="19797" xr:uid="{00000000-0005-0000-0000-0000584D0000}"/>
    <cellStyle name="Normal 2 11 15 5" xfId="19798" xr:uid="{00000000-0005-0000-0000-0000594D0000}"/>
    <cellStyle name="Normal 2 11 15 6" xfId="19799" xr:uid="{00000000-0005-0000-0000-00005A4D0000}"/>
    <cellStyle name="Normal 2 11 16" xfId="19800" xr:uid="{00000000-0005-0000-0000-00005B4D0000}"/>
    <cellStyle name="Normal 2 11 16 2" xfId="19801" xr:uid="{00000000-0005-0000-0000-00005C4D0000}"/>
    <cellStyle name="Normal 2 11 16 2 2" xfId="19802" xr:uid="{00000000-0005-0000-0000-00005D4D0000}"/>
    <cellStyle name="Normal 2 11 16 3" xfId="19803" xr:uid="{00000000-0005-0000-0000-00005E4D0000}"/>
    <cellStyle name="Normal 2 11 16 4" xfId="19804" xr:uid="{00000000-0005-0000-0000-00005F4D0000}"/>
    <cellStyle name="Normal 2 11 16 5" xfId="19805" xr:uid="{00000000-0005-0000-0000-0000604D0000}"/>
    <cellStyle name="Normal 2 11 17" xfId="19806" xr:uid="{00000000-0005-0000-0000-0000614D0000}"/>
    <cellStyle name="Normal 2 11 17 2" xfId="19807" xr:uid="{00000000-0005-0000-0000-0000624D0000}"/>
    <cellStyle name="Normal 2 11 17 2 2" xfId="19808" xr:uid="{00000000-0005-0000-0000-0000634D0000}"/>
    <cellStyle name="Normal 2 11 17 3" xfId="19809" xr:uid="{00000000-0005-0000-0000-0000644D0000}"/>
    <cellStyle name="Normal 2 11 17 4" xfId="19810" xr:uid="{00000000-0005-0000-0000-0000654D0000}"/>
    <cellStyle name="Normal 2 11 17 5" xfId="19811" xr:uid="{00000000-0005-0000-0000-0000664D0000}"/>
    <cellStyle name="Normal 2 11 18" xfId="19812" xr:uid="{00000000-0005-0000-0000-0000674D0000}"/>
    <cellStyle name="Normal 2 11 18 2" xfId="19813" xr:uid="{00000000-0005-0000-0000-0000684D0000}"/>
    <cellStyle name="Normal 2 11 19" xfId="19814" xr:uid="{00000000-0005-0000-0000-0000694D0000}"/>
    <cellStyle name="Normal 2 11 2" xfId="19815" xr:uid="{00000000-0005-0000-0000-00006A4D0000}"/>
    <cellStyle name="Normal 2 11 2 10" xfId="19816" xr:uid="{00000000-0005-0000-0000-00006B4D0000}"/>
    <cellStyle name="Normal 2 11 2 11" xfId="19817" xr:uid="{00000000-0005-0000-0000-00006C4D0000}"/>
    <cellStyle name="Normal 2 11 2 2" xfId="19818" xr:uid="{00000000-0005-0000-0000-00006D4D0000}"/>
    <cellStyle name="Normal 2 11 2 2 2" xfId="19819" xr:uid="{00000000-0005-0000-0000-00006E4D0000}"/>
    <cellStyle name="Normal 2 11 2 2 2 2" xfId="19820" xr:uid="{00000000-0005-0000-0000-00006F4D0000}"/>
    <cellStyle name="Normal 2 11 2 2 2 2 2" xfId="19821" xr:uid="{00000000-0005-0000-0000-0000704D0000}"/>
    <cellStyle name="Normal 2 11 2 2 2 2 3" xfId="19822" xr:uid="{00000000-0005-0000-0000-0000714D0000}"/>
    <cellStyle name="Normal 2 11 2 2 2 3" xfId="19823" xr:uid="{00000000-0005-0000-0000-0000724D0000}"/>
    <cellStyle name="Normal 2 11 2 2 2 4" xfId="19824" xr:uid="{00000000-0005-0000-0000-0000734D0000}"/>
    <cellStyle name="Normal 2 11 2 2 2 5" xfId="19825" xr:uid="{00000000-0005-0000-0000-0000744D0000}"/>
    <cellStyle name="Normal 2 11 2 2 2 6" xfId="19826" xr:uid="{00000000-0005-0000-0000-0000754D0000}"/>
    <cellStyle name="Normal 2 11 2 2 3" xfId="19827" xr:uid="{00000000-0005-0000-0000-0000764D0000}"/>
    <cellStyle name="Normal 2 11 2 2 3 2" xfId="19828" xr:uid="{00000000-0005-0000-0000-0000774D0000}"/>
    <cellStyle name="Normal 2 11 2 2 3 2 2" xfId="19829" xr:uid="{00000000-0005-0000-0000-0000784D0000}"/>
    <cellStyle name="Normal 2 11 2 2 3 3" xfId="19830" xr:uid="{00000000-0005-0000-0000-0000794D0000}"/>
    <cellStyle name="Normal 2 11 2 2 3 4" xfId="19831" xr:uid="{00000000-0005-0000-0000-00007A4D0000}"/>
    <cellStyle name="Normal 2 11 2 2 3 5" xfId="19832" xr:uid="{00000000-0005-0000-0000-00007B4D0000}"/>
    <cellStyle name="Normal 2 11 2 2 4" xfId="19833" xr:uid="{00000000-0005-0000-0000-00007C4D0000}"/>
    <cellStyle name="Normal 2 11 2 2 4 2" xfId="19834" xr:uid="{00000000-0005-0000-0000-00007D4D0000}"/>
    <cellStyle name="Normal 2 11 2 2 4 3" xfId="19835" xr:uid="{00000000-0005-0000-0000-00007E4D0000}"/>
    <cellStyle name="Normal 2 11 2 2 4 4" xfId="19836" xr:uid="{00000000-0005-0000-0000-00007F4D0000}"/>
    <cellStyle name="Normal 2 11 2 2 5" xfId="19837" xr:uid="{00000000-0005-0000-0000-0000804D0000}"/>
    <cellStyle name="Normal 2 11 2 2 5 2" xfId="19838" xr:uid="{00000000-0005-0000-0000-0000814D0000}"/>
    <cellStyle name="Normal 2 11 2 2 6" xfId="19839" xr:uid="{00000000-0005-0000-0000-0000824D0000}"/>
    <cellStyle name="Normal 2 11 2 2 7" xfId="19840" xr:uid="{00000000-0005-0000-0000-0000834D0000}"/>
    <cellStyle name="Normal 2 11 2 2 8" xfId="19841" xr:uid="{00000000-0005-0000-0000-0000844D0000}"/>
    <cellStyle name="Normal 2 11 2 2 9" xfId="19842" xr:uid="{00000000-0005-0000-0000-0000854D0000}"/>
    <cellStyle name="Normal 2 11 2 3" xfId="19843" xr:uid="{00000000-0005-0000-0000-0000864D0000}"/>
    <cellStyle name="Normal 2 11 2 3 2" xfId="19844" xr:uid="{00000000-0005-0000-0000-0000874D0000}"/>
    <cellStyle name="Normal 2 11 2 3 2 2" xfId="19845" xr:uid="{00000000-0005-0000-0000-0000884D0000}"/>
    <cellStyle name="Normal 2 11 2 3 2 2 2" xfId="19846" xr:uid="{00000000-0005-0000-0000-0000894D0000}"/>
    <cellStyle name="Normal 2 11 2 3 2 2 3" xfId="19847" xr:uid="{00000000-0005-0000-0000-00008A4D0000}"/>
    <cellStyle name="Normal 2 11 2 3 2 3" xfId="19848" xr:uid="{00000000-0005-0000-0000-00008B4D0000}"/>
    <cellStyle name="Normal 2 11 2 3 2 4" xfId="19849" xr:uid="{00000000-0005-0000-0000-00008C4D0000}"/>
    <cellStyle name="Normal 2 11 2 3 2 5" xfId="19850" xr:uid="{00000000-0005-0000-0000-00008D4D0000}"/>
    <cellStyle name="Normal 2 11 2 3 2 6" xfId="19851" xr:uid="{00000000-0005-0000-0000-00008E4D0000}"/>
    <cellStyle name="Normal 2 11 2 3 3" xfId="19852" xr:uid="{00000000-0005-0000-0000-00008F4D0000}"/>
    <cellStyle name="Normal 2 11 2 3 3 2" xfId="19853" xr:uid="{00000000-0005-0000-0000-0000904D0000}"/>
    <cellStyle name="Normal 2 11 2 3 3 2 2" xfId="19854" xr:uid="{00000000-0005-0000-0000-0000914D0000}"/>
    <cellStyle name="Normal 2 11 2 3 3 3" xfId="19855" xr:uid="{00000000-0005-0000-0000-0000924D0000}"/>
    <cellStyle name="Normal 2 11 2 3 3 4" xfId="19856" xr:uid="{00000000-0005-0000-0000-0000934D0000}"/>
    <cellStyle name="Normal 2 11 2 3 3 5" xfId="19857" xr:uid="{00000000-0005-0000-0000-0000944D0000}"/>
    <cellStyle name="Normal 2 11 2 3 4" xfId="19858" xr:uid="{00000000-0005-0000-0000-0000954D0000}"/>
    <cellStyle name="Normal 2 11 2 3 4 2" xfId="19859" xr:uid="{00000000-0005-0000-0000-0000964D0000}"/>
    <cellStyle name="Normal 2 11 2 3 4 3" xfId="19860" xr:uid="{00000000-0005-0000-0000-0000974D0000}"/>
    <cellStyle name="Normal 2 11 2 3 4 4" xfId="19861" xr:uid="{00000000-0005-0000-0000-0000984D0000}"/>
    <cellStyle name="Normal 2 11 2 3 5" xfId="19862" xr:uid="{00000000-0005-0000-0000-0000994D0000}"/>
    <cellStyle name="Normal 2 11 2 3 5 2" xfId="19863" xr:uid="{00000000-0005-0000-0000-00009A4D0000}"/>
    <cellStyle name="Normal 2 11 2 3 6" xfId="19864" xr:uid="{00000000-0005-0000-0000-00009B4D0000}"/>
    <cellStyle name="Normal 2 11 2 3 7" xfId="19865" xr:uid="{00000000-0005-0000-0000-00009C4D0000}"/>
    <cellStyle name="Normal 2 11 2 3 8" xfId="19866" xr:uid="{00000000-0005-0000-0000-00009D4D0000}"/>
    <cellStyle name="Normal 2 11 2 3 9" xfId="19867" xr:uid="{00000000-0005-0000-0000-00009E4D0000}"/>
    <cellStyle name="Normal 2 11 2 4" xfId="19868" xr:uid="{00000000-0005-0000-0000-00009F4D0000}"/>
    <cellStyle name="Normal 2 11 2 4 2" xfId="19869" xr:uid="{00000000-0005-0000-0000-0000A04D0000}"/>
    <cellStyle name="Normal 2 11 2 4 2 2" xfId="19870" xr:uid="{00000000-0005-0000-0000-0000A14D0000}"/>
    <cellStyle name="Normal 2 11 2 4 2 3" xfId="19871" xr:uid="{00000000-0005-0000-0000-0000A24D0000}"/>
    <cellStyle name="Normal 2 11 2 4 3" xfId="19872" xr:uid="{00000000-0005-0000-0000-0000A34D0000}"/>
    <cellStyle name="Normal 2 11 2 4 4" xfId="19873" xr:uid="{00000000-0005-0000-0000-0000A44D0000}"/>
    <cellStyle name="Normal 2 11 2 4 5" xfId="19874" xr:uid="{00000000-0005-0000-0000-0000A54D0000}"/>
    <cellStyle name="Normal 2 11 2 4 6" xfId="19875" xr:uid="{00000000-0005-0000-0000-0000A64D0000}"/>
    <cellStyle name="Normal 2 11 2 5" xfId="19876" xr:uid="{00000000-0005-0000-0000-0000A74D0000}"/>
    <cellStyle name="Normal 2 11 2 5 2" xfId="19877" xr:uid="{00000000-0005-0000-0000-0000A84D0000}"/>
    <cellStyle name="Normal 2 11 2 5 2 2" xfId="19878" xr:uid="{00000000-0005-0000-0000-0000A94D0000}"/>
    <cellStyle name="Normal 2 11 2 5 3" xfId="19879" xr:uid="{00000000-0005-0000-0000-0000AA4D0000}"/>
    <cellStyle name="Normal 2 11 2 5 4" xfId="19880" xr:uid="{00000000-0005-0000-0000-0000AB4D0000}"/>
    <cellStyle name="Normal 2 11 2 5 5" xfId="19881" xr:uid="{00000000-0005-0000-0000-0000AC4D0000}"/>
    <cellStyle name="Normal 2 11 2 6" xfId="19882" xr:uid="{00000000-0005-0000-0000-0000AD4D0000}"/>
    <cellStyle name="Normal 2 11 2 6 2" xfId="19883" xr:uid="{00000000-0005-0000-0000-0000AE4D0000}"/>
    <cellStyle name="Normal 2 11 2 6 3" xfId="19884" xr:uid="{00000000-0005-0000-0000-0000AF4D0000}"/>
    <cellStyle name="Normal 2 11 2 6 4" xfId="19885" xr:uid="{00000000-0005-0000-0000-0000B04D0000}"/>
    <cellStyle name="Normal 2 11 2 7" xfId="19886" xr:uid="{00000000-0005-0000-0000-0000B14D0000}"/>
    <cellStyle name="Normal 2 11 2 7 2" xfId="19887" xr:uid="{00000000-0005-0000-0000-0000B24D0000}"/>
    <cellStyle name="Normal 2 11 2 8" xfId="19888" xr:uid="{00000000-0005-0000-0000-0000B34D0000}"/>
    <cellStyle name="Normal 2 11 2 9" xfId="19889" xr:uid="{00000000-0005-0000-0000-0000B44D0000}"/>
    <cellStyle name="Normal 2 11 20" xfId="19890" xr:uid="{00000000-0005-0000-0000-0000B54D0000}"/>
    <cellStyle name="Normal 2 11 21" xfId="19891" xr:uid="{00000000-0005-0000-0000-0000B64D0000}"/>
    <cellStyle name="Normal 2 11 22" xfId="19892" xr:uid="{00000000-0005-0000-0000-0000B74D0000}"/>
    <cellStyle name="Normal 2 11 3" xfId="19893" xr:uid="{00000000-0005-0000-0000-0000B84D0000}"/>
    <cellStyle name="Normal 2 11 3 10" xfId="19894" xr:uid="{00000000-0005-0000-0000-0000B94D0000}"/>
    <cellStyle name="Normal 2 11 3 11" xfId="19895" xr:uid="{00000000-0005-0000-0000-0000BA4D0000}"/>
    <cellStyle name="Normal 2 11 3 2" xfId="19896" xr:uid="{00000000-0005-0000-0000-0000BB4D0000}"/>
    <cellStyle name="Normal 2 11 3 2 2" xfId="19897" xr:uid="{00000000-0005-0000-0000-0000BC4D0000}"/>
    <cellStyle name="Normal 2 11 3 2 2 2" xfId="19898" xr:uid="{00000000-0005-0000-0000-0000BD4D0000}"/>
    <cellStyle name="Normal 2 11 3 2 2 2 2" xfId="19899" xr:uid="{00000000-0005-0000-0000-0000BE4D0000}"/>
    <cellStyle name="Normal 2 11 3 2 2 2 3" xfId="19900" xr:uid="{00000000-0005-0000-0000-0000BF4D0000}"/>
    <cellStyle name="Normal 2 11 3 2 2 3" xfId="19901" xr:uid="{00000000-0005-0000-0000-0000C04D0000}"/>
    <cellStyle name="Normal 2 11 3 2 2 4" xfId="19902" xr:uid="{00000000-0005-0000-0000-0000C14D0000}"/>
    <cellStyle name="Normal 2 11 3 2 2 5" xfId="19903" xr:uid="{00000000-0005-0000-0000-0000C24D0000}"/>
    <cellStyle name="Normal 2 11 3 2 2 6" xfId="19904" xr:uid="{00000000-0005-0000-0000-0000C34D0000}"/>
    <cellStyle name="Normal 2 11 3 2 3" xfId="19905" xr:uid="{00000000-0005-0000-0000-0000C44D0000}"/>
    <cellStyle name="Normal 2 11 3 2 3 2" xfId="19906" xr:uid="{00000000-0005-0000-0000-0000C54D0000}"/>
    <cellStyle name="Normal 2 11 3 2 3 2 2" xfId="19907" xr:uid="{00000000-0005-0000-0000-0000C64D0000}"/>
    <cellStyle name="Normal 2 11 3 2 3 3" xfId="19908" xr:uid="{00000000-0005-0000-0000-0000C74D0000}"/>
    <cellStyle name="Normal 2 11 3 2 3 4" xfId="19909" xr:uid="{00000000-0005-0000-0000-0000C84D0000}"/>
    <cellStyle name="Normal 2 11 3 2 3 5" xfId="19910" xr:uid="{00000000-0005-0000-0000-0000C94D0000}"/>
    <cellStyle name="Normal 2 11 3 2 4" xfId="19911" xr:uid="{00000000-0005-0000-0000-0000CA4D0000}"/>
    <cellStyle name="Normal 2 11 3 2 4 2" xfId="19912" xr:uid="{00000000-0005-0000-0000-0000CB4D0000}"/>
    <cellStyle name="Normal 2 11 3 2 4 3" xfId="19913" xr:uid="{00000000-0005-0000-0000-0000CC4D0000}"/>
    <cellStyle name="Normal 2 11 3 2 4 4" xfId="19914" xr:uid="{00000000-0005-0000-0000-0000CD4D0000}"/>
    <cellStyle name="Normal 2 11 3 2 5" xfId="19915" xr:uid="{00000000-0005-0000-0000-0000CE4D0000}"/>
    <cellStyle name="Normal 2 11 3 2 5 2" xfId="19916" xr:uid="{00000000-0005-0000-0000-0000CF4D0000}"/>
    <cellStyle name="Normal 2 11 3 2 6" xfId="19917" xr:uid="{00000000-0005-0000-0000-0000D04D0000}"/>
    <cellStyle name="Normal 2 11 3 2 7" xfId="19918" xr:uid="{00000000-0005-0000-0000-0000D14D0000}"/>
    <cellStyle name="Normal 2 11 3 2 8" xfId="19919" xr:uid="{00000000-0005-0000-0000-0000D24D0000}"/>
    <cellStyle name="Normal 2 11 3 2 9" xfId="19920" xr:uid="{00000000-0005-0000-0000-0000D34D0000}"/>
    <cellStyle name="Normal 2 11 3 3" xfId="19921" xr:uid="{00000000-0005-0000-0000-0000D44D0000}"/>
    <cellStyle name="Normal 2 11 3 3 2" xfId="19922" xr:uid="{00000000-0005-0000-0000-0000D54D0000}"/>
    <cellStyle name="Normal 2 11 3 3 2 2" xfId="19923" xr:uid="{00000000-0005-0000-0000-0000D64D0000}"/>
    <cellStyle name="Normal 2 11 3 3 2 2 2" xfId="19924" xr:uid="{00000000-0005-0000-0000-0000D74D0000}"/>
    <cellStyle name="Normal 2 11 3 3 2 2 3" xfId="19925" xr:uid="{00000000-0005-0000-0000-0000D84D0000}"/>
    <cellStyle name="Normal 2 11 3 3 2 3" xfId="19926" xr:uid="{00000000-0005-0000-0000-0000D94D0000}"/>
    <cellStyle name="Normal 2 11 3 3 2 4" xfId="19927" xr:uid="{00000000-0005-0000-0000-0000DA4D0000}"/>
    <cellStyle name="Normal 2 11 3 3 2 5" xfId="19928" xr:uid="{00000000-0005-0000-0000-0000DB4D0000}"/>
    <cellStyle name="Normal 2 11 3 3 2 6" xfId="19929" xr:uid="{00000000-0005-0000-0000-0000DC4D0000}"/>
    <cellStyle name="Normal 2 11 3 3 3" xfId="19930" xr:uid="{00000000-0005-0000-0000-0000DD4D0000}"/>
    <cellStyle name="Normal 2 11 3 3 3 2" xfId="19931" xr:uid="{00000000-0005-0000-0000-0000DE4D0000}"/>
    <cellStyle name="Normal 2 11 3 3 3 2 2" xfId="19932" xr:uid="{00000000-0005-0000-0000-0000DF4D0000}"/>
    <cellStyle name="Normal 2 11 3 3 3 3" xfId="19933" xr:uid="{00000000-0005-0000-0000-0000E04D0000}"/>
    <cellStyle name="Normal 2 11 3 3 3 4" xfId="19934" xr:uid="{00000000-0005-0000-0000-0000E14D0000}"/>
    <cellStyle name="Normal 2 11 3 3 3 5" xfId="19935" xr:uid="{00000000-0005-0000-0000-0000E24D0000}"/>
    <cellStyle name="Normal 2 11 3 3 4" xfId="19936" xr:uid="{00000000-0005-0000-0000-0000E34D0000}"/>
    <cellStyle name="Normal 2 11 3 3 4 2" xfId="19937" xr:uid="{00000000-0005-0000-0000-0000E44D0000}"/>
    <cellStyle name="Normal 2 11 3 3 4 3" xfId="19938" xr:uid="{00000000-0005-0000-0000-0000E54D0000}"/>
    <cellStyle name="Normal 2 11 3 3 4 4" xfId="19939" xr:uid="{00000000-0005-0000-0000-0000E64D0000}"/>
    <cellStyle name="Normal 2 11 3 3 5" xfId="19940" xr:uid="{00000000-0005-0000-0000-0000E74D0000}"/>
    <cellStyle name="Normal 2 11 3 3 5 2" xfId="19941" xr:uid="{00000000-0005-0000-0000-0000E84D0000}"/>
    <cellStyle name="Normal 2 11 3 3 6" xfId="19942" xr:uid="{00000000-0005-0000-0000-0000E94D0000}"/>
    <cellStyle name="Normal 2 11 3 3 7" xfId="19943" xr:uid="{00000000-0005-0000-0000-0000EA4D0000}"/>
    <cellStyle name="Normal 2 11 3 3 8" xfId="19944" xr:uid="{00000000-0005-0000-0000-0000EB4D0000}"/>
    <cellStyle name="Normal 2 11 3 3 9" xfId="19945" xr:uid="{00000000-0005-0000-0000-0000EC4D0000}"/>
    <cellStyle name="Normal 2 11 3 4" xfId="19946" xr:uid="{00000000-0005-0000-0000-0000ED4D0000}"/>
    <cellStyle name="Normal 2 11 3 4 2" xfId="19947" xr:uid="{00000000-0005-0000-0000-0000EE4D0000}"/>
    <cellStyle name="Normal 2 11 3 4 2 2" xfId="19948" xr:uid="{00000000-0005-0000-0000-0000EF4D0000}"/>
    <cellStyle name="Normal 2 11 3 4 2 3" xfId="19949" xr:uid="{00000000-0005-0000-0000-0000F04D0000}"/>
    <cellStyle name="Normal 2 11 3 4 3" xfId="19950" xr:uid="{00000000-0005-0000-0000-0000F14D0000}"/>
    <cellStyle name="Normal 2 11 3 4 4" xfId="19951" xr:uid="{00000000-0005-0000-0000-0000F24D0000}"/>
    <cellStyle name="Normal 2 11 3 4 5" xfId="19952" xr:uid="{00000000-0005-0000-0000-0000F34D0000}"/>
    <cellStyle name="Normal 2 11 3 4 6" xfId="19953" xr:uid="{00000000-0005-0000-0000-0000F44D0000}"/>
    <cellStyle name="Normal 2 11 3 5" xfId="19954" xr:uid="{00000000-0005-0000-0000-0000F54D0000}"/>
    <cellStyle name="Normal 2 11 3 5 2" xfId="19955" xr:uid="{00000000-0005-0000-0000-0000F64D0000}"/>
    <cellStyle name="Normal 2 11 3 5 2 2" xfId="19956" xr:uid="{00000000-0005-0000-0000-0000F74D0000}"/>
    <cellStyle name="Normal 2 11 3 5 3" xfId="19957" xr:uid="{00000000-0005-0000-0000-0000F84D0000}"/>
    <cellStyle name="Normal 2 11 3 5 4" xfId="19958" xr:uid="{00000000-0005-0000-0000-0000F94D0000}"/>
    <cellStyle name="Normal 2 11 3 5 5" xfId="19959" xr:uid="{00000000-0005-0000-0000-0000FA4D0000}"/>
    <cellStyle name="Normal 2 11 3 6" xfId="19960" xr:uid="{00000000-0005-0000-0000-0000FB4D0000}"/>
    <cellStyle name="Normal 2 11 3 6 2" xfId="19961" xr:uid="{00000000-0005-0000-0000-0000FC4D0000}"/>
    <cellStyle name="Normal 2 11 3 6 3" xfId="19962" xr:uid="{00000000-0005-0000-0000-0000FD4D0000}"/>
    <cellStyle name="Normal 2 11 3 6 4" xfId="19963" xr:uid="{00000000-0005-0000-0000-0000FE4D0000}"/>
    <cellStyle name="Normal 2 11 3 7" xfId="19964" xr:uid="{00000000-0005-0000-0000-0000FF4D0000}"/>
    <cellStyle name="Normal 2 11 3 7 2" xfId="19965" xr:uid="{00000000-0005-0000-0000-0000004E0000}"/>
    <cellStyle name="Normal 2 11 3 8" xfId="19966" xr:uid="{00000000-0005-0000-0000-0000014E0000}"/>
    <cellStyle name="Normal 2 11 3 9" xfId="19967" xr:uid="{00000000-0005-0000-0000-0000024E0000}"/>
    <cellStyle name="Normal 2 11 4" xfId="19968" xr:uid="{00000000-0005-0000-0000-0000034E0000}"/>
    <cellStyle name="Normal 2 11 4 10" xfId="19969" xr:uid="{00000000-0005-0000-0000-0000044E0000}"/>
    <cellStyle name="Normal 2 11 4 11" xfId="19970" xr:uid="{00000000-0005-0000-0000-0000054E0000}"/>
    <cellStyle name="Normal 2 11 4 2" xfId="19971" xr:uid="{00000000-0005-0000-0000-0000064E0000}"/>
    <cellStyle name="Normal 2 11 4 2 2" xfId="19972" xr:uid="{00000000-0005-0000-0000-0000074E0000}"/>
    <cellStyle name="Normal 2 11 4 2 2 2" xfId="19973" xr:uid="{00000000-0005-0000-0000-0000084E0000}"/>
    <cellStyle name="Normal 2 11 4 2 2 2 2" xfId="19974" xr:uid="{00000000-0005-0000-0000-0000094E0000}"/>
    <cellStyle name="Normal 2 11 4 2 2 2 3" xfId="19975" xr:uid="{00000000-0005-0000-0000-00000A4E0000}"/>
    <cellStyle name="Normal 2 11 4 2 2 3" xfId="19976" xr:uid="{00000000-0005-0000-0000-00000B4E0000}"/>
    <cellStyle name="Normal 2 11 4 2 2 4" xfId="19977" xr:uid="{00000000-0005-0000-0000-00000C4E0000}"/>
    <cellStyle name="Normal 2 11 4 2 2 5" xfId="19978" xr:uid="{00000000-0005-0000-0000-00000D4E0000}"/>
    <cellStyle name="Normal 2 11 4 2 2 6" xfId="19979" xr:uid="{00000000-0005-0000-0000-00000E4E0000}"/>
    <cellStyle name="Normal 2 11 4 2 3" xfId="19980" xr:uid="{00000000-0005-0000-0000-00000F4E0000}"/>
    <cellStyle name="Normal 2 11 4 2 3 2" xfId="19981" xr:uid="{00000000-0005-0000-0000-0000104E0000}"/>
    <cellStyle name="Normal 2 11 4 2 3 2 2" xfId="19982" xr:uid="{00000000-0005-0000-0000-0000114E0000}"/>
    <cellStyle name="Normal 2 11 4 2 3 3" xfId="19983" xr:uid="{00000000-0005-0000-0000-0000124E0000}"/>
    <cellStyle name="Normal 2 11 4 2 3 4" xfId="19984" xr:uid="{00000000-0005-0000-0000-0000134E0000}"/>
    <cellStyle name="Normal 2 11 4 2 3 5" xfId="19985" xr:uid="{00000000-0005-0000-0000-0000144E0000}"/>
    <cellStyle name="Normal 2 11 4 2 4" xfId="19986" xr:uid="{00000000-0005-0000-0000-0000154E0000}"/>
    <cellStyle name="Normal 2 11 4 2 4 2" xfId="19987" xr:uid="{00000000-0005-0000-0000-0000164E0000}"/>
    <cellStyle name="Normal 2 11 4 2 4 3" xfId="19988" xr:uid="{00000000-0005-0000-0000-0000174E0000}"/>
    <cellStyle name="Normal 2 11 4 2 4 4" xfId="19989" xr:uid="{00000000-0005-0000-0000-0000184E0000}"/>
    <cellStyle name="Normal 2 11 4 2 5" xfId="19990" xr:uid="{00000000-0005-0000-0000-0000194E0000}"/>
    <cellStyle name="Normal 2 11 4 2 5 2" xfId="19991" xr:uid="{00000000-0005-0000-0000-00001A4E0000}"/>
    <cellStyle name="Normal 2 11 4 2 6" xfId="19992" xr:uid="{00000000-0005-0000-0000-00001B4E0000}"/>
    <cellStyle name="Normal 2 11 4 2 7" xfId="19993" xr:uid="{00000000-0005-0000-0000-00001C4E0000}"/>
    <cellStyle name="Normal 2 11 4 2 8" xfId="19994" xr:uid="{00000000-0005-0000-0000-00001D4E0000}"/>
    <cellStyle name="Normal 2 11 4 2 9" xfId="19995" xr:uid="{00000000-0005-0000-0000-00001E4E0000}"/>
    <cellStyle name="Normal 2 11 4 3" xfId="19996" xr:uid="{00000000-0005-0000-0000-00001F4E0000}"/>
    <cellStyle name="Normal 2 11 4 3 2" xfId="19997" xr:uid="{00000000-0005-0000-0000-0000204E0000}"/>
    <cellStyle name="Normal 2 11 4 3 2 2" xfId="19998" xr:uid="{00000000-0005-0000-0000-0000214E0000}"/>
    <cellStyle name="Normal 2 11 4 3 2 2 2" xfId="19999" xr:uid="{00000000-0005-0000-0000-0000224E0000}"/>
    <cellStyle name="Normal 2 11 4 3 2 2 3" xfId="20000" xr:uid="{00000000-0005-0000-0000-0000234E0000}"/>
    <cellStyle name="Normal 2 11 4 3 2 3" xfId="20001" xr:uid="{00000000-0005-0000-0000-0000244E0000}"/>
    <cellStyle name="Normal 2 11 4 3 2 4" xfId="20002" xr:uid="{00000000-0005-0000-0000-0000254E0000}"/>
    <cellStyle name="Normal 2 11 4 3 2 5" xfId="20003" xr:uid="{00000000-0005-0000-0000-0000264E0000}"/>
    <cellStyle name="Normal 2 11 4 3 2 6" xfId="20004" xr:uid="{00000000-0005-0000-0000-0000274E0000}"/>
    <cellStyle name="Normal 2 11 4 3 3" xfId="20005" xr:uid="{00000000-0005-0000-0000-0000284E0000}"/>
    <cellStyle name="Normal 2 11 4 3 3 2" xfId="20006" xr:uid="{00000000-0005-0000-0000-0000294E0000}"/>
    <cellStyle name="Normal 2 11 4 3 3 2 2" xfId="20007" xr:uid="{00000000-0005-0000-0000-00002A4E0000}"/>
    <cellStyle name="Normal 2 11 4 3 3 3" xfId="20008" xr:uid="{00000000-0005-0000-0000-00002B4E0000}"/>
    <cellStyle name="Normal 2 11 4 3 3 4" xfId="20009" xr:uid="{00000000-0005-0000-0000-00002C4E0000}"/>
    <cellStyle name="Normal 2 11 4 3 3 5" xfId="20010" xr:uid="{00000000-0005-0000-0000-00002D4E0000}"/>
    <cellStyle name="Normal 2 11 4 3 4" xfId="20011" xr:uid="{00000000-0005-0000-0000-00002E4E0000}"/>
    <cellStyle name="Normal 2 11 4 3 4 2" xfId="20012" xr:uid="{00000000-0005-0000-0000-00002F4E0000}"/>
    <cellStyle name="Normal 2 11 4 3 4 3" xfId="20013" xr:uid="{00000000-0005-0000-0000-0000304E0000}"/>
    <cellStyle name="Normal 2 11 4 3 4 4" xfId="20014" xr:uid="{00000000-0005-0000-0000-0000314E0000}"/>
    <cellStyle name="Normal 2 11 4 3 5" xfId="20015" xr:uid="{00000000-0005-0000-0000-0000324E0000}"/>
    <cellStyle name="Normal 2 11 4 3 5 2" xfId="20016" xr:uid="{00000000-0005-0000-0000-0000334E0000}"/>
    <cellStyle name="Normal 2 11 4 3 6" xfId="20017" xr:uid="{00000000-0005-0000-0000-0000344E0000}"/>
    <cellStyle name="Normal 2 11 4 3 7" xfId="20018" xr:uid="{00000000-0005-0000-0000-0000354E0000}"/>
    <cellStyle name="Normal 2 11 4 3 8" xfId="20019" xr:uid="{00000000-0005-0000-0000-0000364E0000}"/>
    <cellStyle name="Normal 2 11 4 3 9" xfId="20020" xr:uid="{00000000-0005-0000-0000-0000374E0000}"/>
    <cellStyle name="Normal 2 11 4 4" xfId="20021" xr:uid="{00000000-0005-0000-0000-0000384E0000}"/>
    <cellStyle name="Normal 2 11 4 4 2" xfId="20022" xr:uid="{00000000-0005-0000-0000-0000394E0000}"/>
    <cellStyle name="Normal 2 11 4 4 2 2" xfId="20023" xr:uid="{00000000-0005-0000-0000-00003A4E0000}"/>
    <cellStyle name="Normal 2 11 4 4 2 3" xfId="20024" xr:uid="{00000000-0005-0000-0000-00003B4E0000}"/>
    <cellStyle name="Normal 2 11 4 4 3" xfId="20025" xr:uid="{00000000-0005-0000-0000-00003C4E0000}"/>
    <cellStyle name="Normal 2 11 4 4 4" xfId="20026" xr:uid="{00000000-0005-0000-0000-00003D4E0000}"/>
    <cellStyle name="Normal 2 11 4 4 5" xfId="20027" xr:uid="{00000000-0005-0000-0000-00003E4E0000}"/>
    <cellStyle name="Normal 2 11 4 4 6" xfId="20028" xr:uid="{00000000-0005-0000-0000-00003F4E0000}"/>
    <cellStyle name="Normal 2 11 4 5" xfId="20029" xr:uid="{00000000-0005-0000-0000-0000404E0000}"/>
    <cellStyle name="Normal 2 11 4 5 2" xfId="20030" xr:uid="{00000000-0005-0000-0000-0000414E0000}"/>
    <cellStyle name="Normal 2 11 4 5 2 2" xfId="20031" xr:uid="{00000000-0005-0000-0000-0000424E0000}"/>
    <cellStyle name="Normal 2 11 4 5 3" xfId="20032" xr:uid="{00000000-0005-0000-0000-0000434E0000}"/>
    <cellStyle name="Normal 2 11 4 5 4" xfId="20033" xr:uid="{00000000-0005-0000-0000-0000444E0000}"/>
    <cellStyle name="Normal 2 11 4 5 5" xfId="20034" xr:uid="{00000000-0005-0000-0000-0000454E0000}"/>
    <cellStyle name="Normal 2 11 4 6" xfId="20035" xr:uid="{00000000-0005-0000-0000-0000464E0000}"/>
    <cellStyle name="Normal 2 11 4 6 2" xfId="20036" xr:uid="{00000000-0005-0000-0000-0000474E0000}"/>
    <cellStyle name="Normal 2 11 4 6 3" xfId="20037" xr:uid="{00000000-0005-0000-0000-0000484E0000}"/>
    <cellStyle name="Normal 2 11 4 6 4" xfId="20038" xr:uid="{00000000-0005-0000-0000-0000494E0000}"/>
    <cellStyle name="Normal 2 11 4 7" xfId="20039" xr:uid="{00000000-0005-0000-0000-00004A4E0000}"/>
    <cellStyle name="Normal 2 11 4 7 2" xfId="20040" xr:uid="{00000000-0005-0000-0000-00004B4E0000}"/>
    <cellStyle name="Normal 2 11 4 8" xfId="20041" xr:uid="{00000000-0005-0000-0000-00004C4E0000}"/>
    <cellStyle name="Normal 2 11 4 9" xfId="20042" xr:uid="{00000000-0005-0000-0000-00004D4E0000}"/>
    <cellStyle name="Normal 2 11 5" xfId="20043" xr:uid="{00000000-0005-0000-0000-00004E4E0000}"/>
    <cellStyle name="Normal 2 11 5 10" xfId="20044" xr:uid="{00000000-0005-0000-0000-00004F4E0000}"/>
    <cellStyle name="Normal 2 11 5 11" xfId="20045" xr:uid="{00000000-0005-0000-0000-0000504E0000}"/>
    <cellStyle name="Normal 2 11 5 2" xfId="20046" xr:uid="{00000000-0005-0000-0000-0000514E0000}"/>
    <cellStyle name="Normal 2 11 5 2 2" xfId="20047" xr:uid="{00000000-0005-0000-0000-0000524E0000}"/>
    <cellStyle name="Normal 2 11 5 2 2 2" xfId="20048" xr:uid="{00000000-0005-0000-0000-0000534E0000}"/>
    <cellStyle name="Normal 2 11 5 2 2 2 2" xfId="20049" xr:uid="{00000000-0005-0000-0000-0000544E0000}"/>
    <cellStyle name="Normal 2 11 5 2 2 2 3" xfId="20050" xr:uid="{00000000-0005-0000-0000-0000554E0000}"/>
    <cellStyle name="Normal 2 11 5 2 2 3" xfId="20051" xr:uid="{00000000-0005-0000-0000-0000564E0000}"/>
    <cellStyle name="Normal 2 11 5 2 2 4" xfId="20052" xr:uid="{00000000-0005-0000-0000-0000574E0000}"/>
    <cellStyle name="Normal 2 11 5 2 2 5" xfId="20053" xr:uid="{00000000-0005-0000-0000-0000584E0000}"/>
    <cellStyle name="Normal 2 11 5 2 2 6" xfId="20054" xr:uid="{00000000-0005-0000-0000-0000594E0000}"/>
    <cellStyle name="Normal 2 11 5 2 3" xfId="20055" xr:uid="{00000000-0005-0000-0000-00005A4E0000}"/>
    <cellStyle name="Normal 2 11 5 2 3 2" xfId="20056" xr:uid="{00000000-0005-0000-0000-00005B4E0000}"/>
    <cellStyle name="Normal 2 11 5 2 3 2 2" xfId="20057" xr:uid="{00000000-0005-0000-0000-00005C4E0000}"/>
    <cellStyle name="Normal 2 11 5 2 3 3" xfId="20058" xr:uid="{00000000-0005-0000-0000-00005D4E0000}"/>
    <cellStyle name="Normal 2 11 5 2 3 4" xfId="20059" xr:uid="{00000000-0005-0000-0000-00005E4E0000}"/>
    <cellStyle name="Normal 2 11 5 2 3 5" xfId="20060" xr:uid="{00000000-0005-0000-0000-00005F4E0000}"/>
    <cellStyle name="Normal 2 11 5 2 4" xfId="20061" xr:uid="{00000000-0005-0000-0000-0000604E0000}"/>
    <cellStyle name="Normal 2 11 5 2 4 2" xfId="20062" xr:uid="{00000000-0005-0000-0000-0000614E0000}"/>
    <cellStyle name="Normal 2 11 5 2 4 3" xfId="20063" xr:uid="{00000000-0005-0000-0000-0000624E0000}"/>
    <cellStyle name="Normal 2 11 5 2 4 4" xfId="20064" xr:uid="{00000000-0005-0000-0000-0000634E0000}"/>
    <cellStyle name="Normal 2 11 5 2 5" xfId="20065" xr:uid="{00000000-0005-0000-0000-0000644E0000}"/>
    <cellStyle name="Normal 2 11 5 2 5 2" xfId="20066" xr:uid="{00000000-0005-0000-0000-0000654E0000}"/>
    <cellStyle name="Normal 2 11 5 2 6" xfId="20067" xr:uid="{00000000-0005-0000-0000-0000664E0000}"/>
    <cellStyle name="Normal 2 11 5 2 7" xfId="20068" xr:uid="{00000000-0005-0000-0000-0000674E0000}"/>
    <cellStyle name="Normal 2 11 5 2 8" xfId="20069" xr:uid="{00000000-0005-0000-0000-0000684E0000}"/>
    <cellStyle name="Normal 2 11 5 2 9" xfId="20070" xr:uid="{00000000-0005-0000-0000-0000694E0000}"/>
    <cellStyle name="Normal 2 11 5 3" xfId="20071" xr:uid="{00000000-0005-0000-0000-00006A4E0000}"/>
    <cellStyle name="Normal 2 11 5 3 2" xfId="20072" xr:uid="{00000000-0005-0000-0000-00006B4E0000}"/>
    <cellStyle name="Normal 2 11 5 3 2 2" xfId="20073" xr:uid="{00000000-0005-0000-0000-00006C4E0000}"/>
    <cellStyle name="Normal 2 11 5 3 2 2 2" xfId="20074" xr:uid="{00000000-0005-0000-0000-00006D4E0000}"/>
    <cellStyle name="Normal 2 11 5 3 2 2 3" xfId="20075" xr:uid="{00000000-0005-0000-0000-00006E4E0000}"/>
    <cellStyle name="Normal 2 11 5 3 2 3" xfId="20076" xr:uid="{00000000-0005-0000-0000-00006F4E0000}"/>
    <cellStyle name="Normal 2 11 5 3 2 4" xfId="20077" xr:uid="{00000000-0005-0000-0000-0000704E0000}"/>
    <cellStyle name="Normal 2 11 5 3 2 5" xfId="20078" xr:uid="{00000000-0005-0000-0000-0000714E0000}"/>
    <cellStyle name="Normal 2 11 5 3 2 6" xfId="20079" xr:uid="{00000000-0005-0000-0000-0000724E0000}"/>
    <cellStyle name="Normal 2 11 5 3 3" xfId="20080" xr:uid="{00000000-0005-0000-0000-0000734E0000}"/>
    <cellStyle name="Normal 2 11 5 3 3 2" xfId="20081" xr:uid="{00000000-0005-0000-0000-0000744E0000}"/>
    <cellStyle name="Normal 2 11 5 3 3 2 2" xfId="20082" xr:uid="{00000000-0005-0000-0000-0000754E0000}"/>
    <cellStyle name="Normal 2 11 5 3 3 3" xfId="20083" xr:uid="{00000000-0005-0000-0000-0000764E0000}"/>
    <cellStyle name="Normal 2 11 5 3 3 4" xfId="20084" xr:uid="{00000000-0005-0000-0000-0000774E0000}"/>
    <cellStyle name="Normal 2 11 5 3 3 5" xfId="20085" xr:uid="{00000000-0005-0000-0000-0000784E0000}"/>
    <cellStyle name="Normal 2 11 5 3 4" xfId="20086" xr:uid="{00000000-0005-0000-0000-0000794E0000}"/>
    <cellStyle name="Normal 2 11 5 3 4 2" xfId="20087" xr:uid="{00000000-0005-0000-0000-00007A4E0000}"/>
    <cellStyle name="Normal 2 11 5 3 4 3" xfId="20088" xr:uid="{00000000-0005-0000-0000-00007B4E0000}"/>
    <cellStyle name="Normal 2 11 5 3 4 4" xfId="20089" xr:uid="{00000000-0005-0000-0000-00007C4E0000}"/>
    <cellStyle name="Normal 2 11 5 3 5" xfId="20090" xr:uid="{00000000-0005-0000-0000-00007D4E0000}"/>
    <cellStyle name="Normal 2 11 5 3 5 2" xfId="20091" xr:uid="{00000000-0005-0000-0000-00007E4E0000}"/>
    <cellStyle name="Normal 2 11 5 3 6" xfId="20092" xr:uid="{00000000-0005-0000-0000-00007F4E0000}"/>
    <cellStyle name="Normal 2 11 5 3 7" xfId="20093" xr:uid="{00000000-0005-0000-0000-0000804E0000}"/>
    <cellStyle name="Normal 2 11 5 3 8" xfId="20094" xr:uid="{00000000-0005-0000-0000-0000814E0000}"/>
    <cellStyle name="Normal 2 11 5 3 9" xfId="20095" xr:uid="{00000000-0005-0000-0000-0000824E0000}"/>
    <cellStyle name="Normal 2 11 5 4" xfId="20096" xr:uid="{00000000-0005-0000-0000-0000834E0000}"/>
    <cellStyle name="Normal 2 11 5 4 2" xfId="20097" xr:uid="{00000000-0005-0000-0000-0000844E0000}"/>
    <cellStyle name="Normal 2 11 5 4 2 2" xfId="20098" xr:uid="{00000000-0005-0000-0000-0000854E0000}"/>
    <cellStyle name="Normal 2 11 5 4 2 3" xfId="20099" xr:uid="{00000000-0005-0000-0000-0000864E0000}"/>
    <cellStyle name="Normal 2 11 5 4 3" xfId="20100" xr:uid="{00000000-0005-0000-0000-0000874E0000}"/>
    <cellStyle name="Normal 2 11 5 4 4" xfId="20101" xr:uid="{00000000-0005-0000-0000-0000884E0000}"/>
    <cellStyle name="Normal 2 11 5 4 5" xfId="20102" xr:uid="{00000000-0005-0000-0000-0000894E0000}"/>
    <cellStyle name="Normal 2 11 5 4 6" xfId="20103" xr:uid="{00000000-0005-0000-0000-00008A4E0000}"/>
    <cellStyle name="Normal 2 11 5 5" xfId="20104" xr:uid="{00000000-0005-0000-0000-00008B4E0000}"/>
    <cellStyle name="Normal 2 11 5 5 2" xfId="20105" xr:uid="{00000000-0005-0000-0000-00008C4E0000}"/>
    <cellStyle name="Normal 2 11 5 5 2 2" xfId="20106" xr:uid="{00000000-0005-0000-0000-00008D4E0000}"/>
    <cellStyle name="Normal 2 11 5 5 3" xfId="20107" xr:uid="{00000000-0005-0000-0000-00008E4E0000}"/>
    <cellStyle name="Normal 2 11 5 5 4" xfId="20108" xr:uid="{00000000-0005-0000-0000-00008F4E0000}"/>
    <cellStyle name="Normal 2 11 5 5 5" xfId="20109" xr:uid="{00000000-0005-0000-0000-0000904E0000}"/>
    <cellStyle name="Normal 2 11 5 6" xfId="20110" xr:uid="{00000000-0005-0000-0000-0000914E0000}"/>
    <cellStyle name="Normal 2 11 5 6 2" xfId="20111" xr:uid="{00000000-0005-0000-0000-0000924E0000}"/>
    <cellStyle name="Normal 2 11 5 6 3" xfId="20112" xr:uid="{00000000-0005-0000-0000-0000934E0000}"/>
    <cellStyle name="Normal 2 11 5 6 4" xfId="20113" xr:uid="{00000000-0005-0000-0000-0000944E0000}"/>
    <cellStyle name="Normal 2 11 5 7" xfId="20114" xr:uid="{00000000-0005-0000-0000-0000954E0000}"/>
    <cellStyle name="Normal 2 11 5 7 2" xfId="20115" xr:uid="{00000000-0005-0000-0000-0000964E0000}"/>
    <cellStyle name="Normal 2 11 5 8" xfId="20116" xr:uid="{00000000-0005-0000-0000-0000974E0000}"/>
    <cellStyle name="Normal 2 11 5 9" xfId="20117" xr:uid="{00000000-0005-0000-0000-0000984E0000}"/>
    <cellStyle name="Normal 2 11 6" xfId="20118" xr:uid="{00000000-0005-0000-0000-0000994E0000}"/>
    <cellStyle name="Normal 2 11 6 10" xfId="20119" xr:uid="{00000000-0005-0000-0000-00009A4E0000}"/>
    <cellStyle name="Normal 2 11 6 11" xfId="20120" xr:uid="{00000000-0005-0000-0000-00009B4E0000}"/>
    <cellStyle name="Normal 2 11 6 2" xfId="20121" xr:uid="{00000000-0005-0000-0000-00009C4E0000}"/>
    <cellStyle name="Normal 2 11 6 2 2" xfId="20122" xr:uid="{00000000-0005-0000-0000-00009D4E0000}"/>
    <cellStyle name="Normal 2 11 6 2 2 2" xfId="20123" xr:uid="{00000000-0005-0000-0000-00009E4E0000}"/>
    <cellStyle name="Normal 2 11 6 2 2 2 2" xfId="20124" xr:uid="{00000000-0005-0000-0000-00009F4E0000}"/>
    <cellStyle name="Normal 2 11 6 2 2 2 3" xfId="20125" xr:uid="{00000000-0005-0000-0000-0000A04E0000}"/>
    <cellStyle name="Normal 2 11 6 2 2 3" xfId="20126" xr:uid="{00000000-0005-0000-0000-0000A14E0000}"/>
    <cellStyle name="Normal 2 11 6 2 2 4" xfId="20127" xr:uid="{00000000-0005-0000-0000-0000A24E0000}"/>
    <cellStyle name="Normal 2 11 6 2 2 5" xfId="20128" xr:uid="{00000000-0005-0000-0000-0000A34E0000}"/>
    <cellStyle name="Normal 2 11 6 2 2 6" xfId="20129" xr:uid="{00000000-0005-0000-0000-0000A44E0000}"/>
    <cellStyle name="Normal 2 11 6 2 3" xfId="20130" xr:uid="{00000000-0005-0000-0000-0000A54E0000}"/>
    <cellStyle name="Normal 2 11 6 2 3 2" xfId="20131" xr:uid="{00000000-0005-0000-0000-0000A64E0000}"/>
    <cellStyle name="Normal 2 11 6 2 3 2 2" xfId="20132" xr:uid="{00000000-0005-0000-0000-0000A74E0000}"/>
    <cellStyle name="Normal 2 11 6 2 3 3" xfId="20133" xr:uid="{00000000-0005-0000-0000-0000A84E0000}"/>
    <cellStyle name="Normal 2 11 6 2 3 4" xfId="20134" xr:uid="{00000000-0005-0000-0000-0000A94E0000}"/>
    <cellStyle name="Normal 2 11 6 2 3 5" xfId="20135" xr:uid="{00000000-0005-0000-0000-0000AA4E0000}"/>
    <cellStyle name="Normal 2 11 6 2 4" xfId="20136" xr:uid="{00000000-0005-0000-0000-0000AB4E0000}"/>
    <cellStyle name="Normal 2 11 6 2 4 2" xfId="20137" xr:uid="{00000000-0005-0000-0000-0000AC4E0000}"/>
    <cellStyle name="Normal 2 11 6 2 4 3" xfId="20138" xr:uid="{00000000-0005-0000-0000-0000AD4E0000}"/>
    <cellStyle name="Normal 2 11 6 2 4 4" xfId="20139" xr:uid="{00000000-0005-0000-0000-0000AE4E0000}"/>
    <cellStyle name="Normal 2 11 6 2 5" xfId="20140" xr:uid="{00000000-0005-0000-0000-0000AF4E0000}"/>
    <cellStyle name="Normal 2 11 6 2 5 2" xfId="20141" xr:uid="{00000000-0005-0000-0000-0000B04E0000}"/>
    <cellStyle name="Normal 2 11 6 2 6" xfId="20142" xr:uid="{00000000-0005-0000-0000-0000B14E0000}"/>
    <cellStyle name="Normal 2 11 6 2 7" xfId="20143" xr:uid="{00000000-0005-0000-0000-0000B24E0000}"/>
    <cellStyle name="Normal 2 11 6 2 8" xfId="20144" xr:uid="{00000000-0005-0000-0000-0000B34E0000}"/>
    <cellStyle name="Normal 2 11 6 2 9" xfId="20145" xr:uid="{00000000-0005-0000-0000-0000B44E0000}"/>
    <cellStyle name="Normal 2 11 6 3" xfId="20146" xr:uid="{00000000-0005-0000-0000-0000B54E0000}"/>
    <cellStyle name="Normal 2 11 6 3 2" xfId="20147" xr:uid="{00000000-0005-0000-0000-0000B64E0000}"/>
    <cellStyle name="Normal 2 11 6 3 2 2" xfId="20148" xr:uid="{00000000-0005-0000-0000-0000B74E0000}"/>
    <cellStyle name="Normal 2 11 6 3 2 2 2" xfId="20149" xr:uid="{00000000-0005-0000-0000-0000B84E0000}"/>
    <cellStyle name="Normal 2 11 6 3 2 2 3" xfId="20150" xr:uid="{00000000-0005-0000-0000-0000B94E0000}"/>
    <cellStyle name="Normal 2 11 6 3 2 3" xfId="20151" xr:uid="{00000000-0005-0000-0000-0000BA4E0000}"/>
    <cellStyle name="Normal 2 11 6 3 2 4" xfId="20152" xr:uid="{00000000-0005-0000-0000-0000BB4E0000}"/>
    <cellStyle name="Normal 2 11 6 3 2 5" xfId="20153" xr:uid="{00000000-0005-0000-0000-0000BC4E0000}"/>
    <cellStyle name="Normal 2 11 6 3 2 6" xfId="20154" xr:uid="{00000000-0005-0000-0000-0000BD4E0000}"/>
    <cellStyle name="Normal 2 11 6 3 3" xfId="20155" xr:uid="{00000000-0005-0000-0000-0000BE4E0000}"/>
    <cellStyle name="Normal 2 11 6 3 3 2" xfId="20156" xr:uid="{00000000-0005-0000-0000-0000BF4E0000}"/>
    <cellStyle name="Normal 2 11 6 3 3 2 2" xfId="20157" xr:uid="{00000000-0005-0000-0000-0000C04E0000}"/>
    <cellStyle name="Normal 2 11 6 3 3 3" xfId="20158" xr:uid="{00000000-0005-0000-0000-0000C14E0000}"/>
    <cellStyle name="Normal 2 11 6 3 3 4" xfId="20159" xr:uid="{00000000-0005-0000-0000-0000C24E0000}"/>
    <cellStyle name="Normal 2 11 6 3 3 5" xfId="20160" xr:uid="{00000000-0005-0000-0000-0000C34E0000}"/>
    <cellStyle name="Normal 2 11 6 3 4" xfId="20161" xr:uid="{00000000-0005-0000-0000-0000C44E0000}"/>
    <cellStyle name="Normal 2 11 6 3 4 2" xfId="20162" xr:uid="{00000000-0005-0000-0000-0000C54E0000}"/>
    <cellStyle name="Normal 2 11 6 3 4 3" xfId="20163" xr:uid="{00000000-0005-0000-0000-0000C64E0000}"/>
    <cellStyle name="Normal 2 11 6 3 4 4" xfId="20164" xr:uid="{00000000-0005-0000-0000-0000C74E0000}"/>
    <cellStyle name="Normal 2 11 6 3 5" xfId="20165" xr:uid="{00000000-0005-0000-0000-0000C84E0000}"/>
    <cellStyle name="Normal 2 11 6 3 5 2" xfId="20166" xr:uid="{00000000-0005-0000-0000-0000C94E0000}"/>
    <cellStyle name="Normal 2 11 6 3 6" xfId="20167" xr:uid="{00000000-0005-0000-0000-0000CA4E0000}"/>
    <cellStyle name="Normal 2 11 6 3 7" xfId="20168" xr:uid="{00000000-0005-0000-0000-0000CB4E0000}"/>
    <cellStyle name="Normal 2 11 6 3 8" xfId="20169" xr:uid="{00000000-0005-0000-0000-0000CC4E0000}"/>
    <cellStyle name="Normal 2 11 6 3 9" xfId="20170" xr:uid="{00000000-0005-0000-0000-0000CD4E0000}"/>
    <cellStyle name="Normal 2 11 6 4" xfId="20171" xr:uid="{00000000-0005-0000-0000-0000CE4E0000}"/>
    <cellStyle name="Normal 2 11 6 4 2" xfId="20172" xr:uid="{00000000-0005-0000-0000-0000CF4E0000}"/>
    <cellStyle name="Normal 2 11 6 4 2 2" xfId="20173" xr:uid="{00000000-0005-0000-0000-0000D04E0000}"/>
    <cellStyle name="Normal 2 11 6 4 2 3" xfId="20174" xr:uid="{00000000-0005-0000-0000-0000D14E0000}"/>
    <cellStyle name="Normal 2 11 6 4 3" xfId="20175" xr:uid="{00000000-0005-0000-0000-0000D24E0000}"/>
    <cellStyle name="Normal 2 11 6 4 4" xfId="20176" xr:uid="{00000000-0005-0000-0000-0000D34E0000}"/>
    <cellStyle name="Normal 2 11 6 4 5" xfId="20177" xr:uid="{00000000-0005-0000-0000-0000D44E0000}"/>
    <cellStyle name="Normal 2 11 6 4 6" xfId="20178" xr:uid="{00000000-0005-0000-0000-0000D54E0000}"/>
    <cellStyle name="Normal 2 11 6 5" xfId="20179" xr:uid="{00000000-0005-0000-0000-0000D64E0000}"/>
    <cellStyle name="Normal 2 11 6 5 2" xfId="20180" xr:uid="{00000000-0005-0000-0000-0000D74E0000}"/>
    <cellStyle name="Normal 2 11 6 5 2 2" xfId="20181" xr:uid="{00000000-0005-0000-0000-0000D84E0000}"/>
    <cellStyle name="Normal 2 11 6 5 3" xfId="20182" xr:uid="{00000000-0005-0000-0000-0000D94E0000}"/>
    <cellStyle name="Normal 2 11 6 5 4" xfId="20183" xr:uid="{00000000-0005-0000-0000-0000DA4E0000}"/>
    <cellStyle name="Normal 2 11 6 5 5" xfId="20184" xr:uid="{00000000-0005-0000-0000-0000DB4E0000}"/>
    <cellStyle name="Normal 2 11 6 6" xfId="20185" xr:uid="{00000000-0005-0000-0000-0000DC4E0000}"/>
    <cellStyle name="Normal 2 11 6 6 2" xfId="20186" xr:uid="{00000000-0005-0000-0000-0000DD4E0000}"/>
    <cellStyle name="Normal 2 11 6 6 3" xfId="20187" xr:uid="{00000000-0005-0000-0000-0000DE4E0000}"/>
    <cellStyle name="Normal 2 11 6 6 4" xfId="20188" xr:uid="{00000000-0005-0000-0000-0000DF4E0000}"/>
    <cellStyle name="Normal 2 11 6 7" xfId="20189" xr:uid="{00000000-0005-0000-0000-0000E04E0000}"/>
    <cellStyle name="Normal 2 11 6 7 2" xfId="20190" xr:uid="{00000000-0005-0000-0000-0000E14E0000}"/>
    <cellStyle name="Normal 2 11 6 8" xfId="20191" xr:uid="{00000000-0005-0000-0000-0000E24E0000}"/>
    <cellStyle name="Normal 2 11 6 9" xfId="20192" xr:uid="{00000000-0005-0000-0000-0000E34E0000}"/>
    <cellStyle name="Normal 2 11 7" xfId="20193" xr:uid="{00000000-0005-0000-0000-0000E44E0000}"/>
    <cellStyle name="Normal 2 11 7 10" xfId="20194" xr:uid="{00000000-0005-0000-0000-0000E54E0000}"/>
    <cellStyle name="Normal 2 11 7 11" xfId="20195" xr:uid="{00000000-0005-0000-0000-0000E64E0000}"/>
    <cellStyle name="Normal 2 11 7 2" xfId="20196" xr:uid="{00000000-0005-0000-0000-0000E74E0000}"/>
    <cellStyle name="Normal 2 11 7 2 2" xfId="20197" xr:uid="{00000000-0005-0000-0000-0000E84E0000}"/>
    <cellStyle name="Normal 2 11 7 2 2 2" xfId="20198" xr:uid="{00000000-0005-0000-0000-0000E94E0000}"/>
    <cellStyle name="Normal 2 11 7 2 2 2 2" xfId="20199" xr:uid="{00000000-0005-0000-0000-0000EA4E0000}"/>
    <cellStyle name="Normal 2 11 7 2 2 2 3" xfId="20200" xr:uid="{00000000-0005-0000-0000-0000EB4E0000}"/>
    <cellStyle name="Normal 2 11 7 2 2 3" xfId="20201" xr:uid="{00000000-0005-0000-0000-0000EC4E0000}"/>
    <cellStyle name="Normal 2 11 7 2 2 4" xfId="20202" xr:uid="{00000000-0005-0000-0000-0000ED4E0000}"/>
    <cellStyle name="Normal 2 11 7 2 2 5" xfId="20203" xr:uid="{00000000-0005-0000-0000-0000EE4E0000}"/>
    <cellStyle name="Normal 2 11 7 2 2 6" xfId="20204" xr:uid="{00000000-0005-0000-0000-0000EF4E0000}"/>
    <cellStyle name="Normal 2 11 7 2 3" xfId="20205" xr:uid="{00000000-0005-0000-0000-0000F04E0000}"/>
    <cellStyle name="Normal 2 11 7 2 3 2" xfId="20206" xr:uid="{00000000-0005-0000-0000-0000F14E0000}"/>
    <cellStyle name="Normal 2 11 7 2 3 2 2" xfId="20207" xr:uid="{00000000-0005-0000-0000-0000F24E0000}"/>
    <cellStyle name="Normal 2 11 7 2 3 3" xfId="20208" xr:uid="{00000000-0005-0000-0000-0000F34E0000}"/>
    <cellStyle name="Normal 2 11 7 2 3 4" xfId="20209" xr:uid="{00000000-0005-0000-0000-0000F44E0000}"/>
    <cellStyle name="Normal 2 11 7 2 3 5" xfId="20210" xr:uid="{00000000-0005-0000-0000-0000F54E0000}"/>
    <cellStyle name="Normal 2 11 7 2 4" xfId="20211" xr:uid="{00000000-0005-0000-0000-0000F64E0000}"/>
    <cellStyle name="Normal 2 11 7 2 4 2" xfId="20212" xr:uid="{00000000-0005-0000-0000-0000F74E0000}"/>
    <cellStyle name="Normal 2 11 7 2 4 3" xfId="20213" xr:uid="{00000000-0005-0000-0000-0000F84E0000}"/>
    <cellStyle name="Normal 2 11 7 2 4 4" xfId="20214" xr:uid="{00000000-0005-0000-0000-0000F94E0000}"/>
    <cellStyle name="Normal 2 11 7 2 5" xfId="20215" xr:uid="{00000000-0005-0000-0000-0000FA4E0000}"/>
    <cellStyle name="Normal 2 11 7 2 5 2" xfId="20216" xr:uid="{00000000-0005-0000-0000-0000FB4E0000}"/>
    <cellStyle name="Normal 2 11 7 2 6" xfId="20217" xr:uid="{00000000-0005-0000-0000-0000FC4E0000}"/>
    <cellStyle name="Normal 2 11 7 2 7" xfId="20218" xr:uid="{00000000-0005-0000-0000-0000FD4E0000}"/>
    <cellStyle name="Normal 2 11 7 2 8" xfId="20219" xr:uid="{00000000-0005-0000-0000-0000FE4E0000}"/>
    <cellStyle name="Normal 2 11 7 2 9" xfId="20220" xr:uid="{00000000-0005-0000-0000-0000FF4E0000}"/>
    <cellStyle name="Normal 2 11 7 3" xfId="20221" xr:uid="{00000000-0005-0000-0000-0000004F0000}"/>
    <cellStyle name="Normal 2 11 7 3 2" xfId="20222" xr:uid="{00000000-0005-0000-0000-0000014F0000}"/>
    <cellStyle name="Normal 2 11 7 3 2 2" xfId="20223" xr:uid="{00000000-0005-0000-0000-0000024F0000}"/>
    <cellStyle name="Normal 2 11 7 3 2 2 2" xfId="20224" xr:uid="{00000000-0005-0000-0000-0000034F0000}"/>
    <cellStyle name="Normal 2 11 7 3 2 2 3" xfId="20225" xr:uid="{00000000-0005-0000-0000-0000044F0000}"/>
    <cellStyle name="Normal 2 11 7 3 2 3" xfId="20226" xr:uid="{00000000-0005-0000-0000-0000054F0000}"/>
    <cellStyle name="Normal 2 11 7 3 2 4" xfId="20227" xr:uid="{00000000-0005-0000-0000-0000064F0000}"/>
    <cellStyle name="Normal 2 11 7 3 2 5" xfId="20228" xr:uid="{00000000-0005-0000-0000-0000074F0000}"/>
    <cellStyle name="Normal 2 11 7 3 2 6" xfId="20229" xr:uid="{00000000-0005-0000-0000-0000084F0000}"/>
    <cellStyle name="Normal 2 11 7 3 3" xfId="20230" xr:uid="{00000000-0005-0000-0000-0000094F0000}"/>
    <cellStyle name="Normal 2 11 7 3 3 2" xfId="20231" xr:uid="{00000000-0005-0000-0000-00000A4F0000}"/>
    <cellStyle name="Normal 2 11 7 3 3 2 2" xfId="20232" xr:uid="{00000000-0005-0000-0000-00000B4F0000}"/>
    <cellStyle name="Normal 2 11 7 3 3 3" xfId="20233" xr:uid="{00000000-0005-0000-0000-00000C4F0000}"/>
    <cellStyle name="Normal 2 11 7 3 3 4" xfId="20234" xr:uid="{00000000-0005-0000-0000-00000D4F0000}"/>
    <cellStyle name="Normal 2 11 7 3 3 5" xfId="20235" xr:uid="{00000000-0005-0000-0000-00000E4F0000}"/>
    <cellStyle name="Normal 2 11 7 3 4" xfId="20236" xr:uid="{00000000-0005-0000-0000-00000F4F0000}"/>
    <cellStyle name="Normal 2 11 7 3 4 2" xfId="20237" xr:uid="{00000000-0005-0000-0000-0000104F0000}"/>
    <cellStyle name="Normal 2 11 7 3 4 3" xfId="20238" xr:uid="{00000000-0005-0000-0000-0000114F0000}"/>
    <cellStyle name="Normal 2 11 7 3 4 4" xfId="20239" xr:uid="{00000000-0005-0000-0000-0000124F0000}"/>
    <cellStyle name="Normal 2 11 7 3 5" xfId="20240" xr:uid="{00000000-0005-0000-0000-0000134F0000}"/>
    <cellStyle name="Normal 2 11 7 3 5 2" xfId="20241" xr:uid="{00000000-0005-0000-0000-0000144F0000}"/>
    <cellStyle name="Normal 2 11 7 3 6" xfId="20242" xr:uid="{00000000-0005-0000-0000-0000154F0000}"/>
    <cellStyle name="Normal 2 11 7 3 7" xfId="20243" xr:uid="{00000000-0005-0000-0000-0000164F0000}"/>
    <cellStyle name="Normal 2 11 7 3 8" xfId="20244" xr:uid="{00000000-0005-0000-0000-0000174F0000}"/>
    <cellStyle name="Normal 2 11 7 3 9" xfId="20245" xr:uid="{00000000-0005-0000-0000-0000184F0000}"/>
    <cellStyle name="Normal 2 11 7 4" xfId="20246" xr:uid="{00000000-0005-0000-0000-0000194F0000}"/>
    <cellStyle name="Normal 2 11 7 4 2" xfId="20247" xr:uid="{00000000-0005-0000-0000-00001A4F0000}"/>
    <cellStyle name="Normal 2 11 7 4 2 2" xfId="20248" xr:uid="{00000000-0005-0000-0000-00001B4F0000}"/>
    <cellStyle name="Normal 2 11 7 4 2 3" xfId="20249" xr:uid="{00000000-0005-0000-0000-00001C4F0000}"/>
    <cellStyle name="Normal 2 11 7 4 3" xfId="20250" xr:uid="{00000000-0005-0000-0000-00001D4F0000}"/>
    <cellStyle name="Normal 2 11 7 4 4" xfId="20251" xr:uid="{00000000-0005-0000-0000-00001E4F0000}"/>
    <cellStyle name="Normal 2 11 7 4 5" xfId="20252" xr:uid="{00000000-0005-0000-0000-00001F4F0000}"/>
    <cellStyle name="Normal 2 11 7 4 6" xfId="20253" xr:uid="{00000000-0005-0000-0000-0000204F0000}"/>
    <cellStyle name="Normal 2 11 7 5" xfId="20254" xr:uid="{00000000-0005-0000-0000-0000214F0000}"/>
    <cellStyle name="Normal 2 11 7 5 2" xfId="20255" xr:uid="{00000000-0005-0000-0000-0000224F0000}"/>
    <cellStyle name="Normal 2 11 7 5 2 2" xfId="20256" xr:uid="{00000000-0005-0000-0000-0000234F0000}"/>
    <cellStyle name="Normal 2 11 7 5 3" xfId="20257" xr:uid="{00000000-0005-0000-0000-0000244F0000}"/>
    <cellStyle name="Normal 2 11 7 5 4" xfId="20258" xr:uid="{00000000-0005-0000-0000-0000254F0000}"/>
    <cellStyle name="Normal 2 11 7 5 5" xfId="20259" xr:uid="{00000000-0005-0000-0000-0000264F0000}"/>
    <cellStyle name="Normal 2 11 7 6" xfId="20260" xr:uid="{00000000-0005-0000-0000-0000274F0000}"/>
    <cellStyle name="Normal 2 11 7 6 2" xfId="20261" xr:uid="{00000000-0005-0000-0000-0000284F0000}"/>
    <cellStyle name="Normal 2 11 7 6 3" xfId="20262" xr:uid="{00000000-0005-0000-0000-0000294F0000}"/>
    <cellStyle name="Normal 2 11 7 6 4" xfId="20263" xr:uid="{00000000-0005-0000-0000-00002A4F0000}"/>
    <cellStyle name="Normal 2 11 7 7" xfId="20264" xr:uid="{00000000-0005-0000-0000-00002B4F0000}"/>
    <cellStyle name="Normal 2 11 7 7 2" xfId="20265" xr:uid="{00000000-0005-0000-0000-00002C4F0000}"/>
    <cellStyle name="Normal 2 11 7 8" xfId="20266" xr:uid="{00000000-0005-0000-0000-00002D4F0000}"/>
    <cellStyle name="Normal 2 11 7 9" xfId="20267" xr:uid="{00000000-0005-0000-0000-00002E4F0000}"/>
    <cellStyle name="Normal 2 11 8" xfId="20268" xr:uid="{00000000-0005-0000-0000-00002F4F0000}"/>
    <cellStyle name="Normal 2 11 8 10" xfId="20269" xr:uid="{00000000-0005-0000-0000-0000304F0000}"/>
    <cellStyle name="Normal 2 11 8 2" xfId="20270" xr:uid="{00000000-0005-0000-0000-0000314F0000}"/>
    <cellStyle name="Normal 2 11 8 2 2" xfId="20271" xr:uid="{00000000-0005-0000-0000-0000324F0000}"/>
    <cellStyle name="Normal 2 11 8 2 2 2" xfId="20272" xr:uid="{00000000-0005-0000-0000-0000334F0000}"/>
    <cellStyle name="Normal 2 11 8 2 2 3" xfId="20273" xr:uid="{00000000-0005-0000-0000-0000344F0000}"/>
    <cellStyle name="Normal 2 11 8 2 3" xfId="20274" xr:uid="{00000000-0005-0000-0000-0000354F0000}"/>
    <cellStyle name="Normal 2 11 8 2 4" xfId="20275" xr:uid="{00000000-0005-0000-0000-0000364F0000}"/>
    <cellStyle name="Normal 2 11 8 2 5" xfId="20276" xr:uid="{00000000-0005-0000-0000-0000374F0000}"/>
    <cellStyle name="Normal 2 11 8 2 6" xfId="20277" xr:uid="{00000000-0005-0000-0000-0000384F0000}"/>
    <cellStyle name="Normal 2 11 8 3" xfId="20278" xr:uid="{00000000-0005-0000-0000-0000394F0000}"/>
    <cellStyle name="Normal 2 11 8 3 2" xfId="20279" xr:uid="{00000000-0005-0000-0000-00003A4F0000}"/>
    <cellStyle name="Normal 2 11 8 3 2 2" xfId="20280" xr:uid="{00000000-0005-0000-0000-00003B4F0000}"/>
    <cellStyle name="Normal 2 11 8 3 2 3" xfId="20281" xr:uid="{00000000-0005-0000-0000-00003C4F0000}"/>
    <cellStyle name="Normal 2 11 8 3 3" xfId="20282" xr:uid="{00000000-0005-0000-0000-00003D4F0000}"/>
    <cellStyle name="Normal 2 11 8 3 4" xfId="20283" xr:uid="{00000000-0005-0000-0000-00003E4F0000}"/>
    <cellStyle name="Normal 2 11 8 3 5" xfId="20284" xr:uid="{00000000-0005-0000-0000-00003F4F0000}"/>
    <cellStyle name="Normal 2 11 8 3 6" xfId="20285" xr:uid="{00000000-0005-0000-0000-0000404F0000}"/>
    <cellStyle name="Normal 2 11 8 4" xfId="20286" xr:uid="{00000000-0005-0000-0000-0000414F0000}"/>
    <cellStyle name="Normal 2 11 8 4 2" xfId="20287" xr:uid="{00000000-0005-0000-0000-0000424F0000}"/>
    <cellStyle name="Normal 2 11 8 4 2 2" xfId="20288" xr:uid="{00000000-0005-0000-0000-0000434F0000}"/>
    <cellStyle name="Normal 2 11 8 4 3" xfId="20289" xr:uid="{00000000-0005-0000-0000-0000444F0000}"/>
    <cellStyle name="Normal 2 11 8 4 4" xfId="20290" xr:uid="{00000000-0005-0000-0000-0000454F0000}"/>
    <cellStyle name="Normal 2 11 8 4 5" xfId="20291" xr:uid="{00000000-0005-0000-0000-0000464F0000}"/>
    <cellStyle name="Normal 2 11 8 5" xfId="20292" xr:uid="{00000000-0005-0000-0000-0000474F0000}"/>
    <cellStyle name="Normal 2 11 8 5 2" xfId="20293" xr:uid="{00000000-0005-0000-0000-0000484F0000}"/>
    <cellStyle name="Normal 2 11 8 5 3" xfId="20294" xr:uid="{00000000-0005-0000-0000-0000494F0000}"/>
    <cellStyle name="Normal 2 11 8 5 4" xfId="20295" xr:uid="{00000000-0005-0000-0000-00004A4F0000}"/>
    <cellStyle name="Normal 2 11 8 6" xfId="20296" xr:uid="{00000000-0005-0000-0000-00004B4F0000}"/>
    <cellStyle name="Normal 2 11 8 6 2" xfId="20297" xr:uid="{00000000-0005-0000-0000-00004C4F0000}"/>
    <cellStyle name="Normal 2 11 8 7" xfId="20298" xr:uid="{00000000-0005-0000-0000-00004D4F0000}"/>
    <cellStyle name="Normal 2 11 8 8" xfId="20299" xr:uid="{00000000-0005-0000-0000-00004E4F0000}"/>
    <cellStyle name="Normal 2 11 8 9" xfId="20300" xr:uid="{00000000-0005-0000-0000-00004F4F0000}"/>
    <cellStyle name="Normal 2 11 9" xfId="20301" xr:uid="{00000000-0005-0000-0000-0000504F0000}"/>
    <cellStyle name="Normal 2 11 9 10" xfId="20302" xr:uid="{00000000-0005-0000-0000-0000514F0000}"/>
    <cellStyle name="Normal 2 11 9 2" xfId="20303" xr:uid="{00000000-0005-0000-0000-0000524F0000}"/>
    <cellStyle name="Normal 2 11 9 2 2" xfId="20304" xr:uid="{00000000-0005-0000-0000-0000534F0000}"/>
    <cellStyle name="Normal 2 11 9 2 2 2" xfId="20305" xr:uid="{00000000-0005-0000-0000-0000544F0000}"/>
    <cellStyle name="Normal 2 11 9 2 2 3" xfId="20306" xr:uid="{00000000-0005-0000-0000-0000554F0000}"/>
    <cellStyle name="Normal 2 11 9 2 3" xfId="20307" xr:uid="{00000000-0005-0000-0000-0000564F0000}"/>
    <cellStyle name="Normal 2 11 9 2 4" xfId="20308" xr:uid="{00000000-0005-0000-0000-0000574F0000}"/>
    <cellStyle name="Normal 2 11 9 2 5" xfId="20309" xr:uid="{00000000-0005-0000-0000-0000584F0000}"/>
    <cellStyle name="Normal 2 11 9 2 6" xfId="20310" xr:uid="{00000000-0005-0000-0000-0000594F0000}"/>
    <cellStyle name="Normal 2 11 9 3" xfId="20311" xr:uid="{00000000-0005-0000-0000-00005A4F0000}"/>
    <cellStyle name="Normal 2 11 9 3 2" xfId="20312" xr:uid="{00000000-0005-0000-0000-00005B4F0000}"/>
    <cellStyle name="Normal 2 11 9 3 2 2" xfId="20313" xr:uid="{00000000-0005-0000-0000-00005C4F0000}"/>
    <cellStyle name="Normal 2 11 9 3 2 3" xfId="20314" xr:uid="{00000000-0005-0000-0000-00005D4F0000}"/>
    <cellStyle name="Normal 2 11 9 3 3" xfId="20315" xr:uid="{00000000-0005-0000-0000-00005E4F0000}"/>
    <cellStyle name="Normal 2 11 9 3 4" xfId="20316" xr:uid="{00000000-0005-0000-0000-00005F4F0000}"/>
    <cellStyle name="Normal 2 11 9 3 5" xfId="20317" xr:uid="{00000000-0005-0000-0000-0000604F0000}"/>
    <cellStyle name="Normal 2 11 9 3 6" xfId="20318" xr:uid="{00000000-0005-0000-0000-0000614F0000}"/>
    <cellStyle name="Normal 2 11 9 4" xfId="20319" xr:uid="{00000000-0005-0000-0000-0000624F0000}"/>
    <cellStyle name="Normal 2 11 9 4 2" xfId="20320" xr:uid="{00000000-0005-0000-0000-0000634F0000}"/>
    <cellStyle name="Normal 2 11 9 4 2 2" xfId="20321" xr:uid="{00000000-0005-0000-0000-0000644F0000}"/>
    <cellStyle name="Normal 2 11 9 4 3" xfId="20322" xr:uid="{00000000-0005-0000-0000-0000654F0000}"/>
    <cellStyle name="Normal 2 11 9 4 4" xfId="20323" xr:uid="{00000000-0005-0000-0000-0000664F0000}"/>
    <cellStyle name="Normal 2 11 9 4 5" xfId="20324" xr:uid="{00000000-0005-0000-0000-0000674F0000}"/>
    <cellStyle name="Normal 2 11 9 5" xfId="20325" xr:uid="{00000000-0005-0000-0000-0000684F0000}"/>
    <cellStyle name="Normal 2 11 9 5 2" xfId="20326" xr:uid="{00000000-0005-0000-0000-0000694F0000}"/>
    <cellStyle name="Normal 2 11 9 5 3" xfId="20327" xr:uid="{00000000-0005-0000-0000-00006A4F0000}"/>
    <cellStyle name="Normal 2 11 9 5 4" xfId="20328" xr:uid="{00000000-0005-0000-0000-00006B4F0000}"/>
    <cellStyle name="Normal 2 11 9 6" xfId="20329" xr:uid="{00000000-0005-0000-0000-00006C4F0000}"/>
    <cellStyle name="Normal 2 11 9 6 2" xfId="20330" xr:uid="{00000000-0005-0000-0000-00006D4F0000}"/>
    <cellStyle name="Normal 2 11 9 7" xfId="20331" xr:uid="{00000000-0005-0000-0000-00006E4F0000}"/>
    <cellStyle name="Normal 2 11 9 8" xfId="20332" xr:uid="{00000000-0005-0000-0000-00006F4F0000}"/>
    <cellStyle name="Normal 2 11 9 9" xfId="20333" xr:uid="{00000000-0005-0000-0000-0000704F0000}"/>
    <cellStyle name="Normal 2 12" xfId="20334" xr:uid="{00000000-0005-0000-0000-0000714F0000}"/>
    <cellStyle name="Normal 2 12 10" xfId="20335" xr:uid="{00000000-0005-0000-0000-0000724F0000}"/>
    <cellStyle name="Normal 2 12 10 10" xfId="20336" xr:uid="{00000000-0005-0000-0000-0000734F0000}"/>
    <cellStyle name="Normal 2 12 10 2" xfId="20337" xr:uid="{00000000-0005-0000-0000-0000744F0000}"/>
    <cellStyle name="Normal 2 12 10 2 2" xfId="20338" xr:uid="{00000000-0005-0000-0000-0000754F0000}"/>
    <cellStyle name="Normal 2 12 10 2 2 2" xfId="20339" xr:uid="{00000000-0005-0000-0000-0000764F0000}"/>
    <cellStyle name="Normal 2 12 10 2 2 3" xfId="20340" xr:uid="{00000000-0005-0000-0000-0000774F0000}"/>
    <cellStyle name="Normal 2 12 10 2 3" xfId="20341" xr:uid="{00000000-0005-0000-0000-0000784F0000}"/>
    <cellStyle name="Normal 2 12 10 2 4" xfId="20342" xr:uid="{00000000-0005-0000-0000-0000794F0000}"/>
    <cellStyle name="Normal 2 12 10 2 5" xfId="20343" xr:uid="{00000000-0005-0000-0000-00007A4F0000}"/>
    <cellStyle name="Normal 2 12 10 2 6" xfId="20344" xr:uid="{00000000-0005-0000-0000-00007B4F0000}"/>
    <cellStyle name="Normal 2 12 10 3" xfId="20345" xr:uid="{00000000-0005-0000-0000-00007C4F0000}"/>
    <cellStyle name="Normal 2 12 10 3 2" xfId="20346" xr:uid="{00000000-0005-0000-0000-00007D4F0000}"/>
    <cellStyle name="Normal 2 12 10 3 2 2" xfId="20347" xr:uid="{00000000-0005-0000-0000-00007E4F0000}"/>
    <cellStyle name="Normal 2 12 10 3 2 3" xfId="20348" xr:uid="{00000000-0005-0000-0000-00007F4F0000}"/>
    <cellStyle name="Normal 2 12 10 3 3" xfId="20349" xr:uid="{00000000-0005-0000-0000-0000804F0000}"/>
    <cellStyle name="Normal 2 12 10 3 4" xfId="20350" xr:uid="{00000000-0005-0000-0000-0000814F0000}"/>
    <cellStyle name="Normal 2 12 10 3 5" xfId="20351" xr:uid="{00000000-0005-0000-0000-0000824F0000}"/>
    <cellStyle name="Normal 2 12 10 3 6" xfId="20352" xr:uid="{00000000-0005-0000-0000-0000834F0000}"/>
    <cellStyle name="Normal 2 12 10 4" xfId="20353" xr:uid="{00000000-0005-0000-0000-0000844F0000}"/>
    <cellStyle name="Normal 2 12 10 4 2" xfId="20354" xr:uid="{00000000-0005-0000-0000-0000854F0000}"/>
    <cellStyle name="Normal 2 12 10 4 2 2" xfId="20355" xr:uid="{00000000-0005-0000-0000-0000864F0000}"/>
    <cellStyle name="Normal 2 12 10 4 3" xfId="20356" xr:uid="{00000000-0005-0000-0000-0000874F0000}"/>
    <cellStyle name="Normal 2 12 10 4 4" xfId="20357" xr:uid="{00000000-0005-0000-0000-0000884F0000}"/>
    <cellStyle name="Normal 2 12 10 4 5" xfId="20358" xr:uid="{00000000-0005-0000-0000-0000894F0000}"/>
    <cellStyle name="Normal 2 12 10 5" xfId="20359" xr:uid="{00000000-0005-0000-0000-00008A4F0000}"/>
    <cellStyle name="Normal 2 12 10 5 2" xfId="20360" xr:uid="{00000000-0005-0000-0000-00008B4F0000}"/>
    <cellStyle name="Normal 2 12 10 5 3" xfId="20361" xr:uid="{00000000-0005-0000-0000-00008C4F0000}"/>
    <cellStyle name="Normal 2 12 10 5 4" xfId="20362" xr:uid="{00000000-0005-0000-0000-00008D4F0000}"/>
    <cellStyle name="Normal 2 12 10 6" xfId="20363" xr:uid="{00000000-0005-0000-0000-00008E4F0000}"/>
    <cellStyle name="Normal 2 12 10 6 2" xfId="20364" xr:uid="{00000000-0005-0000-0000-00008F4F0000}"/>
    <cellStyle name="Normal 2 12 10 7" xfId="20365" xr:uid="{00000000-0005-0000-0000-0000904F0000}"/>
    <cellStyle name="Normal 2 12 10 8" xfId="20366" xr:uid="{00000000-0005-0000-0000-0000914F0000}"/>
    <cellStyle name="Normal 2 12 10 9" xfId="20367" xr:uid="{00000000-0005-0000-0000-0000924F0000}"/>
    <cellStyle name="Normal 2 12 11" xfId="20368" xr:uid="{00000000-0005-0000-0000-0000934F0000}"/>
    <cellStyle name="Normal 2 12 11 10" xfId="20369" xr:uid="{00000000-0005-0000-0000-0000944F0000}"/>
    <cellStyle name="Normal 2 12 11 2" xfId="20370" xr:uid="{00000000-0005-0000-0000-0000954F0000}"/>
    <cellStyle name="Normal 2 12 11 2 2" xfId="20371" xr:uid="{00000000-0005-0000-0000-0000964F0000}"/>
    <cellStyle name="Normal 2 12 11 2 2 2" xfId="20372" xr:uid="{00000000-0005-0000-0000-0000974F0000}"/>
    <cellStyle name="Normal 2 12 11 2 2 3" xfId="20373" xr:uid="{00000000-0005-0000-0000-0000984F0000}"/>
    <cellStyle name="Normal 2 12 11 2 3" xfId="20374" xr:uid="{00000000-0005-0000-0000-0000994F0000}"/>
    <cellStyle name="Normal 2 12 11 2 4" xfId="20375" xr:uid="{00000000-0005-0000-0000-00009A4F0000}"/>
    <cellStyle name="Normal 2 12 11 2 5" xfId="20376" xr:uid="{00000000-0005-0000-0000-00009B4F0000}"/>
    <cellStyle name="Normal 2 12 11 2 6" xfId="20377" xr:uid="{00000000-0005-0000-0000-00009C4F0000}"/>
    <cellStyle name="Normal 2 12 11 3" xfId="20378" xr:uid="{00000000-0005-0000-0000-00009D4F0000}"/>
    <cellStyle name="Normal 2 12 11 3 2" xfId="20379" xr:uid="{00000000-0005-0000-0000-00009E4F0000}"/>
    <cellStyle name="Normal 2 12 11 3 2 2" xfId="20380" xr:uid="{00000000-0005-0000-0000-00009F4F0000}"/>
    <cellStyle name="Normal 2 12 11 3 2 3" xfId="20381" xr:uid="{00000000-0005-0000-0000-0000A04F0000}"/>
    <cellStyle name="Normal 2 12 11 3 3" xfId="20382" xr:uid="{00000000-0005-0000-0000-0000A14F0000}"/>
    <cellStyle name="Normal 2 12 11 3 4" xfId="20383" xr:uid="{00000000-0005-0000-0000-0000A24F0000}"/>
    <cellStyle name="Normal 2 12 11 3 5" xfId="20384" xr:uid="{00000000-0005-0000-0000-0000A34F0000}"/>
    <cellStyle name="Normal 2 12 11 3 6" xfId="20385" xr:uid="{00000000-0005-0000-0000-0000A44F0000}"/>
    <cellStyle name="Normal 2 12 11 4" xfId="20386" xr:uid="{00000000-0005-0000-0000-0000A54F0000}"/>
    <cellStyle name="Normal 2 12 11 4 2" xfId="20387" xr:uid="{00000000-0005-0000-0000-0000A64F0000}"/>
    <cellStyle name="Normal 2 12 11 4 2 2" xfId="20388" xr:uid="{00000000-0005-0000-0000-0000A74F0000}"/>
    <cellStyle name="Normal 2 12 11 4 3" xfId="20389" xr:uid="{00000000-0005-0000-0000-0000A84F0000}"/>
    <cellStyle name="Normal 2 12 11 4 4" xfId="20390" xr:uid="{00000000-0005-0000-0000-0000A94F0000}"/>
    <cellStyle name="Normal 2 12 11 4 5" xfId="20391" xr:uid="{00000000-0005-0000-0000-0000AA4F0000}"/>
    <cellStyle name="Normal 2 12 11 5" xfId="20392" xr:uid="{00000000-0005-0000-0000-0000AB4F0000}"/>
    <cellStyle name="Normal 2 12 11 5 2" xfId="20393" xr:uid="{00000000-0005-0000-0000-0000AC4F0000}"/>
    <cellStyle name="Normal 2 12 11 5 3" xfId="20394" xr:uid="{00000000-0005-0000-0000-0000AD4F0000}"/>
    <cellStyle name="Normal 2 12 11 5 4" xfId="20395" xr:uid="{00000000-0005-0000-0000-0000AE4F0000}"/>
    <cellStyle name="Normal 2 12 11 6" xfId="20396" xr:uid="{00000000-0005-0000-0000-0000AF4F0000}"/>
    <cellStyle name="Normal 2 12 11 6 2" xfId="20397" xr:uid="{00000000-0005-0000-0000-0000B04F0000}"/>
    <cellStyle name="Normal 2 12 11 7" xfId="20398" xr:uid="{00000000-0005-0000-0000-0000B14F0000}"/>
    <cellStyle name="Normal 2 12 11 8" xfId="20399" xr:uid="{00000000-0005-0000-0000-0000B24F0000}"/>
    <cellStyle name="Normal 2 12 11 9" xfId="20400" xr:uid="{00000000-0005-0000-0000-0000B34F0000}"/>
    <cellStyle name="Normal 2 12 12" xfId="20401" xr:uid="{00000000-0005-0000-0000-0000B44F0000}"/>
    <cellStyle name="Normal 2 12 12 10" xfId="20402" xr:uid="{00000000-0005-0000-0000-0000B54F0000}"/>
    <cellStyle name="Normal 2 12 12 2" xfId="20403" xr:uid="{00000000-0005-0000-0000-0000B64F0000}"/>
    <cellStyle name="Normal 2 12 12 2 2" xfId="20404" xr:uid="{00000000-0005-0000-0000-0000B74F0000}"/>
    <cellStyle name="Normal 2 12 12 2 2 2" xfId="20405" xr:uid="{00000000-0005-0000-0000-0000B84F0000}"/>
    <cellStyle name="Normal 2 12 12 2 2 3" xfId="20406" xr:uid="{00000000-0005-0000-0000-0000B94F0000}"/>
    <cellStyle name="Normal 2 12 12 2 3" xfId="20407" xr:uid="{00000000-0005-0000-0000-0000BA4F0000}"/>
    <cellStyle name="Normal 2 12 12 2 4" xfId="20408" xr:uid="{00000000-0005-0000-0000-0000BB4F0000}"/>
    <cellStyle name="Normal 2 12 12 2 5" xfId="20409" xr:uid="{00000000-0005-0000-0000-0000BC4F0000}"/>
    <cellStyle name="Normal 2 12 12 2 6" xfId="20410" xr:uid="{00000000-0005-0000-0000-0000BD4F0000}"/>
    <cellStyle name="Normal 2 12 12 3" xfId="20411" xr:uid="{00000000-0005-0000-0000-0000BE4F0000}"/>
    <cellStyle name="Normal 2 12 12 3 2" xfId="20412" xr:uid="{00000000-0005-0000-0000-0000BF4F0000}"/>
    <cellStyle name="Normal 2 12 12 3 2 2" xfId="20413" xr:uid="{00000000-0005-0000-0000-0000C04F0000}"/>
    <cellStyle name="Normal 2 12 12 3 2 3" xfId="20414" xr:uid="{00000000-0005-0000-0000-0000C14F0000}"/>
    <cellStyle name="Normal 2 12 12 3 3" xfId="20415" xr:uid="{00000000-0005-0000-0000-0000C24F0000}"/>
    <cellStyle name="Normal 2 12 12 3 4" xfId="20416" xr:uid="{00000000-0005-0000-0000-0000C34F0000}"/>
    <cellStyle name="Normal 2 12 12 3 5" xfId="20417" xr:uid="{00000000-0005-0000-0000-0000C44F0000}"/>
    <cellStyle name="Normal 2 12 12 3 6" xfId="20418" xr:uid="{00000000-0005-0000-0000-0000C54F0000}"/>
    <cellStyle name="Normal 2 12 12 4" xfId="20419" xr:uid="{00000000-0005-0000-0000-0000C64F0000}"/>
    <cellStyle name="Normal 2 12 12 4 2" xfId="20420" xr:uid="{00000000-0005-0000-0000-0000C74F0000}"/>
    <cellStyle name="Normal 2 12 12 4 2 2" xfId="20421" xr:uid="{00000000-0005-0000-0000-0000C84F0000}"/>
    <cellStyle name="Normal 2 12 12 4 3" xfId="20422" xr:uid="{00000000-0005-0000-0000-0000C94F0000}"/>
    <cellStyle name="Normal 2 12 12 4 4" xfId="20423" xr:uid="{00000000-0005-0000-0000-0000CA4F0000}"/>
    <cellStyle name="Normal 2 12 12 4 5" xfId="20424" xr:uid="{00000000-0005-0000-0000-0000CB4F0000}"/>
    <cellStyle name="Normal 2 12 12 5" xfId="20425" xr:uid="{00000000-0005-0000-0000-0000CC4F0000}"/>
    <cellStyle name="Normal 2 12 12 5 2" xfId="20426" xr:uid="{00000000-0005-0000-0000-0000CD4F0000}"/>
    <cellStyle name="Normal 2 12 12 5 3" xfId="20427" xr:uid="{00000000-0005-0000-0000-0000CE4F0000}"/>
    <cellStyle name="Normal 2 12 12 5 4" xfId="20428" xr:uid="{00000000-0005-0000-0000-0000CF4F0000}"/>
    <cellStyle name="Normal 2 12 12 6" xfId="20429" xr:uid="{00000000-0005-0000-0000-0000D04F0000}"/>
    <cellStyle name="Normal 2 12 12 6 2" xfId="20430" xr:uid="{00000000-0005-0000-0000-0000D14F0000}"/>
    <cellStyle name="Normal 2 12 12 7" xfId="20431" xr:uid="{00000000-0005-0000-0000-0000D24F0000}"/>
    <cellStyle name="Normal 2 12 12 8" xfId="20432" xr:uid="{00000000-0005-0000-0000-0000D34F0000}"/>
    <cellStyle name="Normal 2 12 12 9" xfId="20433" xr:uid="{00000000-0005-0000-0000-0000D44F0000}"/>
    <cellStyle name="Normal 2 12 13" xfId="20434" xr:uid="{00000000-0005-0000-0000-0000D54F0000}"/>
    <cellStyle name="Normal 2 12 13 2" xfId="20435" xr:uid="{00000000-0005-0000-0000-0000D64F0000}"/>
    <cellStyle name="Normal 2 12 13 2 2" xfId="20436" xr:uid="{00000000-0005-0000-0000-0000D74F0000}"/>
    <cellStyle name="Normal 2 12 13 2 2 2" xfId="20437" xr:uid="{00000000-0005-0000-0000-0000D84F0000}"/>
    <cellStyle name="Normal 2 12 13 2 2 3" xfId="20438" xr:uid="{00000000-0005-0000-0000-0000D94F0000}"/>
    <cellStyle name="Normal 2 12 13 2 3" xfId="20439" xr:uid="{00000000-0005-0000-0000-0000DA4F0000}"/>
    <cellStyle name="Normal 2 12 13 2 4" xfId="20440" xr:uid="{00000000-0005-0000-0000-0000DB4F0000}"/>
    <cellStyle name="Normal 2 12 13 2 5" xfId="20441" xr:uid="{00000000-0005-0000-0000-0000DC4F0000}"/>
    <cellStyle name="Normal 2 12 13 2 6" xfId="20442" xr:uid="{00000000-0005-0000-0000-0000DD4F0000}"/>
    <cellStyle name="Normal 2 12 13 3" xfId="20443" xr:uid="{00000000-0005-0000-0000-0000DE4F0000}"/>
    <cellStyle name="Normal 2 12 13 3 2" xfId="20444" xr:uid="{00000000-0005-0000-0000-0000DF4F0000}"/>
    <cellStyle name="Normal 2 12 13 3 2 2" xfId="20445" xr:uid="{00000000-0005-0000-0000-0000E04F0000}"/>
    <cellStyle name="Normal 2 12 13 3 3" xfId="20446" xr:uid="{00000000-0005-0000-0000-0000E14F0000}"/>
    <cellStyle name="Normal 2 12 13 3 4" xfId="20447" xr:uid="{00000000-0005-0000-0000-0000E24F0000}"/>
    <cellStyle name="Normal 2 12 13 3 5" xfId="20448" xr:uid="{00000000-0005-0000-0000-0000E34F0000}"/>
    <cellStyle name="Normal 2 12 13 4" xfId="20449" xr:uid="{00000000-0005-0000-0000-0000E44F0000}"/>
    <cellStyle name="Normal 2 12 13 4 2" xfId="20450" xr:uid="{00000000-0005-0000-0000-0000E54F0000}"/>
    <cellStyle name="Normal 2 12 13 4 3" xfId="20451" xr:uid="{00000000-0005-0000-0000-0000E64F0000}"/>
    <cellStyle name="Normal 2 12 13 4 4" xfId="20452" xr:uid="{00000000-0005-0000-0000-0000E74F0000}"/>
    <cellStyle name="Normal 2 12 13 5" xfId="20453" xr:uid="{00000000-0005-0000-0000-0000E84F0000}"/>
    <cellStyle name="Normal 2 12 13 5 2" xfId="20454" xr:uid="{00000000-0005-0000-0000-0000E94F0000}"/>
    <cellStyle name="Normal 2 12 13 6" xfId="20455" xr:uid="{00000000-0005-0000-0000-0000EA4F0000}"/>
    <cellStyle name="Normal 2 12 13 7" xfId="20456" xr:uid="{00000000-0005-0000-0000-0000EB4F0000}"/>
    <cellStyle name="Normal 2 12 13 8" xfId="20457" xr:uid="{00000000-0005-0000-0000-0000EC4F0000}"/>
    <cellStyle name="Normal 2 12 13 9" xfId="20458" xr:uid="{00000000-0005-0000-0000-0000ED4F0000}"/>
    <cellStyle name="Normal 2 12 14" xfId="20459" xr:uid="{00000000-0005-0000-0000-0000EE4F0000}"/>
    <cellStyle name="Normal 2 12 14 2" xfId="20460" xr:uid="{00000000-0005-0000-0000-0000EF4F0000}"/>
    <cellStyle name="Normal 2 12 14 2 2" xfId="20461" xr:uid="{00000000-0005-0000-0000-0000F04F0000}"/>
    <cellStyle name="Normal 2 12 14 2 2 2" xfId="20462" xr:uid="{00000000-0005-0000-0000-0000F14F0000}"/>
    <cellStyle name="Normal 2 12 14 2 2 3" xfId="20463" xr:uid="{00000000-0005-0000-0000-0000F24F0000}"/>
    <cellStyle name="Normal 2 12 14 2 3" xfId="20464" xr:uid="{00000000-0005-0000-0000-0000F34F0000}"/>
    <cellStyle name="Normal 2 12 14 2 4" xfId="20465" xr:uid="{00000000-0005-0000-0000-0000F44F0000}"/>
    <cellStyle name="Normal 2 12 14 2 5" xfId="20466" xr:uid="{00000000-0005-0000-0000-0000F54F0000}"/>
    <cellStyle name="Normal 2 12 14 2 6" xfId="20467" xr:uid="{00000000-0005-0000-0000-0000F64F0000}"/>
    <cellStyle name="Normal 2 12 14 3" xfId="20468" xr:uid="{00000000-0005-0000-0000-0000F74F0000}"/>
    <cellStyle name="Normal 2 12 14 3 2" xfId="20469" xr:uid="{00000000-0005-0000-0000-0000F84F0000}"/>
    <cellStyle name="Normal 2 12 14 3 2 2" xfId="20470" xr:uid="{00000000-0005-0000-0000-0000F94F0000}"/>
    <cellStyle name="Normal 2 12 14 3 3" xfId="20471" xr:uid="{00000000-0005-0000-0000-0000FA4F0000}"/>
    <cellStyle name="Normal 2 12 14 3 4" xfId="20472" xr:uid="{00000000-0005-0000-0000-0000FB4F0000}"/>
    <cellStyle name="Normal 2 12 14 3 5" xfId="20473" xr:uid="{00000000-0005-0000-0000-0000FC4F0000}"/>
    <cellStyle name="Normal 2 12 14 4" xfId="20474" xr:uid="{00000000-0005-0000-0000-0000FD4F0000}"/>
    <cellStyle name="Normal 2 12 14 4 2" xfId="20475" xr:uid="{00000000-0005-0000-0000-0000FE4F0000}"/>
    <cellStyle name="Normal 2 12 14 4 3" xfId="20476" xr:uid="{00000000-0005-0000-0000-0000FF4F0000}"/>
    <cellStyle name="Normal 2 12 14 4 4" xfId="20477" xr:uid="{00000000-0005-0000-0000-000000500000}"/>
    <cellStyle name="Normal 2 12 14 5" xfId="20478" xr:uid="{00000000-0005-0000-0000-000001500000}"/>
    <cellStyle name="Normal 2 12 14 5 2" xfId="20479" xr:uid="{00000000-0005-0000-0000-000002500000}"/>
    <cellStyle name="Normal 2 12 14 6" xfId="20480" xr:uid="{00000000-0005-0000-0000-000003500000}"/>
    <cellStyle name="Normal 2 12 14 7" xfId="20481" xr:uid="{00000000-0005-0000-0000-000004500000}"/>
    <cellStyle name="Normal 2 12 14 8" xfId="20482" xr:uid="{00000000-0005-0000-0000-000005500000}"/>
    <cellStyle name="Normal 2 12 14 9" xfId="20483" xr:uid="{00000000-0005-0000-0000-000006500000}"/>
    <cellStyle name="Normal 2 12 15" xfId="20484" xr:uid="{00000000-0005-0000-0000-000007500000}"/>
    <cellStyle name="Normal 2 12 15 2" xfId="20485" xr:uid="{00000000-0005-0000-0000-000008500000}"/>
    <cellStyle name="Normal 2 12 15 2 2" xfId="20486" xr:uid="{00000000-0005-0000-0000-000009500000}"/>
    <cellStyle name="Normal 2 12 15 2 3" xfId="20487" xr:uid="{00000000-0005-0000-0000-00000A500000}"/>
    <cellStyle name="Normal 2 12 15 3" xfId="20488" xr:uid="{00000000-0005-0000-0000-00000B500000}"/>
    <cellStyle name="Normal 2 12 15 4" xfId="20489" xr:uid="{00000000-0005-0000-0000-00000C500000}"/>
    <cellStyle name="Normal 2 12 15 5" xfId="20490" xr:uid="{00000000-0005-0000-0000-00000D500000}"/>
    <cellStyle name="Normal 2 12 15 6" xfId="20491" xr:uid="{00000000-0005-0000-0000-00000E500000}"/>
    <cellStyle name="Normal 2 12 16" xfId="20492" xr:uid="{00000000-0005-0000-0000-00000F500000}"/>
    <cellStyle name="Normal 2 12 16 2" xfId="20493" xr:uid="{00000000-0005-0000-0000-000010500000}"/>
    <cellStyle name="Normal 2 12 16 2 2" xfId="20494" xr:uid="{00000000-0005-0000-0000-000011500000}"/>
    <cellStyle name="Normal 2 12 16 3" xfId="20495" xr:uid="{00000000-0005-0000-0000-000012500000}"/>
    <cellStyle name="Normal 2 12 16 4" xfId="20496" xr:uid="{00000000-0005-0000-0000-000013500000}"/>
    <cellStyle name="Normal 2 12 16 5" xfId="20497" xr:uid="{00000000-0005-0000-0000-000014500000}"/>
    <cellStyle name="Normal 2 12 17" xfId="20498" xr:uid="{00000000-0005-0000-0000-000015500000}"/>
    <cellStyle name="Normal 2 12 17 2" xfId="20499" xr:uid="{00000000-0005-0000-0000-000016500000}"/>
    <cellStyle name="Normal 2 12 17 2 2" xfId="20500" xr:uid="{00000000-0005-0000-0000-000017500000}"/>
    <cellStyle name="Normal 2 12 17 3" xfId="20501" xr:uid="{00000000-0005-0000-0000-000018500000}"/>
    <cellStyle name="Normal 2 12 17 4" xfId="20502" xr:uid="{00000000-0005-0000-0000-000019500000}"/>
    <cellStyle name="Normal 2 12 17 5" xfId="20503" xr:uid="{00000000-0005-0000-0000-00001A500000}"/>
    <cellStyle name="Normal 2 12 18" xfId="20504" xr:uid="{00000000-0005-0000-0000-00001B500000}"/>
    <cellStyle name="Normal 2 12 18 2" xfId="20505" xr:uid="{00000000-0005-0000-0000-00001C500000}"/>
    <cellStyle name="Normal 2 12 19" xfId="20506" xr:uid="{00000000-0005-0000-0000-00001D500000}"/>
    <cellStyle name="Normal 2 12 2" xfId="20507" xr:uid="{00000000-0005-0000-0000-00001E500000}"/>
    <cellStyle name="Normal 2 12 2 10" xfId="20508" xr:uid="{00000000-0005-0000-0000-00001F500000}"/>
    <cellStyle name="Normal 2 12 2 11" xfId="20509" xr:uid="{00000000-0005-0000-0000-000020500000}"/>
    <cellStyle name="Normal 2 12 2 2" xfId="20510" xr:uid="{00000000-0005-0000-0000-000021500000}"/>
    <cellStyle name="Normal 2 12 2 2 2" xfId="20511" xr:uid="{00000000-0005-0000-0000-000022500000}"/>
    <cellStyle name="Normal 2 12 2 2 2 2" xfId="20512" xr:uid="{00000000-0005-0000-0000-000023500000}"/>
    <cellStyle name="Normal 2 12 2 2 2 2 2" xfId="20513" xr:uid="{00000000-0005-0000-0000-000024500000}"/>
    <cellStyle name="Normal 2 12 2 2 2 2 3" xfId="20514" xr:uid="{00000000-0005-0000-0000-000025500000}"/>
    <cellStyle name="Normal 2 12 2 2 2 3" xfId="20515" xr:uid="{00000000-0005-0000-0000-000026500000}"/>
    <cellStyle name="Normal 2 12 2 2 2 4" xfId="20516" xr:uid="{00000000-0005-0000-0000-000027500000}"/>
    <cellStyle name="Normal 2 12 2 2 2 5" xfId="20517" xr:uid="{00000000-0005-0000-0000-000028500000}"/>
    <cellStyle name="Normal 2 12 2 2 2 6" xfId="20518" xr:uid="{00000000-0005-0000-0000-000029500000}"/>
    <cellStyle name="Normal 2 12 2 2 3" xfId="20519" xr:uid="{00000000-0005-0000-0000-00002A500000}"/>
    <cellStyle name="Normal 2 12 2 2 3 2" xfId="20520" xr:uid="{00000000-0005-0000-0000-00002B500000}"/>
    <cellStyle name="Normal 2 12 2 2 3 2 2" xfId="20521" xr:uid="{00000000-0005-0000-0000-00002C500000}"/>
    <cellStyle name="Normal 2 12 2 2 3 3" xfId="20522" xr:uid="{00000000-0005-0000-0000-00002D500000}"/>
    <cellStyle name="Normal 2 12 2 2 3 4" xfId="20523" xr:uid="{00000000-0005-0000-0000-00002E500000}"/>
    <cellStyle name="Normal 2 12 2 2 3 5" xfId="20524" xr:uid="{00000000-0005-0000-0000-00002F500000}"/>
    <cellStyle name="Normal 2 12 2 2 4" xfId="20525" xr:uid="{00000000-0005-0000-0000-000030500000}"/>
    <cellStyle name="Normal 2 12 2 2 4 2" xfId="20526" xr:uid="{00000000-0005-0000-0000-000031500000}"/>
    <cellStyle name="Normal 2 12 2 2 4 3" xfId="20527" xr:uid="{00000000-0005-0000-0000-000032500000}"/>
    <cellStyle name="Normal 2 12 2 2 4 4" xfId="20528" xr:uid="{00000000-0005-0000-0000-000033500000}"/>
    <cellStyle name="Normal 2 12 2 2 5" xfId="20529" xr:uid="{00000000-0005-0000-0000-000034500000}"/>
    <cellStyle name="Normal 2 12 2 2 5 2" xfId="20530" xr:uid="{00000000-0005-0000-0000-000035500000}"/>
    <cellStyle name="Normal 2 12 2 2 6" xfId="20531" xr:uid="{00000000-0005-0000-0000-000036500000}"/>
    <cellStyle name="Normal 2 12 2 2 7" xfId="20532" xr:uid="{00000000-0005-0000-0000-000037500000}"/>
    <cellStyle name="Normal 2 12 2 2 8" xfId="20533" xr:uid="{00000000-0005-0000-0000-000038500000}"/>
    <cellStyle name="Normal 2 12 2 2 9" xfId="20534" xr:uid="{00000000-0005-0000-0000-000039500000}"/>
    <cellStyle name="Normal 2 12 2 3" xfId="20535" xr:uid="{00000000-0005-0000-0000-00003A500000}"/>
    <cellStyle name="Normal 2 12 2 3 2" xfId="20536" xr:uid="{00000000-0005-0000-0000-00003B500000}"/>
    <cellStyle name="Normal 2 12 2 3 2 2" xfId="20537" xr:uid="{00000000-0005-0000-0000-00003C500000}"/>
    <cellStyle name="Normal 2 12 2 3 2 2 2" xfId="20538" xr:uid="{00000000-0005-0000-0000-00003D500000}"/>
    <cellStyle name="Normal 2 12 2 3 2 2 3" xfId="20539" xr:uid="{00000000-0005-0000-0000-00003E500000}"/>
    <cellStyle name="Normal 2 12 2 3 2 3" xfId="20540" xr:uid="{00000000-0005-0000-0000-00003F500000}"/>
    <cellStyle name="Normal 2 12 2 3 2 4" xfId="20541" xr:uid="{00000000-0005-0000-0000-000040500000}"/>
    <cellStyle name="Normal 2 12 2 3 2 5" xfId="20542" xr:uid="{00000000-0005-0000-0000-000041500000}"/>
    <cellStyle name="Normal 2 12 2 3 2 6" xfId="20543" xr:uid="{00000000-0005-0000-0000-000042500000}"/>
    <cellStyle name="Normal 2 12 2 3 3" xfId="20544" xr:uid="{00000000-0005-0000-0000-000043500000}"/>
    <cellStyle name="Normal 2 12 2 3 3 2" xfId="20545" xr:uid="{00000000-0005-0000-0000-000044500000}"/>
    <cellStyle name="Normal 2 12 2 3 3 2 2" xfId="20546" xr:uid="{00000000-0005-0000-0000-000045500000}"/>
    <cellStyle name="Normal 2 12 2 3 3 3" xfId="20547" xr:uid="{00000000-0005-0000-0000-000046500000}"/>
    <cellStyle name="Normal 2 12 2 3 3 4" xfId="20548" xr:uid="{00000000-0005-0000-0000-000047500000}"/>
    <cellStyle name="Normal 2 12 2 3 3 5" xfId="20549" xr:uid="{00000000-0005-0000-0000-000048500000}"/>
    <cellStyle name="Normal 2 12 2 3 4" xfId="20550" xr:uid="{00000000-0005-0000-0000-000049500000}"/>
    <cellStyle name="Normal 2 12 2 3 4 2" xfId="20551" xr:uid="{00000000-0005-0000-0000-00004A500000}"/>
    <cellStyle name="Normal 2 12 2 3 4 3" xfId="20552" xr:uid="{00000000-0005-0000-0000-00004B500000}"/>
    <cellStyle name="Normal 2 12 2 3 4 4" xfId="20553" xr:uid="{00000000-0005-0000-0000-00004C500000}"/>
    <cellStyle name="Normal 2 12 2 3 5" xfId="20554" xr:uid="{00000000-0005-0000-0000-00004D500000}"/>
    <cellStyle name="Normal 2 12 2 3 5 2" xfId="20555" xr:uid="{00000000-0005-0000-0000-00004E500000}"/>
    <cellStyle name="Normal 2 12 2 3 6" xfId="20556" xr:uid="{00000000-0005-0000-0000-00004F500000}"/>
    <cellStyle name="Normal 2 12 2 3 7" xfId="20557" xr:uid="{00000000-0005-0000-0000-000050500000}"/>
    <cellStyle name="Normal 2 12 2 3 8" xfId="20558" xr:uid="{00000000-0005-0000-0000-000051500000}"/>
    <cellStyle name="Normal 2 12 2 3 9" xfId="20559" xr:uid="{00000000-0005-0000-0000-000052500000}"/>
    <cellStyle name="Normal 2 12 2 4" xfId="20560" xr:uid="{00000000-0005-0000-0000-000053500000}"/>
    <cellStyle name="Normal 2 12 2 4 2" xfId="20561" xr:uid="{00000000-0005-0000-0000-000054500000}"/>
    <cellStyle name="Normal 2 12 2 4 2 2" xfId="20562" xr:uid="{00000000-0005-0000-0000-000055500000}"/>
    <cellStyle name="Normal 2 12 2 4 2 3" xfId="20563" xr:uid="{00000000-0005-0000-0000-000056500000}"/>
    <cellStyle name="Normal 2 12 2 4 3" xfId="20564" xr:uid="{00000000-0005-0000-0000-000057500000}"/>
    <cellStyle name="Normal 2 12 2 4 4" xfId="20565" xr:uid="{00000000-0005-0000-0000-000058500000}"/>
    <cellStyle name="Normal 2 12 2 4 5" xfId="20566" xr:uid="{00000000-0005-0000-0000-000059500000}"/>
    <cellStyle name="Normal 2 12 2 4 6" xfId="20567" xr:uid="{00000000-0005-0000-0000-00005A500000}"/>
    <cellStyle name="Normal 2 12 2 5" xfId="20568" xr:uid="{00000000-0005-0000-0000-00005B500000}"/>
    <cellStyle name="Normal 2 12 2 5 2" xfId="20569" xr:uid="{00000000-0005-0000-0000-00005C500000}"/>
    <cellStyle name="Normal 2 12 2 5 2 2" xfId="20570" xr:uid="{00000000-0005-0000-0000-00005D500000}"/>
    <cellStyle name="Normal 2 12 2 5 3" xfId="20571" xr:uid="{00000000-0005-0000-0000-00005E500000}"/>
    <cellStyle name="Normal 2 12 2 5 4" xfId="20572" xr:uid="{00000000-0005-0000-0000-00005F500000}"/>
    <cellStyle name="Normal 2 12 2 5 5" xfId="20573" xr:uid="{00000000-0005-0000-0000-000060500000}"/>
    <cellStyle name="Normal 2 12 2 6" xfId="20574" xr:uid="{00000000-0005-0000-0000-000061500000}"/>
    <cellStyle name="Normal 2 12 2 6 2" xfId="20575" xr:uid="{00000000-0005-0000-0000-000062500000}"/>
    <cellStyle name="Normal 2 12 2 6 3" xfId="20576" xr:uid="{00000000-0005-0000-0000-000063500000}"/>
    <cellStyle name="Normal 2 12 2 6 4" xfId="20577" xr:uid="{00000000-0005-0000-0000-000064500000}"/>
    <cellStyle name="Normal 2 12 2 7" xfId="20578" xr:uid="{00000000-0005-0000-0000-000065500000}"/>
    <cellStyle name="Normal 2 12 2 7 2" xfId="20579" xr:uid="{00000000-0005-0000-0000-000066500000}"/>
    <cellStyle name="Normal 2 12 2 8" xfId="20580" xr:uid="{00000000-0005-0000-0000-000067500000}"/>
    <cellStyle name="Normal 2 12 2 9" xfId="20581" xr:uid="{00000000-0005-0000-0000-000068500000}"/>
    <cellStyle name="Normal 2 12 20" xfId="20582" xr:uid="{00000000-0005-0000-0000-000069500000}"/>
    <cellStyle name="Normal 2 12 21" xfId="20583" xr:uid="{00000000-0005-0000-0000-00006A500000}"/>
    <cellStyle name="Normal 2 12 22" xfId="20584" xr:uid="{00000000-0005-0000-0000-00006B500000}"/>
    <cellStyle name="Normal 2 12 3" xfId="20585" xr:uid="{00000000-0005-0000-0000-00006C500000}"/>
    <cellStyle name="Normal 2 12 3 10" xfId="20586" xr:uid="{00000000-0005-0000-0000-00006D500000}"/>
    <cellStyle name="Normal 2 12 3 11" xfId="20587" xr:uid="{00000000-0005-0000-0000-00006E500000}"/>
    <cellStyle name="Normal 2 12 3 2" xfId="20588" xr:uid="{00000000-0005-0000-0000-00006F500000}"/>
    <cellStyle name="Normal 2 12 3 2 2" xfId="20589" xr:uid="{00000000-0005-0000-0000-000070500000}"/>
    <cellStyle name="Normal 2 12 3 2 2 2" xfId="20590" xr:uid="{00000000-0005-0000-0000-000071500000}"/>
    <cellStyle name="Normal 2 12 3 2 2 2 2" xfId="20591" xr:uid="{00000000-0005-0000-0000-000072500000}"/>
    <cellStyle name="Normal 2 12 3 2 2 2 3" xfId="20592" xr:uid="{00000000-0005-0000-0000-000073500000}"/>
    <cellStyle name="Normal 2 12 3 2 2 3" xfId="20593" xr:uid="{00000000-0005-0000-0000-000074500000}"/>
    <cellStyle name="Normal 2 12 3 2 2 4" xfId="20594" xr:uid="{00000000-0005-0000-0000-000075500000}"/>
    <cellStyle name="Normal 2 12 3 2 2 5" xfId="20595" xr:uid="{00000000-0005-0000-0000-000076500000}"/>
    <cellStyle name="Normal 2 12 3 2 2 6" xfId="20596" xr:uid="{00000000-0005-0000-0000-000077500000}"/>
    <cellStyle name="Normal 2 12 3 2 3" xfId="20597" xr:uid="{00000000-0005-0000-0000-000078500000}"/>
    <cellStyle name="Normal 2 12 3 2 3 2" xfId="20598" xr:uid="{00000000-0005-0000-0000-000079500000}"/>
    <cellStyle name="Normal 2 12 3 2 3 2 2" xfId="20599" xr:uid="{00000000-0005-0000-0000-00007A500000}"/>
    <cellStyle name="Normal 2 12 3 2 3 3" xfId="20600" xr:uid="{00000000-0005-0000-0000-00007B500000}"/>
    <cellStyle name="Normal 2 12 3 2 3 4" xfId="20601" xr:uid="{00000000-0005-0000-0000-00007C500000}"/>
    <cellStyle name="Normal 2 12 3 2 3 5" xfId="20602" xr:uid="{00000000-0005-0000-0000-00007D500000}"/>
    <cellStyle name="Normal 2 12 3 2 4" xfId="20603" xr:uid="{00000000-0005-0000-0000-00007E500000}"/>
    <cellStyle name="Normal 2 12 3 2 4 2" xfId="20604" xr:uid="{00000000-0005-0000-0000-00007F500000}"/>
    <cellStyle name="Normal 2 12 3 2 4 3" xfId="20605" xr:uid="{00000000-0005-0000-0000-000080500000}"/>
    <cellStyle name="Normal 2 12 3 2 4 4" xfId="20606" xr:uid="{00000000-0005-0000-0000-000081500000}"/>
    <cellStyle name="Normal 2 12 3 2 5" xfId="20607" xr:uid="{00000000-0005-0000-0000-000082500000}"/>
    <cellStyle name="Normal 2 12 3 2 5 2" xfId="20608" xr:uid="{00000000-0005-0000-0000-000083500000}"/>
    <cellStyle name="Normal 2 12 3 2 6" xfId="20609" xr:uid="{00000000-0005-0000-0000-000084500000}"/>
    <cellStyle name="Normal 2 12 3 2 7" xfId="20610" xr:uid="{00000000-0005-0000-0000-000085500000}"/>
    <cellStyle name="Normal 2 12 3 2 8" xfId="20611" xr:uid="{00000000-0005-0000-0000-000086500000}"/>
    <cellStyle name="Normal 2 12 3 2 9" xfId="20612" xr:uid="{00000000-0005-0000-0000-000087500000}"/>
    <cellStyle name="Normal 2 12 3 3" xfId="20613" xr:uid="{00000000-0005-0000-0000-000088500000}"/>
    <cellStyle name="Normal 2 12 3 3 2" xfId="20614" xr:uid="{00000000-0005-0000-0000-000089500000}"/>
    <cellStyle name="Normal 2 12 3 3 2 2" xfId="20615" xr:uid="{00000000-0005-0000-0000-00008A500000}"/>
    <cellStyle name="Normal 2 12 3 3 2 2 2" xfId="20616" xr:uid="{00000000-0005-0000-0000-00008B500000}"/>
    <cellStyle name="Normal 2 12 3 3 2 2 3" xfId="20617" xr:uid="{00000000-0005-0000-0000-00008C500000}"/>
    <cellStyle name="Normal 2 12 3 3 2 3" xfId="20618" xr:uid="{00000000-0005-0000-0000-00008D500000}"/>
    <cellStyle name="Normal 2 12 3 3 2 4" xfId="20619" xr:uid="{00000000-0005-0000-0000-00008E500000}"/>
    <cellStyle name="Normal 2 12 3 3 2 5" xfId="20620" xr:uid="{00000000-0005-0000-0000-00008F500000}"/>
    <cellStyle name="Normal 2 12 3 3 2 6" xfId="20621" xr:uid="{00000000-0005-0000-0000-000090500000}"/>
    <cellStyle name="Normal 2 12 3 3 3" xfId="20622" xr:uid="{00000000-0005-0000-0000-000091500000}"/>
    <cellStyle name="Normal 2 12 3 3 3 2" xfId="20623" xr:uid="{00000000-0005-0000-0000-000092500000}"/>
    <cellStyle name="Normal 2 12 3 3 3 2 2" xfId="20624" xr:uid="{00000000-0005-0000-0000-000093500000}"/>
    <cellStyle name="Normal 2 12 3 3 3 3" xfId="20625" xr:uid="{00000000-0005-0000-0000-000094500000}"/>
    <cellStyle name="Normal 2 12 3 3 3 4" xfId="20626" xr:uid="{00000000-0005-0000-0000-000095500000}"/>
    <cellStyle name="Normal 2 12 3 3 3 5" xfId="20627" xr:uid="{00000000-0005-0000-0000-000096500000}"/>
    <cellStyle name="Normal 2 12 3 3 4" xfId="20628" xr:uid="{00000000-0005-0000-0000-000097500000}"/>
    <cellStyle name="Normal 2 12 3 3 4 2" xfId="20629" xr:uid="{00000000-0005-0000-0000-000098500000}"/>
    <cellStyle name="Normal 2 12 3 3 4 3" xfId="20630" xr:uid="{00000000-0005-0000-0000-000099500000}"/>
    <cellStyle name="Normal 2 12 3 3 4 4" xfId="20631" xr:uid="{00000000-0005-0000-0000-00009A500000}"/>
    <cellStyle name="Normal 2 12 3 3 5" xfId="20632" xr:uid="{00000000-0005-0000-0000-00009B500000}"/>
    <cellStyle name="Normal 2 12 3 3 5 2" xfId="20633" xr:uid="{00000000-0005-0000-0000-00009C500000}"/>
    <cellStyle name="Normal 2 12 3 3 6" xfId="20634" xr:uid="{00000000-0005-0000-0000-00009D500000}"/>
    <cellStyle name="Normal 2 12 3 3 7" xfId="20635" xr:uid="{00000000-0005-0000-0000-00009E500000}"/>
    <cellStyle name="Normal 2 12 3 3 8" xfId="20636" xr:uid="{00000000-0005-0000-0000-00009F500000}"/>
    <cellStyle name="Normal 2 12 3 3 9" xfId="20637" xr:uid="{00000000-0005-0000-0000-0000A0500000}"/>
    <cellStyle name="Normal 2 12 3 4" xfId="20638" xr:uid="{00000000-0005-0000-0000-0000A1500000}"/>
    <cellStyle name="Normal 2 12 3 4 2" xfId="20639" xr:uid="{00000000-0005-0000-0000-0000A2500000}"/>
    <cellStyle name="Normal 2 12 3 4 2 2" xfId="20640" xr:uid="{00000000-0005-0000-0000-0000A3500000}"/>
    <cellStyle name="Normal 2 12 3 4 2 3" xfId="20641" xr:uid="{00000000-0005-0000-0000-0000A4500000}"/>
    <cellStyle name="Normal 2 12 3 4 3" xfId="20642" xr:uid="{00000000-0005-0000-0000-0000A5500000}"/>
    <cellStyle name="Normal 2 12 3 4 4" xfId="20643" xr:uid="{00000000-0005-0000-0000-0000A6500000}"/>
    <cellStyle name="Normal 2 12 3 4 5" xfId="20644" xr:uid="{00000000-0005-0000-0000-0000A7500000}"/>
    <cellStyle name="Normal 2 12 3 4 6" xfId="20645" xr:uid="{00000000-0005-0000-0000-0000A8500000}"/>
    <cellStyle name="Normal 2 12 3 5" xfId="20646" xr:uid="{00000000-0005-0000-0000-0000A9500000}"/>
    <cellStyle name="Normal 2 12 3 5 2" xfId="20647" xr:uid="{00000000-0005-0000-0000-0000AA500000}"/>
    <cellStyle name="Normal 2 12 3 5 2 2" xfId="20648" xr:uid="{00000000-0005-0000-0000-0000AB500000}"/>
    <cellStyle name="Normal 2 12 3 5 3" xfId="20649" xr:uid="{00000000-0005-0000-0000-0000AC500000}"/>
    <cellStyle name="Normal 2 12 3 5 4" xfId="20650" xr:uid="{00000000-0005-0000-0000-0000AD500000}"/>
    <cellStyle name="Normal 2 12 3 5 5" xfId="20651" xr:uid="{00000000-0005-0000-0000-0000AE500000}"/>
    <cellStyle name="Normal 2 12 3 6" xfId="20652" xr:uid="{00000000-0005-0000-0000-0000AF500000}"/>
    <cellStyle name="Normal 2 12 3 6 2" xfId="20653" xr:uid="{00000000-0005-0000-0000-0000B0500000}"/>
    <cellStyle name="Normal 2 12 3 6 3" xfId="20654" xr:uid="{00000000-0005-0000-0000-0000B1500000}"/>
    <cellStyle name="Normal 2 12 3 6 4" xfId="20655" xr:uid="{00000000-0005-0000-0000-0000B2500000}"/>
    <cellStyle name="Normal 2 12 3 7" xfId="20656" xr:uid="{00000000-0005-0000-0000-0000B3500000}"/>
    <cellStyle name="Normal 2 12 3 7 2" xfId="20657" xr:uid="{00000000-0005-0000-0000-0000B4500000}"/>
    <cellStyle name="Normal 2 12 3 8" xfId="20658" xr:uid="{00000000-0005-0000-0000-0000B5500000}"/>
    <cellStyle name="Normal 2 12 3 9" xfId="20659" xr:uid="{00000000-0005-0000-0000-0000B6500000}"/>
    <cellStyle name="Normal 2 12 4" xfId="20660" xr:uid="{00000000-0005-0000-0000-0000B7500000}"/>
    <cellStyle name="Normal 2 12 4 10" xfId="20661" xr:uid="{00000000-0005-0000-0000-0000B8500000}"/>
    <cellStyle name="Normal 2 12 4 11" xfId="20662" xr:uid="{00000000-0005-0000-0000-0000B9500000}"/>
    <cellStyle name="Normal 2 12 4 2" xfId="20663" xr:uid="{00000000-0005-0000-0000-0000BA500000}"/>
    <cellStyle name="Normal 2 12 4 2 2" xfId="20664" xr:uid="{00000000-0005-0000-0000-0000BB500000}"/>
    <cellStyle name="Normal 2 12 4 2 2 2" xfId="20665" xr:uid="{00000000-0005-0000-0000-0000BC500000}"/>
    <cellStyle name="Normal 2 12 4 2 2 2 2" xfId="20666" xr:uid="{00000000-0005-0000-0000-0000BD500000}"/>
    <cellStyle name="Normal 2 12 4 2 2 2 3" xfId="20667" xr:uid="{00000000-0005-0000-0000-0000BE500000}"/>
    <cellStyle name="Normal 2 12 4 2 2 3" xfId="20668" xr:uid="{00000000-0005-0000-0000-0000BF500000}"/>
    <cellStyle name="Normal 2 12 4 2 2 4" xfId="20669" xr:uid="{00000000-0005-0000-0000-0000C0500000}"/>
    <cellStyle name="Normal 2 12 4 2 2 5" xfId="20670" xr:uid="{00000000-0005-0000-0000-0000C1500000}"/>
    <cellStyle name="Normal 2 12 4 2 2 6" xfId="20671" xr:uid="{00000000-0005-0000-0000-0000C2500000}"/>
    <cellStyle name="Normal 2 12 4 2 3" xfId="20672" xr:uid="{00000000-0005-0000-0000-0000C3500000}"/>
    <cellStyle name="Normal 2 12 4 2 3 2" xfId="20673" xr:uid="{00000000-0005-0000-0000-0000C4500000}"/>
    <cellStyle name="Normal 2 12 4 2 3 2 2" xfId="20674" xr:uid="{00000000-0005-0000-0000-0000C5500000}"/>
    <cellStyle name="Normal 2 12 4 2 3 3" xfId="20675" xr:uid="{00000000-0005-0000-0000-0000C6500000}"/>
    <cellStyle name="Normal 2 12 4 2 3 4" xfId="20676" xr:uid="{00000000-0005-0000-0000-0000C7500000}"/>
    <cellStyle name="Normal 2 12 4 2 3 5" xfId="20677" xr:uid="{00000000-0005-0000-0000-0000C8500000}"/>
    <cellStyle name="Normal 2 12 4 2 4" xfId="20678" xr:uid="{00000000-0005-0000-0000-0000C9500000}"/>
    <cellStyle name="Normal 2 12 4 2 4 2" xfId="20679" xr:uid="{00000000-0005-0000-0000-0000CA500000}"/>
    <cellStyle name="Normal 2 12 4 2 4 3" xfId="20680" xr:uid="{00000000-0005-0000-0000-0000CB500000}"/>
    <cellStyle name="Normal 2 12 4 2 4 4" xfId="20681" xr:uid="{00000000-0005-0000-0000-0000CC500000}"/>
    <cellStyle name="Normal 2 12 4 2 5" xfId="20682" xr:uid="{00000000-0005-0000-0000-0000CD500000}"/>
    <cellStyle name="Normal 2 12 4 2 5 2" xfId="20683" xr:uid="{00000000-0005-0000-0000-0000CE500000}"/>
    <cellStyle name="Normal 2 12 4 2 6" xfId="20684" xr:uid="{00000000-0005-0000-0000-0000CF500000}"/>
    <cellStyle name="Normal 2 12 4 2 7" xfId="20685" xr:uid="{00000000-0005-0000-0000-0000D0500000}"/>
    <cellStyle name="Normal 2 12 4 2 8" xfId="20686" xr:uid="{00000000-0005-0000-0000-0000D1500000}"/>
    <cellStyle name="Normal 2 12 4 2 9" xfId="20687" xr:uid="{00000000-0005-0000-0000-0000D2500000}"/>
    <cellStyle name="Normal 2 12 4 3" xfId="20688" xr:uid="{00000000-0005-0000-0000-0000D3500000}"/>
    <cellStyle name="Normal 2 12 4 3 2" xfId="20689" xr:uid="{00000000-0005-0000-0000-0000D4500000}"/>
    <cellStyle name="Normal 2 12 4 3 2 2" xfId="20690" xr:uid="{00000000-0005-0000-0000-0000D5500000}"/>
    <cellStyle name="Normal 2 12 4 3 2 2 2" xfId="20691" xr:uid="{00000000-0005-0000-0000-0000D6500000}"/>
    <cellStyle name="Normal 2 12 4 3 2 2 3" xfId="20692" xr:uid="{00000000-0005-0000-0000-0000D7500000}"/>
    <cellStyle name="Normal 2 12 4 3 2 3" xfId="20693" xr:uid="{00000000-0005-0000-0000-0000D8500000}"/>
    <cellStyle name="Normal 2 12 4 3 2 4" xfId="20694" xr:uid="{00000000-0005-0000-0000-0000D9500000}"/>
    <cellStyle name="Normal 2 12 4 3 2 5" xfId="20695" xr:uid="{00000000-0005-0000-0000-0000DA500000}"/>
    <cellStyle name="Normal 2 12 4 3 2 6" xfId="20696" xr:uid="{00000000-0005-0000-0000-0000DB500000}"/>
    <cellStyle name="Normal 2 12 4 3 3" xfId="20697" xr:uid="{00000000-0005-0000-0000-0000DC500000}"/>
    <cellStyle name="Normal 2 12 4 3 3 2" xfId="20698" xr:uid="{00000000-0005-0000-0000-0000DD500000}"/>
    <cellStyle name="Normal 2 12 4 3 3 2 2" xfId="20699" xr:uid="{00000000-0005-0000-0000-0000DE500000}"/>
    <cellStyle name="Normal 2 12 4 3 3 3" xfId="20700" xr:uid="{00000000-0005-0000-0000-0000DF500000}"/>
    <cellStyle name="Normal 2 12 4 3 3 4" xfId="20701" xr:uid="{00000000-0005-0000-0000-0000E0500000}"/>
    <cellStyle name="Normal 2 12 4 3 3 5" xfId="20702" xr:uid="{00000000-0005-0000-0000-0000E1500000}"/>
    <cellStyle name="Normal 2 12 4 3 4" xfId="20703" xr:uid="{00000000-0005-0000-0000-0000E2500000}"/>
    <cellStyle name="Normal 2 12 4 3 4 2" xfId="20704" xr:uid="{00000000-0005-0000-0000-0000E3500000}"/>
    <cellStyle name="Normal 2 12 4 3 4 3" xfId="20705" xr:uid="{00000000-0005-0000-0000-0000E4500000}"/>
    <cellStyle name="Normal 2 12 4 3 4 4" xfId="20706" xr:uid="{00000000-0005-0000-0000-0000E5500000}"/>
    <cellStyle name="Normal 2 12 4 3 5" xfId="20707" xr:uid="{00000000-0005-0000-0000-0000E6500000}"/>
    <cellStyle name="Normal 2 12 4 3 5 2" xfId="20708" xr:uid="{00000000-0005-0000-0000-0000E7500000}"/>
    <cellStyle name="Normal 2 12 4 3 6" xfId="20709" xr:uid="{00000000-0005-0000-0000-0000E8500000}"/>
    <cellStyle name="Normal 2 12 4 3 7" xfId="20710" xr:uid="{00000000-0005-0000-0000-0000E9500000}"/>
    <cellStyle name="Normal 2 12 4 3 8" xfId="20711" xr:uid="{00000000-0005-0000-0000-0000EA500000}"/>
    <cellStyle name="Normal 2 12 4 3 9" xfId="20712" xr:uid="{00000000-0005-0000-0000-0000EB500000}"/>
    <cellStyle name="Normal 2 12 4 4" xfId="20713" xr:uid="{00000000-0005-0000-0000-0000EC500000}"/>
    <cellStyle name="Normal 2 12 4 4 2" xfId="20714" xr:uid="{00000000-0005-0000-0000-0000ED500000}"/>
    <cellStyle name="Normal 2 12 4 4 2 2" xfId="20715" xr:uid="{00000000-0005-0000-0000-0000EE500000}"/>
    <cellStyle name="Normal 2 12 4 4 2 3" xfId="20716" xr:uid="{00000000-0005-0000-0000-0000EF500000}"/>
    <cellStyle name="Normal 2 12 4 4 3" xfId="20717" xr:uid="{00000000-0005-0000-0000-0000F0500000}"/>
    <cellStyle name="Normal 2 12 4 4 4" xfId="20718" xr:uid="{00000000-0005-0000-0000-0000F1500000}"/>
    <cellStyle name="Normal 2 12 4 4 5" xfId="20719" xr:uid="{00000000-0005-0000-0000-0000F2500000}"/>
    <cellStyle name="Normal 2 12 4 4 6" xfId="20720" xr:uid="{00000000-0005-0000-0000-0000F3500000}"/>
    <cellStyle name="Normal 2 12 4 5" xfId="20721" xr:uid="{00000000-0005-0000-0000-0000F4500000}"/>
    <cellStyle name="Normal 2 12 4 5 2" xfId="20722" xr:uid="{00000000-0005-0000-0000-0000F5500000}"/>
    <cellStyle name="Normal 2 12 4 5 2 2" xfId="20723" xr:uid="{00000000-0005-0000-0000-0000F6500000}"/>
    <cellStyle name="Normal 2 12 4 5 3" xfId="20724" xr:uid="{00000000-0005-0000-0000-0000F7500000}"/>
    <cellStyle name="Normal 2 12 4 5 4" xfId="20725" xr:uid="{00000000-0005-0000-0000-0000F8500000}"/>
    <cellStyle name="Normal 2 12 4 5 5" xfId="20726" xr:uid="{00000000-0005-0000-0000-0000F9500000}"/>
    <cellStyle name="Normal 2 12 4 6" xfId="20727" xr:uid="{00000000-0005-0000-0000-0000FA500000}"/>
    <cellStyle name="Normal 2 12 4 6 2" xfId="20728" xr:uid="{00000000-0005-0000-0000-0000FB500000}"/>
    <cellStyle name="Normal 2 12 4 6 3" xfId="20729" xr:uid="{00000000-0005-0000-0000-0000FC500000}"/>
    <cellStyle name="Normal 2 12 4 6 4" xfId="20730" xr:uid="{00000000-0005-0000-0000-0000FD500000}"/>
    <cellStyle name="Normal 2 12 4 7" xfId="20731" xr:uid="{00000000-0005-0000-0000-0000FE500000}"/>
    <cellStyle name="Normal 2 12 4 7 2" xfId="20732" xr:uid="{00000000-0005-0000-0000-0000FF500000}"/>
    <cellStyle name="Normal 2 12 4 8" xfId="20733" xr:uid="{00000000-0005-0000-0000-000000510000}"/>
    <cellStyle name="Normal 2 12 4 9" xfId="20734" xr:uid="{00000000-0005-0000-0000-000001510000}"/>
    <cellStyle name="Normal 2 12 5" xfId="20735" xr:uid="{00000000-0005-0000-0000-000002510000}"/>
    <cellStyle name="Normal 2 12 5 10" xfId="20736" xr:uid="{00000000-0005-0000-0000-000003510000}"/>
    <cellStyle name="Normal 2 12 5 11" xfId="20737" xr:uid="{00000000-0005-0000-0000-000004510000}"/>
    <cellStyle name="Normal 2 12 5 2" xfId="20738" xr:uid="{00000000-0005-0000-0000-000005510000}"/>
    <cellStyle name="Normal 2 12 5 2 2" xfId="20739" xr:uid="{00000000-0005-0000-0000-000006510000}"/>
    <cellStyle name="Normal 2 12 5 2 2 2" xfId="20740" xr:uid="{00000000-0005-0000-0000-000007510000}"/>
    <cellStyle name="Normal 2 12 5 2 2 2 2" xfId="20741" xr:uid="{00000000-0005-0000-0000-000008510000}"/>
    <cellStyle name="Normal 2 12 5 2 2 2 3" xfId="20742" xr:uid="{00000000-0005-0000-0000-000009510000}"/>
    <cellStyle name="Normal 2 12 5 2 2 3" xfId="20743" xr:uid="{00000000-0005-0000-0000-00000A510000}"/>
    <cellStyle name="Normal 2 12 5 2 2 4" xfId="20744" xr:uid="{00000000-0005-0000-0000-00000B510000}"/>
    <cellStyle name="Normal 2 12 5 2 2 5" xfId="20745" xr:uid="{00000000-0005-0000-0000-00000C510000}"/>
    <cellStyle name="Normal 2 12 5 2 2 6" xfId="20746" xr:uid="{00000000-0005-0000-0000-00000D510000}"/>
    <cellStyle name="Normal 2 12 5 2 3" xfId="20747" xr:uid="{00000000-0005-0000-0000-00000E510000}"/>
    <cellStyle name="Normal 2 12 5 2 3 2" xfId="20748" xr:uid="{00000000-0005-0000-0000-00000F510000}"/>
    <cellStyle name="Normal 2 12 5 2 3 2 2" xfId="20749" xr:uid="{00000000-0005-0000-0000-000010510000}"/>
    <cellStyle name="Normal 2 12 5 2 3 3" xfId="20750" xr:uid="{00000000-0005-0000-0000-000011510000}"/>
    <cellStyle name="Normal 2 12 5 2 3 4" xfId="20751" xr:uid="{00000000-0005-0000-0000-000012510000}"/>
    <cellStyle name="Normal 2 12 5 2 3 5" xfId="20752" xr:uid="{00000000-0005-0000-0000-000013510000}"/>
    <cellStyle name="Normal 2 12 5 2 4" xfId="20753" xr:uid="{00000000-0005-0000-0000-000014510000}"/>
    <cellStyle name="Normal 2 12 5 2 4 2" xfId="20754" xr:uid="{00000000-0005-0000-0000-000015510000}"/>
    <cellStyle name="Normal 2 12 5 2 4 3" xfId="20755" xr:uid="{00000000-0005-0000-0000-000016510000}"/>
    <cellStyle name="Normal 2 12 5 2 4 4" xfId="20756" xr:uid="{00000000-0005-0000-0000-000017510000}"/>
    <cellStyle name="Normal 2 12 5 2 5" xfId="20757" xr:uid="{00000000-0005-0000-0000-000018510000}"/>
    <cellStyle name="Normal 2 12 5 2 5 2" xfId="20758" xr:uid="{00000000-0005-0000-0000-000019510000}"/>
    <cellStyle name="Normal 2 12 5 2 6" xfId="20759" xr:uid="{00000000-0005-0000-0000-00001A510000}"/>
    <cellStyle name="Normal 2 12 5 2 7" xfId="20760" xr:uid="{00000000-0005-0000-0000-00001B510000}"/>
    <cellStyle name="Normal 2 12 5 2 8" xfId="20761" xr:uid="{00000000-0005-0000-0000-00001C510000}"/>
    <cellStyle name="Normal 2 12 5 2 9" xfId="20762" xr:uid="{00000000-0005-0000-0000-00001D510000}"/>
    <cellStyle name="Normal 2 12 5 3" xfId="20763" xr:uid="{00000000-0005-0000-0000-00001E510000}"/>
    <cellStyle name="Normal 2 12 5 3 2" xfId="20764" xr:uid="{00000000-0005-0000-0000-00001F510000}"/>
    <cellStyle name="Normal 2 12 5 3 2 2" xfId="20765" xr:uid="{00000000-0005-0000-0000-000020510000}"/>
    <cellStyle name="Normal 2 12 5 3 2 2 2" xfId="20766" xr:uid="{00000000-0005-0000-0000-000021510000}"/>
    <cellStyle name="Normal 2 12 5 3 2 2 3" xfId="20767" xr:uid="{00000000-0005-0000-0000-000022510000}"/>
    <cellStyle name="Normal 2 12 5 3 2 3" xfId="20768" xr:uid="{00000000-0005-0000-0000-000023510000}"/>
    <cellStyle name="Normal 2 12 5 3 2 4" xfId="20769" xr:uid="{00000000-0005-0000-0000-000024510000}"/>
    <cellStyle name="Normal 2 12 5 3 2 5" xfId="20770" xr:uid="{00000000-0005-0000-0000-000025510000}"/>
    <cellStyle name="Normal 2 12 5 3 2 6" xfId="20771" xr:uid="{00000000-0005-0000-0000-000026510000}"/>
    <cellStyle name="Normal 2 12 5 3 3" xfId="20772" xr:uid="{00000000-0005-0000-0000-000027510000}"/>
    <cellStyle name="Normal 2 12 5 3 3 2" xfId="20773" xr:uid="{00000000-0005-0000-0000-000028510000}"/>
    <cellStyle name="Normal 2 12 5 3 3 2 2" xfId="20774" xr:uid="{00000000-0005-0000-0000-000029510000}"/>
    <cellStyle name="Normal 2 12 5 3 3 3" xfId="20775" xr:uid="{00000000-0005-0000-0000-00002A510000}"/>
    <cellStyle name="Normal 2 12 5 3 3 4" xfId="20776" xr:uid="{00000000-0005-0000-0000-00002B510000}"/>
    <cellStyle name="Normal 2 12 5 3 3 5" xfId="20777" xr:uid="{00000000-0005-0000-0000-00002C510000}"/>
    <cellStyle name="Normal 2 12 5 3 4" xfId="20778" xr:uid="{00000000-0005-0000-0000-00002D510000}"/>
    <cellStyle name="Normal 2 12 5 3 4 2" xfId="20779" xr:uid="{00000000-0005-0000-0000-00002E510000}"/>
    <cellStyle name="Normal 2 12 5 3 4 3" xfId="20780" xr:uid="{00000000-0005-0000-0000-00002F510000}"/>
    <cellStyle name="Normal 2 12 5 3 4 4" xfId="20781" xr:uid="{00000000-0005-0000-0000-000030510000}"/>
    <cellStyle name="Normal 2 12 5 3 5" xfId="20782" xr:uid="{00000000-0005-0000-0000-000031510000}"/>
    <cellStyle name="Normal 2 12 5 3 5 2" xfId="20783" xr:uid="{00000000-0005-0000-0000-000032510000}"/>
    <cellStyle name="Normal 2 12 5 3 6" xfId="20784" xr:uid="{00000000-0005-0000-0000-000033510000}"/>
    <cellStyle name="Normal 2 12 5 3 7" xfId="20785" xr:uid="{00000000-0005-0000-0000-000034510000}"/>
    <cellStyle name="Normal 2 12 5 3 8" xfId="20786" xr:uid="{00000000-0005-0000-0000-000035510000}"/>
    <cellStyle name="Normal 2 12 5 3 9" xfId="20787" xr:uid="{00000000-0005-0000-0000-000036510000}"/>
    <cellStyle name="Normal 2 12 5 4" xfId="20788" xr:uid="{00000000-0005-0000-0000-000037510000}"/>
    <cellStyle name="Normal 2 12 5 4 2" xfId="20789" xr:uid="{00000000-0005-0000-0000-000038510000}"/>
    <cellStyle name="Normal 2 12 5 4 2 2" xfId="20790" xr:uid="{00000000-0005-0000-0000-000039510000}"/>
    <cellStyle name="Normal 2 12 5 4 2 3" xfId="20791" xr:uid="{00000000-0005-0000-0000-00003A510000}"/>
    <cellStyle name="Normal 2 12 5 4 3" xfId="20792" xr:uid="{00000000-0005-0000-0000-00003B510000}"/>
    <cellStyle name="Normal 2 12 5 4 4" xfId="20793" xr:uid="{00000000-0005-0000-0000-00003C510000}"/>
    <cellStyle name="Normal 2 12 5 4 5" xfId="20794" xr:uid="{00000000-0005-0000-0000-00003D510000}"/>
    <cellStyle name="Normal 2 12 5 4 6" xfId="20795" xr:uid="{00000000-0005-0000-0000-00003E510000}"/>
    <cellStyle name="Normal 2 12 5 5" xfId="20796" xr:uid="{00000000-0005-0000-0000-00003F510000}"/>
    <cellStyle name="Normal 2 12 5 5 2" xfId="20797" xr:uid="{00000000-0005-0000-0000-000040510000}"/>
    <cellStyle name="Normal 2 12 5 5 2 2" xfId="20798" xr:uid="{00000000-0005-0000-0000-000041510000}"/>
    <cellStyle name="Normal 2 12 5 5 3" xfId="20799" xr:uid="{00000000-0005-0000-0000-000042510000}"/>
    <cellStyle name="Normal 2 12 5 5 4" xfId="20800" xr:uid="{00000000-0005-0000-0000-000043510000}"/>
    <cellStyle name="Normal 2 12 5 5 5" xfId="20801" xr:uid="{00000000-0005-0000-0000-000044510000}"/>
    <cellStyle name="Normal 2 12 5 6" xfId="20802" xr:uid="{00000000-0005-0000-0000-000045510000}"/>
    <cellStyle name="Normal 2 12 5 6 2" xfId="20803" xr:uid="{00000000-0005-0000-0000-000046510000}"/>
    <cellStyle name="Normal 2 12 5 6 3" xfId="20804" xr:uid="{00000000-0005-0000-0000-000047510000}"/>
    <cellStyle name="Normal 2 12 5 6 4" xfId="20805" xr:uid="{00000000-0005-0000-0000-000048510000}"/>
    <cellStyle name="Normal 2 12 5 7" xfId="20806" xr:uid="{00000000-0005-0000-0000-000049510000}"/>
    <cellStyle name="Normal 2 12 5 7 2" xfId="20807" xr:uid="{00000000-0005-0000-0000-00004A510000}"/>
    <cellStyle name="Normal 2 12 5 8" xfId="20808" xr:uid="{00000000-0005-0000-0000-00004B510000}"/>
    <cellStyle name="Normal 2 12 5 9" xfId="20809" xr:uid="{00000000-0005-0000-0000-00004C510000}"/>
    <cellStyle name="Normal 2 12 6" xfId="20810" xr:uid="{00000000-0005-0000-0000-00004D510000}"/>
    <cellStyle name="Normal 2 12 6 10" xfId="20811" xr:uid="{00000000-0005-0000-0000-00004E510000}"/>
    <cellStyle name="Normal 2 12 6 11" xfId="20812" xr:uid="{00000000-0005-0000-0000-00004F510000}"/>
    <cellStyle name="Normal 2 12 6 2" xfId="20813" xr:uid="{00000000-0005-0000-0000-000050510000}"/>
    <cellStyle name="Normal 2 12 6 2 2" xfId="20814" xr:uid="{00000000-0005-0000-0000-000051510000}"/>
    <cellStyle name="Normal 2 12 6 2 2 2" xfId="20815" xr:uid="{00000000-0005-0000-0000-000052510000}"/>
    <cellStyle name="Normal 2 12 6 2 2 2 2" xfId="20816" xr:uid="{00000000-0005-0000-0000-000053510000}"/>
    <cellStyle name="Normal 2 12 6 2 2 2 3" xfId="20817" xr:uid="{00000000-0005-0000-0000-000054510000}"/>
    <cellStyle name="Normal 2 12 6 2 2 3" xfId="20818" xr:uid="{00000000-0005-0000-0000-000055510000}"/>
    <cellStyle name="Normal 2 12 6 2 2 4" xfId="20819" xr:uid="{00000000-0005-0000-0000-000056510000}"/>
    <cellStyle name="Normal 2 12 6 2 2 5" xfId="20820" xr:uid="{00000000-0005-0000-0000-000057510000}"/>
    <cellStyle name="Normal 2 12 6 2 2 6" xfId="20821" xr:uid="{00000000-0005-0000-0000-000058510000}"/>
    <cellStyle name="Normal 2 12 6 2 3" xfId="20822" xr:uid="{00000000-0005-0000-0000-000059510000}"/>
    <cellStyle name="Normal 2 12 6 2 3 2" xfId="20823" xr:uid="{00000000-0005-0000-0000-00005A510000}"/>
    <cellStyle name="Normal 2 12 6 2 3 2 2" xfId="20824" xr:uid="{00000000-0005-0000-0000-00005B510000}"/>
    <cellStyle name="Normal 2 12 6 2 3 3" xfId="20825" xr:uid="{00000000-0005-0000-0000-00005C510000}"/>
    <cellStyle name="Normal 2 12 6 2 3 4" xfId="20826" xr:uid="{00000000-0005-0000-0000-00005D510000}"/>
    <cellStyle name="Normal 2 12 6 2 3 5" xfId="20827" xr:uid="{00000000-0005-0000-0000-00005E510000}"/>
    <cellStyle name="Normal 2 12 6 2 4" xfId="20828" xr:uid="{00000000-0005-0000-0000-00005F510000}"/>
    <cellStyle name="Normal 2 12 6 2 4 2" xfId="20829" xr:uid="{00000000-0005-0000-0000-000060510000}"/>
    <cellStyle name="Normal 2 12 6 2 4 3" xfId="20830" xr:uid="{00000000-0005-0000-0000-000061510000}"/>
    <cellStyle name="Normal 2 12 6 2 4 4" xfId="20831" xr:uid="{00000000-0005-0000-0000-000062510000}"/>
    <cellStyle name="Normal 2 12 6 2 5" xfId="20832" xr:uid="{00000000-0005-0000-0000-000063510000}"/>
    <cellStyle name="Normal 2 12 6 2 5 2" xfId="20833" xr:uid="{00000000-0005-0000-0000-000064510000}"/>
    <cellStyle name="Normal 2 12 6 2 6" xfId="20834" xr:uid="{00000000-0005-0000-0000-000065510000}"/>
    <cellStyle name="Normal 2 12 6 2 7" xfId="20835" xr:uid="{00000000-0005-0000-0000-000066510000}"/>
    <cellStyle name="Normal 2 12 6 2 8" xfId="20836" xr:uid="{00000000-0005-0000-0000-000067510000}"/>
    <cellStyle name="Normal 2 12 6 2 9" xfId="20837" xr:uid="{00000000-0005-0000-0000-000068510000}"/>
    <cellStyle name="Normal 2 12 6 3" xfId="20838" xr:uid="{00000000-0005-0000-0000-000069510000}"/>
    <cellStyle name="Normal 2 12 6 3 2" xfId="20839" xr:uid="{00000000-0005-0000-0000-00006A510000}"/>
    <cellStyle name="Normal 2 12 6 3 2 2" xfId="20840" xr:uid="{00000000-0005-0000-0000-00006B510000}"/>
    <cellStyle name="Normal 2 12 6 3 2 2 2" xfId="20841" xr:uid="{00000000-0005-0000-0000-00006C510000}"/>
    <cellStyle name="Normal 2 12 6 3 2 2 3" xfId="20842" xr:uid="{00000000-0005-0000-0000-00006D510000}"/>
    <cellStyle name="Normal 2 12 6 3 2 3" xfId="20843" xr:uid="{00000000-0005-0000-0000-00006E510000}"/>
    <cellStyle name="Normal 2 12 6 3 2 4" xfId="20844" xr:uid="{00000000-0005-0000-0000-00006F510000}"/>
    <cellStyle name="Normal 2 12 6 3 2 5" xfId="20845" xr:uid="{00000000-0005-0000-0000-000070510000}"/>
    <cellStyle name="Normal 2 12 6 3 2 6" xfId="20846" xr:uid="{00000000-0005-0000-0000-000071510000}"/>
    <cellStyle name="Normal 2 12 6 3 3" xfId="20847" xr:uid="{00000000-0005-0000-0000-000072510000}"/>
    <cellStyle name="Normal 2 12 6 3 3 2" xfId="20848" xr:uid="{00000000-0005-0000-0000-000073510000}"/>
    <cellStyle name="Normal 2 12 6 3 3 2 2" xfId="20849" xr:uid="{00000000-0005-0000-0000-000074510000}"/>
    <cellStyle name="Normal 2 12 6 3 3 3" xfId="20850" xr:uid="{00000000-0005-0000-0000-000075510000}"/>
    <cellStyle name="Normal 2 12 6 3 3 4" xfId="20851" xr:uid="{00000000-0005-0000-0000-000076510000}"/>
    <cellStyle name="Normal 2 12 6 3 3 5" xfId="20852" xr:uid="{00000000-0005-0000-0000-000077510000}"/>
    <cellStyle name="Normal 2 12 6 3 4" xfId="20853" xr:uid="{00000000-0005-0000-0000-000078510000}"/>
    <cellStyle name="Normal 2 12 6 3 4 2" xfId="20854" xr:uid="{00000000-0005-0000-0000-000079510000}"/>
    <cellStyle name="Normal 2 12 6 3 4 3" xfId="20855" xr:uid="{00000000-0005-0000-0000-00007A510000}"/>
    <cellStyle name="Normal 2 12 6 3 4 4" xfId="20856" xr:uid="{00000000-0005-0000-0000-00007B510000}"/>
    <cellStyle name="Normal 2 12 6 3 5" xfId="20857" xr:uid="{00000000-0005-0000-0000-00007C510000}"/>
    <cellStyle name="Normal 2 12 6 3 5 2" xfId="20858" xr:uid="{00000000-0005-0000-0000-00007D510000}"/>
    <cellStyle name="Normal 2 12 6 3 6" xfId="20859" xr:uid="{00000000-0005-0000-0000-00007E510000}"/>
    <cellStyle name="Normal 2 12 6 3 7" xfId="20860" xr:uid="{00000000-0005-0000-0000-00007F510000}"/>
    <cellStyle name="Normal 2 12 6 3 8" xfId="20861" xr:uid="{00000000-0005-0000-0000-000080510000}"/>
    <cellStyle name="Normal 2 12 6 3 9" xfId="20862" xr:uid="{00000000-0005-0000-0000-000081510000}"/>
    <cellStyle name="Normal 2 12 6 4" xfId="20863" xr:uid="{00000000-0005-0000-0000-000082510000}"/>
    <cellStyle name="Normal 2 12 6 4 2" xfId="20864" xr:uid="{00000000-0005-0000-0000-000083510000}"/>
    <cellStyle name="Normal 2 12 6 4 2 2" xfId="20865" xr:uid="{00000000-0005-0000-0000-000084510000}"/>
    <cellStyle name="Normal 2 12 6 4 2 3" xfId="20866" xr:uid="{00000000-0005-0000-0000-000085510000}"/>
    <cellStyle name="Normal 2 12 6 4 3" xfId="20867" xr:uid="{00000000-0005-0000-0000-000086510000}"/>
    <cellStyle name="Normal 2 12 6 4 4" xfId="20868" xr:uid="{00000000-0005-0000-0000-000087510000}"/>
    <cellStyle name="Normal 2 12 6 4 5" xfId="20869" xr:uid="{00000000-0005-0000-0000-000088510000}"/>
    <cellStyle name="Normal 2 12 6 4 6" xfId="20870" xr:uid="{00000000-0005-0000-0000-000089510000}"/>
    <cellStyle name="Normal 2 12 6 5" xfId="20871" xr:uid="{00000000-0005-0000-0000-00008A510000}"/>
    <cellStyle name="Normal 2 12 6 5 2" xfId="20872" xr:uid="{00000000-0005-0000-0000-00008B510000}"/>
    <cellStyle name="Normal 2 12 6 5 2 2" xfId="20873" xr:uid="{00000000-0005-0000-0000-00008C510000}"/>
    <cellStyle name="Normal 2 12 6 5 3" xfId="20874" xr:uid="{00000000-0005-0000-0000-00008D510000}"/>
    <cellStyle name="Normal 2 12 6 5 4" xfId="20875" xr:uid="{00000000-0005-0000-0000-00008E510000}"/>
    <cellStyle name="Normal 2 12 6 5 5" xfId="20876" xr:uid="{00000000-0005-0000-0000-00008F510000}"/>
    <cellStyle name="Normal 2 12 6 6" xfId="20877" xr:uid="{00000000-0005-0000-0000-000090510000}"/>
    <cellStyle name="Normal 2 12 6 6 2" xfId="20878" xr:uid="{00000000-0005-0000-0000-000091510000}"/>
    <cellStyle name="Normal 2 12 6 6 3" xfId="20879" xr:uid="{00000000-0005-0000-0000-000092510000}"/>
    <cellStyle name="Normal 2 12 6 6 4" xfId="20880" xr:uid="{00000000-0005-0000-0000-000093510000}"/>
    <cellStyle name="Normal 2 12 6 7" xfId="20881" xr:uid="{00000000-0005-0000-0000-000094510000}"/>
    <cellStyle name="Normal 2 12 6 7 2" xfId="20882" xr:uid="{00000000-0005-0000-0000-000095510000}"/>
    <cellStyle name="Normal 2 12 6 8" xfId="20883" xr:uid="{00000000-0005-0000-0000-000096510000}"/>
    <cellStyle name="Normal 2 12 6 9" xfId="20884" xr:uid="{00000000-0005-0000-0000-000097510000}"/>
    <cellStyle name="Normal 2 12 7" xfId="20885" xr:uid="{00000000-0005-0000-0000-000098510000}"/>
    <cellStyle name="Normal 2 12 7 10" xfId="20886" xr:uid="{00000000-0005-0000-0000-000099510000}"/>
    <cellStyle name="Normal 2 12 7 11" xfId="20887" xr:uid="{00000000-0005-0000-0000-00009A510000}"/>
    <cellStyle name="Normal 2 12 7 2" xfId="20888" xr:uid="{00000000-0005-0000-0000-00009B510000}"/>
    <cellStyle name="Normal 2 12 7 2 2" xfId="20889" xr:uid="{00000000-0005-0000-0000-00009C510000}"/>
    <cellStyle name="Normal 2 12 7 2 2 2" xfId="20890" xr:uid="{00000000-0005-0000-0000-00009D510000}"/>
    <cellStyle name="Normal 2 12 7 2 2 2 2" xfId="20891" xr:uid="{00000000-0005-0000-0000-00009E510000}"/>
    <cellStyle name="Normal 2 12 7 2 2 2 3" xfId="20892" xr:uid="{00000000-0005-0000-0000-00009F510000}"/>
    <cellStyle name="Normal 2 12 7 2 2 3" xfId="20893" xr:uid="{00000000-0005-0000-0000-0000A0510000}"/>
    <cellStyle name="Normal 2 12 7 2 2 4" xfId="20894" xr:uid="{00000000-0005-0000-0000-0000A1510000}"/>
    <cellStyle name="Normal 2 12 7 2 2 5" xfId="20895" xr:uid="{00000000-0005-0000-0000-0000A2510000}"/>
    <cellStyle name="Normal 2 12 7 2 2 6" xfId="20896" xr:uid="{00000000-0005-0000-0000-0000A3510000}"/>
    <cellStyle name="Normal 2 12 7 2 3" xfId="20897" xr:uid="{00000000-0005-0000-0000-0000A4510000}"/>
    <cellStyle name="Normal 2 12 7 2 3 2" xfId="20898" xr:uid="{00000000-0005-0000-0000-0000A5510000}"/>
    <cellStyle name="Normal 2 12 7 2 3 2 2" xfId="20899" xr:uid="{00000000-0005-0000-0000-0000A6510000}"/>
    <cellStyle name="Normal 2 12 7 2 3 3" xfId="20900" xr:uid="{00000000-0005-0000-0000-0000A7510000}"/>
    <cellStyle name="Normal 2 12 7 2 3 4" xfId="20901" xr:uid="{00000000-0005-0000-0000-0000A8510000}"/>
    <cellStyle name="Normal 2 12 7 2 3 5" xfId="20902" xr:uid="{00000000-0005-0000-0000-0000A9510000}"/>
    <cellStyle name="Normal 2 12 7 2 4" xfId="20903" xr:uid="{00000000-0005-0000-0000-0000AA510000}"/>
    <cellStyle name="Normal 2 12 7 2 4 2" xfId="20904" xr:uid="{00000000-0005-0000-0000-0000AB510000}"/>
    <cellStyle name="Normal 2 12 7 2 4 3" xfId="20905" xr:uid="{00000000-0005-0000-0000-0000AC510000}"/>
    <cellStyle name="Normal 2 12 7 2 4 4" xfId="20906" xr:uid="{00000000-0005-0000-0000-0000AD510000}"/>
    <cellStyle name="Normal 2 12 7 2 5" xfId="20907" xr:uid="{00000000-0005-0000-0000-0000AE510000}"/>
    <cellStyle name="Normal 2 12 7 2 5 2" xfId="20908" xr:uid="{00000000-0005-0000-0000-0000AF510000}"/>
    <cellStyle name="Normal 2 12 7 2 6" xfId="20909" xr:uid="{00000000-0005-0000-0000-0000B0510000}"/>
    <cellStyle name="Normal 2 12 7 2 7" xfId="20910" xr:uid="{00000000-0005-0000-0000-0000B1510000}"/>
    <cellStyle name="Normal 2 12 7 2 8" xfId="20911" xr:uid="{00000000-0005-0000-0000-0000B2510000}"/>
    <cellStyle name="Normal 2 12 7 2 9" xfId="20912" xr:uid="{00000000-0005-0000-0000-0000B3510000}"/>
    <cellStyle name="Normal 2 12 7 3" xfId="20913" xr:uid="{00000000-0005-0000-0000-0000B4510000}"/>
    <cellStyle name="Normal 2 12 7 3 2" xfId="20914" xr:uid="{00000000-0005-0000-0000-0000B5510000}"/>
    <cellStyle name="Normal 2 12 7 3 2 2" xfId="20915" xr:uid="{00000000-0005-0000-0000-0000B6510000}"/>
    <cellStyle name="Normal 2 12 7 3 2 2 2" xfId="20916" xr:uid="{00000000-0005-0000-0000-0000B7510000}"/>
    <cellStyle name="Normal 2 12 7 3 2 2 3" xfId="20917" xr:uid="{00000000-0005-0000-0000-0000B8510000}"/>
    <cellStyle name="Normal 2 12 7 3 2 3" xfId="20918" xr:uid="{00000000-0005-0000-0000-0000B9510000}"/>
    <cellStyle name="Normal 2 12 7 3 2 4" xfId="20919" xr:uid="{00000000-0005-0000-0000-0000BA510000}"/>
    <cellStyle name="Normal 2 12 7 3 2 5" xfId="20920" xr:uid="{00000000-0005-0000-0000-0000BB510000}"/>
    <cellStyle name="Normal 2 12 7 3 2 6" xfId="20921" xr:uid="{00000000-0005-0000-0000-0000BC510000}"/>
    <cellStyle name="Normal 2 12 7 3 3" xfId="20922" xr:uid="{00000000-0005-0000-0000-0000BD510000}"/>
    <cellStyle name="Normal 2 12 7 3 3 2" xfId="20923" xr:uid="{00000000-0005-0000-0000-0000BE510000}"/>
    <cellStyle name="Normal 2 12 7 3 3 2 2" xfId="20924" xr:uid="{00000000-0005-0000-0000-0000BF510000}"/>
    <cellStyle name="Normal 2 12 7 3 3 3" xfId="20925" xr:uid="{00000000-0005-0000-0000-0000C0510000}"/>
    <cellStyle name="Normal 2 12 7 3 3 4" xfId="20926" xr:uid="{00000000-0005-0000-0000-0000C1510000}"/>
    <cellStyle name="Normal 2 12 7 3 3 5" xfId="20927" xr:uid="{00000000-0005-0000-0000-0000C2510000}"/>
    <cellStyle name="Normal 2 12 7 3 4" xfId="20928" xr:uid="{00000000-0005-0000-0000-0000C3510000}"/>
    <cellStyle name="Normal 2 12 7 3 4 2" xfId="20929" xr:uid="{00000000-0005-0000-0000-0000C4510000}"/>
    <cellStyle name="Normal 2 12 7 3 4 3" xfId="20930" xr:uid="{00000000-0005-0000-0000-0000C5510000}"/>
    <cellStyle name="Normal 2 12 7 3 4 4" xfId="20931" xr:uid="{00000000-0005-0000-0000-0000C6510000}"/>
    <cellStyle name="Normal 2 12 7 3 5" xfId="20932" xr:uid="{00000000-0005-0000-0000-0000C7510000}"/>
    <cellStyle name="Normal 2 12 7 3 5 2" xfId="20933" xr:uid="{00000000-0005-0000-0000-0000C8510000}"/>
    <cellStyle name="Normal 2 12 7 3 6" xfId="20934" xr:uid="{00000000-0005-0000-0000-0000C9510000}"/>
    <cellStyle name="Normal 2 12 7 3 7" xfId="20935" xr:uid="{00000000-0005-0000-0000-0000CA510000}"/>
    <cellStyle name="Normal 2 12 7 3 8" xfId="20936" xr:uid="{00000000-0005-0000-0000-0000CB510000}"/>
    <cellStyle name="Normal 2 12 7 3 9" xfId="20937" xr:uid="{00000000-0005-0000-0000-0000CC510000}"/>
    <cellStyle name="Normal 2 12 7 4" xfId="20938" xr:uid="{00000000-0005-0000-0000-0000CD510000}"/>
    <cellStyle name="Normal 2 12 7 4 2" xfId="20939" xr:uid="{00000000-0005-0000-0000-0000CE510000}"/>
    <cellStyle name="Normal 2 12 7 4 2 2" xfId="20940" xr:uid="{00000000-0005-0000-0000-0000CF510000}"/>
    <cellStyle name="Normal 2 12 7 4 2 3" xfId="20941" xr:uid="{00000000-0005-0000-0000-0000D0510000}"/>
    <cellStyle name="Normal 2 12 7 4 3" xfId="20942" xr:uid="{00000000-0005-0000-0000-0000D1510000}"/>
    <cellStyle name="Normal 2 12 7 4 4" xfId="20943" xr:uid="{00000000-0005-0000-0000-0000D2510000}"/>
    <cellStyle name="Normal 2 12 7 4 5" xfId="20944" xr:uid="{00000000-0005-0000-0000-0000D3510000}"/>
    <cellStyle name="Normal 2 12 7 4 6" xfId="20945" xr:uid="{00000000-0005-0000-0000-0000D4510000}"/>
    <cellStyle name="Normal 2 12 7 5" xfId="20946" xr:uid="{00000000-0005-0000-0000-0000D5510000}"/>
    <cellStyle name="Normal 2 12 7 5 2" xfId="20947" xr:uid="{00000000-0005-0000-0000-0000D6510000}"/>
    <cellStyle name="Normal 2 12 7 5 2 2" xfId="20948" xr:uid="{00000000-0005-0000-0000-0000D7510000}"/>
    <cellStyle name="Normal 2 12 7 5 3" xfId="20949" xr:uid="{00000000-0005-0000-0000-0000D8510000}"/>
    <cellStyle name="Normal 2 12 7 5 4" xfId="20950" xr:uid="{00000000-0005-0000-0000-0000D9510000}"/>
    <cellStyle name="Normal 2 12 7 5 5" xfId="20951" xr:uid="{00000000-0005-0000-0000-0000DA510000}"/>
    <cellStyle name="Normal 2 12 7 6" xfId="20952" xr:uid="{00000000-0005-0000-0000-0000DB510000}"/>
    <cellStyle name="Normal 2 12 7 6 2" xfId="20953" xr:uid="{00000000-0005-0000-0000-0000DC510000}"/>
    <cellStyle name="Normal 2 12 7 6 3" xfId="20954" xr:uid="{00000000-0005-0000-0000-0000DD510000}"/>
    <cellStyle name="Normal 2 12 7 6 4" xfId="20955" xr:uid="{00000000-0005-0000-0000-0000DE510000}"/>
    <cellStyle name="Normal 2 12 7 7" xfId="20956" xr:uid="{00000000-0005-0000-0000-0000DF510000}"/>
    <cellStyle name="Normal 2 12 7 7 2" xfId="20957" xr:uid="{00000000-0005-0000-0000-0000E0510000}"/>
    <cellStyle name="Normal 2 12 7 8" xfId="20958" xr:uid="{00000000-0005-0000-0000-0000E1510000}"/>
    <cellStyle name="Normal 2 12 7 9" xfId="20959" xr:uid="{00000000-0005-0000-0000-0000E2510000}"/>
    <cellStyle name="Normal 2 12 8" xfId="20960" xr:uid="{00000000-0005-0000-0000-0000E3510000}"/>
    <cellStyle name="Normal 2 12 8 10" xfId="20961" xr:uid="{00000000-0005-0000-0000-0000E4510000}"/>
    <cellStyle name="Normal 2 12 8 2" xfId="20962" xr:uid="{00000000-0005-0000-0000-0000E5510000}"/>
    <cellStyle name="Normal 2 12 8 2 2" xfId="20963" xr:uid="{00000000-0005-0000-0000-0000E6510000}"/>
    <cellStyle name="Normal 2 12 8 2 2 2" xfId="20964" xr:uid="{00000000-0005-0000-0000-0000E7510000}"/>
    <cellStyle name="Normal 2 12 8 2 2 3" xfId="20965" xr:uid="{00000000-0005-0000-0000-0000E8510000}"/>
    <cellStyle name="Normal 2 12 8 2 3" xfId="20966" xr:uid="{00000000-0005-0000-0000-0000E9510000}"/>
    <cellStyle name="Normal 2 12 8 2 4" xfId="20967" xr:uid="{00000000-0005-0000-0000-0000EA510000}"/>
    <cellStyle name="Normal 2 12 8 2 5" xfId="20968" xr:uid="{00000000-0005-0000-0000-0000EB510000}"/>
    <cellStyle name="Normal 2 12 8 2 6" xfId="20969" xr:uid="{00000000-0005-0000-0000-0000EC510000}"/>
    <cellStyle name="Normal 2 12 8 3" xfId="20970" xr:uid="{00000000-0005-0000-0000-0000ED510000}"/>
    <cellStyle name="Normal 2 12 8 3 2" xfId="20971" xr:uid="{00000000-0005-0000-0000-0000EE510000}"/>
    <cellStyle name="Normal 2 12 8 3 2 2" xfId="20972" xr:uid="{00000000-0005-0000-0000-0000EF510000}"/>
    <cellStyle name="Normal 2 12 8 3 2 3" xfId="20973" xr:uid="{00000000-0005-0000-0000-0000F0510000}"/>
    <cellStyle name="Normal 2 12 8 3 3" xfId="20974" xr:uid="{00000000-0005-0000-0000-0000F1510000}"/>
    <cellStyle name="Normal 2 12 8 3 4" xfId="20975" xr:uid="{00000000-0005-0000-0000-0000F2510000}"/>
    <cellStyle name="Normal 2 12 8 3 5" xfId="20976" xr:uid="{00000000-0005-0000-0000-0000F3510000}"/>
    <cellStyle name="Normal 2 12 8 3 6" xfId="20977" xr:uid="{00000000-0005-0000-0000-0000F4510000}"/>
    <cellStyle name="Normal 2 12 8 4" xfId="20978" xr:uid="{00000000-0005-0000-0000-0000F5510000}"/>
    <cellStyle name="Normal 2 12 8 4 2" xfId="20979" xr:uid="{00000000-0005-0000-0000-0000F6510000}"/>
    <cellStyle name="Normal 2 12 8 4 2 2" xfId="20980" xr:uid="{00000000-0005-0000-0000-0000F7510000}"/>
    <cellStyle name="Normal 2 12 8 4 3" xfId="20981" xr:uid="{00000000-0005-0000-0000-0000F8510000}"/>
    <cellStyle name="Normal 2 12 8 4 4" xfId="20982" xr:uid="{00000000-0005-0000-0000-0000F9510000}"/>
    <cellStyle name="Normal 2 12 8 4 5" xfId="20983" xr:uid="{00000000-0005-0000-0000-0000FA510000}"/>
    <cellStyle name="Normal 2 12 8 5" xfId="20984" xr:uid="{00000000-0005-0000-0000-0000FB510000}"/>
    <cellStyle name="Normal 2 12 8 5 2" xfId="20985" xr:uid="{00000000-0005-0000-0000-0000FC510000}"/>
    <cellStyle name="Normal 2 12 8 5 3" xfId="20986" xr:uid="{00000000-0005-0000-0000-0000FD510000}"/>
    <cellStyle name="Normal 2 12 8 5 4" xfId="20987" xr:uid="{00000000-0005-0000-0000-0000FE510000}"/>
    <cellStyle name="Normal 2 12 8 6" xfId="20988" xr:uid="{00000000-0005-0000-0000-0000FF510000}"/>
    <cellStyle name="Normal 2 12 8 6 2" xfId="20989" xr:uid="{00000000-0005-0000-0000-000000520000}"/>
    <cellStyle name="Normal 2 12 8 7" xfId="20990" xr:uid="{00000000-0005-0000-0000-000001520000}"/>
    <cellStyle name="Normal 2 12 8 8" xfId="20991" xr:uid="{00000000-0005-0000-0000-000002520000}"/>
    <cellStyle name="Normal 2 12 8 9" xfId="20992" xr:uid="{00000000-0005-0000-0000-000003520000}"/>
    <cellStyle name="Normal 2 12 9" xfId="20993" xr:uid="{00000000-0005-0000-0000-000004520000}"/>
    <cellStyle name="Normal 2 12 9 10" xfId="20994" xr:uid="{00000000-0005-0000-0000-000005520000}"/>
    <cellStyle name="Normal 2 12 9 2" xfId="20995" xr:uid="{00000000-0005-0000-0000-000006520000}"/>
    <cellStyle name="Normal 2 12 9 2 2" xfId="20996" xr:uid="{00000000-0005-0000-0000-000007520000}"/>
    <cellStyle name="Normal 2 12 9 2 2 2" xfId="20997" xr:uid="{00000000-0005-0000-0000-000008520000}"/>
    <cellStyle name="Normal 2 12 9 2 2 3" xfId="20998" xr:uid="{00000000-0005-0000-0000-000009520000}"/>
    <cellStyle name="Normal 2 12 9 2 3" xfId="20999" xr:uid="{00000000-0005-0000-0000-00000A520000}"/>
    <cellStyle name="Normal 2 12 9 2 4" xfId="21000" xr:uid="{00000000-0005-0000-0000-00000B520000}"/>
    <cellStyle name="Normal 2 12 9 2 5" xfId="21001" xr:uid="{00000000-0005-0000-0000-00000C520000}"/>
    <cellStyle name="Normal 2 12 9 2 6" xfId="21002" xr:uid="{00000000-0005-0000-0000-00000D520000}"/>
    <cellStyle name="Normal 2 12 9 3" xfId="21003" xr:uid="{00000000-0005-0000-0000-00000E520000}"/>
    <cellStyle name="Normal 2 12 9 3 2" xfId="21004" xr:uid="{00000000-0005-0000-0000-00000F520000}"/>
    <cellStyle name="Normal 2 12 9 3 2 2" xfId="21005" xr:uid="{00000000-0005-0000-0000-000010520000}"/>
    <cellStyle name="Normal 2 12 9 3 2 3" xfId="21006" xr:uid="{00000000-0005-0000-0000-000011520000}"/>
    <cellStyle name="Normal 2 12 9 3 3" xfId="21007" xr:uid="{00000000-0005-0000-0000-000012520000}"/>
    <cellStyle name="Normal 2 12 9 3 4" xfId="21008" xr:uid="{00000000-0005-0000-0000-000013520000}"/>
    <cellStyle name="Normal 2 12 9 3 5" xfId="21009" xr:uid="{00000000-0005-0000-0000-000014520000}"/>
    <cellStyle name="Normal 2 12 9 3 6" xfId="21010" xr:uid="{00000000-0005-0000-0000-000015520000}"/>
    <cellStyle name="Normal 2 12 9 4" xfId="21011" xr:uid="{00000000-0005-0000-0000-000016520000}"/>
    <cellStyle name="Normal 2 12 9 4 2" xfId="21012" xr:uid="{00000000-0005-0000-0000-000017520000}"/>
    <cellStyle name="Normal 2 12 9 4 2 2" xfId="21013" xr:uid="{00000000-0005-0000-0000-000018520000}"/>
    <cellStyle name="Normal 2 12 9 4 3" xfId="21014" xr:uid="{00000000-0005-0000-0000-000019520000}"/>
    <cellStyle name="Normal 2 12 9 4 4" xfId="21015" xr:uid="{00000000-0005-0000-0000-00001A520000}"/>
    <cellStyle name="Normal 2 12 9 4 5" xfId="21016" xr:uid="{00000000-0005-0000-0000-00001B520000}"/>
    <cellStyle name="Normal 2 12 9 5" xfId="21017" xr:uid="{00000000-0005-0000-0000-00001C520000}"/>
    <cellStyle name="Normal 2 12 9 5 2" xfId="21018" xr:uid="{00000000-0005-0000-0000-00001D520000}"/>
    <cellStyle name="Normal 2 12 9 5 3" xfId="21019" xr:uid="{00000000-0005-0000-0000-00001E520000}"/>
    <cellStyle name="Normal 2 12 9 5 4" xfId="21020" xr:uid="{00000000-0005-0000-0000-00001F520000}"/>
    <cellStyle name="Normal 2 12 9 6" xfId="21021" xr:uid="{00000000-0005-0000-0000-000020520000}"/>
    <cellStyle name="Normal 2 12 9 6 2" xfId="21022" xr:uid="{00000000-0005-0000-0000-000021520000}"/>
    <cellStyle name="Normal 2 12 9 7" xfId="21023" xr:uid="{00000000-0005-0000-0000-000022520000}"/>
    <cellStyle name="Normal 2 12 9 8" xfId="21024" xr:uid="{00000000-0005-0000-0000-000023520000}"/>
    <cellStyle name="Normal 2 12 9 9" xfId="21025" xr:uid="{00000000-0005-0000-0000-000024520000}"/>
    <cellStyle name="Normal 2 13" xfId="21026" xr:uid="{00000000-0005-0000-0000-000025520000}"/>
    <cellStyle name="Normal 2 13 2" xfId="21027" xr:uid="{00000000-0005-0000-0000-000026520000}"/>
    <cellStyle name="Normal 2 13 2 2" xfId="21028" xr:uid="{00000000-0005-0000-0000-000027520000}"/>
    <cellStyle name="Normal 2 13 3" xfId="21029" xr:uid="{00000000-0005-0000-0000-000028520000}"/>
    <cellStyle name="Normal 2 13 3 2" xfId="21030" xr:uid="{00000000-0005-0000-0000-000029520000}"/>
    <cellStyle name="Normal 2 13 4" xfId="21031" xr:uid="{00000000-0005-0000-0000-00002A520000}"/>
    <cellStyle name="Normal 2 13 5" xfId="21032" xr:uid="{00000000-0005-0000-0000-00002B520000}"/>
    <cellStyle name="Normal 2 13 6" xfId="21033" xr:uid="{00000000-0005-0000-0000-00002C520000}"/>
    <cellStyle name="Normal 2 13 7" xfId="21034" xr:uid="{00000000-0005-0000-0000-00002D520000}"/>
    <cellStyle name="Normal 2 13 8" xfId="21035" xr:uid="{00000000-0005-0000-0000-00002E520000}"/>
    <cellStyle name="Normal 2 14" xfId="21036" xr:uid="{00000000-0005-0000-0000-00002F520000}"/>
    <cellStyle name="Normal 2 14 10" xfId="21037" xr:uid="{00000000-0005-0000-0000-000030520000}"/>
    <cellStyle name="Normal 2 14 10 10" xfId="21038" xr:uid="{00000000-0005-0000-0000-000031520000}"/>
    <cellStyle name="Normal 2 14 10 2" xfId="21039" xr:uid="{00000000-0005-0000-0000-000032520000}"/>
    <cellStyle name="Normal 2 14 10 2 2" xfId="21040" xr:uid="{00000000-0005-0000-0000-000033520000}"/>
    <cellStyle name="Normal 2 14 10 2 2 2" xfId="21041" xr:uid="{00000000-0005-0000-0000-000034520000}"/>
    <cellStyle name="Normal 2 14 10 2 2 3" xfId="21042" xr:uid="{00000000-0005-0000-0000-000035520000}"/>
    <cellStyle name="Normal 2 14 10 2 3" xfId="21043" xr:uid="{00000000-0005-0000-0000-000036520000}"/>
    <cellStyle name="Normal 2 14 10 2 4" xfId="21044" xr:uid="{00000000-0005-0000-0000-000037520000}"/>
    <cellStyle name="Normal 2 14 10 2 5" xfId="21045" xr:uid="{00000000-0005-0000-0000-000038520000}"/>
    <cellStyle name="Normal 2 14 10 2 6" xfId="21046" xr:uid="{00000000-0005-0000-0000-000039520000}"/>
    <cellStyle name="Normal 2 14 10 3" xfId="21047" xr:uid="{00000000-0005-0000-0000-00003A520000}"/>
    <cellStyle name="Normal 2 14 10 3 2" xfId="21048" xr:uid="{00000000-0005-0000-0000-00003B520000}"/>
    <cellStyle name="Normal 2 14 10 3 2 2" xfId="21049" xr:uid="{00000000-0005-0000-0000-00003C520000}"/>
    <cellStyle name="Normal 2 14 10 3 2 3" xfId="21050" xr:uid="{00000000-0005-0000-0000-00003D520000}"/>
    <cellStyle name="Normal 2 14 10 3 3" xfId="21051" xr:uid="{00000000-0005-0000-0000-00003E520000}"/>
    <cellStyle name="Normal 2 14 10 3 4" xfId="21052" xr:uid="{00000000-0005-0000-0000-00003F520000}"/>
    <cellStyle name="Normal 2 14 10 3 5" xfId="21053" xr:uid="{00000000-0005-0000-0000-000040520000}"/>
    <cellStyle name="Normal 2 14 10 3 6" xfId="21054" xr:uid="{00000000-0005-0000-0000-000041520000}"/>
    <cellStyle name="Normal 2 14 10 4" xfId="21055" xr:uid="{00000000-0005-0000-0000-000042520000}"/>
    <cellStyle name="Normal 2 14 10 4 2" xfId="21056" xr:uid="{00000000-0005-0000-0000-000043520000}"/>
    <cellStyle name="Normal 2 14 10 4 2 2" xfId="21057" xr:uid="{00000000-0005-0000-0000-000044520000}"/>
    <cellStyle name="Normal 2 14 10 4 3" xfId="21058" xr:uid="{00000000-0005-0000-0000-000045520000}"/>
    <cellStyle name="Normal 2 14 10 4 4" xfId="21059" xr:uid="{00000000-0005-0000-0000-000046520000}"/>
    <cellStyle name="Normal 2 14 10 4 5" xfId="21060" xr:uid="{00000000-0005-0000-0000-000047520000}"/>
    <cellStyle name="Normal 2 14 10 5" xfId="21061" xr:uid="{00000000-0005-0000-0000-000048520000}"/>
    <cellStyle name="Normal 2 14 10 5 2" xfId="21062" xr:uid="{00000000-0005-0000-0000-000049520000}"/>
    <cellStyle name="Normal 2 14 10 5 3" xfId="21063" xr:uid="{00000000-0005-0000-0000-00004A520000}"/>
    <cellStyle name="Normal 2 14 10 5 4" xfId="21064" xr:uid="{00000000-0005-0000-0000-00004B520000}"/>
    <cellStyle name="Normal 2 14 10 6" xfId="21065" xr:uid="{00000000-0005-0000-0000-00004C520000}"/>
    <cellStyle name="Normal 2 14 10 6 2" xfId="21066" xr:uid="{00000000-0005-0000-0000-00004D520000}"/>
    <cellStyle name="Normal 2 14 10 7" xfId="21067" xr:uid="{00000000-0005-0000-0000-00004E520000}"/>
    <cellStyle name="Normal 2 14 10 8" xfId="21068" xr:uid="{00000000-0005-0000-0000-00004F520000}"/>
    <cellStyle name="Normal 2 14 10 9" xfId="21069" xr:uid="{00000000-0005-0000-0000-000050520000}"/>
    <cellStyle name="Normal 2 14 11" xfId="21070" xr:uid="{00000000-0005-0000-0000-000051520000}"/>
    <cellStyle name="Normal 2 14 11 10" xfId="21071" xr:uid="{00000000-0005-0000-0000-000052520000}"/>
    <cellStyle name="Normal 2 14 11 2" xfId="21072" xr:uid="{00000000-0005-0000-0000-000053520000}"/>
    <cellStyle name="Normal 2 14 11 2 2" xfId="21073" xr:uid="{00000000-0005-0000-0000-000054520000}"/>
    <cellStyle name="Normal 2 14 11 2 2 2" xfId="21074" xr:uid="{00000000-0005-0000-0000-000055520000}"/>
    <cellStyle name="Normal 2 14 11 2 2 3" xfId="21075" xr:uid="{00000000-0005-0000-0000-000056520000}"/>
    <cellStyle name="Normal 2 14 11 2 3" xfId="21076" xr:uid="{00000000-0005-0000-0000-000057520000}"/>
    <cellStyle name="Normal 2 14 11 2 4" xfId="21077" xr:uid="{00000000-0005-0000-0000-000058520000}"/>
    <cellStyle name="Normal 2 14 11 2 5" xfId="21078" xr:uid="{00000000-0005-0000-0000-000059520000}"/>
    <cellStyle name="Normal 2 14 11 2 6" xfId="21079" xr:uid="{00000000-0005-0000-0000-00005A520000}"/>
    <cellStyle name="Normal 2 14 11 3" xfId="21080" xr:uid="{00000000-0005-0000-0000-00005B520000}"/>
    <cellStyle name="Normal 2 14 11 3 2" xfId="21081" xr:uid="{00000000-0005-0000-0000-00005C520000}"/>
    <cellStyle name="Normal 2 14 11 3 2 2" xfId="21082" xr:uid="{00000000-0005-0000-0000-00005D520000}"/>
    <cellStyle name="Normal 2 14 11 3 2 3" xfId="21083" xr:uid="{00000000-0005-0000-0000-00005E520000}"/>
    <cellStyle name="Normal 2 14 11 3 3" xfId="21084" xr:uid="{00000000-0005-0000-0000-00005F520000}"/>
    <cellStyle name="Normal 2 14 11 3 4" xfId="21085" xr:uid="{00000000-0005-0000-0000-000060520000}"/>
    <cellStyle name="Normal 2 14 11 3 5" xfId="21086" xr:uid="{00000000-0005-0000-0000-000061520000}"/>
    <cellStyle name="Normal 2 14 11 3 6" xfId="21087" xr:uid="{00000000-0005-0000-0000-000062520000}"/>
    <cellStyle name="Normal 2 14 11 4" xfId="21088" xr:uid="{00000000-0005-0000-0000-000063520000}"/>
    <cellStyle name="Normal 2 14 11 4 2" xfId="21089" xr:uid="{00000000-0005-0000-0000-000064520000}"/>
    <cellStyle name="Normal 2 14 11 4 2 2" xfId="21090" xr:uid="{00000000-0005-0000-0000-000065520000}"/>
    <cellStyle name="Normal 2 14 11 4 3" xfId="21091" xr:uid="{00000000-0005-0000-0000-000066520000}"/>
    <cellStyle name="Normal 2 14 11 4 4" xfId="21092" xr:uid="{00000000-0005-0000-0000-000067520000}"/>
    <cellStyle name="Normal 2 14 11 4 5" xfId="21093" xr:uid="{00000000-0005-0000-0000-000068520000}"/>
    <cellStyle name="Normal 2 14 11 5" xfId="21094" xr:uid="{00000000-0005-0000-0000-000069520000}"/>
    <cellStyle name="Normal 2 14 11 5 2" xfId="21095" xr:uid="{00000000-0005-0000-0000-00006A520000}"/>
    <cellStyle name="Normal 2 14 11 5 3" xfId="21096" xr:uid="{00000000-0005-0000-0000-00006B520000}"/>
    <cellStyle name="Normal 2 14 11 5 4" xfId="21097" xr:uid="{00000000-0005-0000-0000-00006C520000}"/>
    <cellStyle name="Normal 2 14 11 6" xfId="21098" xr:uid="{00000000-0005-0000-0000-00006D520000}"/>
    <cellStyle name="Normal 2 14 11 6 2" xfId="21099" xr:uid="{00000000-0005-0000-0000-00006E520000}"/>
    <cellStyle name="Normal 2 14 11 7" xfId="21100" xr:uid="{00000000-0005-0000-0000-00006F520000}"/>
    <cellStyle name="Normal 2 14 11 8" xfId="21101" xr:uid="{00000000-0005-0000-0000-000070520000}"/>
    <cellStyle name="Normal 2 14 11 9" xfId="21102" xr:uid="{00000000-0005-0000-0000-000071520000}"/>
    <cellStyle name="Normal 2 14 12" xfId="21103" xr:uid="{00000000-0005-0000-0000-000072520000}"/>
    <cellStyle name="Normal 2 14 12 10" xfId="21104" xr:uid="{00000000-0005-0000-0000-000073520000}"/>
    <cellStyle name="Normal 2 14 12 2" xfId="21105" xr:uid="{00000000-0005-0000-0000-000074520000}"/>
    <cellStyle name="Normal 2 14 12 2 2" xfId="21106" xr:uid="{00000000-0005-0000-0000-000075520000}"/>
    <cellStyle name="Normal 2 14 12 2 2 2" xfId="21107" xr:uid="{00000000-0005-0000-0000-000076520000}"/>
    <cellStyle name="Normal 2 14 12 2 2 3" xfId="21108" xr:uid="{00000000-0005-0000-0000-000077520000}"/>
    <cellStyle name="Normal 2 14 12 2 3" xfId="21109" xr:uid="{00000000-0005-0000-0000-000078520000}"/>
    <cellStyle name="Normal 2 14 12 2 4" xfId="21110" xr:uid="{00000000-0005-0000-0000-000079520000}"/>
    <cellStyle name="Normal 2 14 12 2 5" xfId="21111" xr:uid="{00000000-0005-0000-0000-00007A520000}"/>
    <cellStyle name="Normal 2 14 12 2 6" xfId="21112" xr:uid="{00000000-0005-0000-0000-00007B520000}"/>
    <cellStyle name="Normal 2 14 12 3" xfId="21113" xr:uid="{00000000-0005-0000-0000-00007C520000}"/>
    <cellStyle name="Normal 2 14 12 3 2" xfId="21114" xr:uid="{00000000-0005-0000-0000-00007D520000}"/>
    <cellStyle name="Normal 2 14 12 3 2 2" xfId="21115" xr:uid="{00000000-0005-0000-0000-00007E520000}"/>
    <cellStyle name="Normal 2 14 12 3 2 3" xfId="21116" xr:uid="{00000000-0005-0000-0000-00007F520000}"/>
    <cellStyle name="Normal 2 14 12 3 3" xfId="21117" xr:uid="{00000000-0005-0000-0000-000080520000}"/>
    <cellStyle name="Normal 2 14 12 3 4" xfId="21118" xr:uid="{00000000-0005-0000-0000-000081520000}"/>
    <cellStyle name="Normal 2 14 12 3 5" xfId="21119" xr:uid="{00000000-0005-0000-0000-000082520000}"/>
    <cellStyle name="Normal 2 14 12 3 6" xfId="21120" xr:uid="{00000000-0005-0000-0000-000083520000}"/>
    <cellStyle name="Normal 2 14 12 4" xfId="21121" xr:uid="{00000000-0005-0000-0000-000084520000}"/>
    <cellStyle name="Normal 2 14 12 4 2" xfId="21122" xr:uid="{00000000-0005-0000-0000-000085520000}"/>
    <cellStyle name="Normal 2 14 12 4 2 2" xfId="21123" xr:uid="{00000000-0005-0000-0000-000086520000}"/>
    <cellStyle name="Normal 2 14 12 4 3" xfId="21124" xr:uid="{00000000-0005-0000-0000-000087520000}"/>
    <cellStyle name="Normal 2 14 12 4 4" xfId="21125" xr:uid="{00000000-0005-0000-0000-000088520000}"/>
    <cellStyle name="Normal 2 14 12 4 5" xfId="21126" xr:uid="{00000000-0005-0000-0000-000089520000}"/>
    <cellStyle name="Normal 2 14 12 5" xfId="21127" xr:uid="{00000000-0005-0000-0000-00008A520000}"/>
    <cellStyle name="Normal 2 14 12 5 2" xfId="21128" xr:uid="{00000000-0005-0000-0000-00008B520000}"/>
    <cellStyle name="Normal 2 14 12 5 3" xfId="21129" xr:uid="{00000000-0005-0000-0000-00008C520000}"/>
    <cellStyle name="Normal 2 14 12 5 4" xfId="21130" xr:uid="{00000000-0005-0000-0000-00008D520000}"/>
    <cellStyle name="Normal 2 14 12 6" xfId="21131" xr:uid="{00000000-0005-0000-0000-00008E520000}"/>
    <cellStyle name="Normal 2 14 12 6 2" xfId="21132" xr:uid="{00000000-0005-0000-0000-00008F520000}"/>
    <cellStyle name="Normal 2 14 12 7" xfId="21133" xr:uid="{00000000-0005-0000-0000-000090520000}"/>
    <cellStyle name="Normal 2 14 12 8" xfId="21134" xr:uid="{00000000-0005-0000-0000-000091520000}"/>
    <cellStyle name="Normal 2 14 12 9" xfId="21135" xr:uid="{00000000-0005-0000-0000-000092520000}"/>
    <cellStyle name="Normal 2 14 13" xfId="21136" xr:uid="{00000000-0005-0000-0000-000093520000}"/>
    <cellStyle name="Normal 2 14 13 2" xfId="21137" xr:uid="{00000000-0005-0000-0000-000094520000}"/>
    <cellStyle name="Normal 2 14 13 2 2" xfId="21138" xr:uid="{00000000-0005-0000-0000-000095520000}"/>
    <cellStyle name="Normal 2 14 13 2 2 2" xfId="21139" xr:uid="{00000000-0005-0000-0000-000096520000}"/>
    <cellStyle name="Normal 2 14 13 2 2 3" xfId="21140" xr:uid="{00000000-0005-0000-0000-000097520000}"/>
    <cellStyle name="Normal 2 14 13 2 3" xfId="21141" xr:uid="{00000000-0005-0000-0000-000098520000}"/>
    <cellStyle name="Normal 2 14 13 2 4" xfId="21142" xr:uid="{00000000-0005-0000-0000-000099520000}"/>
    <cellStyle name="Normal 2 14 13 2 5" xfId="21143" xr:uid="{00000000-0005-0000-0000-00009A520000}"/>
    <cellStyle name="Normal 2 14 13 2 6" xfId="21144" xr:uid="{00000000-0005-0000-0000-00009B520000}"/>
    <cellStyle name="Normal 2 14 13 3" xfId="21145" xr:uid="{00000000-0005-0000-0000-00009C520000}"/>
    <cellStyle name="Normal 2 14 13 3 2" xfId="21146" xr:uid="{00000000-0005-0000-0000-00009D520000}"/>
    <cellStyle name="Normal 2 14 13 3 2 2" xfId="21147" xr:uid="{00000000-0005-0000-0000-00009E520000}"/>
    <cellStyle name="Normal 2 14 13 3 3" xfId="21148" xr:uid="{00000000-0005-0000-0000-00009F520000}"/>
    <cellStyle name="Normal 2 14 13 3 4" xfId="21149" xr:uid="{00000000-0005-0000-0000-0000A0520000}"/>
    <cellStyle name="Normal 2 14 13 3 5" xfId="21150" xr:uid="{00000000-0005-0000-0000-0000A1520000}"/>
    <cellStyle name="Normal 2 14 13 4" xfId="21151" xr:uid="{00000000-0005-0000-0000-0000A2520000}"/>
    <cellStyle name="Normal 2 14 13 4 2" xfId="21152" xr:uid="{00000000-0005-0000-0000-0000A3520000}"/>
    <cellStyle name="Normal 2 14 13 4 3" xfId="21153" xr:uid="{00000000-0005-0000-0000-0000A4520000}"/>
    <cellStyle name="Normal 2 14 13 4 4" xfId="21154" xr:uid="{00000000-0005-0000-0000-0000A5520000}"/>
    <cellStyle name="Normal 2 14 13 5" xfId="21155" xr:uid="{00000000-0005-0000-0000-0000A6520000}"/>
    <cellStyle name="Normal 2 14 13 5 2" xfId="21156" xr:uid="{00000000-0005-0000-0000-0000A7520000}"/>
    <cellStyle name="Normal 2 14 13 6" xfId="21157" xr:uid="{00000000-0005-0000-0000-0000A8520000}"/>
    <cellStyle name="Normal 2 14 13 7" xfId="21158" xr:uid="{00000000-0005-0000-0000-0000A9520000}"/>
    <cellStyle name="Normal 2 14 13 8" xfId="21159" xr:uid="{00000000-0005-0000-0000-0000AA520000}"/>
    <cellStyle name="Normal 2 14 13 9" xfId="21160" xr:uid="{00000000-0005-0000-0000-0000AB520000}"/>
    <cellStyle name="Normal 2 14 14" xfId="21161" xr:uid="{00000000-0005-0000-0000-0000AC520000}"/>
    <cellStyle name="Normal 2 14 14 2" xfId="21162" xr:uid="{00000000-0005-0000-0000-0000AD520000}"/>
    <cellStyle name="Normal 2 14 14 2 2" xfId="21163" xr:uid="{00000000-0005-0000-0000-0000AE520000}"/>
    <cellStyle name="Normal 2 14 14 2 2 2" xfId="21164" xr:uid="{00000000-0005-0000-0000-0000AF520000}"/>
    <cellStyle name="Normal 2 14 14 2 2 3" xfId="21165" xr:uid="{00000000-0005-0000-0000-0000B0520000}"/>
    <cellStyle name="Normal 2 14 14 2 3" xfId="21166" xr:uid="{00000000-0005-0000-0000-0000B1520000}"/>
    <cellStyle name="Normal 2 14 14 2 4" xfId="21167" xr:uid="{00000000-0005-0000-0000-0000B2520000}"/>
    <cellStyle name="Normal 2 14 14 2 5" xfId="21168" xr:uid="{00000000-0005-0000-0000-0000B3520000}"/>
    <cellStyle name="Normal 2 14 14 2 6" xfId="21169" xr:uid="{00000000-0005-0000-0000-0000B4520000}"/>
    <cellStyle name="Normal 2 14 14 3" xfId="21170" xr:uid="{00000000-0005-0000-0000-0000B5520000}"/>
    <cellStyle name="Normal 2 14 14 3 2" xfId="21171" xr:uid="{00000000-0005-0000-0000-0000B6520000}"/>
    <cellStyle name="Normal 2 14 14 3 2 2" xfId="21172" xr:uid="{00000000-0005-0000-0000-0000B7520000}"/>
    <cellStyle name="Normal 2 14 14 3 3" xfId="21173" xr:uid="{00000000-0005-0000-0000-0000B8520000}"/>
    <cellStyle name="Normal 2 14 14 3 4" xfId="21174" xr:uid="{00000000-0005-0000-0000-0000B9520000}"/>
    <cellStyle name="Normal 2 14 14 3 5" xfId="21175" xr:uid="{00000000-0005-0000-0000-0000BA520000}"/>
    <cellStyle name="Normal 2 14 14 4" xfId="21176" xr:uid="{00000000-0005-0000-0000-0000BB520000}"/>
    <cellStyle name="Normal 2 14 14 4 2" xfId="21177" xr:uid="{00000000-0005-0000-0000-0000BC520000}"/>
    <cellStyle name="Normal 2 14 14 4 3" xfId="21178" xr:uid="{00000000-0005-0000-0000-0000BD520000}"/>
    <cellStyle name="Normal 2 14 14 4 4" xfId="21179" xr:uid="{00000000-0005-0000-0000-0000BE520000}"/>
    <cellStyle name="Normal 2 14 14 5" xfId="21180" xr:uid="{00000000-0005-0000-0000-0000BF520000}"/>
    <cellStyle name="Normal 2 14 14 5 2" xfId="21181" xr:uid="{00000000-0005-0000-0000-0000C0520000}"/>
    <cellStyle name="Normal 2 14 14 6" xfId="21182" xr:uid="{00000000-0005-0000-0000-0000C1520000}"/>
    <cellStyle name="Normal 2 14 14 7" xfId="21183" xr:uid="{00000000-0005-0000-0000-0000C2520000}"/>
    <cellStyle name="Normal 2 14 14 8" xfId="21184" xr:uid="{00000000-0005-0000-0000-0000C3520000}"/>
    <cellStyle name="Normal 2 14 14 9" xfId="21185" xr:uid="{00000000-0005-0000-0000-0000C4520000}"/>
    <cellStyle name="Normal 2 14 15" xfId="21186" xr:uid="{00000000-0005-0000-0000-0000C5520000}"/>
    <cellStyle name="Normal 2 14 15 2" xfId="21187" xr:uid="{00000000-0005-0000-0000-0000C6520000}"/>
    <cellStyle name="Normal 2 14 15 2 2" xfId="21188" xr:uid="{00000000-0005-0000-0000-0000C7520000}"/>
    <cellStyle name="Normal 2 14 15 2 3" xfId="21189" xr:uid="{00000000-0005-0000-0000-0000C8520000}"/>
    <cellStyle name="Normal 2 14 15 3" xfId="21190" xr:uid="{00000000-0005-0000-0000-0000C9520000}"/>
    <cellStyle name="Normal 2 14 15 4" xfId="21191" xr:uid="{00000000-0005-0000-0000-0000CA520000}"/>
    <cellStyle name="Normal 2 14 15 5" xfId="21192" xr:uid="{00000000-0005-0000-0000-0000CB520000}"/>
    <cellStyle name="Normal 2 14 15 6" xfId="21193" xr:uid="{00000000-0005-0000-0000-0000CC520000}"/>
    <cellStyle name="Normal 2 14 16" xfId="21194" xr:uid="{00000000-0005-0000-0000-0000CD520000}"/>
    <cellStyle name="Normal 2 14 16 2" xfId="21195" xr:uid="{00000000-0005-0000-0000-0000CE520000}"/>
    <cellStyle name="Normal 2 14 16 2 2" xfId="21196" xr:uid="{00000000-0005-0000-0000-0000CF520000}"/>
    <cellStyle name="Normal 2 14 16 3" xfId="21197" xr:uid="{00000000-0005-0000-0000-0000D0520000}"/>
    <cellStyle name="Normal 2 14 16 4" xfId="21198" xr:uid="{00000000-0005-0000-0000-0000D1520000}"/>
    <cellStyle name="Normal 2 14 16 5" xfId="21199" xr:uid="{00000000-0005-0000-0000-0000D2520000}"/>
    <cellStyle name="Normal 2 14 16 6" xfId="21200" xr:uid="{00000000-0005-0000-0000-0000D3520000}"/>
    <cellStyle name="Normal 2 14 17" xfId="21201" xr:uid="{00000000-0005-0000-0000-0000D4520000}"/>
    <cellStyle name="Normal 2 14 17 2" xfId="21202" xr:uid="{00000000-0005-0000-0000-0000D5520000}"/>
    <cellStyle name="Normal 2 14 17 2 2" xfId="21203" xr:uid="{00000000-0005-0000-0000-0000D6520000}"/>
    <cellStyle name="Normal 2 14 17 3" xfId="21204" xr:uid="{00000000-0005-0000-0000-0000D7520000}"/>
    <cellStyle name="Normal 2 14 17 4" xfId="21205" xr:uid="{00000000-0005-0000-0000-0000D8520000}"/>
    <cellStyle name="Normal 2 14 17 5" xfId="21206" xr:uid="{00000000-0005-0000-0000-0000D9520000}"/>
    <cellStyle name="Normal 2 14 17 6" xfId="21207" xr:uid="{00000000-0005-0000-0000-0000DA520000}"/>
    <cellStyle name="Normal 2 14 18" xfId="21208" xr:uid="{00000000-0005-0000-0000-0000DB520000}"/>
    <cellStyle name="Normal 2 14 18 2" xfId="21209" xr:uid="{00000000-0005-0000-0000-0000DC520000}"/>
    <cellStyle name="Normal 2 14 18 3" xfId="21210" xr:uid="{00000000-0005-0000-0000-0000DD520000}"/>
    <cellStyle name="Normal 2 14 19" xfId="21211" xr:uid="{00000000-0005-0000-0000-0000DE520000}"/>
    <cellStyle name="Normal 2 14 19 2" xfId="21212" xr:uid="{00000000-0005-0000-0000-0000DF520000}"/>
    <cellStyle name="Normal 2 14 19 3" xfId="21213" xr:uid="{00000000-0005-0000-0000-0000E0520000}"/>
    <cellStyle name="Normal 2 14 2" xfId="21214" xr:uid="{00000000-0005-0000-0000-0000E1520000}"/>
    <cellStyle name="Normal 2 14 2 10" xfId="21215" xr:uid="{00000000-0005-0000-0000-0000E2520000}"/>
    <cellStyle name="Normal 2 14 2 11" xfId="21216" xr:uid="{00000000-0005-0000-0000-0000E3520000}"/>
    <cellStyle name="Normal 2 14 2 2" xfId="21217" xr:uid="{00000000-0005-0000-0000-0000E4520000}"/>
    <cellStyle name="Normal 2 14 2 2 2" xfId="21218" xr:uid="{00000000-0005-0000-0000-0000E5520000}"/>
    <cellStyle name="Normal 2 14 2 2 2 2" xfId="21219" xr:uid="{00000000-0005-0000-0000-0000E6520000}"/>
    <cellStyle name="Normal 2 14 2 2 2 2 2" xfId="21220" xr:uid="{00000000-0005-0000-0000-0000E7520000}"/>
    <cellStyle name="Normal 2 14 2 2 2 2 3" xfId="21221" xr:uid="{00000000-0005-0000-0000-0000E8520000}"/>
    <cellStyle name="Normal 2 14 2 2 2 3" xfId="21222" xr:uid="{00000000-0005-0000-0000-0000E9520000}"/>
    <cellStyle name="Normal 2 14 2 2 2 4" xfId="21223" xr:uid="{00000000-0005-0000-0000-0000EA520000}"/>
    <cellStyle name="Normal 2 14 2 2 2 5" xfId="21224" xr:uid="{00000000-0005-0000-0000-0000EB520000}"/>
    <cellStyle name="Normal 2 14 2 2 2 6" xfId="21225" xr:uid="{00000000-0005-0000-0000-0000EC520000}"/>
    <cellStyle name="Normal 2 14 2 2 3" xfId="21226" xr:uid="{00000000-0005-0000-0000-0000ED520000}"/>
    <cellStyle name="Normal 2 14 2 2 3 2" xfId="21227" xr:uid="{00000000-0005-0000-0000-0000EE520000}"/>
    <cellStyle name="Normal 2 14 2 2 3 2 2" xfId="21228" xr:uid="{00000000-0005-0000-0000-0000EF520000}"/>
    <cellStyle name="Normal 2 14 2 2 3 3" xfId="21229" xr:uid="{00000000-0005-0000-0000-0000F0520000}"/>
    <cellStyle name="Normal 2 14 2 2 3 4" xfId="21230" xr:uid="{00000000-0005-0000-0000-0000F1520000}"/>
    <cellStyle name="Normal 2 14 2 2 3 5" xfId="21231" xr:uid="{00000000-0005-0000-0000-0000F2520000}"/>
    <cellStyle name="Normal 2 14 2 2 4" xfId="21232" xr:uid="{00000000-0005-0000-0000-0000F3520000}"/>
    <cellStyle name="Normal 2 14 2 2 4 2" xfId="21233" xr:uid="{00000000-0005-0000-0000-0000F4520000}"/>
    <cellStyle name="Normal 2 14 2 2 4 3" xfId="21234" xr:uid="{00000000-0005-0000-0000-0000F5520000}"/>
    <cellStyle name="Normal 2 14 2 2 4 4" xfId="21235" xr:uid="{00000000-0005-0000-0000-0000F6520000}"/>
    <cellStyle name="Normal 2 14 2 2 5" xfId="21236" xr:uid="{00000000-0005-0000-0000-0000F7520000}"/>
    <cellStyle name="Normal 2 14 2 2 5 2" xfId="21237" xr:uid="{00000000-0005-0000-0000-0000F8520000}"/>
    <cellStyle name="Normal 2 14 2 2 6" xfId="21238" xr:uid="{00000000-0005-0000-0000-0000F9520000}"/>
    <cellStyle name="Normal 2 14 2 2 7" xfId="21239" xr:uid="{00000000-0005-0000-0000-0000FA520000}"/>
    <cellStyle name="Normal 2 14 2 2 8" xfId="21240" xr:uid="{00000000-0005-0000-0000-0000FB520000}"/>
    <cellStyle name="Normal 2 14 2 2 9" xfId="21241" xr:uid="{00000000-0005-0000-0000-0000FC520000}"/>
    <cellStyle name="Normal 2 14 2 3" xfId="21242" xr:uid="{00000000-0005-0000-0000-0000FD520000}"/>
    <cellStyle name="Normal 2 14 2 3 2" xfId="21243" xr:uid="{00000000-0005-0000-0000-0000FE520000}"/>
    <cellStyle name="Normal 2 14 2 3 2 2" xfId="21244" xr:uid="{00000000-0005-0000-0000-0000FF520000}"/>
    <cellStyle name="Normal 2 14 2 3 2 2 2" xfId="21245" xr:uid="{00000000-0005-0000-0000-000000530000}"/>
    <cellStyle name="Normal 2 14 2 3 2 2 3" xfId="21246" xr:uid="{00000000-0005-0000-0000-000001530000}"/>
    <cellStyle name="Normal 2 14 2 3 2 3" xfId="21247" xr:uid="{00000000-0005-0000-0000-000002530000}"/>
    <cellStyle name="Normal 2 14 2 3 2 4" xfId="21248" xr:uid="{00000000-0005-0000-0000-000003530000}"/>
    <cellStyle name="Normal 2 14 2 3 2 5" xfId="21249" xr:uid="{00000000-0005-0000-0000-000004530000}"/>
    <cellStyle name="Normal 2 14 2 3 2 6" xfId="21250" xr:uid="{00000000-0005-0000-0000-000005530000}"/>
    <cellStyle name="Normal 2 14 2 3 3" xfId="21251" xr:uid="{00000000-0005-0000-0000-000006530000}"/>
    <cellStyle name="Normal 2 14 2 3 3 2" xfId="21252" xr:uid="{00000000-0005-0000-0000-000007530000}"/>
    <cellStyle name="Normal 2 14 2 3 3 2 2" xfId="21253" xr:uid="{00000000-0005-0000-0000-000008530000}"/>
    <cellStyle name="Normal 2 14 2 3 3 3" xfId="21254" xr:uid="{00000000-0005-0000-0000-000009530000}"/>
    <cellStyle name="Normal 2 14 2 3 3 4" xfId="21255" xr:uid="{00000000-0005-0000-0000-00000A530000}"/>
    <cellStyle name="Normal 2 14 2 3 3 5" xfId="21256" xr:uid="{00000000-0005-0000-0000-00000B530000}"/>
    <cellStyle name="Normal 2 14 2 3 4" xfId="21257" xr:uid="{00000000-0005-0000-0000-00000C530000}"/>
    <cellStyle name="Normal 2 14 2 3 4 2" xfId="21258" xr:uid="{00000000-0005-0000-0000-00000D530000}"/>
    <cellStyle name="Normal 2 14 2 3 4 3" xfId="21259" xr:uid="{00000000-0005-0000-0000-00000E530000}"/>
    <cellStyle name="Normal 2 14 2 3 4 4" xfId="21260" xr:uid="{00000000-0005-0000-0000-00000F530000}"/>
    <cellStyle name="Normal 2 14 2 3 5" xfId="21261" xr:uid="{00000000-0005-0000-0000-000010530000}"/>
    <cellStyle name="Normal 2 14 2 3 5 2" xfId="21262" xr:uid="{00000000-0005-0000-0000-000011530000}"/>
    <cellStyle name="Normal 2 14 2 3 6" xfId="21263" xr:uid="{00000000-0005-0000-0000-000012530000}"/>
    <cellStyle name="Normal 2 14 2 3 7" xfId="21264" xr:uid="{00000000-0005-0000-0000-000013530000}"/>
    <cellStyle name="Normal 2 14 2 3 8" xfId="21265" xr:uid="{00000000-0005-0000-0000-000014530000}"/>
    <cellStyle name="Normal 2 14 2 3 9" xfId="21266" xr:uid="{00000000-0005-0000-0000-000015530000}"/>
    <cellStyle name="Normal 2 14 2 4" xfId="21267" xr:uid="{00000000-0005-0000-0000-000016530000}"/>
    <cellStyle name="Normal 2 14 2 4 2" xfId="21268" xr:uid="{00000000-0005-0000-0000-000017530000}"/>
    <cellStyle name="Normal 2 14 2 4 2 2" xfId="21269" xr:uid="{00000000-0005-0000-0000-000018530000}"/>
    <cellStyle name="Normal 2 14 2 4 2 3" xfId="21270" xr:uid="{00000000-0005-0000-0000-000019530000}"/>
    <cellStyle name="Normal 2 14 2 4 3" xfId="21271" xr:uid="{00000000-0005-0000-0000-00001A530000}"/>
    <cellStyle name="Normal 2 14 2 4 4" xfId="21272" xr:uid="{00000000-0005-0000-0000-00001B530000}"/>
    <cellStyle name="Normal 2 14 2 4 5" xfId="21273" xr:uid="{00000000-0005-0000-0000-00001C530000}"/>
    <cellStyle name="Normal 2 14 2 4 6" xfId="21274" xr:uid="{00000000-0005-0000-0000-00001D530000}"/>
    <cellStyle name="Normal 2 14 2 5" xfId="21275" xr:uid="{00000000-0005-0000-0000-00001E530000}"/>
    <cellStyle name="Normal 2 14 2 5 2" xfId="21276" xr:uid="{00000000-0005-0000-0000-00001F530000}"/>
    <cellStyle name="Normal 2 14 2 5 2 2" xfId="21277" xr:uid="{00000000-0005-0000-0000-000020530000}"/>
    <cellStyle name="Normal 2 14 2 5 3" xfId="21278" xr:uid="{00000000-0005-0000-0000-000021530000}"/>
    <cellStyle name="Normal 2 14 2 5 4" xfId="21279" xr:uid="{00000000-0005-0000-0000-000022530000}"/>
    <cellStyle name="Normal 2 14 2 5 5" xfId="21280" xr:uid="{00000000-0005-0000-0000-000023530000}"/>
    <cellStyle name="Normal 2 14 2 6" xfId="21281" xr:uid="{00000000-0005-0000-0000-000024530000}"/>
    <cellStyle name="Normal 2 14 2 6 2" xfId="21282" xr:uid="{00000000-0005-0000-0000-000025530000}"/>
    <cellStyle name="Normal 2 14 2 6 3" xfId="21283" xr:uid="{00000000-0005-0000-0000-000026530000}"/>
    <cellStyle name="Normal 2 14 2 6 4" xfId="21284" xr:uid="{00000000-0005-0000-0000-000027530000}"/>
    <cellStyle name="Normal 2 14 2 7" xfId="21285" xr:uid="{00000000-0005-0000-0000-000028530000}"/>
    <cellStyle name="Normal 2 14 2 7 2" xfId="21286" xr:uid="{00000000-0005-0000-0000-000029530000}"/>
    <cellStyle name="Normal 2 14 2 8" xfId="21287" xr:uid="{00000000-0005-0000-0000-00002A530000}"/>
    <cellStyle name="Normal 2 14 2 9" xfId="21288" xr:uid="{00000000-0005-0000-0000-00002B530000}"/>
    <cellStyle name="Normal 2 14 20" xfId="21289" xr:uid="{00000000-0005-0000-0000-00002C530000}"/>
    <cellStyle name="Normal 2 14 21" xfId="21290" xr:uid="{00000000-0005-0000-0000-00002D530000}"/>
    <cellStyle name="Normal 2 14 22" xfId="21291" xr:uid="{00000000-0005-0000-0000-00002E530000}"/>
    <cellStyle name="Normal 2 14 23" xfId="21292" xr:uid="{00000000-0005-0000-0000-00002F530000}"/>
    <cellStyle name="Normal 2 14 24" xfId="21293" xr:uid="{00000000-0005-0000-0000-000030530000}"/>
    <cellStyle name="Normal 2 14 25" xfId="21294" xr:uid="{00000000-0005-0000-0000-000031530000}"/>
    <cellStyle name="Normal 2 14 26" xfId="21295" xr:uid="{00000000-0005-0000-0000-000032530000}"/>
    <cellStyle name="Normal 2 14 27" xfId="21296" xr:uid="{00000000-0005-0000-0000-000033530000}"/>
    <cellStyle name="Normal 2 14 28" xfId="21297" xr:uid="{00000000-0005-0000-0000-000034530000}"/>
    <cellStyle name="Normal 2 14 29" xfId="21298" xr:uid="{00000000-0005-0000-0000-000035530000}"/>
    <cellStyle name="Normal 2 14 3" xfId="21299" xr:uid="{00000000-0005-0000-0000-000036530000}"/>
    <cellStyle name="Normal 2 14 3 10" xfId="21300" xr:uid="{00000000-0005-0000-0000-000037530000}"/>
    <cellStyle name="Normal 2 14 3 11" xfId="21301" xr:uid="{00000000-0005-0000-0000-000038530000}"/>
    <cellStyle name="Normal 2 14 3 2" xfId="21302" xr:uid="{00000000-0005-0000-0000-000039530000}"/>
    <cellStyle name="Normal 2 14 3 2 2" xfId="21303" xr:uid="{00000000-0005-0000-0000-00003A530000}"/>
    <cellStyle name="Normal 2 14 3 2 2 2" xfId="21304" xr:uid="{00000000-0005-0000-0000-00003B530000}"/>
    <cellStyle name="Normal 2 14 3 2 2 2 2" xfId="21305" xr:uid="{00000000-0005-0000-0000-00003C530000}"/>
    <cellStyle name="Normal 2 14 3 2 2 2 3" xfId="21306" xr:uid="{00000000-0005-0000-0000-00003D530000}"/>
    <cellStyle name="Normal 2 14 3 2 2 3" xfId="21307" xr:uid="{00000000-0005-0000-0000-00003E530000}"/>
    <cellStyle name="Normal 2 14 3 2 2 4" xfId="21308" xr:uid="{00000000-0005-0000-0000-00003F530000}"/>
    <cellStyle name="Normal 2 14 3 2 2 5" xfId="21309" xr:uid="{00000000-0005-0000-0000-000040530000}"/>
    <cellStyle name="Normal 2 14 3 2 2 6" xfId="21310" xr:uid="{00000000-0005-0000-0000-000041530000}"/>
    <cellStyle name="Normal 2 14 3 2 3" xfId="21311" xr:uid="{00000000-0005-0000-0000-000042530000}"/>
    <cellStyle name="Normal 2 14 3 2 3 2" xfId="21312" xr:uid="{00000000-0005-0000-0000-000043530000}"/>
    <cellStyle name="Normal 2 14 3 2 3 2 2" xfId="21313" xr:uid="{00000000-0005-0000-0000-000044530000}"/>
    <cellStyle name="Normal 2 14 3 2 3 3" xfId="21314" xr:uid="{00000000-0005-0000-0000-000045530000}"/>
    <cellStyle name="Normal 2 14 3 2 3 4" xfId="21315" xr:uid="{00000000-0005-0000-0000-000046530000}"/>
    <cellStyle name="Normal 2 14 3 2 3 5" xfId="21316" xr:uid="{00000000-0005-0000-0000-000047530000}"/>
    <cellStyle name="Normal 2 14 3 2 4" xfId="21317" xr:uid="{00000000-0005-0000-0000-000048530000}"/>
    <cellStyle name="Normal 2 14 3 2 4 2" xfId="21318" xr:uid="{00000000-0005-0000-0000-000049530000}"/>
    <cellStyle name="Normal 2 14 3 2 4 3" xfId="21319" xr:uid="{00000000-0005-0000-0000-00004A530000}"/>
    <cellStyle name="Normal 2 14 3 2 4 4" xfId="21320" xr:uid="{00000000-0005-0000-0000-00004B530000}"/>
    <cellStyle name="Normal 2 14 3 2 5" xfId="21321" xr:uid="{00000000-0005-0000-0000-00004C530000}"/>
    <cellStyle name="Normal 2 14 3 2 5 2" xfId="21322" xr:uid="{00000000-0005-0000-0000-00004D530000}"/>
    <cellStyle name="Normal 2 14 3 2 6" xfId="21323" xr:uid="{00000000-0005-0000-0000-00004E530000}"/>
    <cellStyle name="Normal 2 14 3 2 7" xfId="21324" xr:uid="{00000000-0005-0000-0000-00004F530000}"/>
    <cellStyle name="Normal 2 14 3 2 8" xfId="21325" xr:uid="{00000000-0005-0000-0000-000050530000}"/>
    <cellStyle name="Normal 2 14 3 2 9" xfId="21326" xr:uid="{00000000-0005-0000-0000-000051530000}"/>
    <cellStyle name="Normal 2 14 3 3" xfId="21327" xr:uid="{00000000-0005-0000-0000-000052530000}"/>
    <cellStyle name="Normal 2 14 3 3 2" xfId="21328" xr:uid="{00000000-0005-0000-0000-000053530000}"/>
    <cellStyle name="Normal 2 14 3 3 2 2" xfId="21329" xr:uid="{00000000-0005-0000-0000-000054530000}"/>
    <cellStyle name="Normal 2 14 3 3 2 2 2" xfId="21330" xr:uid="{00000000-0005-0000-0000-000055530000}"/>
    <cellStyle name="Normal 2 14 3 3 2 2 3" xfId="21331" xr:uid="{00000000-0005-0000-0000-000056530000}"/>
    <cellStyle name="Normal 2 14 3 3 2 3" xfId="21332" xr:uid="{00000000-0005-0000-0000-000057530000}"/>
    <cellStyle name="Normal 2 14 3 3 2 4" xfId="21333" xr:uid="{00000000-0005-0000-0000-000058530000}"/>
    <cellStyle name="Normal 2 14 3 3 2 5" xfId="21334" xr:uid="{00000000-0005-0000-0000-000059530000}"/>
    <cellStyle name="Normal 2 14 3 3 2 6" xfId="21335" xr:uid="{00000000-0005-0000-0000-00005A530000}"/>
    <cellStyle name="Normal 2 14 3 3 3" xfId="21336" xr:uid="{00000000-0005-0000-0000-00005B530000}"/>
    <cellStyle name="Normal 2 14 3 3 3 2" xfId="21337" xr:uid="{00000000-0005-0000-0000-00005C530000}"/>
    <cellStyle name="Normal 2 14 3 3 3 2 2" xfId="21338" xr:uid="{00000000-0005-0000-0000-00005D530000}"/>
    <cellStyle name="Normal 2 14 3 3 3 3" xfId="21339" xr:uid="{00000000-0005-0000-0000-00005E530000}"/>
    <cellStyle name="Normal 2 14 3 3 3 4" xfId="21340" xr:uid="{00000000-0005-0000-0000-00005F530000}"/>
    <cellStyle name="Normal 2 14 3 3 3 5" xfId="21341" xr:uid="{00000000-0005-0000-0000-000060530000}"/>
    <cellStyle name="Normal 2 14 3 3 4" xfId="21342" xr:uid="{00000000-0005-0000-0000-000061530000}"/>
    <cellStyle name="Normal 2 14 3 3 4 2" xfId="21343" xr:uid="{00000000-0005-0000-0000-000062530000}"/>
    <cellStyle name="Normal 2 14 3 3 4 3" xfId="21344" xr:uid="{00000000-0005-0000-0000-000063530000}"/>
    <cellStyle name="Normal 2 14 3 3 4 4" xfId="21345" xr:uid="{00000000-0005-0000-0000-000064530000}"/>
    <cellStyle name="Normal 2 14 3 3 5" xfId="21346" xr:uid="{00000000-0005-0000-0000-000065530000}"/>
    <cellStyle name="Normal 2 14 3 3 5 2" xfId="21347" xr:uid="{00000000-0005-0000-0000-000066530000}"/>
    <cellStyle name="Normal 2 14 3 3 6" xfId="21348" xr:uid="{00000000-0005-0000-0000-000067530000}"/>
    <cellStyle name="Normal 2 14 3 3 7" xfId="21349" xr:uid="{00000000-0005-0000-0000-000068530000}"/>
    <cellStyle name="Normal 2 14 3 3 8" xfId="21350" xr:uid="{00000000-0005-0000-0000-000069530000}"/>
    <cellStyle name="Normal 2 14 3 3 9" xfId="21351" xr:uid="{00000000-0005-0000-0000-00006A530000}"/>
    <cellStyle name="Normal 2 14 3 4" xfId="21352" xr:uid="{00000000-0005-0000-0000-00006B530000}"/>
    <cellStyle name="Normal 2 14 3 4 2" xfId="21353" xr:uid="{00000000-0005-0000-0000-00006C530000}"/>
    <cellStyle name="Normal 2 14 3 4 2 2" xfId="21354" xr:uid="{00000000-0005-0000-0000-00006D530000}"/>
    <cellStyle name="Normal 2 14 3 4 2 3" xfId="21355" xr:uid="{00000000-0005-0000-0000-00006E530000}"/>
    <cellStyle name="Normal 2 14 3 4 3" xfId="21356" xr:uid="{00000000-0005-0000-0000-00006F530000}"/>
    <cellStyle name="Normal 2 14 3 4 4" xfId="21357" xr:uid="{00000000-0005-0000-0000-000070530000}"/>
    <cellStyle name="Normal 2 14 3 4 5" xfId="21358" xr:uid="{00000000-0005-0000-0000-000071530000}"/>
    <cellStyle name="Normal 2 14 3 4 6" xfId="21359" xr:uid="{00000000-0005-0000-0000-000072530000}"/>
    <cellStyle name="Normal 2 14 3 5" xfId="21360" xr:uid="{00000000-0005-0000-0000-000073530000}"/>
    <cellStyle name="Normal 2 14 3 5 2" xfId="21361" xr:uid="{00000000-0005-0000-0000-000074530000}"/>
    <cellStyle name="Normal 2 14 3 5 2 2" xfId="21362" xr:uid="{00000000-0005-0000-0000-000075530000}"/>
    <cellStyle name="Normal 2 14 3 5 3" xfId="21363" xr:uid="{00000000-0005-0000-0000-000076530000}"/>
    <cellStyle name="Normal 2 14 3 5 4" xfId="21364" xr:uid="{00000000-0005-0000-0000-000077530000}"/>
    <cellStyle name="Normal 2 14 3 5 5" xfId="21365" xr:uid="{00000000-0005-0000-0000-000078530000}"/>
    <cellStyle name="Normal 2 14 3 6" xfId="21366" xr:uid="{00000000-0005-0000-0000-000079530000}"/>
    <cellStyle name="Normal 2 14 3 6 2" xfId="21367" xr:uid="{00000000-0005-0000-0000-00007A530000}"/>
    <cellStyle name="Normal 2 14 3 6 3" xfId="21368" xr:uid="{00000000-0005-0000-0000-00007B530000}"/>
    <cellStyle name="Normal 2 14 3 6 4" xfId="21369" xr:uid="{00000000-0005-0000-0000-00007C530000}"/>
    <cellStyle name="Normal 2 14 3 7" xfId="21370" xr:uid="{00000000-0005-0000-0000-00007D530000}"/>
    <cellStyle name="Normal 2 14 3 7 2" xfId="21371" xr:uid="{00000000-0005-0000-0000-00007E530000}"/>
    <cellStyle name="Normal 2 14 3 8" xfId="21372" xr:uid="{00000000-0005-0000-0000-00007F530000}"/>
    <cellStyle name="Normal 2 14 3 9" xfId="21373" xr:uid="{00000000-0005-0000-0000-000080530000}"/>
    <cellStyle name="Normal 2 14 30" xfId="21374" xr:uid="{00000000-0005-0000-0000-000081530000}"/>
    <cellStyle name="Normal 2 14 31" xfId="21375" xr:uid="{00000000-0005-0000-0000-000082530000}"/>
    <cellStyle name="Normal 2 14 32" xfId="21376" xr:uid="{00000000-0005-0000-0000-000083530000}"/>
    <cellStyle name="Normal 2 14 33" xfId="21377" xr:uid="{00000000-0005-0000-0000-000084530000}"/>
    <cellStyle name="Normal 2 14 34" xfId="21378" xr:uid="{00000000-0005-0000-0000-000085530000}"/>
    <cellStyle name="Normal 2 14 35" xfId="21379" xr:uid="{00000000-0005-0000-0000-000086530000}"/>
    <cellStyle name="Normal 2 14 36" xfId="21380" xr:uid="{00000000-0005-0000-0000-000087530000}"/>
    <cellStyle name="Normal 2 14 37" xfId="21381" xr:uid="{00000000-0005-0000-0000-000088530000}"/>
    <cellStyle name="Normal 2 14 37 2" xfId="21382" xr:uid="{00000000-0005-0000-0000-000089530000}"/>
    <cellStyle name="Normal 2 14 38" xfId="21383" xr:uid="{00000000-0005-0000-0000-00008A530000}"/>
    <cellStyle name="Normal 2 14 39" xfId="21384" xr:uid="{00000000-0005-0000-0000-00008B530000}"/>
    <cellStyle name="Normal 2 14 4" xfId="21385" xr:uid="{00000000-0005-0000-0000-00008C530000}"/>
    <cellStyle name="Normal 2 14 4 10" xfId="21386" xr:uid="{00000000-0005-0000-0000-00008D530000}"/>
    <cellStyle name="Normal 2 14 4 11" xfId="21387" xr:uid="{00000000-0005-0000-0000-00008E530000}"/>
    <cellStyle name="Normal 2 14 4 2" xfId="21388" xr:uid="{00000000-0005-0000-0000-00008F530000}"/>
    <cellStyle name="Normal 2 14 4 2 2" xfId="21389" xr:uid="{00000000-0005-0000-0000-000090530000}"/>
    <cellStyle name="Normal 2 14 4 2 2 2" xfId="21390" xr:uid="{00000000-0005-0000-0000-000091530000}"/>
    <cellStyle name="Normal 2 14 4 2 2 2 2" xfId="21391" xr:uid="{00000000-0005-0000-0000-000092530000}"/>
    <cellStyle name="Normal 2 14 4 2 2 2 3" xfId="21392" xr:uid="{00000000-0005-0000-0000-000093530000}"/>
    <cellStyle name="Normal 2 14 4 2 2 3" xfId="21393" xr:uid="{00000000-0005-0000-0000-000094530000}"/>
    <cellStyle name="Normal 2 14 4 2 2 4" xfId="21394" xr:uid="{00000000-0005-0000-0000-000095530000}"/>
    <cellStyle name="Normal 2 14 4 2 2 5" xfId="21395" xr:uid="{00000000-0005-0000-0000-000096530000}"/>
    <cellStyle name="Normal 2 14 4 2 2 6" xfId="21396" xr:uid="{00000000-0005-0000-0000-000097530000}"/>
    <cellStyle name="Normal 2 14 4 2 3" xfId="21397" xr:uid="{00000000-0005-0000-0000-000098530000}"/>
    <cellStyle name="Normal 2 14 4 2 3 2" xfId="21398" xr:uid="{00000000-0005-0000-0000-000099530000}"/>
    <cellStyle name="Normal 2 14 4 2 3 2 2" xfId="21399" xr:uid="{00000000-0005-0000-0000-00009A530000}"/>
    <cellStyle name="Normal 2 14 4 2 3 3" xfId="21400" xr:uid="{00000000-0005-0000-0000-00009B530000}"/>
    <cellStyle name="Normal 2 14 4 2 3 4" xfId="21401" xr:uid="{00000000-0005-0000-0000-00009C530000}"/>
    <cellStyle name="Normal 2 14 4 2 3 5" xfId="21402" xr:uid="{00000000-0005-0000-0000-00009D530000}"/>
    <cellStyle name="Normal 2 14 4 2 4" xfId="21403" xr:uid="{00000000-0005-0000-0000-00009E530000}"/>
    <cellStyle name="Normal 2 14 4 2 4 2" xfId="21404" xr:uid="{00000000-0005-0000-0000-00009F530000}"/>
    <cellStyle name="Normal 2 14 4 2 4 3" xfId="21405" xr:uid="{00000000-0005-0000-0000-0000A0530000}"/>
    <cellStyle name="Normal 2 14 4 2 4 4" xfId="21406" xr:uid="{00000000-0005-0000-0000-0000A1530000}"/>
    <cellStyle name="Normal 2 14 4 2 5" xfId="21407" xr:uid="{00000000-0005-0000-0000-0000A2530000}"/>
    <cellStyle name="Normal 2 14 4 2 5 2" xfId="21408" xr:uid="{00000000-0005-0000-0000-0000A3530000}"/>
    <cellStyle name="Normal 2 14 4 2 6" xfId="21409" xr:uid="{00000000-0005-0000-0000-0000A4530000}"/>
    <cellStyle name="Normal 2 14 4 2 7" xfId="21410" xr:uid="{00000000-0005-0000-0000-0000A5530000}"/>
    <cellStyle name="Normal 2 14 4 2 8" xfId="21411" xr:uid="{00000000-0005-0000-0000-0000A6530000}"/>
    <cellStyle name="Normal 2 14 4 2 9" xfId="21412" xr:uid="{00000000-0005-0000-0000-0000A7530000}"/>
    <cellStyle name="Normal 2 14 4 3" xfId="21413" xr:uid="{00000000-0005-0000-0000-0000A8530000}"/>
    <cellStyle name="Normal 2 14 4 3 2" xfId="21414" xr:uid="{00000000-0005-0000-0000-0000A9530000}"/>
    <cellStyle name="Normal 2 14 4 3 2 2" xfId="21415" xr:uid="{00000000-0005-0000-0000-0000AA530000}"/>
    <cellStyle name="Normal 2 14 4 3 2 2 2" xfId="21416" xr:uid="{00000000-0005-0000-0000-0000AB530000}"/>
    <cellStyle name="Normal 2 14 4 3 2 2 3" xfId="21417" xr:uid="{00000000-0005-0000-0000-0000AC530000}"/>
    <cellStyle name="Normal 2 14 4 3 2 3" xfId="21418" xr:uid="{00000000-0005-0000-0000-0000AD530000}"/>
    <cellStyle name="Normal 2 14 4 3 2 4" xfId="21419" xr:uid="{00000000-0005-0000-0000-0000AE530000}"/>
    <cellStyle name="Normal 2 14 4 3 2 5" xfId="21420" xr:uid="{00000000-0005-0000-0000-0000AF530000}"/>
    <cellStyle name="Normal 2 14 4 3 2 6" xfId="21421" xr:uid="{00000000-0005-0000-0000-0000B0530000}"/>
    <cellStyle name="Normal 2 14 4 3 3" xfId="21422" xr:uid="{00000000-0005-0000-0000-0000B1530000}"/>
    <cellStyle name="Normal 2 14 4 3 3 2" xfId="21423" xr:uid="{00000000-0005-0000-0000-0000B2530000}"/>
    <cellStyle name="Normal 2 14 4 3 3 2 2" xfId="21424" xr:uid="{00000000-0005-0000-0000-0000B3530000}"/>
    <cellStyle name="Normal 2 14 4 3 3 3" xfId="21425" xr:uid="{00000000-0005-0000-0000-0000B4530000}"/>
    <cellStyle name="Normal 2 14 4 3 3 4" xfId="21426" xr:uid="{00000000-0005-0000-0000-0000B5530000}"/>
    <cellStyle name="Normal 2 14 4 3 3 5" xfId="21427" xr:uid="{00000000-0005-0000-0000-0000B6530000}"/>
    <cellStyle name="Normal 2 14 4 3 4" xfId="21428" xr:uid="{00000000-0005-0000-0000-0000B7530000}"/>
    <cellStyle name="Normal 2 14 4 3 4 2" xfId="21429" xr:uid="{00000000-0005-0000-0000-0000B8530000}"/>
    <cellStyle name="Normal 2 14 4 3 4 3" xfId="21430" xr:uid="{00000000-0005-0000-0000-0000B9530000}"/>
    <cellStyle name="Normal 2 14 4 3 4 4" xfId="21431" xr:uid="{00000000-0005-0000-0000-0000BA530000}"/>
    <cellStyle name="Normal 2 14 4 3 5" xfId="21432" xr:uid="{00000000-0005-0000-0000-0000BB530000}"/>
    <cellStyle name="Normal 2 14 4 3 5 2" xfId="21433" xr:uid="{00000000-0005-0000-0000-0000BC530000}"/>
    <cellStyle name="Normal 2 14 4 3 6" xfId="21434" xr:uid="{00000000-0005-0000-0000-0000BD530000}"/>
    <cellStyle name="Normal 2 14 4 3 7" xfId="21435" xr:uid="{00000000-0005-0000-0000-0000BE530000}"/>
    <cellStyle name="Normal 2 14 4 3 8" xfId="21436" xr:uid="{00000000-0005-0000-0000-0000BF530000}"/>
    <cellStyle name="Normal 2 14 4 3 9" xfId="21437" xr:uid="{00000000-0005-0000-0000-0000C0530000}"/>
    <cellStyle name="Normal 2 14 4 4" xfId="21438" xr:uid="{00000000-0005-0000-0000-0000C1530000}"/>
    <cellStyle name="Normal 2 14 4 4 2" xfId="21439" xr:uid="{00000000-0005-0000-0000-0000C2530000}"/>
    <cellStyle name="Normal 2 14 4 4 2 2" xfId="21440" xr:uid="{00000000-0005-0000-0000-0000C3530000}"/>
    <cellStyle name="Normal 2 14 4 4 2 3" xfId="21441" xr:uid="{00000000-0005-0000-0000-0000C4530000}"/>
    <cellStyle name="Normal 2 14 4 4 3" xfId="21442" xr:uid="{00000000-0005-0000-0000-0000C5530000}"/>
    <cellStyle name="Normal 2 14 4 4 4" xfId="21443" xr:uid="{00000000-0005-0000-0000-0000C6530000}"/>
    <cellStyle name="Normal 2 14 4 4 5" xfId="21444" xr:uid="{00000000-0005-0000-0000-0000C7530000}"/>
    <cellStyle name="Normal 2 14 4 4 6" xfId="21445" xr:uid="{00000000-0005-0000-0000-0000C8530000}"/>
    <cellStyle name="Normal 2 14 4 5" xfId="21446" xr:uid="{00000000-0005-0000-0000-0000C9530000}"/>
    <cellStyle name="Normal 2 14 4 5 2" xfId="21447" xr:uid="{00000000-0005-0000-0000-0000CA530000}"/>
    <cellStyle name="Normal 2 14 4 5 2 2" xfId="21448" xr:uid="{00000000-0005-0000-0000-0000CB530000}"/>
    <cellStyle name="Normal 2 14 4 5 3" xfId="21449" xr:uid="{00000000-0005-0000-0000-0000CC530000}"/>
    <cellStyle name="Normal 2 14 4 5 4" xfId="21450" xr:uid="{00000000-0005-0000-0000-0000CD530000}"/>
    <cellStyle name="Normal 2 14 4 5 5" xfId="21451" xr:uid="{00000000-0005-0000-0000-0000CE530000}"/>
    <cellStyle name="Normal 2 14 4 6" xfId="21452" xr:uid="{00000000-0005-0000-0000-0000CF530000}"/>
    <cellStyle name="Normal 2 14 4 6 2" xfId="21453" xr:uid="{00000000-0005-0000-0000-0000D0530000}"/>
    <cellStyle name="Normal 2 14 4 6 3" xfId="21454" xr:uid="{00000000-0005-0000-0000-0000D1530000}"/>
    <cellStyle name="Normal 2 14 4 6 4" xfId="21455" xr:uid="{00000000-0005-0000-0000-0000D2530000}"/>
    <cellStyle name="Normal 2 14 4 7" xfId="21456" xr:uid="{00000000-0005-0000-0000-0000D3530000}"/>
    <cellStyle name="Normal 2 14 4 7 2" xfId="21457" xr:uid="{00000000-0005-0000-0000-0000D4530000}"/>
    <cellStyle name="Normal 2 14 4 8" xfId="21458" xr:uid="{00000000-0005-0000-0000-0000D5530000}"/>
    <cellStyle name="Normal 2 14 4 9" xfId="21459" xr:uid="{00000000-0005-0000-0000-0000D6530000}"/>
    <cellStyle name="Normal 2 14 40" xfId="21460" xr:uid="{00000000-0005-0000-0000-0000D7530000}"/>
    <cellStyle name="Normal 2 14 5" xfId="21461" xr:uid="{00000000-0005-0000-0000-0000D8530000}"/>
    <cellStyle name="Normal 2 14 5 10" xfId="21462" xr:uid="{00000000-0005-0000-0000-0000D9530000}"/>
    <cellStyle name="Normal 2 14 5 11" xfId="21463" xr:uid="{00000000-0005-0000-0000-0000DA530000}"/>
    <cellStyle name="Normal 2 14 5 2" xfId="21464" xr:uid="{00000000-0005-0000-0000-0000DB530000}"/>
    <cellStyle name="Normal 2 14 5 2 2" xfId="21465" xr:uid="{00000000-0005-0000-0000-0000DC530000}"/>
    <cellStyle name="Normal 2 14 5 2 2 2" xfId="21466" xr:uid="{00000000-0005-0000-0000-0000DD530000}"/>
    <cellStyle name="Normal 2 14 5 2 2 2 2" xfId="21467" xr:uid="{00000000-0005-0000-0000-0000DE530000}"/>
    <cellStyle name="Normal 2 14 5 2 2 2 3" xfId="21468" xr:uid="{00000000-0005-0000-0000-0000DF530000}"/>
    <cellStyle name="Normal 2 14 5 2 2 3" xfId="21469" xr:uid="{00000000-0005-0000-0000-0000E0530000}"/>
    <cellStyle name="Normal 2 14 5 2 2 4" xfId="21470" xr:uid="{00000000-0005-0000-0000-0000E1530000}"/>
    <cellStyle name="Normal 2 14 5 2 2 5" xfId="21471" xr:uid="{00000000-0005-0000-0000-0000E2530000}"/>
    <cellStyle name="Normal 2 14 5 2 2 6" xfId="21472" xr:uid="{00000000-0005-0000-0000-0000E3530000}"/>
    <cellStyle name="Normal 2 14 5 2 3" xfId="21473" xr:uid="{00000000-0005-0000-0000-0000E4530000}"/>
    <cellStyle name="Normal 2 14 5 2 3 2" xfId="21474" xr:uid="{00000000-0005-0000-0000-0000E5530000}"/>
    <cellStyle name="Normal 2 14 5 2 3 2 2" xfId="21475" xr:uid="{00000000-0005-0000-0000-0000E6530000}"/>
    <cellStyle name="Normal 2 14 5 2 3 3" xfId="21476" xr:uid="{00000000-0005-0000-0000-0000E7530000}"/>
    <cellStyle name="Normal 2 14 5 2 3 4" xfId="21477" xr:uid="{00000000-0005-0000-0000-0000E8530000}"/>
    <cellStyle name="Normal 2 14 5 2 3 5" xfId="21478" xr:uid="{00000000-0005-0000-0000-0000E9530000}"/>
    <cellStyle name="Normal 2 14 5 2 4" xfId="21479" xr:uid="{00000000-0005-0000-0000-0000EA530000}"/>
    <cellStyle name="Normal 2 14 5 2 4 2" xfId="21480" xr:uid="{00000000-0005-0000-0000-0000EB530000}"/>
    <cellStyle name="Normal 2 14 5 2 4 3" xfId="21481" xr:uid="{00000000-0005-0000-0000-0000EC530000}"/>
    <cellStyle name="Normal 2 14 5 2 4 4" xfId="21482" xr:uid="{00000000-0005-0000-0000-0000ED530000}"/>
    <cellStyle name="Normal 2 14 5 2 5" xfId="21483" xr:uid="{00000000-0005-0000-0000-0000EE530000}"/>
    <cellStyle name="Normal 2 14 5 2 5 2" xfId="21484" xr:uid="{00000000-0005-0000-0000-0000EF530000}"/>
    <cellStyle name="Normal 2 14 5 2 6" xfId="21485" xr:uid="{00000000-0005-0000-0000-0000F0530000}"/>
    <cellStyle name="Normal 2 14 5 2 7" xfId="21486" xr:uid="{00000000-0005-0000-0000-0000F1530000}"/>
    <cellStyle name="Normal 2 14 5 2 8" xfId="21487" xr:uid="{00000000-0005-0000-0000-0000F2530000}"/>
    <cellStyle name="Normal 2 14 5 2 9" xfId="21488" xr:uid="{00000000-0005-0000-0000-0000F3530000}"/>
    <cellStyle name="Normal 2 14 5 3" xfId="21489" xr:uid="{00000000-0005-0000-0000-0000F4530000}"/>
    <cellStyle name="Normal 2 14 5 3 2" xfId="21490" xr:uid="{00000000-0005-0000-0000-0000F5530000}"/>
    <cellStyle name="Normal 2 14 5 3 2 2" xfId="21491" xr:uid="{00000000-0005-0000-0000-0000F6530000}"/>
    <cellStyle name="Normal 2 14 5 3 2 2 2" xfId="21492" xr:uid="{00000000-0005-0000-0000-0000F7530000}"/>
    <cellStyle name="Normal 2 14 5 3 2 2 3" xfId="21493" xr:uid="{00000000-0005-0000-0000-0000F8530000}"/>
    <cellStyle name="Normal 2 14 5 3 2 3" xfId="21494" xr:uid="{00000000-0005-0000-0000-0000F9530000}"/>
    <cellStyle name="Normal 2 14 5 3 2 4" xfId="21495" xr:uid="{00000000-0005-0000-0000-0000FA530000}"/>
    <cellStyle name="Normal 2 14 5 3 2 5" xfId="21496" xr:uid="{00000000-0005-0000-0000-0000FB530000}"/>
    <cellStyle name="Normal 2 14 5 3 2 6" xfId="21497" xr:uid="{00000000-0005-0000-0000-0000FC530000}"/>
    <cellStyle name="Normal 2 14 5 3 3" xfId="21498" xr:uid="{00000000-0005-0000-0000-0000FD530000}"/>
    <cellStyle name="Normal 2 14 5 3 3 2" xfId="21499" xr:uid="{00000000-0005-0000-0000-0000FE530000}"/>
    <cellStyle name="Normal 2 14 5 3 3 2 2" xfId="21500" xr:uid="{00000000-0005-0000-0000-0000FF530000}"/>
    <cellStyle name="Normal 2 14 5 3 3 3" xfId="21501" xr:uid="{00000000-0005-0000-0000-000000540000}"/>
    <cellStyle name="Normal 2 14 5 3 3 4" xfId="21502" xr:uid="{00000000-0005-0000-0000-000001540000}"/>
    <cellStyle name="Normal 2 14 5 3 3 5" xfId="21503" xr:uid="{00000000-0005-0000-0000-000002540000}"/>
    <cellStyle name="Normal 2 14 5 3 4" xfId="21504" xr:uid="{00000000-0005-0000-0000-000003540000}"/>
    <cellStyle name="Normal 2 14 5 3 4 2" xfId="21505" xr:uid="{00000000-0005-0000-0000-000004540000}"/>
    <cellStyle name="Normal 2 14 5 3 4 3" xfId="21506" xr:uid="{00000000-0005-0000-0000-000005540000}"/>
    <cellStyle name="Normal 2 14 5 3 4 4" xfId="21507" xr:uid="{00000000-0005-0000-0000-000006540000}"/>
    <cellStyle name="Normal 2 14 5 3 5" xfId="21508" xr:uid="{00000000-0005-0000-0000-000007540000}"/>
    <cellStyle name="Normal 2 14 5 3 5 2" xfId="21509" xr:uid="{00000000-0005-0000-0000-000008540000}"/>
    <cellStyle name="Normal 2 14 5 3 6" xfId="21510" xr:uid="{00000000-0005-0000-0000-000009540000}"/>
    <cellStyle name="Normal 2 14 5 3 7" xfId="21511" xr:uid="{00000000-0005-0000-0000-00000A540000}"/>
    <cellStyle name="Normal 2 14 5 3 8" xfId="21512" xr:uid="{00000000-0005-0000-0000-00000B540000}"/>
    <cellStyle name="Normal 2 14 5 3 9" xfId="21513" xr:uid="{00000000-0005-0000-0000-00000C540000}"/>
    <cellStyle name="Normal 2 14 5 4" xfId="21514" xr:uid="{00000000-0005-0000-0000-00000D540000}"/>
    <cellStyle name="Normal 2 14 5 4 2" xfId="21515" xr:uid="{00000000-0005-0000-0000-00000E540000}"/>
    <cellStyle name="Normal 2 14 5 4 2 2" xfId="21516" xr:uid="{00000000-0005-0000-0000-00000F540000}"/>
    <cellStyle name="Normal 2 14 5 4 2 3" xfId="21517" xr:uid="{00000000-0005-0000-0000-000010540000}"/>
    <cellStyle name="Normal 2 14 5 4 3" xfId="21518" xr:uid="{00000000-0005-0000-0000-000011540000}"/>
    <cellStyle name="Normal 2 14 5 4 4" xfId="21519" xr:uid="{00000000-0005-0000-0000-000012540000}"/>
    <cellStyle name="Normal 2 14 5 4 5" xfId="21520" xr:uid="{00000000-0005-0000-0000-000013540000}"/>
    <cellStyle name="Normal 2 14 5 4 6" xfId="21521" xr:uid="{00000000-0005-0000-0000-000014540000}"/>
    <cellStyle name="Normal 2 14 5 5" xfId="21522" xr:uid="{00000000-0005-0000-0000-000015540000}"/>
    <cellStyle name="Normal 2 14 5 5 2" xfId="21523" xr:uid="{00000000-0005-0000-0000-000016540000}"/>
    <cellStyle name="Normal 2 14 5 5 2 2" xfId="21524" xr:uid="{00000000-0005-0000-0000-000017540000}"/>
    <cellStyle name="Normal 2 14 5 5 3" xfId="21525" xr:uid="{00000000-0005-0000-0000-000018540000}"/>
    <cellStyle name="Normal 2 14 5 5 4" xfId="21526" xr:uid="{00000000-0005-0000-0000-000019540000}"/>
    <cellStyle name="Normal 2 14 5 5 5" xfId="21527" xr:uid="{00000000-0005-0000-0000-00001A540000}"/>
    <cellStyle name="Normal 2 14 5 6" xfId="21528" xr:uid="{00000000-0005-0000-0000-00001B540000}"/>
    <cellStyle name="Normal 2 14 5 6 2" xfId="21529" xr:uid="{00000000-0005-0000-0000-00001C540000}"/>
    <cellStyle name="Normal 2 14 5 6 3" xfId="21530" xr:uid="{00000000-0005-0000-0000-00001D540000}"/>
    <cellStyle name="Normal 2 14 5 6 4" xfId="21531" xr:uid="{00000000-0005-0000-0000-00001E540000}"/>
    <cellStyle name="Normal 2 14 5 7" xfId="21532" xr:uid="{00000000-0005-0000-0000-00001F540000}"/>
    <cellStyle name="Normal 2 14 5 7 2" xfId="21533" xr:uid="{00000000-0005-0000-0000-000020540000}"/>
    <cellStyle name="Normal 2 14 5 8" xfId="21534" xr:uid="{00000000-0005-0000-0000-000021540000}"/>
    <cellStyle name="Normal 2 14 5 9" xfId="21535" xr:uid="{00000000-0005-0000-0000-000022540000}"/>
    <cellStyle name="Normal 2 14 6" xfId="21536" xr:uid="{00000000-0005-0000-0000-000023540000}"/>
    <cellStyle name="Normal 2 14 6 10" xfId="21537" xr:uid="{00000000-0005-0000-0000-000024540000}"/>
    <cellStyle name="Normal 2 14 6 11" xfId="21538" xr:uid="{00000000-0005-0000-0000-000025540000}"/>
    <cellStyle name="Normal 2 14 6 2" xfId="21539" xr:uid="{00000000-0005-0000-0000-000026540000}"/>
    <cellStyle name="Normal 2 14 6 2 2" xfId="21540" xr:uid="{00000000-0005-0000-0000-000027540000}"/>
    <cellStyle name="Normal 2 14 6 2 2 2" xfId="21541" xr:uid="{00000000-0005-0000-0000-000028540000}"/>
    <cellStyle name="Normal 2 14 6 2 2 2 2" xfId="21542" xr:uid="{00000000-0005-0000-0000-000029540000}"/>
    <cellStyle name="Normal 2 14 6 2 2 2 3" xfId="21543" xr:uid="{00000000-0005-0000-0000-00002A540000}"/>
    <cellStyle name="Normal 2 14 6 2 2 3" xfId="21544" xr:uid="{00000000-0005-0000-0000-00002B540000}"/>
    <cellStyle name="Normal 2 14 6 2 2 4" xfId="21545" xr:uid="{00000000-0005-0000-0000-00002C540000}"/>
    <cellStyle name="Normal 2 14 6 2 2 5" xfId="21546" xr:uid="{00000000-0005-0000-0000-00002D540000}"/>
    <cellStyle name="Normal 2 14 6 2 2 6" xfId="21547" xr:uid="{00000000-0005-0000-0000-00002E540000}"/>
    <cellStyle name="Normal 2 14 6 2 3" xfId="21548" xr:uid="{00000000-0005-0000-0000-00002F540000}"/>
    <cellStyle name="Normal 2 14 6 2 3 2" xfId="21549" xr:uid="{00000000-0005-0000-0000-000030540000}"/>
    <cellStyle name="Normal 2 14 6 2 3 2 2" xfId="21550" xr:uid="{00000000-0005-0000-0000-000031540000}"/>
    <cellStyle name="Normal 2 14 6 2 3 3" xfId="21551" xr:uid="{00000000-0005-0000-0000-000032540000}"/>
    <cellStyle name="Normal 2 14 6 2 3 4" xfId="21552" xr:uid="{00000000-0005-0000-0000-000033540000}"/>
    <cellStyle name="Normal 2 14 6 2 3 5" xfId="21553" xr:uid="{00000000-0005-0000-0000-000034540000}"/>
    <cellStyle name="Normal 2 14 6 2 4" xfId="21554" xr:uid="{00000000-0005-0000-0000-000035540000}"/>
    <cellStyle name="Normal 2 14 6 2 4 2" xfId="21555" xr:uid="{00000000-0005-0000-0000-000036540000}"/>
    <cellStyle name="Normal 2 14 6 2 4 3" xfId="21556" xr:uid="{00000000-0005-0000-0000-000037540000}"/>
    <cellStyle name="Normal 2 14 6 2 4 4" xfId="21557" xr:uid="{00000000-0005-0000-0000-000038540000}"/>
    <cellStyle name="Normal 2 14 6 2 5" xfId="21558" xr:uid="{00000000-0005-0000-0000-000039540000}"/>
    <cellStyle name="Normal 2 14 6 2 5 2" xfId="21559" xr:uid="{00000000-0005-0000-0000-00003A540000}"/>
    <cellStyle name="Normal 2 14 6 2 6" xfId="21560" xr:uid="{00000000-0005-0000-0000-00003B540000}"/>
    <cellStyle name="Normal 2 14 6 2 7" xfId="21561" xr:uid="{00000000-0005-0000-0000-00003C540000}"/>
    <cellStyle name="Normal 2 14 6 2 8" xfId="21562" xr:uid="{00000000-0005-0000-0000-00003D540000}"/>
    <cellStyle name="Normal 2 14 6 2 9" xfId="21563" xr:uid="{00000000-0005-0000-0000-00003E540000}"/>
    <cellStyle name="Normal 2 14 6 3" xfId="21564" xr:uid="{00000000-0005-0000-0000-00003F540000}"/>
    <cellStyle name="Normal 2 14 6 3 2" xfId="21565" xr:uid="{00000000-0005-0000-0000-000040540000}"/>
    <cellStyle name="Normal 2 14 6 3 2 2" xfId="21566" xr:uid="{00000000-0005-0000-0000-000041540000}"/>
    <cellStyle name="Normal 2 14 6 3 2 2 2" xfId="21567" xr:uid="{00000000-0005-0000-0000-000042540000}"/>
    <cellStyle name="Normal 2 14 6 3 2 2 3" xfId="21568" xr:uid="{00000000-0005-0000-0000-000043540000}"/>
    <cellStyle name="Normal 2 14 6 3 2 3" xfId="21569" xr:uid="{00000000-0005-0000-0000-000044540000}"/>
    <cellStyle name="Normal 2 14 6 3 2 4" xfId="21570" xr:uid="{00000000-0005-0000-0000-000045540000}"/>
    <cellStyle name="Normal 2 14 6 3 2 5" xfId="21571" xr:uid="{00000000-0005-0000-0000-000046540000}"/>
    <cellStyle name="Normal 2 14 6 3 2 6" xfId="21572" xr:uid="{00000000-0005-0000-0000-000047540000}"/>
    <cellStyle name="Normal 2 14 6 3 3" xfId="21573" xr:uid="{00000000-0005-0000-0000-000048540000}"/>
    <cellStyle name="Normal 2 14 6 3 3 2" xfId="21574" xr:uid="{00000000-0005-0000-0000-000049540000}"/>
    <cellStyle name="Normal 2 14 6 3 3 2 2" xfId="21575" xr:uid="{00000000-0005-0000-0000-00004A540000}"/>
    <cellStyle name="Normal 2 14 6 3 3 3" xfId="21576" xr:uid="{00000000-0005-0000-0000-00004B540000}"/>
    <cellStyle name="Normal 2 14 6 3 3 4" xfId="21577" xr:uid="{00000000-0005-0000-0000-00004C540000}"/>
    <cellStyle name="Normal 2 14 6 3 3 5" xfId="21578" xr:uid="{00000000-0005-0000-0000-00004D540000}"/>
    <cellStyle name="Normal 2 14 6 3 4" xfId="21579" xr:uid="{00000000-0005-0000-0000-00004E540000}"/>
    <cellStyle name="Normal 2 14 6 3 4 2" xfId="21580" xr:uid="{00000000-0005-0000-0000-00004F540000}"/>
    <cellStyle name="Normal 2 14 6 3 4 3" xfId="21581" xr:uid="{00000000-0005-0000-0000-000050540000}"/>
    <cellStyle name="Normal 2 14 6 3 4 4" xfId="21582" xr:uid="{00000000-0005-0000-0000-000051540000}"/>
    <cellStyle name="Normal 2 14 6 3 5" xfId="21583" xr:uid="{00000000-0005-0000-0000-000052540000}"/>
    <cellStyle name="Normal 2 14 6 3 5 2" xfId="21584" xr:uid="{00000000-0005-0000-0000-000053540000}"/>
    <cellStyle name="Normal 2 14 6 3 6" xfId="21585" xr:uid="{00000000-0005-0000-0000-000054540000}"/>
    <cellStyle name="Normal 2 14 6 3 7" xfId="21586" xr:uid="{00000000-0005-0000-0000-000055540000}"/>
    <cellStyle name="Normal 2 14 6 3 8" xfId="21587" xr:uid="{00000000-0005-0000-0000-000056540000}"/>
    <cellStyle name="Normal 2 14 6 3 9" xfId="21588" xr:uid="{00000000-0005-0000-0000-000057540000}"/>
    <cellStyle name="Normal 2 14 6 4" xfId="21589" xr:uid="{00000000-0005-0000-0000-000058540000}"/>
    <cellStyle name="Normal 2 14 6 4 2" xfId="21590" xr:uid="{00000000-0005-0000-0000-000059540000}"/>
    <cellStyle name="Normal 2 14 6 4 2 2" xfId="21591" xr:uid="{00000000-0005-0000-0000-00005A540000}"/>
    <cellStyle name="Normal 2 14 6 4 2 3" xfId="21592" xr:uid="{00000000-0005-0000-0000-00005B540000}"/>
    <cellStyle name="Normal 2 14 6 4 3" xfId="21593" xr:uid="{00000000-0005-0000-0000-00005C540000}"/>
    <cellStyle name="Normal 2 14 6 4 4" xfId="21594" xr:uid="{00000000-0005-0000-0000-00005D540000}"/>
    <cellStyle name="Normal 2 14 6 4 5" xfId="21595" xr:uid="{00000000-0005-0000-0000-00005E540000}"/>
    <cellStyle name="Normal 2 14 6 4 6" xfId="21596" xr:uid="{00000000-0005-0000-0000-00005F540000}"/>
    <cellStyle name="Normal 2 14 6 5" xfId="21597" xr:uid="{00000000-0005-0000-0000-000060540000}"/>
    <cellStyle name="Normal 2 14 6 5 2" xfId="21598" xr:uid="{00000000-0005-0000-0000-000061540000}"/>
    <cellStyle name="Normal 2 14 6 5 2 2" xfId="21599" xr:uid="{00000000-0005-0000-0000-000062540000}"/>
    <cellStyle name="Normal 2 14 6 5 3" xfId="21600" xr:uid="{00000000-0005-0000-0000-000063540000}"/>
    <cellStyle name="Normal 2 14 6 5 4" xfId="21601" xr:uid="{00000000-0005-0000-0000-000064540000}"/>
    <cellStyle name="Normal 2 14 6 5 5" xfId="21602" xr:uid="{00000000-0005-0000-0000-000065540000}"/>
    <cellStyle name="Normal 2 14 6 6" xfId="21603" xr:uid="{00000000-0005-0000-0000-000066540000}"/>
    <cellStyle name="Normal 2 14 6 6 2" xfId="21604" xr:uid="{00000000-0005-0000-0000-000067540000}"/>
    <cellStyle name="Normal 2 14 6 6 3" xfId="21605" xr:uid="{00000000-0005-0000-0000-000068540000}"/>
    <cellStyle name="Normal 2 14 6 6 4" xfId="21606" xr:uid="{00000000-0005-0000-0000-000069540000}"/>
    <cellStyle name="Normal 2 14 6 7" xfId="21607" xr:uid="{00000000-0005-0000-0000-00006A540000}"/>
    <cellStyle name="Normal 2 14 6 7 2" xfId="21608" xr:uid="{00000000-0005-0000-0000-00006B540000}"/>
    <cellStyle name="Normal 2 14 6 8" xfId="21609" xr:uid="{00000000-0005-0000-0000-00006C540000}"/>
    <cellStyle name="Normal 2 14 6 9" xfId="21610" xr:uid="{00000000-0005-0000-0000-00006D540000}"/>
    <cellStyle name="Normal 2 14 7" xfId="21611" xr:uid="{00000000-0005-0000-0000-00006E540000}"/>
    <cellStyle name="Normal 2 14 7 10" xfId="21612" xr:uid="{00000000-0005-0000-0000-00006F540000}"/>
    <cellStyle name="Normal 2 14 7 11" xfId="21613" xr:uid="{00000000-0005-0000-0000-000070540000}"/>
    <cellStyle name="Normal 2 14 7 2" xfId="21614" xr:uid="{00000000-0005-0000-0000-000071540000}"/>
    <cellStyle name="Normal 2 14 7 2 2" xfId="21615" xr:uid="{00000000-0005-0000-0000-000072540000}"/>
    <cellStyle name="Normal 2 14 7 2 2 2" xfId="21616" xr:uid="{00000000-0005-0000-0000-000073540000}"/>
    <cellStyle name="Normal 2 14 7 2 2 2 2" xfId="21617" xr:uid="{00000000-0005-0000-0000-000074540000}"/>
    <cellStyle name="Normal 2 14 7 2 2 2 3" xfId="21618" xr:uid="{00000000-0005-0000-0000-000075540000}"/>
    <cellStyle name="Normal 2 14 7 2 2 3" xfId="21619" xr:uid="{00000000-0005-0000-0000-000076540000}"/>
    <cellStyle name="Normal 2 14 7 2 2 4" xfId="21620" xr:uid="{00000000-0005-0000-0000-000077540000}"/>
    <cellStyle name="Normal 2 14 7 2 2 5" xfId="21621" xr:uid="{00000000-0005-0000-0000-000078540000}"/>
    <cellStyle name="Normal 2 14 7 2 2 6" xfId="21622" xr:uid="{00000000-0005-0000-0000-000079540000}"/>
    <cellStyle name="Normal 2 14 7 2 3" xfId="21623" xr:uid="{00000000-0005-0000-0000-00007A540000}"/>
    <cellStyle name="Normal 2 14 7 2 3 2" xfId="21624" xr:uid="{00000000-0005-0000-0000-00007B540000}"/>
    <cellStyle name="Normal 2 14 7 2 3 2 2" xfId="21625" xr:uid="{00000000-0005-0000-0000-00007C540000}"/>
    <cellStyle name="Normal 2 14 7 2 3 3" xfId="21626" xr:uid="{00000000-0005-0000-0000-00007D540000}"/>
    <cellStyle name="Normal 2 14 7 2 3 4" xfId="21627" xr:uid="{00000000-0005-0000-0000-00007E540000}"/>
    <cellStyle name="Normal 2 14 7 2 3 5" xfId="21628" xr:uid="{00000000-0005-0000-0000-00007F540000}"/>
    <cellStyle name="Normal 2 14 7 2 4" xfId="21629" xr:uid="{00000000-0005-0000-0000-000080540000}"/>
    <cellStyle name="Normal 2 14 7 2 4 2" xfId="21630" xr:uid="{00000000-0005-0000-0000-000081540000}"/>
    <cellStyle name="Normal 2 14 7 2 4 3" xfId="21631" xr:uid="{00000000-0005-0000-0000-000082540000}"/>
    <cellStyle name="Normal 2 14 7 2 4 4" xfId="21632" xr:uid="{00000000-0005-0000-0000-000083540000}"/>
    <cellStyle name="Normal 2 14 7 2 5" xfId="21633" xr:uid="{00000000-0005-0000-0000-000084540000}"/>
    <cellStyle name="Normal 2 14 7 2 5 2" xfId="21634" xr:uid="{00000000-0005-0000-0000-000085540000}"/>
    <cellStyle name="Normal 2 14 7 2 6" xfId="21635" xr:uid="{00000000-0005-0000-0000-000086540000}"/>
    <cellStyle name="Normal 2 14 7 2 7" xfId="21636" xr:uid="{00000000-0005-0000-0000-000087540000}"/>
    <cellStyle name="Normal 2 14 7 2 8" xfId="21637" xr:uid="{00000000-0005-0000-0000-000088540000}"/>
    <cellStyle name="Normal 2 14 7 2 9" xfId="21638" xr:uid="{00000000-0005-0000-0000-000089540000}"/>
    <cellStyle name="Normal 2 14 7 3" xfId="21639" xr:uid="{00000000-0005-0000-0000-00008A540000}"/>
    <cellStyle name="Normal 2 14 7 3 2" xfId="21640" xr:uid="{00000000-0005-0000-0000-00008B540000}"/>
    <cellStyle name="Normal 2 14 7 3 2 2" xfId="21641" xr:uid="{00000000-0005-0000-0000-00008C540000}"/>
    <cellStyle name="Normal 2 14 7 3 2 2 2" xfId="21642" xr:uid="{00000000-0005-0000-0000-00008D540000}"/>
    <cellStyle name="Normal 2 14 7 3 2 2 3" xfId="21643" xr:uid="{00000000-0005-0000-0000-00008E540000}"/>
    <cellStyle name="Normal 2 14 7 3 2 3" xfId="21644" xr:uid="{00000000-0005-0000-0000-00008F540000}"/>
    <cellStyle name="Normal 2 14 7 3 2 4" xfId="21645" xr:uid="{00000000-0005-0000-0000-000090540000}"/>
    <cellStyle name="Normal 2 14 7 3 2 5" xfId="21646" xr:uid="{00000000-0005-0000-0000-000091540000}"/>
    <cellStyle name="Normal 2 14 7 3 2 6" xfId="21647" xr:uid="{00000000-0005-0000-0000-000092540000}"/>
    <cellStyle name="Normal 2 14 7 3 3" xfId="21648" xr:uid="{00000000-0005-0000-0000-000093540000}"/>
    <cellStyle name="Normal 2 14 7 3 3 2" xfId="21649" xr:uid="{00000000-0005-0000-0000-000094540000}"/>
    <cellStyle name="Normal 2 14 7 3 3 2 2" xfId="21650" xr:uid="{00000000-0005-0000-0000-000095540000}"/>
    <cellStyle name="Normal 2 14 7 3 3 3" xfId="21651" xr:uid="{00000000-0005-0000-0000-000096540000}"/>
    <cellStyle name="Normal 2 14 7 3 3 4" xfId="21652" xr:uid="{00000000-0005-0000-0000-000097540000}"/>
    <cellStyle name="Normal 2 14 7 3 3 5" xfId="21653" xr:uid="{00000000-0005-0000-0000-000098540000}"/>
    <cellStyle name="Normal 2 14 7 3 4" xfId="21654" xr:uid="{00000000-0005-0000-0000-000099540000}"/>
    <cellStyle name="Normal 2 14 7 3 4 2" xfId="21655" xr:uid="{00000000-0005-0000-0000-00009A540000}"/>
    <cellStyle name="Normal 2 14 7 3 4 3" xfId="21656" xr:uid="{00000000-0005-0000-0000-00009B540000}"/>
    <cellStyle name="Normal 2 14 7 3 4 4" xfId="21657" xr:uid="{00000000-0005-0000-0000-00009C540000}"/>
    <cellStyle name="Normal 2 14 7 3 5" xfId="21658" xr:uid="{00000000-0005-0000-0000-00009D540000}"/>
    <cellStyle name="Normal 2 14 7 3 5 2" xfId="21659" xr:uid="{00000000-0005-0000-0000-00009E540000}"/>
    <cellStyle name="Normal 2 14 7 3 6" xfId="21660" xr:uid="{00000000-0005-0000-0000-00009F540000}"/>
    <cellStyle name="Normal 2 14 7 3 7" xfId="21661" xr:uid="{00000000-0005-0000-0000-0000A0540000}"/>
    <cellStyle name="Normal 2 14 7 3 8" xfId="21662" xr:uid="{00000000-0005-0000-0000-0000A1540000}"/>
    <cellStyle name="Normal 2 14 7 3 9" xfId="21663" xr:uid="{00000000-0005-0000-0000-0000A2540000}"/>
    <cellStyle name="Normal 2 14 7 4" xfId="21664" xr:uid="{00000000-0005-0000-0000-0000A3540000}"/>
    <cellStyle name="Normal 2 14 7 4 2" xfId="21665" xr:uid="{00000000-0005-0000-0000-0000A4540000}"/>
    <cellStyle name="Normal 2 14 7 4 2 2" xfId="21666" xr:uid="{00000000-0005-0000-0000-0000A5540000}"/>
    <cellStyle name="Normal 2 14 7 4 2 3" xfId="21667" xr:uid="{00000000-0005-0000-0000-0000A6540000}"/>
    <cellStyle name="Normal 2 14 7 4 3" xfId="21668" xr:uid="{00000000-0005-0000-0000-0000A7540000}"/>
    <cellStyle name="Normal 2 14 7 4 4" xfId="21669" xr:uid="{00000000-0005-0000-0000-0000A8540000}"/>
    <cellStyle name="Normal 2 14 7 4 5" xfId="21670" xr:uid="{00000000-0005-0000-0000-0000A9540000}"/>
    <cellStyle name="Normal 2 14 7 4 6" xfId="21671" xr:uid="{00000000-0005-0000-0000-0000AA540000}"/>
    <cellStyle name="Normal 2 14 7 5" xfId="21672" xr:uid="{00000000-0005-0000-0000-0000AB540000}"/>
    <cellStyle name="Normal 2 14 7 5 2" xfId="21673" xr:uid="{00000000-0005-0000-0000-0000AC540000}"/>
    <cellStyle name="Normal 2 14 7 5 2 2" xfId="21674" xr:uid="{00000000-0005-0000-0000-0000AD540000}"/>
    <cellStyle name="Normal 2 14 7 5 3" xfId="21675" xr:uid="{00000000-0005-0000-0000-0000AE540000}"/>
    <cellStyle name="Normal 2 14 7 5 4" xfId="21676" xr:uid="{00000000-0005-0000-0000-0000AF540000}"/>
    <cellStyle name="Normal 2 14 7 5 5" xfId="21677" xr:uid="{00000000-0005-0000-0000-0000B0540000}"/>
    <cellStyle name="Normal 2 14 7 6" xfId="21678" xr:uid="{00000000-0005-0000-0000-0000B1540000}"/>
    <cellStyle name="Normal 2 14 7 6 2" xfId="21679" xr:uid="{00000000-0005-0000-0000-0000B2540000}"/>
    <cellStyle name="Normal 2 14 7 6 3" xfId="21680" xr:uid="{00000000-0005-0000-0000-0000B3540000}"/>
    <cellStyle name="Normal 2 14 7 6 4" xfId="21681" xr:uid="{00000000-0005-0000-0000-0000B4540000}"/>
    <cellStyle name="Normal 2 14 7 7" xfId="21682" xr:uid="{00000000-0005-0000-0000-0000B5540000}"/>
    <cellStyle name="Normal 2 14 7 7 2" xfId="21683" xr:uid="{00000000-0005-0000-0000-0000B6540000}"/>
    <cellStyle name="Normal 2 14 7 8" xfId="21684" xr:uid="{00000000-0005-0000-0000-0000B7540000}"/>
    <cellStyle name="Normal 2 14 7 9" xfId="21685" xr:uid="{00000000-0005-0000-0000-0000B8540000}"/>
    <cellStyle name="Normal 2 14 8" xfId="21686" xr:uid="{00000000-0005-0000-0000-0000B9540000}"/>
    <cellStyle name="Normal 2 14 8 10" xfId="21687" xr:uid="{00000000-0005-0000-0000-0000BA540000}"/>
    <cellStyle name="Normal 2 14 8 2" xfId="21688" xr:uid="{00000000-0005-0000-0000-0000BB540000}"/>
    <cellStyle name="Normal 2 14 8 2 2" xfId="21689" xr:uid="{00000000-0005-0000-0000-0000BC540000}"/>
    <cellStyle name="Normal 2 14 8 2 2 2" xfId="21690" xr:uid="{00000000-0005-0000-0000-0000BD540000}"/>
    <cellStyle name="Normal 2 14 8 2 2 3" xfId="21691" xr:uid="{00000000-0005-0000-0000-0000BE540000}"/>
    <cellStyle name="Normal 2 14 8 2 3" xfId="21692" xr:uid="{00000000-0005-0000-0000-0000BF540000}"/>
    <cellStyle name="Normal 2 14 8 2 4" xfId="21693" xr:uid="{00000000-0005-0000-0000-0000C0540000}"/>
    <cellStyle name="Normal 2 14 8 2 5" xfId="21694" xr:uid="{00000000-0005-0000-0000-0000C1540000}"/>
    <cellStyle name="Normal 2 14 8 2 6" xfId="21695" xr:uid="{00000000-0005-0000-0000-0000C2540000}"/>
    <cellStyle name="Normal 2 14 8 3" xfId="21696" xr:uid="{00000000-0005-0000-0000-0000C3540000}"/>
    <cellStyle name="Normal 2 14 8 3 2" xfId="21697" xr:uid="{00000000-0005-0000-0000-0000C4540000}"/>
    <cellStyle name="Normal 2 14 8 3 2 2" xfId="21698" xr:uid="{00000000-0005-0000-0000-0000C5540000}"/>
    <cellStyle name="Normal 2 14 8 3 2 3" xfId="21699" xr:uid="{00000000-0005-0000-0000-0000C6540000}"/>
    <cellStyle name="Normal 2 14 8 3 3" xfId="21700" xr:uid="{00000000-0005-0000-0000-0000C7540000}"/>
    <cellStyle name="Normal 2 14 8 3 4" xfId="21701" xr:uid="{00000000-0005-0000-0000-0000C8540000}"/>
    <cellStyle name="Normal 2 14 8 3 5" xfId="21702" xr:uid="{00000000-0005-0000-0000-0000C9540000}"/>
    <cellStyle name="Normal 2 14 8 3 6" xfId="21703" xr:uid="{00000000-0005-0000-0000-0000CA540000}"/>
    <cellStyle name="Normal 2 14 8 4" xfId="21704" xr:uid="{00000000-0005-0000-0000-0000CB540000}"/>
    <cellStyle name="Normal 2 14 8 4 2" xfId="21705" xr:uid="{00000000-0005-0000-0000-0000CC540000}"/>
    <cellStyle name="Normal 2 14 8 4 2 2" xfId="21706" xr:uid="{00000000-0005-0000-0000-0000CD540000}"/>
    <cellStyle name="Normal 2 14 8 4 3" xfId="21707" xr:uid="{00000000-0005-0000-0000-0000CE540000}"/>
    <cellStyle name="Normal 2 14 8 4 4" xfId="21708" xr:uid="{00000000-0005-0000-0000-0000CF540000}"/>
    <cellStyle name="Normal 2 14 8 4 5" xfId="21709" xr:uid="{00000000-0005-0000-0000-0000D0540000}"/>
    <cellStyle name="Normal 2 14 8 5" xfId="21710" xr:uid="{00000000-0005-0000-0000-0000D1540000}"/>
    <cellStyle name="Normal 2 14 8 5 2" xfId="21711" xr:uid="{00000000-0005-0000-0000-0000D2540000}"/>
    <cellStyle name="Normal 2 14 8 5 3" xfId="21712" xr:uid="{00000000-0005-0000-0000-0000D3540000}"/>
    <cellStyle name="Normal 2 14 8 5 4" xfId="21713" xr:uid="{00000000-0005-0000-0000-0000D4540000}"/>
    <cellStyle name="Normal 2 14 8 6" xfId="21714" xr:uid="{00000000-0005-0000-0000-0000D5540000}"/>
    <cellStyle name="Normal 2 14 8 6 2" xfId="21715" xr:uid="{00000000-0005-0000-0000-0000D6540000}"/>
    <cellStyle name="Normal 2 14 8 7" xfId="21716" xr:uid="{00000000-0005-0000-0000-0000D7540000}"/>
    <cellStyle name="Normal 2 14 8 8" xfId="21717" xr:uid="{00000000-0005-0000-0000-0000D8540000}"/>
    <cellStyle name="Normal 2 14 8 9" xfId="21718" xr:uid="{00000000-0005-0000-0000-0000D9540000}"/>
    <cellStyle name="Normal 2 14 9" xfId="21719" xr:uid="{00000000-0005-0000-0000-0000DA540000}"/>
    <cellStyle name="Normal 2 14 9 10" xfId="21720" xr:uid="{00000000-0005-0000-0000-0000DB540000}"/>
    <cellStyle name="Normal 2 14 9 2" xfId="21721" xr:uid="{00000000-0005-0000-0000-0000DC540000}"/>
    <cellStyle name="Normal 2 14 9 2 2" xfId="21722" xr:uid="{00000000-0005-0000-0000-0000DD540000}"/>
    <cellStyle name="Normal 2 14 9 2 2 2" xfId="21723" xr:uid="{00000000-0005-0000-0000-0000DE540000}"/>
    <cellStyle name="Normal 2 14 9 2 2 3" xfId="21724" xr:uid="{00000000-0005-0000-0000-0000DF540000}"/>
    <cellStyle name="Normal 2 14 9 2 3" xfId="21725" xr:uid="{00000000-0005-0000-0000-0000E0540000}"/>
    <cellStyle name="Normal 2 14 9 2 4" xfId="21726" xr:uid="{00000000-0005-0000-0000-0000E1540000}"/>
    <cellStyle name="Normal 2 14 9 2 5" xfId="21727" xr:uid="{00000000-0005-0000-0000-0000E2540000}"/>
    <cellStyle name="Normal 2 14 9 2 6" xfId="21728" xr:uid="{00000000-0005-0000-0000-0000E3540000}"/>
    <cellStyle name="Normal 2 14 9 3" xfId="21729" xr:uid="{00000000-0005-0000-0000-0000E4540000}"/>
    <cellStyle name="Normal 2 14 9 3 2" xfId="21730" xr:uid="{00000000-0005-0000-0000-0000E5540000}"/>
    <cellStyle name="Normal 2 14 9 3 2 2" xfId="21731" xr:uid="{00000000-0005-0000-0000-0000E6540000}"/>
    <cellStyle name="Normal 2 14 9 3 2 3" xfId="21732" xr:uid="{00000000-0005-0000-0000-0000E7540000}"/>
    <cellStyle name="Normal 2 14 9 3 3" xfId="21733" xr:uid="{00000000-0005-0000-0000-0000E8540000}"/>
    <cellStyle name="Normal 2 14 9 3 4" xfId="21734" xr:uid="{00000000-0005-0000-0000-0000E9540000}"/>
    <cellStyle name="Normal 2 14 9 3 5" xfId="21735" xr:uid="{00000000-0005-0000-0000-0000EA540000}"/>
    <cellStyle name="Normal 2 14 9 3 6" xfId="21736" xr:uid="{00000000-0005-0000-0000-0000EB540000}"/>
    <cellStyle name="Normal 2 14 9 4" xfId="21737" xr:uid="{00000000-0005-0000-0000-0000EC540000}"/>
    <cellStyle name="Normal 2 14 9 4 2" xfId="21738" xr:uid="{00000000-0005-0000-0000-0000ED540000}"/>
    <cellStyle name="Normal 2 14 9 4 2 2" xfId="21739" xr:uid="{00000000-0005-0000-0000-0000EE540000}"/>
    <cellStyle name="Normal 2 14 9 4 3" xfId="21740" xr:uid="{00000000-0005-0000-0000-0000EF540000}"/>
    <cellStyle name="Normal 2 14 9 4 4" xfId="21741" xr:uid="{00000000-0005-0000-0000-0000F0540000}"/>
    <cellStyle name="Normal 2 14 9 4 5" xfId="21742" xr:uid="{00000000-0005-0000-0000-0000F1540000}"/>
    <cellStyle name="Normal 2 14 9 5" xfId="21743" xr:uid="{00000000-0005-0000-0000-0000F2540000}"/>
    <cellStyle name="Normal 2 14 9 5 2" xfId="21744" xr:uid="{00000000-0005-0000-0000-0000F3540000}"/>
    <cellStyle name="Normal 2 14 9 5 3" xfId="21745" xr:uid="{00000000-0005-0000-0000-0000F4540000}"/>
    <cellStyle name="Normal 2 14 9 5 4" xfId="21746" xr:uid="{00000000-0005-0000-0000-0000F5540000}"/>
    <cellStyle name="Normal 2 14 9 6" xfId="21747" xr:uid="{00000000-0005-0000-0000-0000F6540000}"/>
    <cellStyle name="Normal 2 14 9 6 2" xfId="21748" xr:uid="{00000000-0005-0000-0000-0000F7540000}"/>
    <cellStyle name="Normal 2 14 9 7" xfId="21749" xr:uid="{00000000-0005-0000-0000-0000F8540000}"/>
    <cellStyle name="Normal 2 14 9 8" xfId="21750" xr:uid="{00000000-0005-0000-0000-0000F9540000}"/>
    <cellStyle name="Normal 2 14 9 9" xfId="21751" xr:uid="{00000000-0005-0000-0000-0000FA540000}"/>
    <cellStyle name="Normal 2 15" xfId="21752" xr:uid="{00000000-0005-0000-0000-0000FB540000}"/>
    <cellStyle name="Normal 2 15 10" xfId="21753" xr:uid="{00000000-0005-0000-0000-0000FC540000}"/>
    <cellStyle name="Normal 2 15 10 10" xfId="21754" xr:uid="{00000000-0005-0000-0000-0000FD540000}"/>
    <cellStyle name="Normal 2 15 10 2" xfId="21755" xr:uid="{00000000-0005-0000-0000-0000FE540000}"/>
    <cellStyle name="Normal 2 15 10 2 2" xfId="21756" xr:uid="{00000000-0005-0000-0000-0000FF540000}"/>
    <cellStyle name="Normal 2 15 10 2 2 2" xfId="21757" xr:uid="{00000000-0005-0000-0000-000000550000}"/>
    <cellStyle name="Normal 2 15 10 2 2 3" xfId="21758" xr:uid="{00000000-0005-0000-0000-000001550000}"/>
    <cellStyle name="Normal 2 15 10 2 3" xfId="21759" xr:uid="{00000000-0005-0000-0000-000002550000}"/>
    <cellStyle name="Normal 2 15 10 2 4" xfId="21760" xr:uid="{00000000-0005-0000-0000-000003550000}"/>
    <cellStyle name="Normal 2 15 10 2 5" xfId="21761" xr:uid="{00000000-0005-0000-0000-000004550000}"/>
    <cellStyle name="Normal 2 15 10 2 6" xfId="21762" xr:uid="{00000000-0005-0000-0000-000005550000}"/>
    <cellStyle name="Normal 2 15 10 3" xfId="21763" xr:uid="{00000000-0005-0000-0000-000006550000}"/>
    <cellStyle name="Normal 2 15 10 3 2" xfId="21764" xr:uid="{00000000-0005-0000-0000-000007550000}"/>
    <cellStyle name="Normal 2 15 10 3 2 2" xfId="21765" xr:uid="{00000000-0005-0000-0000-000008550000}"/>
    <cellStyle name="Normal 2 15 10 3 2 3" xfId="21766" xr:uid="{00000000-0005-0000-0000-000009550000}"/>
    <cellStyle name="Normal 2 15 10 3 3" xfId="21767" xr:uid="{00000000-0005-0000-0000-00000A550000}"/>
    <cellStyle name="Normal 2 15 10 3 4" xfId="21768" xr:uid="{00000000-0005-0000-0000-00000B550000}"/>
    <cellStyle name="Normal 2 15 10 3 5" xfId="21769" xr:uid="{00000000-0005-0000-0000-00000C550000}"/>
    <cellStyle name="Normal 2 15 10 3 6" xfId="21770" xr:uid="{00000000-0005-0000-0000-00000D550000}"/>
    <cellStyle name="Normal 2 15 10 4" xfId="21771" xr:uid="{00000000-0005-0000-0000-00000E550000}"/>
    <cellStyle name="Normal 2 15 10 4 2" xfId="21772" xr:uid="{00000000-0005-0000-0000-00000F550000}"/>
    <cellStyle name="Normal 2 15 10 4 2 2" xfId="21773" xr:uid="{00000000-0005-0000-0000-000010550000}"/>
    <cellStyle name="Normal 2 15 10 4 3" xfId="21774" xr:uid="{00000000-0005-0000-0000-000011550000}"/>
    <cellStyle name="Normal 2 15 10 4 4" xfId="21775" xr:uid="{00000000-0005-0000-0000-000012550000}"/>
    <cellStyle name="Normal 2 15 10 4 5" xfId="21776" xr:uid="{00000000-0005-0000-0000-000013550000}"/>
    <cellStyle name="Normal 2 15 10 5" xfId="21777" xr:uid="{00000000-0005-0000-0000-000014550000}"/>
    <cellStyle name="Normal 2 15 10 5 2" xfId="21778" xr:uid="{00000000-0005-0000-0000-000015550000}"/>
    <cellStyle name="Normal 2 15 10 5 3" xfId="21779" xr:uid="{00000000-0005-0000-0000-000016550000}"/>
    <cellStyle name="Normal 2 15 10 5 4" xfId="21780" xr:uid="{00000000-0005-0000-0000-000017550000}"/>
    <cellStyle name="Normal 2 15 10 6" xfId="21781" xr:uid="{00000000-0005-0000-0000-000018550000}"/>
    <cellStyle name="Normal 2 15 10 6 2" xfId="21782" xr:uid="{00000000-0005-0000-0000-000019550000}"/>
    <cellStyle name="Normal 2 15 10 7" xfId="21783" xr:uid="{00000000-0005-0000-0000-00001A550000}"/>
    <cellStyle name="Normal 2 15 10 8" xfId="21784" xr:uid="{00000000-0005-0000-0000-00001B550000}"/>
    <cellStyle name="Normal 2 15 10 9" xfId="21785" xr:uid="{00000000-0005-0000-0000-00001C550000}"/>
    <cellStyle name="Normal 2 15 11" xfId="21786" xr:uid="{00000000-0005-0000-0000-00001D550000}"/>
    <cellStyle name="Normal 2 15 11 10" xfId="21787" xr:uid="{00000000-0005-0000-0000-00001E550000}"/>
    <cellStyle name="Normal 2 15 11 2" xfId="21788" xr:uid="{00000000-0005-0000-0000-00001F550000}"/>
    <cellStyle name="Normal 2 15 11 2 2" xfId="21789" xr:uid="{00000000-0005-0000-0000-000020550000}"/>
    <cellStyle name="Normal 2 15 11 2 2 2" xfId="21790" xr:uid="{00000000-0005-0000-0000-000021550000}"/>
    <cellStyle name="Normal 2 15 11 2 2 3" xfId="21791" xr:uid="{00000000-0005-0000-0000-000022550000}"/>
    <cellStyle name="Normal 2 15 11 2 3" xfId="21792" xr:uid="{00000000-0005-0000-0000-000023550000}"/>
    <cellStyle name="Normal 2 15 11 2 4" xfId="21793" xr:uid="{00000000-0005-0000-0000-000024550000}"/>
    <cellStyle name="Normal 2 15 11 2 5" xfId="21794" xr:uid="{00000000-0005-0000-0000-000025550000}"/>
    <cellStyle name="Normal 2 15 11 2 6" xfId="21795" xr:uid="{00000000-0005-0000-0000-000026550000}"/>
    <cellStyle name="Normal 2 15 11 3" xfId="21796" xr:uid="{00000000-0005-0000-0000-000027550000}"/>
    <cellStyle name="Normal 2 15 11 3 2" xfId="21797" xr:uid="{00000000-0005-0000-0000-000028550000}"/>
    <cellStyle name="Normal 2 15 11 3 2 2" xfId="21798" xr:uid="{00000000-0005-0000-0000-000029550000}"/>
    <cellStyle name="Normal 2 15 11 3 2 3" xfId="21799" xr:uid="{00000000-0005-0000-0000-00002A550000}"/>
    <cellStyle name="Normal 2 15 11 3 3" xfId="21800" xr:uid="{00000000-0005-0000-0000-00002B550000}"/>
    <cellStyle name="Normal 2 15 11 3 4" xfId="21801" xr:uid="{00000000-0005-0000-0000-00002C550000}"/>
    <cellStyle name="Normal 2 15 11 3 5" xfId="21802" xr:uid="{00000000-0005-0000-0000-00002D550000}"/>
    <cellStyle name="Normal 2 15 11 3 6" xfId="21803" xr:uid="{00000000-0005-0000-0000-00002E550000}"/>
    <cellStyle name="Normal 2 15 11 4" xfId="21804" xr:uid="{00000000-0005-0000-0000-00002F550000}"/>
    <cellStyle name="Normal 2 15 11 4 2" xfId="21805" xr:uid="{00000000-0005-0000-0000-000030550000}"/>
    <cellStyle name="Normal 2 15 11 4 2 2" xfId="21806" xr:uid="{00000000-0005-0000-0000-000031550000}"/>
    <cellStyle name="Normal 2 15 11 4 3" xfId="21807" xr:uid="{00000000-0005-0000-0000-000032550000}"/>
    <cellStyle name="Normal 2 15 11 4 4" xfId="21808" xr:uid="{00000000-0005-0000-0000-000033550000}"/>
    <cellStyle name="Normal 2 15 11 4 5" xfId="21809" xr:uid="{00000000-0005-0000-0000-000034550000}"/>
    <cellStyle name="Normal 2 15 11 5" xfId="21810" xr:uid="{00000000-0005-0000-0000-000035550000}"/>
    <cellStyle name="Normal 2 15 11 5 2" xfId="21811" xr:uid="{00000000-0005-0000-0000-000036550000}"/>
    <cellStyle name="Normal 2 15 11 5 3" xfId="21812" xr:uid="{00000000-0005-0000-0000-000037550000}"/>
    <cellStyle name="Normal 2 15 11 5 4" xfId="21813" xr:uid="{00000000-0005-0000-0000-000038550000}"/>
    <cellStyle name="Normal 2 15 11 6" xfId="21814" xr:uid="{00000000-0005-0000-0000-000039550000}"/>
    <cellStyle name="Normal 2 15 11 6 2" xfId="21815" xr:uid="{00000000-0005-0000-0000-00003A550000}"/>
    <cellStyle name="Normal 2 15 11 7" xfId="21816" xr:uid="{00000000-0005-0000-0000-00003B550000}"/>
    <cellStyle name="Normal 2 15 11 8" xfId="21817" xr:uid="{00000000-0005-0000-0000-00003C550000}"/>
    <cellStyle name="Normal 2 15 11 9" xfId="21818" xr:uid="{00000000-0005-0000-0000-00003D550000}"/>
    <cellStyle name="Normal 2 15 12" xfId="21819" xr:uid="{00000000-0005-0000-0000-00003E550000}"/>
    <cellStyle name="Normal 2 15 12 10" xfId="21820" xr:uid="{00000000-0005-0000-0000-00003F550000}"/>
    <cellStyle name="Normal 2 15 12 2" xfId="21821" xr:uid="{00000000-0005-0000-0000-000040550000}"/>
    <cellStyle name="Normal 2 15 12 2 2" xfId="21822" xr:uid="{00000000-0005-0000-0000-000041550000}"/>
    <cellStyle name="Normal 2 15 12 2 2 2" xfId="21823" xr:uid="{00000000-0005-0000-0000-000042550000}"/>
    <cellStyle name="Normal 2 15 12 2 2 3" xfId="21824" xr:uid="{00000000-0005-0000-0000-000043550000}"/>
    <cellStyle name="Normal 2 15 12 2 3" xfId="21825" xr:uid="{00000000-0005-0000-0000-000044550000}"/>
    <cellStyle name="Normal 2 15 12 2 4" xfId="21826" xr:uid="{00000000-0005-0000-0000-000045550000}"/>
    <cellStyle name="Normal 2 15 12 2 5" xfId="21827" xr:uid="{00000000-0005-0000-0000-000046550000}"/>
    <cellStyle name="Normal 2 15 12 2 6" xfId="21828" xr:uid="{00000000-0005-0000-0000-000047550000}"/>
    <cellStyle name="Normal 2 15 12 3" xfId="21829" xr:uid="{00000000-0005-0000-0000-000048550000}"/>
    <cellStyle name="Normal 2 15 12 3 2" xfId="21830" xr:uid="{00000000-0005-0000-0000-000049550000}"/>
    <cellStyle name="Normal 2 15 12 3 2 2" xfId="21831" xr:uid="{00000000-0005-0000-0000-00004A550000}"/>
    <cellStyle name="Normal 2 15 12 3 2 3" xfId="21832" xr:uid="{00000000-0005-0000-0000-00004B550000}"/>
    <cellStyle name="Normal 2 15 12 3 3" xfId="21833" xr:uid="{00000000-0005-0000-0000-00004C550000}"/>
    <cellStyle name="Normal 2 15 12 3 4" xfId="21834" xr:uid="{00000000-0005-0000-0000-00004D550000}"/>
    <cellStyle name="Normal 2 15 12 3 5" xfId="21835" xr:uid="{00000000-0005-0000-0000-00004E550000}"/>
    <cellStyle name="Normal 2 15 12 3 6" xfId="21836" xr:uid="{00000000-0005-0000-0000-00004F550000}"/>
    <cellStyle name="Normal 2 15 12 4" xfId="21837" xr:uid="{00000000-0005-0000-0000-000050550000}"/>
    <cellStyle name="Normal 2 15 12 4 2" xfId="21838" xr:uid="{00000000-0005-0000-0000-000051550000}"/>
    <cellStyle name="Normal 2 15 12 4 2 2" xfId="21839" xr:uid="{00000000-0005-0000-0000-000052550000}"/>
    <cellStyle name="Normal 2 15 12 4 3" xfId="21840" xr:uid="{00000000-0005-0000-0000-000053550000}"/>
    <cellStyle name="Normal 2 15 12 4 4" xfId="21841" xr:uid="{00000000-0005-0000-0000-000054550000}"/>
    <cellStyle name="Normal 2 15 12 4 5" xfId="21842" xr:uid="{00000000-0005-0000-0000-000055550000}"/>
    <cellStyle name="Normal 2 15 12 5" xfId="21843" xr:uid="{00000000-0005-0000-0000-000056550000}"/>
    <cellStyle name="Normal 2 15 12 5 2" xfId="21844" xr:uid="{00000000-0005-0000-0000-000057550000}"/>
    <cellStyle name="Normal 2 15 12 5 3" xfId="21845" xr:uid="{00000000-0005-0000-0000-000058550000}"/>
    <cellStyle name="Normal 2 15 12 5 4" xfId="21846" xr:uid="{00000000-0005-0000-0000-000059550000}"/>
    <cellStyle name="Normal 2 15 12 6" xfId="21847" xr:uid="{00000000-0005-0000-0000-00005A550000}"/>
    <cellStyle name="Normal 2 15 12 6 2" xfId="21848" xr:uid="{00000000-0005-0000-0000-00005B550000}"/>
    <cellStyle name="Normal 2 15 12 7" xfId="21849" xr:uid="{00000000-0005-0000-0000-00005C550000}"/>
    <cellStyle name="Normal 2 15 12 8" xfId="21850" xr:uid="{00000000-0005-0000-0000-00005D550000}"/>
    <cellStyle name="Normal 2 15 12 9" xfId="21851" xr:uid="{00000000-0005-0000-0000-00005E550000}"/>
    <cellStyle name="Normal 2 15 13" xfId="21852" xr:uid="{00000000-0005-0000-0000-00005F550000}"/>
    <cellStyle name="Normal 2 15 13 2" xfId="21853" xr:uid="{00000000-0005-0000-0000-000060550000}"/>
    <cellStyle name="Normal 2 15 13 2 2" xfId="21854" xr:uid="{00000000-0005-0000-0000-000061550000}"/>
    <cellStyle name="Normal 2 15 13 2 2 2" xfId="21855" xr:uid="{00000000-0005-0000-0000-000062550000}"/>
    <cellStyle name="Normal 2 15 13 2 2 3" xfId="21856" xr:uid="{00000000-0005-0000-0000-000063550000}"/>
    <cellStyle name="Normal 2 15 13 2 3" xfId="21857" xr:uid="{00000000-0005-0000-0000-000064550000}"/>
    <cellStyle name="Normal 2 15 13 2 4" xfId="21858" xr:uid="{00000000-0005-0000-0000-000065550000}"/>
    <cellStyle name="Normal 2 15 13 2 5" xfId="21859" xr:uid="{00000000-0005-0000-0000-000066550000}"/>
    <cellStyle name="Normal 2 15 13 2 6" xfId="21860" xr:uid="{00000000-0005-0000-0000-000067550000}"/>
    <cellStyle name="Normal 2 15 13 3" xfId="21861" xr:uid="{00000000-0005-0000-0000-000068550000}"/>
    <cellStyle name="Normal 2 15 13 3 2" xfId="21862" xr:uid="{00000000-0005-0000-0000-000069550000}"/>
    <cellStyle name="Normal 2 15 13 3 2 2" xfId="21863" xr:uid="{00000000-0005-0000-0000-00006A550000}"/>
    <cellStyle name="Normal 2 15 13 3 3" xfId="21864" xr:uid="{00000000-0005-0000-0000-00006B550000}"/>
    <cellStyle name="Normal 2 15 13 3 4" xfId="21865" xr:uid="{00000000-0005-0000-0000-00006C550000}"/>
    <cellStyle name="Normal 2 15 13 3 5" xfId="21866" xr:uid="{00000000-0005-0000-0000-00006D550000}"/>
    <cellStyle name="Normal 2 15 13 4" xfId="21867" xr:uid="{00000000-0005-0000-0000-00006E550000}"/>
    <cellStyle name="Normal 2 15 13 4 2" xfId="21868" xr:uid="{00000000-0005-0000-0000-00006F550000}"/>
    <cellStyle name="Normal 2 15 13 4 3" xfId="21869" xr:uid="{00000000-0005-0000-0000-000070550000}"/>
    <cellStyle name="Normal 2 15 13 4 4" xfId="21870" xr:uid="{00000000-0005-0000-0000-000071550000}"/>
    <cellStyle name="Normal 2 15 13 5" xfId="21871" xr:uid="{00000000-0005-0000-0000-000072550000}"/>
    <cellStyle name="Normal 2 15 13 5 2" xfId="21872" xr:uid="{00000000-0005-0000-0000-000073550000}"/>
    <cellStyle name="Normal 2 15 13 6" xfId="21873" xr:uid="{00000000-0005-0000-0000-000074550000}"/>
    <cellStyle name="Normal 2 15 13 7" xfId="21874" xr:uid="{00000000-0005-0000-0000-000075550000}"/>
    <cellStyle name="Normal 2 15 13 8" xfId="21875" xr:uid="{00000000-0005-0000-0000-000076550000}"/>
    <cellStyle name="Normal 2 15 13 9" xfId="21876" xr:uid="{00000000-0005-0000-0000-000077550000}"/>
    <cellStyle name="Normal 2 15 14" xfId="21877" xr:uid="{00000000-0005-0000-0000-000078550000}"/>
    <cellStyle name="Normal 2 15 14 2" xfId="21878" xr:uid="{00000000-0005-0000-0000-000079550000}"/>
    <cellStyle name="Normal 2 15 14 2 2" xfId="21879" xr:uid="{00000000-0005-0000-0000-00007A550000}"/>
    <cellStyle name="Normal 2 15 14 2 2 2" xfId="21880" xr:uid="{00000000-0005-0000-0000-00007B550000}"/>
    <cellStyle name="Normal 2 15 14 2 2 3" xfId="21881" xr:uid="{00000000-0005-0000-0000-00007C550000}"/>
    <cellStyle name="Normal 2 15 14 2 3" xfId="21882" xr:uid="{00000000-0005-0000-0000-00007D550000}"/>
    <cellStyle name="Normal 2 15 14 2 4" xfId="21883" xr:uid="{00000000-0005-0000-0000-00007E550000}"/>
    <cellStyle name="Normal 2 15 14 2 5" xfId="21884" xr:uid="{00000000-0005-0000-0000-00007F550000}"/>
    <cellStyle name="Normal 2 15 14 2 6" xfId="21885" xr:uid="{00000000-0005-0000-0000-000080550000}"/>
    <cellStyle name="Normal 2 15 14 3" xfId="21886" xr:uid="{00000000-0005-0000-0000-000081550000}"/>
    <cellStyle name="Normal 2 15 14 3 2" xfId="21887" xr:uid="{00000000-0005-0000-0000-000082550000}"/>
    <cellStyle name="Normal 2 15 14 3 2 2" xfId="21888" xr:uid="{00000000-0005-0000-0000-000083550000}"/>
    <cellStyle name="Normal 2 15 14 3 3" xfId="21889" xr:uid="{00000000-0005-0000-0000-000084550000}"/>
    <cellStyle name="Normal 2 15 14 3 4" xfId="21890" xr:uid="{00000000-0005-0000-0000-000085550000}"/>
    <cellStyle name="Normal 2 15 14 3 5" xfId="21891" xr:uid="{00000000-0005-0000-0000-000086550000}"/>
    <cellStyle name="Normal 2 15 14 4" xfId="21892" xr:uid="{00000000-0005-0000-0000-000087550000}"/>
    <cellStyle name="Normal 2 15 14 4 2" xfId="21893" xr:uid="{00000000-0005-0000-0000-000088550000}"/>
    <cellStyle name="Normal 2 15 14 4 3" xfId="21894" xr:uid="{00000000-0005-0000-0000-000089550000}"/>
    <cellStyle name="Normal 2 15 14 4 4" xfId="21895" xr:uid="{00000000-0005-0000-0000-00008A550000}"/>
    <cellStyle name="Normal 2 15 14 5" xfId="21896" xr:uid="{00000000-0005-0000-0000-00008B550000}"/>
    <cellStyle name="Normal 2 15 14 5 2" xfId="21897" xr:uid="{00000000-0005-0000-0000-00008C550000}"/>
    <cellStyle name="Normal 2 15 14 6" xfId="21898" xr:uid="{00000000-0005-0000-0000-00008D550000}"/>
    <cellStyle name="Normal 2 15 14 7" xfId="21899" xr:uid="{00000000-0005-0000-0000-00008E550000}"/>
    <cellStyle name="Normal 2 15 14 8" xfId="21900" xr:uid="{00000000-0005-0000-0000-00008F550000}"/>
    <cellStyle name="Normal 2 15 14 9" xfId="21901" xr:uid="{00000000-0005-0000-0000-000090550000}"/>
    <cellStyle name="Normal 2 15 15" xfId="21902" xr:uid="{00000000-0005-0000-0000-000091550000}"/>
    <cellStyle name="Normal 2 15 15 2" xfId="21903" xr:uid="{00000000-0005-0000-0000-000092550000}"/>
    <cellStyle name="Normal 2 15 15 2 2" xfId="21904" xr:uid="{00000000-0005-0000-0000-000093550000}"/>
    <cellStyle name="Normal 2 15 15 2 3" xfId="21905" xr:uid="{00000000-0005-0000-0000-000094550000}"/>
    <cellStyle name="Normal 2 15 15 3" xfId="21906" xr:uid="{00000000-0005-0000-0000-000095550000}"/>
    <cellStyle name="Normal 2 15 15 4" xfId="21907" xr:uid="{00000000-0005-0000-0000-000096550000}"/>
    <cellStyle name="Normal 2 15 15 5" xfId="21908" xr:uid="{00000000-0005-0000-0000-000097550000}"/>
    <cellStyle name="Normal 2 15 15 6" xfId="21909" xr:uid="{00000000-0005-0000-0000-000098550000}"/>
    <cellStyle name="Normal 2 15 16" xfId="21910" xr:uid="{00000000-0005-0000-0000-000099550000}"/>
    <cellStyle name="Normal 2 15 16 2" xfId="21911" xr:uid="{00000000-0005-0000-0000-00009A550000}"/>
    <cellStyle name="Normal 2 15 16 2 2" xfId="21912" xr:uid="{00000000-0005-0000-0000-00009B550000}"/>
    <cellStyle name="Normal 2 15 16 3" xfId="21913" xr:uid="{00000000-0005-0000-0000-00009C550000}"/>
    <cellStyle name="Normal 2 15 16 4" xfId="21914" xr:uid="{00000000-0005-0000-0000-00009D550000}"/>
    <cellStyle name="Normal 2 15 16 5" xfId="21915" xr:uid="{00000000-0005-0000-0000-00009E550000}"/>
    <cellStyle name="Normal 2 15 17" xfId="21916" xr:uid="{00000000-0005-0000-0000-00009F550000}"/>
    <cellStyle name="Normal 2 15 17 2" xfId="21917" xr:uid="{00000000-0005-0000-0000-0000A0550000}"/>
    <cellStyle name="Normal 2 15 17 2 2" xfId="21918" xr:uid="{00000000-0005-0000-0000-0000A1550000}"/>
    <cellStyle name="Normal 2 15 17 3" xfId="21919" xr:uid="{00000000-0005-0000-0000-0000A2550000}"/>
    <cellStyle name="Normal 2 15 17 4" xfId="21920" xr:uid="{00000000-0005-0000-0000-0000A3550000}"/>
    <cellStyle name="Normal 2 15 17 5" xfId="21921" xr:uid="{00000000-0005-0000-0000-0000A4550000}"/>
    <cellStyle name="Normal 2 15 18" xfId="21922" xr:uid="{00000000-0005-0000-0000-0000A5550000}"/>
    <cellStyle name="Normal 2 15 18 2" xfId="21923" xr:uid="{00000000-0005-0000-0000-0000A6550000}"/>
    <cellStyle name="Normal 2 15 19" xfId="21924" xr:uid="{00000000-0005-0000-0000-0000A7550000}"/>
    <cellStyle name="Normal 2 15 2" xfId="21925" xr:uid="{00000000-0005-0000-0000-0000A8550000}"/>
    <cellStyle name="Normal 2 15 2 10" xfId="21926" xr:uid="{00000000-0005-0000-0000-0000A9550000}"/>
    <cellStyle name="Normal 2 15 2 11" xfId="21927" xr:uid="{00000000-0005-0000-0000-0000AA550000}"/>
    <cellStyle name="Normal 2 15 2 2" xfId="21928" xr:uid="{00000000-0005-0000-0000-0000AB550000}"/>
    <cellStyle name="Normal 2 15 2 2 2" xfId="21929" xr:uid="{00000000-0005-0000-0000-0000AC550000}"/>
    <cellStyle name="Normal 2 15 2 2 2 2" xfId="21930" xr:uid="{00000000-0005-0000-0000-0000AD550000}"/>
    <cellStyle name="Normal 2 15 2 2 2 2 2" xfId="21931" xr:uid="{00000000-0005-0000-0000-0000AE550000}"/>
    <cellStyle name="Normal 2 15 2 2 2 2 3" xfId="21932" xr:uid="{00000000-0005-0000-0000-0000AF550000}"/>
    <cellStyle name="Normal 2 15 2 2 2 3" xfId="21933" xr:uid="{00000000-0005-0000-0000-0000B0550000}"/>
    <cellStyle name="Normal 2 15 2 2 2 4" xfId="21934" xr:uid="{00000000-0005-0000-0000-0000B1550000}"/>
    <cellStyle name="Normal 2 15 2 2 2 5" xfId="21935" xr:uid="{00000000-0005-0000-0000-0000B2550000}"/>
    <cellStyle name="Normal 2 15 2 2 2 6" xfId="21936" xr:uid="{00000000-0005-0000-0000-0000B3550000}"/>
    <cellStyle name="Normal 2 15 2 2 3" xfId="21937" xr:uid="{00000000-0005-0000-0000-0000B4550000}"/>
    <cellStyle name="Normal 2 15 2 2 3 2" xfId="21938" xr:uid="{00000000-0005-0000-0000-0000B5550000}"/>
    <cellStyle name="Normal 2 15 2 2 3 2 2" xfId="21939" xr:uid="{00000000-0005-0000-0000-0000B6550000}"/>
    <cellStyle name="Normal 2 15 2 2 3 3" xfId="21940" xr:uid="{00000000-0005-0000-0000-0000B7550000}"/>
    <cellStyle name="Normal 2 15 2 2 3 4" xfId="21941" xr:uid="{00000000-0005-0000-0000-0000B8550000}"/>
    <cellStyle name="Normal 2 15 2 2 3 5" xfId="21942" xr:uid="{00000000-0005-0000-0000-0000B9550000}"/>
    <cellStyle name="Normal 2 15 2 2 4" xfId="21943" xr:uid="{00000000-0005-0000-0000-0000BA550000}"/>
    <cellStyle name="Normal 2 15 2 2 4 2" xfId="21944" xr:uid="{00000000-0005-0000-0000-0000BB550000}"/>
    <cellStyle name="Normal 2 15 2 2 4 3" xfId="21945" xr:uid="{00000000-0005-0000-0000-0000BC550000}"/>
    <cellStyle name="Normal 2 15 2 2 4 4" xfId="21946" xr:uid="{00000000-0005-0000-0000-0000BD550000}"/>
    <cellStyle name="Normal 2 15 2 2 5" xfId="21947" xr:uid="{00000000-0005-0000-0000-0000BE550000}"/>
    <cellStyle name="Normal 2 15 2 2 5 2" xfId="21948" xr:uid="{00000000-0005-0000-0000-0000BF550000}"/>
    <cellStyle name="Normal 2 15 2 2 6" xfId="21949" xr:uid="{00000000-0005-0000-0000-0000C0550000}"/>
    <cellStyle name="Normal 2 15 2 2 7" xfId="21950" xr:uid="{00000000-0005-0000-0000-0000C1550000}"/>
    <cellStyle name="Normal 2 15 2 2 8" xfId="21951" xr:uid="{00000000-0005-0000-0000-0000C2550000}"/>
    <cellStyle name="Normal 2 15 2 2 9" xfId="21952" xr:uid="{00000000-0005-0000-0000-0000C3550000}"/>
    <cellStyle name="Normal 2 15 2 3" xfId="21953" xr:uid="{00000000-0005-0000-0000-0000C4550000}"/>
    <cellStyle name="Normal 2 15 2 3 2" xfId="21954" xr:uid="{00000000-0005-0000-0000-0000C5550000}"/>
    <cellStyle name="Normal 2 15 2 3 2 2" xfId="21955" xr:uid="{00000000-0005-0000-0000-0000C6550000}"/>
    <cellStyle name="Normal 2 15 2 3 2 2 2" xfId="21956" xr:uid="{00000000-0005-0000-0000-0000C7550000}"/>
    <cellStyle name="Normal 2 15 2 3 2 2 3" xfId="21957" xr:uid="{00000000-0005-0000-0000-0000C8550000}"/>
    <cellStyle name="Normal 2 15 2 3 2 3" xfId="21958" xr:uid="{00000000-0005-0000-0000-0000C9550000}"/>
    <cellStyle name="Normal 2 15 2 3 2 4" xfId="21959" xr:uid="{00000000-0005-0000-0000-0000CA550000}"/>
    <cellStyle name="Normal 2 15 2 3 2 5" xfId="21960" xr:uid="{00000000-0005-0000-0000-0000CB550000}"/>
    <cellStyle name="Normal 2 15 2 3 2 6" xfId="21961" xr:uid="{00000000-0005-0000-0000-0000CC550000}"/>
    <cellStyle name="Normal 2 15 2 3 3" xfId="21962" xr:uid="{00000000-0005-0000-0000-0000CD550000}"/>
    <cellStyle name="Normal 2 15 2 3 3 2" xfId="21963" xr:uid="{00000000-0005-0000-0000-0000CE550000}"/>
    <cellStyle name="Normal 2 15 2 3 3 2 2" xfId="21964" xr:uid="{00000000-0005-0000-0000-0000CF550000}"/>
    <cellStyle name="Normal 2 15 2 3 3 3" xfId="21965" xr:uid="{00000000-0005-0000-0000-0000D0550000}"/>
    <cellStyle name="Normal 2 15 2 3 3 4" xfId="21966" xr:uid="{00000000-0005-0000-0000-0000D1550000}"/>
    <cellStyle name="Normal 2 15 2 3 3 5" xfId="21967" xr:uid="{00000000-0005-0000-0000-0000D2550000}"/>
    <cellStyle name="Normal 2 15 2 3 4" xfId="21968" xr:uid="{00000000-0005-0000-0000-0000D3550000}"/>
    <cellStyle name="Normal 2 15 2 3 4 2" xfId="21969" xr:uid="{00000000-0005-0000-0000-0000D4550000}"/>
    <cellStyle name="Normal 2 15 2 3 4 3" xfId="21970" xr:uid="{00000000-0005-0000-0000-0000D5550000}"/>
    <cellStyle name="Normal 2 15 2 3 4 4" xfId="21971" xr:uid="{00000000-0005-0000-0000-0000D6550000}"/>
    <cellStyle name="Normal 2 15 2 3 5" xfId="21972" xr:uid="{00000000-0005-0000-0000-0000D7550000}"/>
    <cellStyle name="Normal 2 15 2 3 5 2" xfId="21973" xr:uid="{00000000-0005-0000-0000-0000D8550000}"/>
    <cellStyle name="Normal 2 15 2 3 6" xfId="21974" xr:uid="{00000000-0005-0000-0000-0000D9550000}"/>
    <cellStyle name="Normal 2 15 2 3 7" xfId="21975" xr:uid="{00000000-0005-0000-0000-0000DA550000}"/>
    <cellStyle name="Normal 2 15 2 3 8" xfId="21976" xr:uid="{00000000-0005-0000-0000-0000DB550000}"/>
    <cellStyle name="Normal 2 15 2 3 9" xfId="21977" xr:uid="{00000000-0005-0000-0000-0000DC550000}"/>
    <cellStyle name="Normal 2 15 2 4" xfId="21978" xr:uid="{00000000-0005-0000-0000-0000DD550000}"/>
    <cellStyle name="Normal 2 15 2 4 2" xfId="21979" xr:uid="{00000000-0005-0000-0000-0000DE550000}"/>
    <cellStyle name="Normal 2 15 2 4 2 2" xfId="21980" xr:uid="{00000000-0005-0000-0000-0000DF550000}"/>
    <cellStyle name="Normal 2 15 2 4 2 3" xfId="21981" xr:uid="{00000000-0005-0000-0000-0000E0550000}"/>
    <cellStyle name="Normal 2 15 2 4 3" xfId="21982" xr:uid="{00000000-0005-0000-0000-0000E1550000}"/>
    <cellStyle name="Normal 2 15 2 4 4" xfId="21983" xr:uid="{00000000-0005-0000-0000-0000E2550000}"/>
    <cellStyle name="Normal 2 15 2 4 5" xfId="21984" xr:uid="{00000000-0005-0000-0000-0000E3550000}"/>
    <cellStyle name="Normal 2 15 2 4 6" xfId="21985" xr:uid="{00000000-0005-0000-0000-0000E4550000}"/>
    <cellStyle name="Normal 2 15 2 5" xfId="21986" xr:uid="{00000000-0005-0000-0000-0000E5550000}"/>
    <cellStyle name="Normal 2 15 2 5 2" xfId="21987" xr:uid="{00000000-0005-0000-0000-0000E6550000}"/>
    <cellStyle name="Normal 2 15 2 5 2 2" xfId="21988" xr:uid="{00000000-0005-0000-0000-0000E7550000}"/>
    <cellStyle name="Normal 2 15 2 5 3" xfId="21989" xr:uid="{00000000-0005-0000-0000-0000E8550000}"/>
    <cellStyle name="Normal 2 15 2 5 4" xfId="21990" xr:uid="{00000000-0005-0000-0000-0000E9550000}"/>
    <cellStyle name="Normal 2 15 2 5 5" xfId="21991" xr:uid="{00000000-0005-0000-0000-0000EA550000}"/>
    <cellStyle name="Normal 2 15 2 6" xfId="21992" xr:uid="{00000000-0005-0000-0000-0000EB550000}"/>
    <cellStyle name="Normal 2 15 2 6 2" xfId="21993" xr:uid="{00000000-0005-0000-0000-0000EC550000}"/>
    <cellStyle name="Normal 2 15 2 6 3" xfId="21994" xr:uid="{00000000-0005-0000-0000-0000ED550000}"/>
    <cellStyle name="Normal 2 15 2 6 4" xfId="21995" xr:uid="{00000000-0005-0000-0000-0000EE550000}"/>
    <cellStyle name="Normal 2 15 2 7" xfId="21996" xr:uid="{00000000-0005-0000-0000-0000EF550000}"/>
    <cellStyle name="Normal 2 15 2 7 2" xfId="21997" xr:uid="{00000000-0005-0000-0000-0000F0550000}"/>
    <cellStyle name="Normal 2 15 2 8" xfId="21998" xr:uid="{00000000-0005-0000-0000-0000F1550000}"/>
    <cellStyle name="Normal 2 15 2 9" xfId="21999" xr:uid="{00000000-0005-0000-0000-0000F2550000}"/>
    <cellStyle name="Normal 2 15 20" xfId="22000" xr:uid="{00000000-0005-0000-0000-0000F3550000}"/>
    <cellStyle name="Normal 2 15 21" xfId="22001" xr:uid="{00000000-0005-0000-0000-0000F4550000}"/>
    <cellStyle name="Normal 2 15 22" xfId="22002" xr:uid="{00000000-0005-0000-0000-0000F5550000}"/>
    <cellStyle name="Normal 2 15 3" xfId="22003" xr:uid="{00000000-0005-0000-0000-0000F6550000}"/>
    <cellStyle name="Normal 2 15 3 10" xfId="22004" xr:uid="{00000000-0005-0000-0000-0000F7550000}"/>
    <cellStyle name="Normal 2 15 3 11" xfId="22005" xr:uid="{00000000-0005-0000-0000-0000F8550000}"/>
    <cellStyle name="Normal 2 15 3 2" xfId="22006" xr:uid="{00000000-0005-0000-0000-0000F9550000}"/>
    <cellStyle name="Normal 2 15 3 2 2" xfId="22007" xr:uid="{00000000-0005-0000-0000-0000FA550000}"/>
    <cellStyle name="Normal 2 15 3 2 2 2" xfId="22008" xr:uid="{00000000-0005-0000-0000-0000FB550000}"/>
    <cellStyle name="Normal 2 15 3 2 2 2 2" xfId="22009" xr:uid="{00000000-0005-0000-0000-0000FC550000}"/>
    <cellStyle name="Normal 2 15 3 2 2 2 3" xfId="22010" xr:uid="{00000000-0005-0000-0000-0000FD550000}"/>
    <cellStyle name="Normal 2 15 3 2 2 3" xfId="22011" xr:uid="{00000000-0005-0000-0000-0000FE550000}"/>
    <cellStyle name="Normal 2 15 3 2 2 4" xfId="22012" xr:uid="{00000000-0005-0000-0000-0000FF550000}"/>
    <cellStyle name="Normal 2 15 3 2 2 5" xfId="22013" xr:uid="{00000000-0005-0000-0000-000000560000}"/>
    <cellStyle name="Normal 2 15 3 2 2 6" xfId="22014" xr:uid="{00000000-0005-0000-0000-000001560000}"/>
    <cellStyle name="Normal 2 15 3 2 3" xfId="22015" xr:uid="{00000000-0005-0000-0000-000002560000}"/>
    <cellStyle name="Normal 2 15 3 2 3 2" xfId="22016" xr:uid="{00000000-0005-0000-0000-000003560000}"/>
    <cellStyle name="Normal 2 15 3 2 3 2 2" xfId="22017" xr:uid="{00000000-0005-0000-0000-000004560000}"/>
    <cellStyle name="Normal 2 15 3 2 3 3" xfId="22018" xr:uid="{00000000-0005-0000-0000-000005560000}"/>
    <cellStyle name="Normal 2 15 3 2 3 4" xfId="22019" xr:uid="{00000000-0005-0000-0000-000006560000}"/>
    <cellStyle name="Normal 2 15 3 2 3 5" xfId="22020" xr:uid="{00000000-0005-0000-0000-000007560000}"/>
    <cellStyle name="Normal 2 15 3 2 4" xfId="22021" xr:uid="{00000000-0005-0000-0000-000008560000}"/>
    <cellStyle name="Normal 2 15 3 2 4 2" xfId="22022" xr:uid="{00000000-0005-0000-0000-000009560000}"/>
    <cellStyle name="Normal 2 15 3 2 4 3" xfId="22023" xr:uid="{00000000-0005-0000-0000-00000A560000}"/>
    <cellStyle name="Normal 2 15 3 2 4 4" xfId="22024" xr:uid="{00000000-0005-0000-0000-00000B560000}"/>
    <cellStyle name="Normal 2 15 3 2 5" xfId="22025" xr:uid="{00000000-0005-0000-0000-00000C560000}"/>
    <cellStyle name="Normal 2 15 3 2 5 2" xfId="22026" xr:uid="{00000000-0005-0000-0000-00000D560000}"/>
    <cellStyle name="Normal 2 15 3 2 6" xfId="22027" xr:uid="{00000000-0005-0000-0000-00000E560000}"/>
    <cellStyle name="Normal 2 15 3 2 7" xfId="22028" xr:uid="{00000000-0005-0000-0000-00000F560000}"/>
    <cellStyle name="Normal 2 15 3 2 8" xfId="22029" xr:uid="{00000000-0005-0000-0000-000010560000}"/>
    <cellStyle name="Normal 2 15 3 2 9" xfId="22030" xr:uid="{00000000-0005-0000-0000-000011560000}"/>
    <cellStyle name="Normal 2 15 3 3" xfId="22031" xr:uid="{00000000-0005-0000-0000-000012560000}"/>
    <cellStyle name="Normal 2 15 3 3 2" xfId="22032" xr:uid="{00000000-0005-0000-0000-000013560000}"/>
    <cellStyle name="Normal 2 15 3 3 2 2" xfId="22033" xr:uid="{00000000-0005-0000-0000-000014560000}"/>
    <cellStyle name="Normal 2 15 3 3 2 2 2" xfId="22034" xr:uid="{00000000-0005-0000-0000-000015560000}"/>
    <cellStyle name="Normal 2 15 3 3 2 2 3" xfId="22035" xr:uid="{00000000-0005-0000-0000-000016560000}"/>
    <cellStyle name="Normal 2 15 3 3 2 3" xfId="22036" xr:uid="{00000000-0005-0000-0000-000017560000}"/>
    <cellStyle name="Normal 2 15 3 3 2 4" xfId="22037" xr:uid="{00000000-0005-0000-0000-000018560000}"/>
    <cellStyle name="Normal 2 15 3 3 2 5" xfId="22038" xr:uid="{00000000-0005-0000-0000-000019560000}"/>
    <cellStyle name="Normal 2 15 3 3 2 6" xfId="22039" xr:uid="{00000000-0005-0000-0000-00001A560000}"/>
    <cellStyle name="Normal 2 15 3 3 3" xfId="22040" xr:uid="{00000000-0005-0000-0000-00001B560000}"/>
    <cellStyle name="Normal 2 15 3 3 3 2" xfId="22041" xr:uid="{00000000-0005-0000-0000-00001C560000}"/>
    <cellStyle name="Normal 2 15 3 3 3 2 2" xfId="22042" xr:uid="{00000000-0005-0000-0000-00001D560000}"/>
    <cellStyle name="Normal 2 15 3 3 3 3" xfId="22043" xr:uid="{00000000-0005-0000-0000-00001E560000}"/>
    <cellStyle name="Normal 2 15 3 3 3 4" xfId="22044" xr:uid="{00000000-0005-0000-0000-00001F560000}"/>
    <cellStyle name="Normal 2 15 3 3 3 5" xfId="22045" xr:uid="{00000000-0005-0000-0000-000020560000}"/>
    <cellStyle name="Normal 2 15 3 3 4" xfId="22046" xr:uid="{00000000-0005-0000-0000-000021560000}"/>
    <cellStyle name="Normal 2 15 3 3 4 2" xfId="22047" xr:uid="{00000000-0005-0000-0000-000022560000}"/>
    <cellStyle name="Normal 2 15 3 3 4 3" xfId="22048" xr:uid="{00000000-0005-0000-0000-000023560000}"/>
    <cellStyle name="Normal 2 15 3 3 4 4" xfId="22049" xr:uid="{00000000-0005-0000-0000-000024560000}"/>
    <cellStyle name="Normal 2 15 3 3 5" xfId="22050" xr:uid="{00000000-0005-0000-0000-000025560000}"/>
    <cellStyle name="Normal 2 15 3 3 5 2" xfId="22051" xr:uid="{00000000-0005-0000-0000-000026560000}"/>
    <cellStyle name="Normal 2 15 3 3 6" xfId="22052" xr:uid="{00000000-0005-0000-0000-000027560000}"/>
    <cellStyle name="Normal 2 15 3 3 7" xfId="22053" xr:uid="{00000000-0005-0000-0000-000028560000}"/>
    <cellStyle name="Normal 2 15 3 3 8" xfId="22054" xr:uid="{00000000-0005-0000-0000-000029560000}"/>
    <cellStyle name="Normal 2 15 3 3 9" xfId="22055" xr:uid="{00000000-0005-0000-0000-00002A560000}"/>
    <cellStyle name="Normal 2 15 3 4" xfId="22056" xr:uid="{00000000-0005-0000-0000-00002B560000}"/>
    <cellStyle name="Normal 2 15 3 4 2" xfId="22057" xr:uid="{00000000-0005-0000-0000-00002C560000}"/>
    <cellStyle name="Normal 2 15 3 4 2 2" xfId="22058" xr:uid="{00000000-0005-0000-0000-00002D560000}"/>
    <cellStyle name="Normal 2 15 3 4 2 3" xfId="22059" xr:uid="{00000000-0005-0000-0000-00002E560000}"/>
    <cellStyle name="Normal 2 15 3 4 3" xfId="22060" xr:uid="{00000000-0005-0000-0000-00002F560000}"/>
    <cellStyle name="Normal 2 15 3 4 4" xfId="22061" xr:uid="{00000000-0005-0000-0000-000030560000}"/>
    <cellStyle name="Normal 2 15 3 4 5" xfId="22062" xr:uid="{00000000-0005-0000-0000-000031560000}"/>
    <cellStyle name="Normal 2 15 3 4 6" xfId="22063" xr:uid="{00000000-0005-0000-0000-000032560000}"/>
    <cellStyle name="Normal 2 15 3 5" xfId="22064" xr:uid="{00000000-0005-0000-0000-000033560000}"/>
    <cellStyle name="Normal 2 15 3 5 2" xfId="22065" xr:uid="{00000000-0005-0000-0000-000034560000}"/>
    <cellStyle name="Normal 2 15 3 5 2 2" xfId="22066" xr:uid="{00000000-0005-0000-0000-000035560000}"/>
    <cellStyle name="Normal 2 15 3 5 3" xfId="22067" xr:uid="{00000000-0005-0000-0000-000036560000}"/>
    <cellStyle name="Normal 2 15 3 5 4" xfId="22068" xr:uid="{00000000-0005-0000-0000-000037560000}"/>
    <cellStyle name="Normal 2 15 3 5 5" xfId="22069" xr:uid="{00000000-0005-0000-0000-000038560000}"/>
    <cellStyle name="Normal 2 15 3 6" xfId="22070" xr:uid="{00000000-0005-0000-0000-000039560000}"/>
    <cellStyle name="Normal 2 15 3 6 2" xfId="22071" xr:uid="{00000000-0005-0000-0000-00003A560000}"/>
    <cellStyle name="Normal 2 15 3 6 3" xfId="22072" xr:uid="{00000000-0005-0000-0000-00003B560000}"/>
    <cellStyle name="Normal 2 15 3 6 4" xfId="22073" xr:uid="{00000000-0005-0000-0000-00003C560000}"/>
    <cellStyle name="Normal 2 15 3 7" xfId="22074" xr:uid="{00000000-0005-0000-0000-00003D560000}"/>
    <cellStyle name="Normal 2 15 3 7 2" xfId="22075" xr:uid="{00000000-0005-0000-0000-00003E560000}"/>
    <cellStyle name="Normal 2 15 3 8" xfId="22076" xr:uid="{00000000-0005-0000-0000-00003F560000}"/>
    <cellStyle name="Normal 2 15 3 9" xfId="22077" xr:uid="{00000000-0005-0000-0000-000040560000}"/>
    <cellStyle name="Normal 2 15 4" xfId="22078" xr:uid="{00000000-0005-0000-0000-000041560000}"/>
    <cellStyle name="Normal 2 15 4 10" xfId="22079" xr:uid="{00000000-0005-0000-0000-000042560000}"/>
    <cellStyle name="Normal 2 15 4 11" xfId="22080" xr:uid="{00000000-0005-0000-0000-000043560000}"/>
    <cellStyle name="Normal 2 15 4 2" xfId="22081" xr:uid="{00000000-0005-0000-0000-000044560000}"/>
    <cellStyle name="Normal 2 15 4 2 2" xfId="22082" xr:uid="{00000000-0005-0000-0000-000045560000}"/>
    <cellStyle name="Normal 2 15 4 2 2 2" xfId="22083" xr:uid="{00000000-0005-0000-0000-000046560000}"/>
    <cellStyle name="Normal 2 15 4 2 2 2 2" xfId="22084" xr:uid="{00000000-0005-0000-0000-000047560000}"/>
    <cellStyle name="Normal 2 15 4 2 2 2 3" xfId="22085" xr:uid="{00000000-0005-0000-0000-000048560000}"/>
    <cellStyle name="Normal 2 15 4 2 2 3" xfId="22086" xr:uid="{00000000-0005-0000-0000-000049560000}"/>
    <cellStyle name="Normal 2 15 4 2 2 4" xfId="22087" xr:uid="{00000000-0005-0000-0000-00004A560000}"/>
    <cellStyle name="Normal 2 15 4 2 2 5" xfId="22088" xr:uid="{00000000-0005-0000-0000-00004B560000}"/>
    <cellStyle name="Normal 2 15 4 2 2 6" xfId="22089" xr:uid="{00000000-0005-0000-0000-00004C560000}"/>
    <cellStyle name="Normal 2 15 4 2 3" xfId="22090" xr:uid="{00000000-0005-0000-0000-00004D560000}"/>
    <cellStyle name="Normal 2 15 4 2 3 2" xfId="22091" xr:uid="{00000000-0005-0000-0000-00004E560000}"/>
    <cellStyle name="Normal 2 15 4 2 3 2 2" xfId="22092" xr:uid="{00000000-0005-0000-0000-00004F560000}"/>
    <cellStyle name="Normal 2 15 4 2 3 3" xfId="22093" xr:uid="{00000000-0005-0000-0000-000050560000}"/>
    <cellStyle name="Normal 2 15 4 2 3 4" xfId="22094" xr:uid="{00000000-0005-0000-0000-000051560000}"/>
    <cellStyle name="Normal 2 15 4 2 3 5" xfId="22095" xr:uid="{00000000-0005-0000-0000-000052560000}"/>
    <cellStyle name="Normal 2 15 4 2 4" xfId="22096" xr:uid="{00000000-0005-0000-0000-000053560000}"/>
    <cellStyle name="Normal 2 15 4 2 4 2" xfId="22097" xr:uid="{00000000-0005-0000-0000-000054560000}"/>
    <cellStyle name="Normal 2 15 4 2 4 3" xfId="22098" xr:uid="{00000000-0005-0000-0000-000055560000}"/>
    <cellStyle name="Normal 2 15 4 2 4 4" xfId="22099" xr:uid="{00000000-0005-0000-0000-000056560000}"/>
    <cellStyle name="Normal 2 15 4 2 5" xfId="22100" xr:uid="{00000000-0005-0000-0000-000057560000}"/>
    <cellStyle name="Normal 2 15 4 2 5 2" xfId="22101" xr:uid="{00000000-0005-0000-0000-000058560000}"/>
    <cellStyle name="Normal 2 15 4 2 6" xfId="22102" xr:uid="{00000000-0005-0000-0000-000059560000}"/>
    <cellStyle name="Normal 2 15 4 2 7" xfId="22103" xr:uid="{00000000-0005-0000-0000-00005A560000}"/>
    <cellStyle name="Normal 2 15 4 2 8" xfId="22104" xr:uid="{00000000-0005-0000-0000-00005B560000}"/>
    <cellStyle name="Normal 2 15 4 2 9" xfId="22105" xr:uid="{00000000-0005-0000-0000-00005C560000}"/>
    <cellStyle name="Normal 2 15 4 3" xfId="22106" xr:uid="{00000000-0005-0000-0000-00005D560000}"/>
    <cellStyle name="Normal 2 15 4 3 2" xfId="22107" xr:uid="{00000000-0005-0000-0000-00005E560000}"/>
    <cellStyle name="Normal 2 15 4 3 2 2" xfId="22108" xr:uid="{00000000-0005-0000-0000-00005F560000}"/>
    <cellStyle name="Normal 2 15 4 3 2 2 2" xfId="22109" xr:uid="{00000000-0005-0000-0000-000060560000}"/>
    <cellStyle name="Normal 2 15 4 3 2 2 3" xfId="22110" xr:uid="{00000000-0005-0000-0000-000061560000}"/>
    <cellStyle name="Normal 2 15 4 3 2 3" xfId="22111" xr:uid="{00000000-0005-0000-0000-000062560000}"/>
    <cellStyle name="Normal 2 15 4 3 2 4" xfId="22112" xr:uid="{00000000-0005-0000-0000-000063560000}"/>
    <cellStyle name="Normal 2 15 4 3 2 5" xfId="22113" xr:uid="{00000000-0005-0000-0000-000064560000}"/>
    <cellStyle name="Normal 2 15 4 3 2 6" xfId="22114" xr:uid="{00000000-0005-0000-0000-000065560000}"/>
    <cellStyle name="Normal 2 15 4 3 3" xfId="22115" xr:uid="{00000000-0005-0000-0000-000066560000}"/>
    <cellStyle name="Normal 2 15 4 3 3 2" xfId="22116" xr:uid="{00000000-0005-0000-0000-000067560000}"/>
    <cellStyle name="Normal 2 15 4 3 3 2 2" xfId="22117" xr:uid="{00000000-0005-0000-0000-000068560000}"/>
    <cellStyle name="Normal 2 15 4 3 3 3" xfId="22118" xr:uid="{00000000-0005-0000-0000-000069560000}"/>
    <cellStyle name="Normal 2 15 4 3 3 4" xfId="22119" xr:uid="{00000000-0005-0000-0000-00006A560000}"/>
    <cellStyle name="Normal 2 15 4 3 3 5" xfId="22120" xr:uid="{00000000-0005-0000-0000-00006B560000}"/>
    <cellStyle name="Normal 2 15 4 3 4" xfId="22121" xr:uid="{00000000-0005-0000-0000-00006C560000}"/>
    <cellStyle name="Normal 2 15 4 3 4 2" xfId="22122" xr:uid="{00000000-0005-0000-0000-00006D560000}"/>
    <cellStyle name="Normal 2 15 4 3 4 3" xfId="22123" xr:uid="{00000000-0005-0000-0000-00006E560000}"/>
    <cellStyle name="Normal 2 15 4 3 4 4" xfId="22124" xr:uid="{00000000-0005-0000-0000-00006F560000}"/>
    <cellStyle name="Normal 2 15 4 3 5" xfId="22125" xr:uid="{00000000-0005-0000-0000-000070560000}"/>
    <cellStyle name="Normal 2 15 4 3 5 2" xfId="22126" xr:uid="{00000000-0005-0000-0000-000071560000}"/>
    <cellStyle name="Normal 2 15 4 3 6" xfId="22127" xr:uid="{00000000-0005-0000-0000-000072560000}"/>
    <cellStyle name="Normal 2 15 4 3 7" xfId="22128" xr:uid="{00000000-0005-0000-0000-000073560000}"/>
    <cellStyle name="Normal 2 15 4 3 8" xfId="22129" xr:uid="{00000000-0005-0000-0000-000074560000}"/>
    <cellStyle name="Normal 2 15 4 3 9" xfId="22130" xr:uid="{00000000-0005-0000-0000-000075560000}"/>
    <cellStyle name="Normal 2 15 4 4" xfId="22131" xr:uid="{00000000-0005-0000-0000-000076560000}"/>
    <cellStyle name="Normal 2 15 4 4 2" xfId="22132" xr:uid="{00000000-0005-0000-0000-000077560000}"/>
    <cellStyle name="Normal 2 15 4 4 2 2" xfId="22133" xr:uid="{00000000-0005-0000-0000-000078560000}"/>
    <cellStyle name="Normal 2 15 4 4 2 3" xfId="22134" xr:uid="{00000000-0005-0000-0000-000079560000}"/>
    <cellStyle name="Normal 2 15 4 4 3" xfId="22135" xr:uid="{00000000-0005-0000-0000-00007A560000}"/>
    <cellStyle name="Normal 2 15 4 4 4" xfId="22136" xr:uid="{00000000-0005-0000-0000-00007B560000}"/>
    <cellStyle name="Normal 2 15 4 4 5" xfId="22137" xr:uid="{00000000-0005-0000-0000-00007C560000}"/>
    <cellStyle name="Normal 2 15 4 4 6" xfId="22138" xr:uid="{00000000-0005-0000-0000-00007D560000}"/>
    <cellStyle name="Normal 2 15 4 5" xfId="22139" xr:uid="{00000000-0005-0000-0000-00007E560000}"/>
    <cellStyle name="Normal 2 15 4 5 2" xfId="22140" xr:uid="{00000000-0005-0000-0000-00007F560000}"/>
    <cellStyle name="Normal 2 15 4 5 2 2" xfId="22141" xr:uid="{00000000-0005-0000-0000-000080560000}"/>
    <cellStyle name="Normal 2 15 4 5 3" xfId="22142" xr:uid="{00000000-0005-0000-0000-000081560000}"/>
    <cellStyle name="Normal 2 15 4 5 4" xfId="22143" xr:uid="{00000000-0005-0000-0000-000082560000}"/>
    <cellStyle name="Normal 2 15 4 5 5" xfId="22144" xr:uid="{00000000-0005-0000-0000-000083560000}"/>
    <cellStyle name="Normal 2 15 4 6" xfId="22145" xr:uid="{00000000-0005-0000-0000-000084560000}"/>
    <cellStyle name="Normal 2 15 4 6 2" xfId="22146" xr:uid="{00000000-0005-0000-0000-000085560000}"/>
    <cellStyle name="Normal 2 15 4 6 3" xfId="22147" xr:uid="{00000000-0005-0000-0000-000086560000}"/>
    <cellStyle name="Normal 2 15 4 6 4" xfId="22148" xr:uid="{00000000-0005-0000-0000-000087560000}"/>
    <cellStyle name="Normal 2 15 4 7" xfId="22149" xr:uid="{00000000-0005-0000-0000-000088560000}"/>
    <cellStyle name="Normal 2 15 4 7 2" xfId="22150" xr:uid="{00000000-0005-0000-0000-000089560000}"/>
    <cellStyle name="Normal 2 15 4 8" xfId="22151" xr:uid="{00000000-0005-0000-0000-00008A560000}"/>
    <cellStyle name="Normal 2 15 4 9" xfId="22152" xr:uid="{00000000-0005-0000-0000-00008B560000}"/>
    <cellStyle name="Normal 2 15 5" xfId="22153" xr:uid="{00000000-0005-0000-0000-00008C560000}"/>
    <cellStyle name="Normal 2 15 5 10" xfId="22154" xr:uid="{00000000-0005-0000-0000-00008D560000}"/>
    <cellStyle name="Normal 2 15 5 11" xfId="22155" xr:uid="{00000000-0005-0000-0000-00008E560000}"/>
    <cellStyle name="Normal 2 15 5 2" xfId="22156" xr:uid="{00000000-0005-0000-0000-00008F560000}"/>
    <cellStyle name="Normal 2 15 5 2 2" xfId="22157" xr:uid="{00000000-0005-0000-0000-000090560000}"/>
    <cellStyle name="Normal 2 15 5 2 2 2" xfId="22158" xr:uid="{00000000-0005-0000-0000-000091560000}"/>
    <cellStyle name="Normal 2 15 5 2 2 2 2" xfId="22159" xr:uid="{00000000-0005-0000-0000-000092560000}"/>
    <cellStyle name="Normal 2 15 5 2 2 2 3" xfId="22160" xr:uid="{00000000-0005-0000-0000-000093560000}"/>
    <cellStyle name="Normal 2 15 5 2 2 3" xfId="22161" xr:uid="{00000000-0005-0000-0000-000094560000}"/>
    <cellStyle name="Normal 2 15 5 2 2 4" xfId="22162" xr:uid="{00000000-0005-0000-0000-000095560000}"/>
    <cellStyle name="Normal 2 15 5 2 2 5" xfId="22163" xr:uid="{00000000-0005-0000-0000-000096560000}"/>
    <cellStyle name="Normal 2 15 5 2 2 6" xfId="22164" xr:uid="{00000000-0005-0000-0000-000097560000}"/>
    <cellStyle name="Normal 2 15 5 2 3" xfId="22165" xr:uid="{00000000-0005-0000-0000-000098560000}"/>
    <cellStyle name="Normal 2 15 5 2 3 2" xfId="22166" xr:uid="{00000000-0005-0000-0000-000099560000}"/>
    <cellStyle name="Normal 2 15 5 2 3 2 2" xfId="22167" xr:uid="{00000000-0005-0000-0000-00009A560000}"/>
    <cellStyle name="Normal 2 15 5 2 3 3" xfId="22168" xr:uid="{00000000-0005-0000-0000-00009B560000}"/>
    <cellStyle name="Normal 2 15 5 2 3 4" xfId="22169" xr:uid="{00000000-0005-0000-0000-00009C560000}"/>
    <cellStyle name="Normal 2 15 5 2 3 5" xfId="22170" xr:uid="{00000000-0005-0000-0000-00009D560000}"/>
    <cellStyle name="Normal 2 15 5 2 4" xfId="22171" xr:uid="{00000000-0005-0000-0000-00009E560000}"/>
    <cellStyle name="Normal 2 15 5 2 4 2" xfId="22172" xr:uid="{00000000-0005-0000-0000-00009F560000}"/>
    <cellStyle name="Normal 2 15 5 2 4 3" xfId="22173" xr:uid="{00000000-0005-0000-0000-0000A0560000}"/>
    <cellStyle name="Normal 2 15 5 2 4 4" xfId="22174" xr:uid="{00000000-0005-0000-0000-0000A1560000}"/>
    <cellStyle name="Normal 2 15 5 2 5" xfId="22175" xr:uid="{00000000-0005-0000-0000-0000A2560000}"/>
    <cellStyle name="Normal 2 15 5 2 5 2" xfId="22176" xr:uid="{00000000-0005-0000-0000-0000A3560000}"/>
    <cellStyle name="Normal 2 15 5 2 6" xfId="22177" xr:uid="{00000000-0005-0000-0000-0000A4560000}"/>
    <cellStyle name="Normal 2 15 5 2 7" xfId="22178" xr:uid="{00000000-0005-0000-0000-0000A5560000}"/>
    <cellStyle name="Normal 2 15 5 2 8" xfId="22179" xr:uid="{00000000-0005-0000-0000-0000A6560000}"/>
    <cellStyle name="Normal 2 15 5 2 9" xfId="22180" xr:uid="{00000000-0005-0000-0000-0000A7560000}"/>
    <cellStyle name="Normal 2 15 5 3" xfId="22181" xr:uid="{00000000-0005-0000-0000-0000A8560000}"/>
    <cellStyle name="Normal 2 15 5 3 2" xfId="22182" xr:uid="{00000000-0005-0000-0000-0000A9560000}"/>
    <cellStyle name="Normal 2 15 5 3 2 2" xfId="22183" xr:uid="{00000000-0005-0000-0000-0000AA560000}"/>
    <cellStyle name="Normal 2 15 5 3 2 2 2" xfId="22184" xr:uid="{00000000-0005-0000-0000-0000AB560000}"/>
    <cellStyle name="Normal 2 15 5 3 2 2 3" xfId="22185" xr:uid="{00000000-0005-0000-0000-0000AC560000}"/>
    <cellStyle name="Normal 2 15 5 3 2 3" xfId="22186" xr:uid="{00000000-0005-0000-0000-0000AD560000}"/>
    <cellStyle name="Normal 2 15 5 3 2 4" xfId="22187" xr:uid="{00000000-0005-0000-0000-0000AE560000}"/>
    <cellStyle name="Normal 2 15 5 3 2 5" xfId="22188" xr:uid="{00000000-0005-0000-0000-0000AF560000}"/>
    <cellStyle name="Normal 2 15 5 3 2 6" xfId="22189" xr:uid="{00000000-0005-0000-0000-0000B0560000}"/>
    <cellStyle name="Normal 2 15 5 3 3" xfId="22190" xr:uid="{00000000-0005-0000-0000-0000B1560000}"/>
    <cellStyle name="Normal 2 15 5 3 3 2" xfId="22191" xr:uid="{00000000-0005-0000-0000-0000B2560000}"/>
    <cellStyle name="Normal 2 15 5 3 3 2 2" xfId="22192" xr:uid="{00000000-0005-0000-0000-0000B3560000}"/>
    <cellStyle name="Normal 2 15 5 3 3 3" xfId="22193" xr:uid="{00000000-0005-0000-0000-0000B4560000}"/>
    <cellStyle name="Normal 2 15 5 3 3 4" xfId="22194" xr:uid="{00000000-0005-0000-0000-0000B5560000}"/>
    <cellStyle name="Normal 2 15 5 3 3 5" xfId="22195" xr:uid="{00000000-0005-0000-0000-0000B6560000}"/>
    <cellStyle name="Normal 2 15 5 3 4" xfId="22196" xr:uid="{00000000-0005-0000-0000-0000B7560000}"/>
    <cellStyle name="Normal 2 15 5 3 4 2" xfId="22197" xr:uid="{00000000-0005-0000-0000-0000B8560000}"/>
    <cellStyle name="Normal 2 15 5 3 4 3" xfId="22198" xr:uid="{00000000-0005-0000-0000-0000B9560000}"/>
    <cellStyle name="Normal 2 15 5 3 4 4" xfId="22199" xr:uid="{00000000-0005-0000-0000-0000BA560000}"/>
    <cellStyle name="Normal 2 15 5 3 5" xfId="22200" xr:uid="{00000000-0005-0000-0000-0000BB560000}"/>
    <cellStyle name="Normal 2 15 5 3 5 2" xfId="22201" xr:uid="{00000000-0005-0000-0000-0000BC560000}"/>
    <cellStyle name="Normal 2 15 5 3 6" xfId="22202" xr:uid="{00000000-0005-0000-0000-0000BD560000}"/>
    <cellStyle name="Normal 2 15 5 3 7" xfId="22203" xr:uid="{00000000-0005-0000-0000-0000BE560000}"/>
    <cellStyle name="Normal 2 15 5 3 8" xfId="22204" xr:uid="{00000000-0005-0000-0000-0000BF560000}"/>
    <cellStyle name="Normal 2 15 5 3 9" xfId="22205" xr:uid="{00000000-0005-0000-0000-0000C0560000}"/>
    <cellStyle name="Normal 2 15 5 4" xfId="22206" xr:uid="{00000000-0005-0000-0000-0000C1560000}"/>
    <cellStyle name="Normal 2 15 5 4 2" xfId="22207" xr:uid="{00000000-0005-0000-0000-0000C2560000}"/>
    <cellStyle name="Normal 2 15 5 4 2 2" xfId="22208" xr:uid="{00000000-0005-0000-0000-0000C3560000}"/>
    <cellStyle name="Normal 2 15 5 4 2 3" xfId="22209" xr:uid="{00000000-0005-0000-0000-0000C4560000}"/>
    <cellStyle name="Normal 2 15 5 4 3" xfId="22210" xr:uid="{00000000-0005-0000-0000-0000C5560000}"/>
    <cellStyle name="Normal 2 15 5 4 4" xfId="22211" xr:uid="{00000000-0005-0000-0000-0000C6560000}"/>
    <cellStyle name="Normal 2 15 5 4 5" xfId="22212" xr:uid="{00000000-0005-0000-0000-0000C7560000}"/>
    <cellStyle name="Normal 2 15 5 4 6" xfId="22213" xr:uid="{00000000-0005-0000-0000-0000C8560000}"/>
    <cellStyle name="Normal 2 15 5 5" xfId="22214" xr:uid="{00000000-0005-0000-0000-0000C9560000}"/>
    <cellStyle name="Normal 2 15 5 5 2" xfId="22215" xr:uid="{00000000-0005-0000-0000-0000CA560000}"/>
    <cellStyle name="Normal 2 15 5 5 2 2" xfId="22216" xr:uid="{00000000-0005-0000-0000-0000CB560000}"/>
    <cellStyle name="Normal 2 15 5 5 3" xfId="22217" xr:uid="{00000000-0005-0000-0000-0000CC560000}"/>
    <cellStyle name="Normal 2 15 5 5 4" xfId="22218" xr:uid="{00000000-0005-0000-0000-0000CD560000}"/>
    <cellStyle name="Normal 2 15 5 5 5" xfId="22219" xr:uid="{00000000-0005-0000-0000-0000CE560000}"/>
    <cellStyle name="Normal 2 15 5 6" xfId="22220" xr:uid="{00000000-0005-0000-0000-0000CF560000}"/>
    <cellStyle name="Normal 2 15 5 6 2" xfId="22221" xr:uid="{00000000-0005-0000-0000-0000D0560000}"/>
    <cellStyle name="Normal 2 15 5 6 3" xfId="22222" xr:uid="{00000000-0005-0000-0000-0000D1560000}"/>
    <cellStyle name="Normal 2 15 5 6 4" xfId="22223" xr:uid="{00000000-0005-0000-0000-0000D2560000}"/>
    <cellStyle name="Normal 2 15 5 7" xfId="22224" xr:uid="{00000000-0005-0000-0000-0000D3560000}"/>
    <cellStyle name="Normal 2 15 5 7 2" xfId="22225" xr:uid="{00000000-0005-0000-0000-0000D4560000}"/>
    <cellStyle name="Normal 2 15 5 8" xfId="22226" xr:uid="{00000000-0005-0000-0000-0000D5560000}"/>
    <cellStyle name="Normal 2 15 5 9" xfId="22227" xr:uid="{00000000-0005-0000-0000-0000D6560000}"/>
    <cellStyle name="Normal 2 15 6" xfId="22228" xr:uid="{00000000-0005-0000-0000-0000D7560000}"/>
    <cellStyle name="Normal 2 15 6 10" xfId="22229" xr:uid="{00000000-0005-0000-0000-0000D8560000}"/>
    <cellStyle name="Normal 2 15 6 11" xfId="22230" xr:uid="{00000000-0005-0000-0000-0000D9560000}"/>
    <cellStyle name="Normal 2 15 6 2" xfId="22231" xr:uid="{00000000-0005-0000-0000-0000DA560000}"/>
    <cellStyle name="Normal 2 15 6 2 2" xfId="22232" xr:uid="{00000000-0005-0000-0000-0000DB560000}"/>
    <cellStyle name="Normal 2 15 6 2 2 2" xfId="22233" xr:uid="{00000000-0005-0000-0000-0000DC560000}"/>
    <cellStyle name="Normal 2 15 6 2 2 2 2" xfId="22234" xr:uid="{00000000-0005-0000-0000-0000DD560000}"/>
    <cellStyle name="Normal 2 15 6 2 2 2 3" xfId="22235" xr:uid="{00000000-0005-0000-0000-0000DE560000}"/>
    <cellStyle name="Normal 2 15 6 2 2 3" xfId="22236" xr:uid="{00000000-0005-0000-0000-0000DF560000}"/>
    <cellStyle name="Normal 2 15 6 2 2 4" xfId="22237" xr:uid="{00000000-0005-0000-0000-0000E0560000}"/>
    <cellStyle name="Normal 2 15 6 2 2 5" xfId="22238" xr:uid="{00000000-0005-0000-0000-0000E1560000}"/>
    <cellStyle name="Normal 2 15 6 2 2 6" xfId="22239" xr:uid="{00000000-0005-0000-0000-0000E2560000}"/>
    <cellStyle name="Normal 2 15 6 2 3" xfId="22240" xr:uid="{00000000-0005-0000-0000-0000E3560000}"/>
    <cellStyle name="Normal 2 15 6 2 3 2" xfId="22241" xr:uid="{00000000-0005-0000-0000-0000E4560000}"/>
    <cellStyle name="Normal 2 15 6 2 3 2 2" xfId="22242" xr:uid="{00000000-0005-0000-0000-0000E5560000}"/>
    <cellStyle name="Normal 2 15 6 2 3 3" xfId="22243" xr:uid="{00000000-0005-0000-0000-0000E6560000}"/>
    <cellStyle name="Normal 2 15 6 2 3 4" xfId="22244" xr:uid="{00000000-0005-0000-0000-0000E7560000}"/>
    <cellStyle name="Normal 2 15 6 2 3 5" xfId="22245" xr:uid="{00000000-0005-0000-0000-0000E8560000}"/>
    <cellStyle name="Normal 2 15 6 2 4" xfId="22246" xr:uid="{00000000-0005-0000-0000-0000E9560000}"/>
    <cellStyle name="Normal 2 15 6 2 4 2" xfId="22247" xr:uid="{00000000-0005-0000-0000-0000EA560000}"/>
    <cellStyle name="Normal 2 15 6 2 4 3" xfId="22248" xr:uid="{00000000-0005-0000-0000-0000EB560000}"/>
    <cellStyle name="Normal 2 15 6 2 4 4" xfId="22249" xr:uid="{00000000-0005-0000-0000-0000EC560000}"/>
    <cellStyle name="Normal 2 15 6 2 5" xfId="22250" xr:uid="{00000000-0005-0000-0000-0000ED560000}"/>
    <cellStyle name="Normal 2 15 6 2 5 2" xfId="22251" xr:uid="{00000000-0005-0000-0000-0000EE560000}"/>
    <cellStyle name="Normal 2 15 6 2 6" xfId="22252" xr:uid="{00000000-0005-0000-0000-0000EF560000}"/>
    <cellStyle name="Normal 2 15 6 2 7" xfId="22253" xr:uid="{00000000-0005-0000-0000-0000F0560000}"/>
    <cellStyle name="Normal 2 15 6 2 8" xfId="22254" xr:uid="{00000000-0005-0000-0000-0000F1560000}"/>
    <cellStyle name="Normal 2 15 6 2 9" xfId="22255" xr:uid="{00000000-0005-0000-0000-0000F2560000}"/>
    <cellStyle name="Normal 2 15 6 3" xfId="22256" xr:uid="{00000000-0005-0000-0000-0000F3560000}"/>
    <cellStyle name="Normal 2 15 6 3 2" xfId="22257" xr:uid="{00000000-0005-0000-0000-0000F4560000}"/>
    <cellStyle name="Normal 2 15 6 3 2 2" xfId="22258" xr:uid="{00000000-0005-0000-0000-0000F5560000}"/>
    <cellStyle name="Normal 2 15 6 3 2 2 2" xfId="22259" xr:uid="{00000000-0005-0000-0000-0000F6560000}"/>
    <cellStyle name="Normal 2 15 6 3 2 2 3" xfId="22260" xr:uid="{00000000-0005-0000-0000-0000F7560000}"/>
    <cellStyle name="Normal 2 15 6 3 2 3" xfId="22261" xr:uid="{00000000-0005-0000-0000-0000F8560000}"/>
    <cellStyle name="Normal 2 15 6 3 2 4" xfId="22262" xr:uid="{00000000-0005-0000-0000-0000F9560000}"/>
    <cellStyle name="Normal 2 15 6 3 2 5" xfId="22263" xr:uid="{00000000-0005-0000-0000-0000FA560000}"/>
    <cellStyle name="Normal 2 15 6 3 2 6" xfId="22264" xr:uid="{00000000-0005-0000-0000-0000FB560000}"/>
    <cellStyle name="Normal 2 15 6 3 3" xfId="22265" xr:uid="{00000000-0005-0000-0000-0000FC560000}"/>
    <cellStyle name="Normal 2 15 6 3 3 2" xfId="22266" xr:uid="{00000000-0005-0000-0000-0000FD560000}"/>
    <cellStyle name="Normal 2 15 6 3 3 2 2" xfId="22267" xr:uid="{00000000-0005-0000-0000-0000FE560000}"/>
    <cellStyle name="Normal 2 15 6 3 3 3" xfId="22268" xr:uid="{00000000-0005-0000-0000-0000FF560000}"/>
    <cellStyle name="Normal 2 15 6 3 3 4" xfId="22269" xr:uid="{00000000-0005-0000-0000-000000570000}"/>
    <cellStyle name="Normal 2 15 6 3 3 5" xfId="22270" xr:uid="{00000000-0005-0000-0000-000001570000}"/>
    <cellStyle name="Normal 2 15 6 3 4" xfId="22271" xr:uid="{00000000-0005-0000-0000-000002570000}"/>
    <cellStyle name="Normal 2 15 6 3 4 2" xfId="22272" xr:uid="{00000000-0005-0000-0000-000003570000}"/>
    <cellStyle name="Normal 2 15 6 3 4 3" xfId="22273" xr:uid="{00000000-0005-0000-0000-000004570000}"/>
    <cellStyle name="Normal 2 15 6 3 4 4" xfId="22274" xr:uid="{00000000-0005-0000-0000-000005570000}"/>
    <cellStyle name="Normal 2 15 6 3 5" xfId="22275" xr:uid="{00000000-0005-0000-0000-000006570000}"/>
    <cellStyle name="Normal 2 15 6 3 5 2" xfId="22276" xr:uid="{00000000-0005-0000-0000-000007570000}"/>
    <cellStyle name="Normal 2 15 6 3 6" xfId="22277" xr:uid="{00000000-0005-0000-0000-000008570000}"/>
    <cellStyle name="Normal 2 15 6 3 7" xfId="22278" xr:uid="{00000000-0005-0000-0000-000009570000}"/>
    <cellStyle name="Normal 2 15 6 3 8" xfId="22279" xr:uid="{00000000-0005-0000-0000-00000A570000}"/>
    <cellStyle name="Normal 2 15 6 3 9" xfId="22280" xr:uid="{00000000-0005-0000-0000-00000B570000}"/>
    <cellStyle name="Normal 2 15 6 4" xfId="22281" xr:uid="{00000000-0005-0000-0000-00000C570000}"/>
    <cellStyle name="Normal 2 15 6 4 2" xfId="22282" xr:uid="{00000000-0005-0000-0000-00000D570000}"/>
    <cellStyle name="Normal 2 15 6 4 2 2" xfId="22283" xr:uid="{00000000-0005-0000-0000-00000E570000}"/>
    <cellStyle name="Normal 2 15 6 4 2 3" xfId="22284" xr:uid="{00000000-0005-0000-0000-00000F570000}"/>
    <cellStyle name="Normal 2 15 6 4 3" xfId="22285" xr:uid="{00000000-0005-0000-0000-000010570000}"/>
    <cellStyle name="Normal 2 15 6 4 4" xfId="22286" xr:uid="{00000000-0005-0000-0000-000011570000}"/>
    <cellStyle name="Normal 2 15 6 4 5" xfId="22287" xr:uid="{00000000-0005-0000-0000-000012570000}"/>
    <cellStyle name="Normal 2 15 6 4 6" xfId="22288" xr:uid="{00000000-0005-0000-0000-000013570000}"/>
    <cellStyle name="Normal 2 15 6 5" xfId="22289" xr:uid="{00000000-0005-0000-0000-000014570000}"/>
    <cellStyle name="Normal 2 15 6 5 2" xfId="22290" xr:uid="{00000000-0005-0000-0000-000015570000}"/>
    <cellStyle name="Normal 2 15 6 5 2 2" xfId="22291" xr:uid="{00000000-0005-0000-0000-000016570000}"/>
    <cellStyle name="Normal 2 15 6 5 3" xfId="22292" xr:uid="{00000000-0005-0000-0000-000017570000}"/>
    <cellStyle name="Normal 2 15 6 5 4" xfId="22293" xr:uid="{00000000-0005-0000-0000-000018570000}"/>
    <cellStyle name="Normal 2 15 6 5 5" xfId="22294" xr:uid="{00000000-0005-0000-0000-000019570000}"/>
    <cellStyle name="Normal 2 15 6 6" xfId="22295" xr:uid="{00000000-0005-0000-0000-00001A570000}"/>
    <cellStyle name="Normal 2 15 6 6 2" xfId="22296" xr:uid="{00000000-0005-0000-0000-00001B570000}"/>
    <cellStyle name="Normal 2 15 6 6 3" xfId="22297" xr:uid="{00000000-0005-0000-0000-00001C570000}"/>
    <cellStyle name="Normal 2 15 6 6 4" xfId="22298" xr:uid="{00000000-0005-0000-0000-00001D570000}"/>
    <cellStyle name="Normal 2 15 6 7" xfId="22299" xr:uid="{00000000-0005-0000-0000-00001E570000}"/>
    <cellStyle name="Normal 2 15 6 7 2" xfId="22300" xr:uid="{00000000-0005-0000-0000-00001F570000}"/>
    <cellStyle name="Normal 2 15 6 8" xfId="22301" xr:uid="{00000000-0005-0000-0000-000020570000}"/>
    <cellStyle name="Normal 2 15 6 9" xfId="22302" xr:uid="{00000000-0005-0000-0000-000021570000}"/>
    <cellStyle name="Normal 2 15 7" xfId="22303" xr:uid="{00000000-0005-0000-0000-000022570000}"/>
    <cellStyle name="Normal 2 15 7 10" xfId="22304" xr:uid="{00000000-0005-0000-0000-000023570000}"/>
    <cellStyle name="Normal 2 15 7 11" xfId="22305" xr:uid="{00000000-0005-0000-0000-000024570000}"/>
    <cellStyle name="Normal 2 15 7 2" xfId="22306" xr:uid="{00000000-0005-0000-0000-000025570000}"/>
    <cellStyle name="Normal 2 15 7 2 2" xfId="22307" xr:uid="{00000000-0005-0000-0000-000026570000}"/>
    <cellStyle name="Normal 2 15 7 2 2 2" xfId="22308" xr:uid="{00000000-0005-0000-0000-000027570000}"/>
    <cellStyle name="Normal 2 15 7 2 2 2 2" xfId="22309" xr:uid="{00000000-0005-0000-0000-000028570000}"/>
    <cellStyle name="Normal 2 15 7 2 2 2 3" xfId="22310" xr:uid="{00000000-0005-0000-0000-000029570000}"/>
    <cellStyle name="Normal 2 15 7 2 2 3" xfId="22311" xr:uid="{00000000-0005-0000-0000-00002A570000}"/>
    <cellStyle name="Normal 2 15 7 2 2 4" xfId="22312" xr:uid="{00000000-0005-0000-0000-00002B570000}"/>
    <cellStyle name="Normal 2 15 7 2 2 5" xfId="22313" xr:uid="{00000000-0005-0000-0000-00002C570000}"/>
    <cellStyle name="Normal 2 15 7 2 2 6" xfId="22314" xr:uid="{00000000-0005-0000-0000-00002D570000}"/>
    <cellStyle name="Normal 2 15 7 2 3" xfId="22315" xr:uid="{00000000-0005-0000-0000-00002E570000}"/>
    <cellStyle name="Normal 2 15 7 2 3 2" xfId="22316" xr:uid="{00000000-0005-0000-0000-00002F570000}"/>
    <cellStyle name="Normal 2 15 7 2 3 2 2" xfId="22317" xr:uid="{00000000-0005-0000-0000-000030570000}"/>
    <cellStyle name="Normal 2 15 7 2 3 3" xfId="22318" xr:uid="{00000000-0005-0000-0000-000031570000}"/>
    <cellStyle name="Normal 2 15 7 2 3 4" xfId="22319" xr:uid="{00000000-0005-0000-0000-000032570000}"/>
    <cellStyle name="Normal 2 15 7 2 3 5" xfId="22320" xr:uid="{00000000-0005-0000-0000-000033570000}"/>
    <cellStyle name="Normal 2 15 7 2 4" xfId="22321" xr:uid="{00000000-0005-0000-0000-000034570000}"/>
    <cellStyle name="Normal 2 15 7 2 4 2" xfId="22322" xr:uid="{00000000-0005-0000-0000-000035570000}"/>
    <cellStyle name="Normal 2 15 7 2 4 3" xfId="22323" xr:uid="{00000000-0005-0000-0000-000036570000}"/>
    <cellStyle name="Normal 2 15 7 2 4 4" xfId="22324" xr:uid="{00000000-0005-0000-0000-000037570000}"/>
    <cellStyle name="Normal 2 15 7 2 5" xfId="22325" xr:uid="{00000000-0005-0000-0000-000038570000}"/>
    <cellStyle name="Normal 2 15 7 2 5 2" xfId="22326" xr:uid="{00000000-0005-0000-0000-000039570000}"/>
    <cellStyle name="Normal 2 15 7 2 6" xfId="22327" xr:uid="{00000000-0005-0000-0000-00003A570000}"/>
    <cellStyle name="Normal 2 15 7 2 7" xfId="22328" xr:uid="{00000000-0005-0000-0000-00003B570000}"/>
    <cellStyle name="Normal 2 15 7 2 8" xfId="22329" xr:uid="{00000000-0005-0000-0000-00003C570000}"/>
    <cellStyle name="Normal 2 15 7 2 9" xfId="22330" xr:uid="{00000000-0005-0000-0000-00003D570000}"/>
    <cellStyle name="Normal 2 15 7 3" xfId="22331" xr:uid="{00000000-0005-0000-0000-00003E570000}"/>
    <cellStyle name="Normal 2 15 7 3 2" xfId="22332" xr:uid="{00000000-0005-0000-0000-00003F570000}"/>
    <cellStyle name="Normal 2 15 7 3 2 2" xfId="22333" xr:uid="{00000000-0005-0000-0000-000040570000}"/>
    <cellStyle name="Normal 2 15 7 3 2 2 2" xfId="22334" xr:uid="{00000000-0005-0000-0000-000041570000}"/>
    <cellStyle name="Normal 2 15 7 3 2 2 3" xfId="22335" xr:uid="{00000000-0005-0000-0000-000042570000}"/>
    <cellStyle name="Normal 2 15 7 3 2 3" xfId="22336" xr:uid="{00000000-0005-0000-0000-000043570000}"/>
    <cellStyle name="Normal 2 15 7 3 2 4" xfId="22337" xr:uid="{00000000-0005-0000-0000-000044570000}"/>
    <cellStyle name="Normal 2 15 7 3 2 5" xfId="22338" xr:uid="{00000000-0005-0000-0000-000045570000}"/>
    <cellStyle name="Normal 2 15 7 3 2 6" xfId="22339" xr:uid="{00000000-0005-0000-0000-000046570000}"/>
    <cellStyle name="Normal 2 15 7 3 3" xfId="22340" xr:uid="{00000000-0005-0000-0000-000047570000}"/>
    <cellStyle name="Normal 2 15 7 3 3 2" xfId="22341" xr:uid="{00000000-0005-0000-0000-000048570000}"/>
    <cellStyle name="Normal 2 15 7 3 3 2 2" xfId="22342" xr:uid="{00000000-0005-0000-0000-000049570000}"/>
    <cellStyle name="Normal 2 15 7 3 3 3" xfId="22343" xr:uid="{00000000-0005-0000-0000-00004A570000}"/>
    <cellStyle name="Normal 2 15 7 3 3 4" xfId="22344" xr:uid="{00000000-0005-0000-0000-00004B570000}"/>
    <cellStyle name="Normal 2 15 7 3 3 5" xfId="22345" xr:uid="{00000000-0005-0000-0000-00004C570000}"/>
    <cellStyle name="Normal 2 15 7 3 4" xfId="22346" xr:uid="{00000000-0005-0000-0000-00004D570000}"/>
    <cellStyle name="Normal 2 15 7 3 4 2" xfId="22347" xr:uid="{00000000-0005-0000-0000-00004E570000}"/>
    <cellStyle name="Normal 2 15 7 3 4 3" xfId="22348" xr:uid="{00000000-0005-0000-0000-00004F570000}"/>
    <cellStyle name="Normal 2 15 7 3 4 4" xfId="22349" xr:uid="{00000000-0005-0000-0000-000050570000}"/>
    <cellStyle name="Normal 2 15 7 3 5" xfId="22350" xr:uid="{00000000-0005-0000-0000-000051570000}"/>
    <cellStyle name="Normal 2 15 7 3 5 2" xfId="22351" xr:uid="{00000000-0005-0000-0000-000052570000}"/>
    <cellStyle name="Normal 2 15 7 3 6" xfId="22352" xr:uid="{00000000-0005-0000-0000-000053570000}"/>
    <cellStyle name="Normal 2 15 7 3 7" xfId="22353" xr:uid="{00000000-0005-0000-0000-000054570000}"/>
    <cellStyle name="Normal 2 15 7 3 8" xfId="22354" xr:uid="{00000000-0005-0000-0000-000055570000}"/>
    <cellStyle name="Normal 2 15 7 3 9" xfId="22355" xr:uid="{00000000-0005-0000-0000-000056570000}"/>
    <cellStyle name="Normal 2 15 7 4" xfId="22356" xr:uid="{00000000-0005-0000-0000-000057570000}"/>
    <cellStyle name="Normal 2 15 7 4 2" xfId="22357" xr:uid="{00000000-0005-0000-0000-000058570000}"/>
    <cellStyle name="Normal 2 15 7 4 2 2" xfId="22358" xr:uid="{00000000-0005-0000-0000-000059570000}"/>
    <cellStyle name="Normal 2 15 7 4 2 3" xfId="22359" xr:uid="{00000000-0005-0000-0000-00005A570000}"/>
    <cellStyle name="Normal 2 15 7 4 3" xfId="22360" xr:uid="{00000000-0005-0000-0000-00005B570000}"/>
    <cellStyle name="Normal 2 15 7 4 4" xfId="22361" xr:uid="{00000000-0005-0000-0000-00005C570000}"/>
    <cellStyle name="Normal 2 15 7 4 5" xfId="22362" xr:uid="{00000000-0005-0000-0000-00005D570000}"/>
    <cellStyle name="Normal 2 15 7 4 6" xfId="22363" xr:uid="{00000000-0005-0000-0000-00005E570000}"/>
    <cellStyle name="Normal 2 15 7 5" xfId="22364" xr:uid="{00000000-0005-0000-0000-00005F570000}"/>
    <cellStyle name="Normal 2 15 7 5 2" xfId="22365" xr:uid="{00000000-0005-0000-0000-000060570000}"/>
    <cellStyle name="Normal 2 15 7 5 2 2" xfId="22366" xr:uid="{00000000-0005-0000-0000-000061570000}"/>
    <cellStyle name="Normal 2 15 7 5 3" xfId="22367" xr:uid="{00000000-0005-0000-0000-000062570000}"/>
    <cellStyle name="Normal 2 15 7 5 4" xfId="22368" xr:uid="{00000000-0005-0000-0000-000063570000}"/>
    <cellStyle name="Normal 2 15 7 5 5" xfId="22369" xr:uid="{00000000-0005-0000-0000-000064570000}"/>
    <cellStyle name="Normal 2 15 7 6" xfId="22370" xr:uid="{00000000-0005-0000-0000-000065570000}"/>
    <cellStyle name="Normal 2 15 7 6 2" xfId="22371" xr:uid="{00000000-0005-0000-0000-000066570000}"/>
    <cellStyle name="Normal 2 15 7 6 3" xfId="22372" xr:uid="{00000000-0005-0000-0000-000067570000}"/>
    <cellStyle name="Normal 2 15 7 6 4" xfId="22373" xr:uid="{00000000-0005-0000-0000-000068570000}"/>
    <cellStyle name="Normal 2 15 7 7" xfId="22374" xr:uid="{00000000-0005-0000-0000-000069570000}"/>
    <cellStyle name="Normal 2 15 7 7 2" xfId="22375" xr:uid="{00000000-0005-0000-0000-00006A570000}"/>
    <cellStyle name="Normal 2 15 7 8" xfId="22376" xr:uid="{00000000-0005-0000-0000-00006B570000}"/>
    <cellStyle name="Normal 2 15 7 9" xfId="22377" xr:uid="{00000000-0005-0000-0000-00006C570000}"/>
    <cellStyle name="Normal 2 15 8" xfId="22378" xr:uid="{00000000-0005-0000-0000-00006D570000}"/>
    <cellStyle name="Normal 2 15 8 10" xfId="22379" xr:uid="{00000000-0005-0000-0000-00006E570000}"/>
    <cellStyle name="Normal 2 15 8 2" xfId="22380" xr:uid="{00000000-0005-0000-0000-00006F570000}"/>
    <cellStyle name="Normal 2 15 8 2 2" xfId="22381" xr:uid="{00000000-0005-0000-0000-000070570000}"/>
    <cellStyle name="Normal 2 15 8 2 2 2" xfId="22382" xr:uid="{00000000-0005-0000-0000-000071570000}"/>
    <cellStyle name="Normal 2 15 8 2 2 3" xfId="22383" xr:uid="{00000000-0005-0000-0000-000072570000}"/>
    <cellStyle name="Normal 2 15 8 2 3" xfId="22384" xr:uid="{00000000-0005-0000-0000-000073570000}"/>
    <cellStyle name="Normal 2 15 8 2 4" xfId="22385" xr:uid="{00000000-0005-0000-0000-000074570000}"/>
    <cellStyle name="Normal 2 15 8 2 5" xfId="22386" xr:uid="{00000000-0005-0000-0000-000075570000}"/>
    <cellStyle name="Normal 2 15 8 2 6" xfId="22387" xr:uid="{00000000-0005-0000-0000-000076570000}"/>
    <cellStyle name="Normal 2 15 8 3" xfId="22388" xr:uid="{00000000-0005-0000-0000-000077570000}"/>
    <cellStyle name="Normal 2 15 8 3 2" xfId="22389" xr:uid="{00000000-0005-0000-0000-000078570000}"/>
    <cellStyle name="Normal 2 15 8 3 2 2" xfId="22390" xr:uid="{00000000-0005-0000-0000-000079570000}"/>
    <cellStyle name="Normal 2 15 8 3 2 3" xfId="22391" xr:uid="{00000000-0005-0000-0000-00007A570000}"/>
    <cellStyle name="Normal 2 15 8 3 3" xfId="22392" xr:uid="{00000000-0005-0000-0000-00007B570000}"/>
    <cellStyle name="Normal 2 15 8 3 4" xfId="22393" xr:uid="{00000000-0005-0000-0000-00007C570000}"/>
    <cellStyle name="Normal 2 15 8 3 5" xfId="22394" xr:uid="{00000000-0005-0000-0000-00007D570000}"/>
    <cellStyle name="Normal 2 15 8 3 6" xfId="22395" xr:uid="{00000000-0005-0000-0000-00007E570000}"/>
    <cellStyle name="Normal 2 15 8 4" xfId="22396" xr:uid="{00000000-0005-0000-0000-00007F570000}"/>
    <cellStyle name="Normal 2 15 8 4 2" xfId="22397" xr:uid="{00000000-0005-0000-0000-000080570000}"/>
    <cellStyle name="Normal 2 15 8 4 2 2" xfId="22398" xr:uid="{00000000-0005-0000-0000-000081570000}"/>
    <cellStyle name="Normal 2 15 8 4 3" xfId="22399" xr:uid="{00000000-0005-0000-0000-000082570000}"/>
    <cellStyle name="Normal 2 15 8 4 4" xfId="22400" xr:uid="{00000000-0005-0000-0000-000083570000}"/>
    <cellStyle name="Normal 2 15 8 4 5" xfId="22401" xr:uid="{00000000-0005-0000-0000-000084570000}"/>
    <cellStyle name="Normal 2 15 8 5" xfId="22402" xr:uid="{00000000-0005-0000-0000-000085570000}"/>
    <cellStyle name="Normal 2 15 8 5 2" xfId="22403" xr:uid="{00000000-0005-0000-0000-000086570000}"/>
    <cellStyle name="Normal 2 15 8 5 3" xfId="22404" xr:uid="{00000000-0005-0000-0000-000087570000}"/>
    <cellStyle name="Normal 2 15 8 5 4" xfId="22405" xr:uid="{00000000-0005-0000-0000-000088570000}"/>
    <cellStyle name="Normal 2 15 8 6" xfId="22406" xr:uid="{00000000-0005-0000-0000-000089570000}"/>
    <cellStyle name="Normal 2 15 8 6 2" xfId="22407" xr:uid="{00000000-0005-0000-0000-00008A570000}"/>
    <cellStyle name="Normal 2 15 8 7" xfId="22408" xr:uid="{00000000-0005-0000-0000-00008B570000}"/>
    <cellStyle name="Normal 2 15 8 8" xfId="22409" xr:uid="{00000000-0005-0000-0000-00008C570000}"/>
    <cellStyle name="Normal 2 15 8 9" xfId="22410" xr:uid="{00000000-0005-0000-0000-00008D570000}"/>
    <cellStyle name="Normal 2 15 9" xfId="22411" xr:uid="{00000000-0005-0000-0000-00008E570000}"/>
    <cellStyle name="Normal 2 15 9 10" xfId="22412" xr:uid="{00000000-0005-0000-0000-00008F570000}"/>
    <cellStyle name="Normal 2 15 9 2" xfId="22413" xr:uid="{00000000-0005-0000-0000-000090570000}"/>
    <cellStyle name="Normal 2 15 9 2 2" xfId="22414" xr:uid="{00000000-0005-0000-0000-000091570000}"/>
    <cellStyle name="Normal 2 15 9 2 2 2" xfId="22415" xr:uid="{00000000-0005-0000-0000-000092570000}"/>
    <cellStyle name="Normal 2 15 9 2 2 3" xfId="22416" xr:uid="{00000000-0005-0000-0000-000093570000}"/>
    <cellStyle name="Normal 2 15 9 2 3" xfId="22417" xr:uid="{00000000-0005-0000-0000-000094570000}"/>
    <cellStyle name="Normal 2 15 9 2 4" xfId="22418" xr:uid="{00000000-0005-0000-0000-000095570000}"/>
    <cellStyle name="Normal 2 15 9 2 5" xfId="22419" xr:uid="{00000000-0005-0000-0000-000096570000}"/>
    <cellStyle name="Normal 2 15 9 2 6" xfId="22420" xr:uid="{00000000-0005-0000-0000-000097570000}"/>
    <cellStyle name="Normal 2 15 9 3" xfId="22421" xr:uid="{00000000-0005-0000-0000-000098570000}"/>
    <cellStyle name="Normal 2 15 9 3 2" xfId="22422" xr:uid="{00000000-0005-0000-0000-000099570000}"/>
    <cellStyle name="Normal 2 15 9 3 2 2" xfId="22423" xr:uid="{00000000-0005-0000-0000-00009A570000}"/>
    <cellStyle name="Normal 2 15 9 3 2 3" xfId="22424" xr:uid="{00000000-0005-0000-0000-00009B570000}"/>
    <cellStyle name="Normal 2 15 9 3 3" xfId="22425" xr:uid="{00000000-0005-0000-0000-00009C570000}"/>
    <cellStyle name="Normal 2 15 9 3 4" xfId="22426" xr:uid="{00000000-0005-0000-0000-00009D570000}"/>
    <cellStyle name="Normal 2 15 9 3 5" xfId="22427" xr:uid="{00000000-0005-0000-0000-00009E570000}"/>
    <cellStyle name="Normal 2 15 9 3 6" xfId="22428" xr:uid="{00000000-0005-0000-0000-00009F570000}"/>
    <cellStyle name="Normal 2 15 9 4" xfId="22429" xr:uid="{00000000-0005-0000-0000-0000A0570000}"/>
    <cellStyle name="Normal 2 15 9 4 2" xfId="22430" xr:uid="{00000000-0005-0000-0000-0000A1570000}"/>
    <cellStyle name="Normal 2 15 9 4 2 2" xfId="22431" xr:uid="{00000000-0005-0000-0000-0000A2570000}"/>
    <cellStyle name="Normal 2 15 9 4 3" xfId="22432" xr:uid="{00000000-0005-0000-0000-0000A3570000}"/>
    <cellStyle name="Normal 2 15 9 4 4" xfId="22433" xr:uid="{00000000-0005-0000-0000-0000A4570000}"/>
    <cellStyle name="Normal 2 15 9 4 5" xfId="22434" xr:uid="{00000000-0005-0000-0000-0000A5570000}"/>
    <cellStyle name="Normal 2 15 9 5" xfId="22435" xr:uid="{00000000-0005-0000-0000-0000A6570000}"/>
    <cellStyle name="Normal 2 15 9 5 2" xfId="22436" xr:uid="{00000000-0005-0000-0000-0000A7570000}"/>
    <cellStyle name="Normal 2 15 9 5 3" xfId="22437" xr:uid="{00000000-0005-0000-0000-0000A8570000}"/>
    <cellStyle name="Normal 2 15 9 5 4" xfId="22438" xr:uid="{00000000-0005-0000-0000-0000A9570000}"/>
    <cellStyle name="Normal 2 15 9 6" xfId="22439" xr:uid="{00000000-0005-0000-0000-0000AA570000}"/>
    <cellStyle name="Normal 2 15 9 6 2" xfId="22440" xr:uid="{00000000-0005-0000-0000-0000AB570000}"/>
    <cellStyle name="Normal 2 15 9 7" xfId="22441" xr:uid="{00000000-0005-0000-0000-0000AC570000}"/>
    <cellStyle name="Normal 2 15 9 8" xfId="22442" xr:uid="{00000000-0005-0000-0000-0000AD570000}"/>
    <cellStyle name="Normal 2 15 9 9" xfId="22443" xr:uid="{00000000-0005-0000-0000-0000AE570000}"/>
    <cellStyle name="Normal 2 16" xfId="22444" xr:uid="{00000000-0005-0000-0000-0000AF570000}"/>
    <cellStyle name="Normal 2 16 10" xfId="22445" xr:uid="{00000000-0005-0000-0000-0000B0570000}"/>
    <cellStyle name="Normal 2 16 11" xfId="22446" xr:uid="{00000000-0005-0000-0000-0000B1570000}"/>
    <cellStyle name="Normal 2 16 2" xfId="22447" xr:uid="{00000000-0005-0000-0000-0000B2570000}"/>
    <cellStyle name="Normal 2 16 2 2" xfId="22448" xr:uid="{00000000-0005-0000-0000-0000B3570000}"/>
    <cellStyle name="Normal 2 16 3" xfId="22449" xr:uid="{00000000-0005-0000-0000-0000B4570000}"/>
    <cellStyle name="Normal 2 16 3 2" xfId="22450" xr:uid="{00000000-0005-0000-0000-0000B5570000}"/>
    <cellStyle name="Normal 2 16 3 2 2" xfId="22451" xr:uid="{00000000-0005-0000-0000-0000B6570000}"/>
    <cellStyle name="Normal 2 16 3 2 2 2" xfId="22452" xr:uid="{00000000-0005-0000-0000-0000B7570000}"/>
    <cellStyle name="Normal 2 16 3 2 2 3" xfId="22453" xr:uid="{00000000-0005-0000-0000-0000B8570000}"/>
    <cellStyle name="Normal 2 16 3 2 3" xfId="22454" xr:uid="{00000000-0005-0000-0000-0000B9570000}"/>
    <cellStyle name="Normal 2 16 3 2 4" xfId="22455" xr:uid="{00000000-0005-0000-0000-0000BA570000}"/>
    <cellStyle name="Normal 2 16 3 2 5" xfId="22456" xr:uid="{00000000-0005-0000-0000-0000BB570000}"/>
    <cellStyle name="Normal 2 16 3 2 6" xfId="22457" xr:uid="{00000000-0005-0000-0000-0000BC570000}"/>
    <cellStyle name="Normal 2 16 3 3" xfId="22458" xr:uid="{00000000-0005-0000-0000-0000BD570000}"/>
    <cellStyle name="Normal 2 16 3 3 2" xfId="22459" xr:uid="{00000000-0005-0000-0000-0000BE570000}"/>
    <cellStyle name="Normal 2 16 3 3 2 2" xfId="22460" xr:uid="{00000000-0005-0000-0000-0000BF570000}"/>
    <cellStyle name="Normal 2 16 3 3 3" xfId="22461" xr:uid="{00000000-0005-0000-0000-0000C0570000}"/>
    <cellStyle name="Normal 2 16 3 3 4" xfId="22462" xr:uid="{00000000-0005-0000-0000-0000C1570000}"/>
    <cellStyle name="Normal 2 16 3 3 5" xfId="22463" xr:uid="{00000000-0005-0000-0000-0000C2570000}"/>
    <cellStyle name="Normal 2 16 3 4" xfId="22464" xr:uid="{00000000-0005-0000-0000-0000C3570000}"/>
    <cellStyle name="Normal 2 16 3 4 2" xfId="22465" xr:uid="{00000000-0005-0000-0000-0000C4570000}"/>
    <cellStyle name="Normal 2 16 3 4 3" xfId="22466" xr:uid="{00000000-0005-0000-0000-0000C5570000}"/>
    <cellStyle name="Normal 2 16 3 4 4" xfId="22467" xr:uid="{00000000-0005-0000-0000-0000C6570000}"/>
    <cellStyle name="Normal 2 16 3 5" xfId="22468" xr:uid="{00000000-0005-0000-0000-0000C7570000}"/>
    <cellStyle name="Normal 2 16 3 5 2" xfId="22469" xr:uid="{00000000-0005-0000-0000-0000C8570000}"/>
    <cellStyle name="Normal 2 16 3 6" xfId="22470" xr:uid="{00000000-0005-0000-0000-0000C9570000}"/>
    <cellStyle name="Normal 2 16 3 7" xfId="22471" xr:uid="{00000000-0005-0000-0000-0000CA570000}"/>
    <cellStyle name="Normal 2 16 3 8" xfId="22472" xr:uid="{00000000-0005-0000-0000-0000CB570000}"/>
    <cellStyle name="Normal 2 16 3 9" xfId="22473" xr:uid="{00000000-0005-0000-0000-0000CC570000}"/>
    <cellStyle name="Normal 2 16 4" xfId="22474" xr:uid="{00000000-0005-0000-0000-0000CD570000}"/>
    <cellStyle name="Normal 2 16 4 2" xfId="22475" xr:uid="{00000000-0005-0000-0000-0000CE570000}"/>
    <cellStyle name="Normal 2 16 4 2 2" xfId="22476" xr:uid="{00000000-0005-0000-0000-0000CF570000}"/>
    <cellStyle name="Normal 2 16 4 2 2 2" xfId="22477" xr:uid="{00000000-0005-0000-0000-0000D0570000}"/>
    <cellStyle name="Normal 2 16 4 2 2 3" xfId="22478" xr:uid="{00000000-0005-0000-0000-0000D1570000}"/>
    <cellStyle name="Normal 2 16 4 2 3" xfId="22479" xr:uid="{00000000-0005-0000-0000-0000D2570000}"/>
    <cellStyle name="Normal 2 16 4 2 4" xfId="22480" xr:uid="{00000000-0005-0000-0000-0000D3570000}"/>
    <cellStyle name="Normal 2 16 4 2 5" xfId="22481" xr:uid="{00000000-0005-0000-0000-0000D4570000}"/>
    <cellStyle name="Normal 2 16 4 2 6" xfId="22482" xr:uid="{00000000-0005-0000-0000-0000D5570000}"/>
    <cellStyle name="Normal 2 16 4 3" xfId="22483" xr:uid="{00000000-0005-0000-0000-0000D6570000}"/>
    <cellStyle name="Normal 2 16 4 3 2" xfId="22484" xr:uid="{00000000-0005-0000-0000-0000D7570000}"/>
    <cellStyle name="Normal 2 16 4 3 2 2" xfId="22485" xr:uid="{00000000-0005-0000-0000-0000D8570000}"/>
    <cellStyle name="Normal 2 16 4 3 3" xfId="22486" xr:uid="{00000000-0005-0000-0000-0000D9570000}"/>
    <cellStyle name="Normal 2 16 4 3 4" xfId="22487" xr:uid="{00000000-0005-0000-0000-0000DA570000}"/>
    <cellStyle name="Normal 2 16 4 3 5" xfId="22488" xr:uid="{00000000-0005-0000-0000-0000DB570000}"/>
    <cellStyle name="Normal 2 16 4 4" xfId="22489" xr:uid="{00000000-0005-0000-0000-0000DC570000}"/>
    <cellStyle name="Normal 2 16 4 4 2" xfId="22490" xr:uid="{00000000-0005-0000-0000-0000DD570000}"/>
    <cellStyle name="Normal 2 16 4 4 3" xfId="22491" xr:uid="{00000000-0005-0000-0000-0000DE570000}"/>
    <cellStyle name="Normal 2 16 4 4 4" xfId="22492" xr:uid="{00000000-0005-0000-0000-0000DF570000}"/>
    <cellStyle name="Normal 2 16 4 5" xfId="22493" xr:uid="{00000000-0005-0000-0000-0000E0570000}"/>
    <cellStyle name="Normal 2 16 4 5 2" xfId="22494" xr:uid="{00000000-0005-0000-0000-0000E1570000}"/>
    <cellStyle name="Normal 2 16 4 6" xfId="22495" xr:uid="{00000000-0005-0000-0000-0000E2570000}"/>
    <cellStyle name="Normal 2 16 4 7" xfId="22496" xr:uid="{00000000-0005-0000-0000-0000E3570000}"/>
    <cellStyle name="Normal 2 16 4 8" xfId="22497" xr:uid="{00000000-0005-0000-0000-0000E4570000}"/>
    <cellStyle name="Normal 2 16 4 9" xfId="22498" xr:uid="{00000000-0005-0000-0000-0000E5570000}"/>
    <cellStyle name="Normal 2 16 5" xfId="22499" xr:uid="{00000000-0005-0000-0000-0000E6570000}"/>
    <cellStyle name="Normal 2 16 5 2" xfId="22500" xr:uid="{00000000-0005-0000-0000-0000E7570000}"/>
    <cellStyle name="Normal 2 16 5 2 2" xfId="22501" xr:uid="{00000000-0005-0000-0000-0000E8570000}"/>
    <cellStyle name="Normal 2 16 5 2 3" xfId="22502" xr:uid="{00000000-0005-0000-0000-0000E9570000}"/>
    <cellStyle name="Normal 2 16 5 3" xfId="22503" xr:uid="{00000000-0005-0000-0000-0000EA570000}"/>
    <cellStyle name="Normal 2 16 5 4" xfId="22504" xr:uid="{00000000-0005-0000-0000-0000EB570000}"/>
    <cellStyle name="Normal 2 16 5 5" xfId="22505" xr:uid="{00000000-0005-0000-0000-0000EC570000}"/>
    <cellStyle name="Normal 2 16 5 6" xfId="22506" xr:uid="{00000000-0005-0000-0000-0000ED570000}"/>
    <cellStyle name="Normal 2 16 6" xfId="22507" xr:uid="{00000000-0005-0000-0000-0000EE570000}"/>
    <cellStyle name="Normal 2 16 6 2" xfId="22508" xr:uid="{00000000-0005-0000-0000-0000EF570000}"/>
    <cellStyle name="Normal 2 16 6 2 2" xfId="22509" xr:uid="{00000000-0005-0000-0000-0000F0570000}"/>
    <cellStyle name="Normal 2 16 6 3" xfId="22510" xr:uid="{00000000-0005-0000-0000-0000F1570000}"/>
    <cellStyle name="Normal 2 16 6 4" xfId="22511" xr:uid="{00000000-0005-0000-0000-0000F2570000}"/>
    <cellStyle name="Normal 2 16 6 5" xfId="22512" xr:uid="{00000000-0005-0000-0000-0000F3570000}"/>
    <cellStyle name="Normal 2 16 6 6" xfId="22513" xr:uid="{00000000-0005-0000-0000-0000F4570000}"/>
    <cellStyle name="Normal 2 16 7" xfId="22514" xr:uid="{00000000-0005-0000-0000-0000F5570000}"/>
    <cellStyle name="Normal 2 16 7 2" xfId="22515" xr:uid="{00000000-0005-0000-0000-0000F6570000}"/>
    <cellStyle name="Normal 2 16 7 3" xfId="22516" xr:uid="{00000000-0005-0000-0000-0000F7570000}"/>
    <cellStyle name="Normal 2 16 7 4" xfId="22517" xr:uid="{00000000-0005-0000-0000-0000F8570000}"/>
    <cellStyle name="Normal 2 16 7 5" xfId="22518" xr:uid="{00000000-0005-0000-0000-0000F9570000}"/>
    <cellStyle name="Normal 2 16 8" xfId="22519" xr:uid="{00000000-0005-0000-0000-0000FA570000}"/>
    <cellStyle name="Normal 2 16 8 2" xfId="22520" xr:uid="{00000000-0005-0000-0000-0000FB570000}"/>
    <cellStyle name="Normal 2 16 9" xfId="22521" xr:uid="{00000000-0005-0000-0000-0000FC570000}"/>
    <cellStyle name="Normal 2 17" xfId="22522" xr:uid="{00000000-0005-0000-0000-0000FD570000}"/>
    <cellStyle name="Normal 2 17 10" xfId="22523" xr:uid="{00000000-0005-0000-0000-0000FE570000}"/>
    <cellStyle name="Normal 2 17 11" xfId="22524" xr:uid="{00000000-0005-0000-0000-0000FF570000}"/>
    <cellStyle name="Normal 2 17 2" xfId="22525" xr:uid="{00000000-0005-0000-0000-000000580000}"/>
    <cellStyle name="Normal 2 17 2 2" xfId="22526" xr:uid="{00000000-0005-0000-0000-000001580000}"/>
    <cellStyle name="Normal 2 17 3" xfId="22527" xr:uid="{00000000-0005-0000-0000-000002580000}"/>
    <cellStyle name="Normal 2 17 3 2" xfId="22528" xr:uid="{00000000-0005-0000-0000-000003580000}"/>
    <cellStyle name="Normal 2 17 3 2 2" xfId="22529" xr:uid="{00000000-0005-0000-0000-000004580000}"/>
    <cellStyle name="Normal 2 17 3 2 2 2" xfId="22530" xr:uid="{00000000-0005-0000-0000-000005580000}"/>
    <cellStyle name="Normal 2 17 3 2 2 3" xfId="22531" xr:uid="{00000000-0005-0000-0000-000006580000}"/>
    <cellStyle name="Normal 2 17 3 2 3" xfId="22532" xr:uid="{00000000-0005-0000-0000-000007580000}"/>
    <cellStyle name="Normal 2 17 3 2 4" xfId="22533" xr:uid="{00000000-0005-0000-0000-000008580000}"/>
    <cellStyle name="Normal 2 17 3 2 5" xfId="22534" xr:uid="{00000000-0005-0000-0000-000009580000}"/>
    <cellStyle name="Normal 2 17 3 2 6" xfId="22535" xr:uid="{00000000-0005-0000-0000-00000A580000}"/>
    <cellStyle name="Normal 2 17 3 3" xfId="22536" xr:uid="{00000000-0005-0000-0000-00000B580000}"/>
    <cellStyle name="Normal 2 17 3 3 2" xfId="22537" xr:uid="{00000000-0005-0000-0000-00000C580000}"/>
    <cellStyle name="Normal 2 17 3 3 2 2" xfId="22538" xr:uid="{00000000-0005-0000-0000-00000D580000}"/>
    <cellStyle name="Normal 2 17 3 3 3" xfId="22539" xr:uid="{00000000-0005-0000-0000-00000E580000}"/>
    <cellStyle name="Normal 2 17 3 3 4" xfId="22540" xr:uid="{00000000-0005-0000-0000-00000F580000}"/>
    <cellStyle name="Normal 2 17 3 3 5" xfId="22541" xr:uid="{00000000-0005-0000-0000-000010580000}"/>
    <cellStyle name="Normal 2 17 3 4" xfId="22542" xr:uid="{00000000-0005-0000-0000-000011580000}"/>
    <cellStyle name="Normal 2 17 3 4 2" xfId="22543" xr:uid="{00000000-0005-0000-0000-000012580000}"/>
    <cellStyle name="Normal 2 17 3 4 3" xfId="22544" xr:uid="{00000000-0005-0000-0000-000013580000}"/>
    <cellStyle name="Normal 2 17 3 4 4" xfId="22545" xr:uid="{00000000-0005-0000-0000-000014580000}"/>
    <cellStyle name="Normal 2 17 3 5" xfId="22546" xr:uid="{00000000-0005-0000-0000-000015580000}"/>
    <cellStyle name="Normal 2 17 3 5 2" xfId="22547" xr:uid="{00000000-0005-0000-0000-000016580000}"/>
    <cellStyle name="Normal 2 17 3 6" xfId="22548" xr:uid="{00000000-0005-0000-0000-000017580000}"/>
    <cellStyle name="Normal 2 17 3 7" xfId="22549" xr:uid="{00000000-0005-0000-0000-000018580000}"/>
    <cellStyle name="Normal 2 17 3 8" xfId="22550" xr:uid="{00000000-0005-0000-0000-000019580000}"/>
    <cellStyle name="Normal 2 17 3 9" xfId="22551" xr:uid="{00000000-0005-0000-0000-00001A580000}"/>
    <cellStyle name="Normal 2 17 4" xfId="22552" xr:uid="{00000000-0005-0000-0000-00001B580000}"/>
    <cellStyle name="Normal 2 17 4 2" xfId="22553" xr:uid="{00000000-0005-0000-0000-00001C580000}"/>
    <cellStyle name="Normal 2 17 4 2 2" xfId="22554" xr:uid="{00000000-0005-0000-0000-00001D580000}"/>
    <cellStyle name="Normal 2 17 4 2 2 2" xfId="22555" xr:uid="{00000000-0005-0000-0000-00001E580000}"/>
    <cellStyle name="Normal 2 17 4 2 2 3" xfId="22556" xr:uid="{00000000-0005-0000-0000-00001F580000}"/>
    <cellStyle name="Normal 2 17 4 2 3" xfId="22557" xr:uid="{00000000-0005-0000-0000-000020580000}"/>
    <cellStyle name="Normal 2 17 4 2 4" xfId="22558" xr:uid="{00000000-0005-0000-0000-000021580000}"/>
    <cellStyle name="Normal 2 17 4 2 5" xfId="22559" xr:uid="{00000000-0005-0000-0000-000022580000}"/>
    <cellStyle name="Normal 2 17 4 2 6" xfId="22560" xr:uid="{00000000-0005-0000-0000-000023580000}"/>
    <cellStyle name="Normal 2 17 4 3" xfId="22561" xr:uid="{00000000-0005-0000-0000-000024580000}"/>
    <cellStyle name="Normal 2 17 4 3 2" xfId="22562" xr:uid="{00000000-0005-0000-0000-000025580000}"/>
    <cellStyle name="Normal 2 17 4 3 2 2" xfId="22563" xr:uid="{00000000-0005-0000-0000-000026580000}"/>
    <cellStyle name="Normal 2 17 4 3 3" xfId="22564" xr:uid="{00000000-0005-0000-0000-000027580000}"/>
    <cellStyle name="Normal 2 17 4 3 4" xfId="22565" xr:uid="{00000000-0005-0000-0000-000028580000}"/>
    <cellStyle name="Normal 2 17 4 3 5" xfId="22566" xr:uid="{00000000-0005-0000-0000-000029580000}"/>
    <cellStyle name="Normal 2 17 4 4" xfId="22567" xr:uid="{00000000-0005-0000-0000-00002A580000}"/>
    <cellStyle name="Normal 2 17 4 4 2" xfId="22568" xr:uid="{00000000-0005-0000-0000-00002B580000}"/>
    <cellStyle name="Normal 2 17 4 4 3" xfId="22569" xr:uid="{00000000-0005-0000-0000-00002C580000}"/>
    <cellStyle name="Normal 2 17 4 4 4" xfId="22570" xr:uid="{00000000-0005-0000-0000-00002D580000}"/>
    <cellStyle name="Normal 2 17 4 5" xfId="22571" xr:uid="{00000000-0005-0000-0000-00002E580000}"/>
    <cellStyle name="Normal 2 17 4 5 2" xfId="22572" xr:uid="{00000000-0005-0000-0000-00002F580000}"/>
    <cellStyle name="Normal 2 17 4 6" xfId="22573" xr:uid="{00000000-0005-0000-0000-000030580000}"/>
    <cellStyle name="Normal 2 17 4 7" xfId="22574" xr:uid="{00000000-0005-0000-0000-000031580000}"/>
    <cellStyle name="Normal 2 17 4 8" xfId="22575" xr:uid="{00000000-0005-0000-0000-000032580000}"/>
    <cellStyle name="Normal 2 17 4 9" xfId="22576" xr:uid="{00000000-0005-0000-0000-000033580000}"/>
    <cellStyle name="Normal 2 17 5" xfId="22577" xr:uid="{00000000-0005-0000-0000-000034580000}"/>
    <cellStyle name="Normal 2 17 5 2" xfId="22578" xr:uid="{00000000-0005-0000-0000-000035580000}"/>
    <cellStyle name="Normal 2 17 5 2 2" xfId="22579" xr:uid="{00000000-0005-0000-0000-000036580000}"/>
    <cellStyle name="Normal 2 17 5 2 3" xfId="22580" xr:uid="{00000000-0005-0000-0000-000037580000}"/>
    <cellStyle name="Normal 2 17 5 3" xfId="22581" xr:uid="{00000000-0005-0000-0000-000038580000}"/>
    <cellStyle name="Normal 2 17 5 4" xfId="22582" xr:uid="{00000000-0005-0000-0000-000039580000}"/>
    <cellStyle name="Normal 2 17 5 5" xfId="22583" xr:uid="{00000000-0005-0000-0000-00003A580000}"/>
    <cellStyle name="Normal 2 17 5 6" xfId="22584" xr:uid="{00000000-0005-0000-0000-00003B580000}"/>
    <cellStyle name="Normal 2 17 6" xfId="22585" xr:uid="{00000000-0005-0000-0000-00003C580000}"/>
    <cellStyle name="Normal 2 17 6 2" xfId="22586" xr:uid="{00000000-0005-0000-0000-00003D580000}"/>
    <cellStyle name="Normal 2 17 6 2 2" xfId="22587" xr:uid="{00000000-0005-0000-0000-00003E580000}"/>
    <cellStyle name="Normal 2 17 6 3" xfId="22588" xr:uid="{00000000-0005-0000-0000-00003F580000}"/>
    <cellStyle name="Normal 2 17 6 4" xfId="22589" xr:uid="{00000000-0005-0000-0000-000040580000}"/>
    <cellStyle name="Normal 2 17 6 5" xfId="22590" xr:uid="{00000000-0005-0000-0000-000041580000}"/>
    <cellStyle name="Normal 2 17 6 6" xfId="22591" xr:uid="{00000000-0005-0000-0000-000042580000}"/>
    <cellStyle name="Normal 2 17 7" xfId="22592" xr:uid="{00000000-0005-0000-0000-000043580000}"/>
    <cellStyle name="Normal 2 17 7 2" xfId="22593" xr:uid="{00000000-0005-0000-0000-000044580000}"/>
    <cellStyle name="Normal 2 17 7 3" xfId="22594" xr:uid="{00000000-0005-0000-0000-000045580000}"/>
    <cellStyle name="Normal 2 17 7 4" xfId="22595" xr:uid="{00000000-0005-0000-0000-000046580000}"/>
    <cellStyle name="Normal 2 17 7 5" xfId="22596" xr:uid="{00000000-0005-0000-0000-000047580000}"/>
    <cellStyle name="Normal 2 17 8" xfId="22597" xr:uid="{00000000-0005-0000-0000-000048580000}"/>
    <cellStyle name="Normal 2 17 8 2" xfId="22598" xr:uid="{00000000-0005-0000-0000-000049580000}"/>
    <cellStyle name="Normal 2 17 9" xfId="22599" xr:uid="{00000000-0005-0000-0000-00004A580000}"/>
    <cellStyle name="Normal 2 18" xfId="22600" xr:uid="{00000000-0005-0000-0000-00004B580000}"/>
    <cellStyle name="Normal 2 18 10" xfId="22601" xr:uid="{00000000-0005-0000-0000-00004C580000}"/>
    <cellStyle name="Normal 2 18 11" xfId="22602" xr:uid="{00000000-0005-0000-0000-00004D580000}"/>
    <cellStyle name="Normal 2 18 2" xfId="22603" xr:uid="{00000000-0005-0000-0000-00004E580000}"/>
    <cellStyle name="Normal 2 18 2 2" xfId="22604" xr:uid="{00000000-0005-0000-0000-00004F580000}"/>
    <cellStyle name="Normal 2 18 3" xfId="22605" xr:uid="{00000000-0005-0000-0000-000050580000}"/>
    <cellStyle name="Normal 2 18 3 2" xfId="22606" xr:uid="{00000000-0005-0000-0000-000051580000}"/>
    <cellStyle name="Normal 2 18 3 2 2" xfId="22607" xr:uid="{00000000-0005-0000-0000-000052580000}"/>
    <cellStyle name="Normal 2 18 3 2 2 2" xfId="22608" xr:uid="{00000000-0005-0000-0000-000053580000}"/>
    <cellStyle name="Normal 2 18 3 2 2 3" xfId="22609" xr:uid="{00000000-0005-0000-0000-000054580000}"/>
    <cellStyle name="Normal 2 18 3 2 3" xfId="22610" xr:uid="{00000000-0005-0000-0000-000055580000}"/>
    <cellStyle name="Normal 2 18 3 2 4" xfId="22611" xr:uid="{00000000-0005-0000-0000-000056580000}"/>
    <cellStyle name="Normal 2 18 3 2 5" xfId="22612" xr:uid="{00000000-0005-0000-0000-000057580000}"/>
    <cellStyle name="Normal 2 18 3 2 6" xfId="22613" xr:uid="{00000000-0005-0000-0000-000058580000}"/>
    <cellStyle name="Normal 2 18 3 3" xfId="22614" xr:uid="{00000000-0005-0000-0000-000059580000}"/>
    <cellStyle name="Normal 2 18 3 3 2" xfId="22615" xr:uid="{00000000-0005-0000-0000-00005A580000}"/>
    <cellStyle name="Normal 2 18 3 3 2 2" xfId="22616" xr:uid="{00000000-0005-0000-0000-00005B580000}"/>
    <cellStyle name="Normal 2 18 3 3 3" xfId="22617" xr:uid="{00000000-0005-0000-0000-00005C580000}"/>
    <cellStyle name="Normal 2 18 3 3 4" xfId="22618" xr:uid="{00000000-0005-0000-0000-00005D580000}"/>
    <cellStyle name="Normal 2 18 3 3 5" xfId="22619" xr:uid="{00000000-0005-0000-0000-00005E580000}"/>
    <cellStyle name="Normal 2 18 3 4" xfId="22620" xr:uid="{00000000-0005-0000-0000-00005F580000}"/>
    <cellStyle name="Normal 2 18 3 4 2" xfId="22621" xr:uid="{00000000-0005-0000-0000-000060580000}"/>
    <cellStyle name="Normal 2 18 3 4 3" xfId="22622" xr:uid="{00000000-0005-0000-0000-000061580000}"/>
    <cellStyle name="Normal 2 18 3 4 4" xfId="22623" xr:uid="{00000000-0005-0000-0000-000062580000}"/>
    <cellStyle name="Normal 2 18 3 5" xfId="22624" xr:uid="{00000000-0005-0000-0000-000063580000}"/>
    <cellStyle name="Normal 2 18 3 5 2" xfId="22625" xr:uid="{00000000-0005-0000-0000-000064580000}"/>
    <cellStyle name="Normal 2 18 3 6" xfId="22626" xr:uid="{00000000-0005-0000-0000-000065580000}"/>
    <cellStyle name="Normal 2 18 3 7" xfId="22627" xr:uid="{00000000-0005-0000-0000-000066580000}"/>
    <cellStyle name="Normal 2 18 3 8" xfId="22628" xr:uid="{00000000-0005-0000-0000-000067580000}"/>
    <cellStyle name="Normal 2 18 3 9" xfId="22629" xr:uid="{00000000-0005-0000-0000-000068580000}"/>
    <cellStyle name="Normal 2 18 4" xfId="22630" xr:uid="{00000000-0005-0000-0000-000069580000}"/>
    <cellStyle name="Normal 2 18 4 2" xfId="22631" xr:uid="{00000000-0005-0000-0000-00006A580000}"/>
    <cellStyle name="Normal 2 18 4 2 2" xfId="22632" xr:uid="{00000000-0005-0000-0000-00006B580000}"/>
    <cellStyle name="Normal 2 18 4 2 2 2" xfId="22633" xr:uid="{00000000-0005-0000-0000-00006C580000}"/>
    <cellStyle name="Normal 2 18 4 2 2 3" xfId="22634" xr:uid="{00000000-0005-0000-0000-00006D580000}"/>
    <cellStyle name="Normal 2 18 4 2 3" xfId="22635" xr:uid="{00000000-0005-0000-0000-00006E580000}"/>
    <cellStyle name="Normal 2 18 4 2 4" xfId="22636" xr:uid="{00000000-0005-0000-0000-00006F580000}"/>
    <cellStyle name="Normal 2 18 4 2 5" xfId="22637" xr:uid="{00000000-0005-0000-0000-000070580000}"/>
    <cellStyle name="Normal 2 18 4 2 6" xfId="22638" xr:uid="{00000000-0005-0000-0000-000071580000}"/>
    <cellStyle name="Normal 2 18 4 3" xfId="22639" xr:uid="{00000000-0005-0000-0000-000072580000}"/>
    <cellStyle name="Normal 2 18 4 3 2" xfId="22640" xr:uid="{00000000-0005-0000-0000-000073580000}"/>
    <cellStyle name="Normal 2 18 4 3 2 2" xfId="22641" xr:uid="{00000000-0005-0000-0000-000074580000}"/>
    <cellStyle name="Normal 2 18 4 3 3" xfId="22642" xr:uid="{00000000-0005-0000-0000-000075580000}"/>
    <cellStyle name="Normal 2 18 4 3 4" xfId="22643" xr:uid="{00000000-0005-0000-0000-000076580000}"/>
    <cellStyle name="Normal 2 18 4 3 5" xfId="22644" xr:uid="{00000000-0005-0000-0000-000077580000}"/>
    <cellStyle name="Normal 2 18 4 4" xfId="22645" xr:uid="{00000000-0005-0000-0000-000078580000}"/>
    <cellStyle name="Normal 2 18 4 4 2" xfId="22646" xr:uid="{00000000-0005-0000-0000-000079580000}"/>
    <cellStyle name="Normal 2 18 4 4 3" xfId="22647" xr:uid="{00000000-0005-0000-0000-00007A580000}"/>
    <cellStyle name="Normal 2 18 4 4 4" xfId="22648" xr:uid="{00000000-0005-0000-0000-00007B580000}"/>
    <cellStyle name="Normal 2 18 4 5" xfId="22649" xr:uid="{00000000-0005-0000-0000-00007C580000}"/>
    <cellStyle name="Normal 2 18 4 5 2" xfId="22650" xr:uid="{00000000-0005-0000-0000-00007D580000}"/>
    <cellStyle name="Normal 2 18 4 6" xfId="22651" xr:uid="{00000000-0005-0000-0000-00007E580000}"/>
    <cellStyle name="Normal 2 18 4 7" xfId="22652" xr:uid="{00000000-0005-0000-0000-00007F580000}"/>
    <cellStyle name="Normal 2 18 4 8" xfId="22653" xr:uid="{00000000-0005-0000-0000-000080580000}"/>
    <cellStyle name="Normal 2 18 4 9" xfId="22654" xr:uid="{00000000-0005-0000-0000-000081580000}"/>
    <cellStyle name="Normal 2 18 5" xfId="22655" xr:uid="{00000000-0005-0000-0000-000082580000}"/>
    <cellStyle name="Normal 2 18 5 2" xfId="22656" xr:uid="{00000000-0005-0000-0000-000083580000}"/>
    <cellStyle name="Normal 2 18 5 2 2" xfId="22657" xr:uid="{00000000-0005-0000-0000-000084580000}"/>
    <cellStyle name="Normal 2 18 5 2 3" xfId="22658" xr:uid="{00000000-0005-0000-0000-000085580000}"/>
    <cellStyle name="Normal 2 18 5 3" xfId="22659" xr:uid="{00000000-0005-0000-0000-000086580000}"/>
    <cellStyle name="Normal 2 18 5 4" xfId="22660" xr:uid="{00000000-0005-0000-0000-000087580000}"/>
    <cellStyle name="Normal 2 18 5 5" xfId="22661" xr:uid="{00000000-0005-0000-0000-000088580000}"/>
    <cellStyle name="Normal 2 18 5 6" xfId="22662" xr:uid="{00000000-0005-0000-0000-000089580000}"/>
    <cellStyle name="Normal 2 18 6" xfId="22663" xr:uid="{00000000-0005-0000-0000-00008A580000}"/>
    <cellStyle name="Normal 2 18 6 2" xfId="22664" xr:uid="{00000000-0005-0000-0000-00008B580000}"/>
    <cellStyle name="Normal 2 18 6 2 2" xfId="22665" xr:uid="{00000000-0005-0000-0000-00008C580000}"/>
    <cellStyle name="Normal 2 18 6 3" xfId="22666" xr:uid="{00000000-0005-0000-0000-00008D580000}"/>
    <cellStyle name="Normal 2 18 6 4" xfId="22667" xr:uid="{00000000-0005-0000-0000-00008E580000}"/>
    <cellStyle name="Normal 2 18 6 5" xfId="22668" xr:uid="{00000000-0005-0000-0000-00008F580000}"/>
    <cellStyle name="Normal 2 18 6 6" xfId="22669" xr:uid="{00000000-0005-0000-0000-000090580000}"/>
    <cellStyle name="Normal 2 18 7" xfId="22670" xr:uid="{00000000-0005-0000-0000-000091580000}"/>
    <cellStyle name="Normal 2 18 7 2" xfId="22671" xr:uid="{00000000-0005-0000-0000-000092580000}"/>
    <cellStyle name="Normal 2 18 7 3" xfId="22672" xr:uid="{00000000-0005-0000-0000-000093580000}"/>
    <cellStyle name="Normal 2 18 7 4" xfId="22673" xr:uid="{00000000-0005-0000-0000-000094580000}"/>
    <cellStyle name="Normal 2 18 7 5" xfId="22674" xr:uid="{00000000-0005-0000-0000-000095580000}"/>
    <cellStyle name="Normal 2 18 8" xfId="22675" xr:uid="{00000000-0005-0000-0000-000096580000}"/>
    <cellStyle name="Normal 2 18 8 2" xfId="22676" xr:uid="{00000000-0005-0000-0000-000097580000}"/>
    <cellStyle name="Normal 2 18 9" xfId="22677" xr:uid="{00000000-0005-0000-0000-000098580000}"/>
    <cellStyle name="Normal 2 19" xfId="22678" xr:uid="{00000000-0005-0000-0000-000099580000}"/>
    <cellStyle name="Normal 2 19 10" xfId="22679" xr:uid="{00000000-0005-0000-0000-00009A580000}"/>
    <cellStyle name="Normal 2 19 11" xfId="22680" xr:uid="{00000000-0005-0000-0000-00009B580000}"/>
    <cellStyle name="Normal 2 19 2" xfId="22681" xr:uid="{00000000-0005-0000-0000-00009C580000}"/>
    <cellStyle name="Normal 2 19 2 2" xfId="22682" xr:uid="{00000000-0005-0000-0000-00009D580000}"/>
    <cellStyle name="Normal 2 19 3" xfId="22683" xr:uid="{00000000-0005-0000-0000-00009E580000}"/>
    <cellStyle name="Normal 2 19 3 2" xfId="22684" xr:uid="{00000000-0005-0000-0000-00009F580000}"/>
    <cellStyle name="Normal 2 19 3 2 2" xfId="22685" xr:uid="{00000000-0005-0000-0000-0000A0580000}"/>
    <cellStyle name="Normal 2 19 3 2 2 2" xfId="22686" xr:uid="{00000000-0005-0000-0000-0000A1580000}"/>
    <cellStyle name="Normal 2 19 3 2 2 3" xfId="22687" xr:uid="{00000000-0005-0000-0000-0000A2580000}"/>
    <cellStyle name="Normal 2 19 3 2 3" xfId="22688" xr:uid="{00000000-0005-0000-0000-0000A3580000}"/>
    <cellStyle name="Normal 2 19 3 2 4" xfId="22689" xr:uid="{00000000-0005-0000-0000-0000A4580000}"/>
    <cellStyle name="Normal 2 19 3 2 5" xfId="22690" xr:uid="{00000000-0005-0000-0000-0000A5580000}"/>
    <cellStyle name="Normal 2 19 3 2 6" xfId="22691" xr:uid="{00000000-0005-0000-0000-0000A6580000}"/>
    <cellStyle name="Normal 2 19 3 3" xfId="22692" xr:uid="{00000000-0005-0000-0000-0000A7580000}"/>
    <cellStyle name="Normal 2 19 3 3 2" xfId="22693" xr:uid="{00000000-0005-0000-0000-0000A8580000}"/>
    <cellStyle name="Normal 2 19 3 3 2 2" xfId="22694" xr:uid="{00000000-0005-0000-0000-0000A9580000}"/>
    <cellStyle name="Normal 2 19 3 3 3" xfId="22695" xr:uid="{00000000-0005-0000-0000-0000AA580000}"/>
    <cellStyle name="Normal 2 19 3 3 4" xfId="22696" xr:uid="{00000000-0005-0000-0000-0000AB580000}"/>
    <cellStyle name="Normal 2 19 3 3 5" xfId="22697" xr:uid="{00000000-0005-0000-0000-0000AC580000}"/>
    <cellStyle name="Normal 2 19 3 4" xfId="22698" xr:uid="{00000000-0005-0000-0000-0000AD580000}"/>
    <cellStyle name="Normal 2 19 3 4 2" xfId="22699" xr:uid="{00000000-0005-0000-0000-0000AE580000}"/>
    <cellStyle name="Normal 2 19 3 4 3" xfId="22700" xr:uid="{00000000-0005-0000-0000-0000AF580000}"/>
    <cellStyle name="Normal 2 19 3 4 4" xfId="22701" xr:uid="{00000000-0005-0000-0000-0000B0580000}"/>
    <cellStyle name="Normal 2 19 3 5" xfId="22702" xr:uid="{00000000-0005-0000-0000-0000B1580000}"/>
    <cellStyle name="Normal 2 19 3 5 2" xfId="22703" xr:uid="{00000000-0005-0000-0000-0000B2580000}"/>
    <cellStyle name="Normal 2 19 3 6" xfId="22704" xr:uid="{00000000-0005-0000-0000-0000B3580000}"/>
    <cellStyle name="Normal 2 19 3 7" xfId="22705" xr:uid="{00000000-0005-0000-0000-0000B4580000}"/>
    <cellStyle name="Normal 2 19 3 8" xfId="22706" xr:uid="{00000000-0005-0000-0000-0000B5580000}"/>
    <cellStyle name="Normal 2 19 3 9" xfId="22707" xr:uid="{00000000-0005-0000-0000-0000B6580000}"/>
    <cellStyle name="Normal 2 19 4" xfId="22708" xr:uid="{00000000-0005-0000-0000-0000B7580000}"/>
    <cellStyle name="Normal 2 19 4 2" xfId="22709" xr:uid="{00000000-0005-0000-0000-0000B8580000}"/>
    <cellStyle name="Normal 2 19 4 2 2" xfId="22710" xr:uid="{00000000-0005-0000-0000-0000B9580000}"/>
    <cellStyle name="Normal 2 19 4 2 2 2" xfId="22711" xr:uid="{00000000-0005-0000-0000-0000BA580000}"/>
    <cellStyle name="Normal 2 19 4 2 2 3" xfId="22712" xr:uid="{00000000-0005-0000-0000-0000BB580000}"/>
    <cellStyle name="Normal 2 19 4 2 3" xfId="22713" xr:uid="{00000000-0005-0000-0000-0000BC580000}"/>
    <cellStyle name="Normal 2 19 4 2 4" xfId="22714" xr:uid="{00000000-0005-0000-0000-0000BD580000}"/>
    <cellStyle name="Normal 2 19 4 2 5" xfId="22715" xr:uid="{00000000-0005-0000-0000-0000BE580000}"/>
    <cellStyle name="Normal 2 19 4 2 6" xfId="22716" xr:uid="{00000000-0005-0000-0000-0000BF580000}"/>
    <cellStyle name="Normal 2 19 4 3" xfId="22717" xr:uid="{00000000-0005-0000-0000-0000C0580000}"/>
    <cellStyle name="Normal 2 19 4 3 2" xfId="22718" xr:uid="{00000000-0005-0000-0000-0000C1580000}"/>
    <cellStyle name="Normal 2 19 4 3 2 2" xfId="22719" xr:uid="{00000000-0005-0000-0000-0000C2580000}"/>
    <cellStyle name="Normal 2 19 4 3 3" xfId="22720" xr:uid="{00000000-0005-0000-0000-0000C3580000}"/>
    <cellStyle name="Normal 2 19 4 3 4" xfId="22721" xr:uid="{00000000-0005-0000-0000-0000C4580000}"/>
    <cellStyle name="Normal 2 19 4 3 5" xfId="22722" xr:uid="{00000000-0005-0000-0000-0000C5580000}"/>
    <cellStyle name="Normal 2 19 4 4" xfId="22723" xr:uid="{00000000-0005-0000-0000-0000C6580000}"/>
    <cellStyle name="Normal 2 19 4 4 2" xfId="22724" xr:uid="{00000000-0005-0000-0000-0000C7580000}"/>
    <cellStyle name="Normal 2 19 4 4 3" xfId="22725" xr:uid="{00000000-0005-0000-0000-0000C8580000}"/>
    <cellStyle name="Normal 2 19 4 4 4" xfId="22726" xr:uid="{00000000-0005-0000-0000-0000C9580000}"/>
    <cellStyle name="Normal 2 19 4 5" xfId="22727" xr:uid="{00000000-0005-0000-0000-0000CA580000}"/>
    <cellStyle name="Normal 2 19 4 5 2" xfId="22728" xr:uid="{00000000-0005-0000-0000-0000CB580000}"/>
    <cellStyle name="Normal 2 19 4 6" xfId="22729" xr:uid="{00000000-0005-0000-0000-0000CC580000}"/>
    <cellStyle name="Normal 2 19 4 7" xfId="22730" xr:uid="{00000000-0005-0000-0000-0000CD580000}"/>
    <cellStyle name="Normal 2 19 4 8" xfId="22731" xr:uid="{00000000-0005-0000-0000-0000CE580000}"/>
    <cellStyle name="Normal 2 19 4 9" xfId="22732" xr:uid="{00000000-0005-0000-0000-0000CF580000}"/>
    <cellStyle name="Normal 2 19 5" xfId="22733" xr:uid="{00000000-0005-0000-0000-0000D0580000}"/>
    <cellStyle name="Normal 2 19 5 2" xfId="22734" xr:uid="{00000000-0005-0000-0000-0000D1580000}"/>
    <cellStyle name="Normal 2 19 5 2 2" xfId="22735" xr:uid="{00000000-0005-0000-0000-0000D2580000}"/>
    <cellStyle name="Normal 2 19 5 2 3" xfId="22736" xr:uid="{00000000-0005-0000-0000-0000D3580000}"/>
    <cellStyle name="Normal 2 19 5 3" xfId="22737" xr:uid="{00000000-0005-0000-0000-0000D4580000}"/>
    <cellStyle name="Normal 2 19 5 4" xfId="22738" xr:uid="{00000000-0005-0000-0000-0000D5580000}"/>
    <cellStyle name="Normal 2 19 5 5" xfId="22739" xr:uid="{00000000-0005-0000-0000-0000D6580000}"/>
    <cellStyle name="Normal 2 19 5 6" xfId="22740" xr:uid="{00000000-0005-0000-0000-0000D7580000}"/>
    <cellStyle name="Normal 2 19 6" xfId="22741" xr:uid="{00000000-0005-0000-0000-0000D8580000}"/>
    <cellStyle name="Normal 2 19 6 2" xfId="22742" xr:uid="{00000000-0005-0000-0000-0000D9580000}"/>
    <cellStyle name="Normal 2 19 6 2 2" xfId="22743" xr:uid="{00000000-0005-0000-0000-0000DA580000}"/>
    <cellStyle name="Normal 2 19 6 3" xfId="22744" xr:uid="{00000000-0005-0000-0000-0000DB580000}"/>
    <cellStyle name="Normal 2 19 6 4" xfId="22745" xr:uid="{00000000-0005-0000-0000-0000DC580000}"/>
    <cellStyle name="Normal 2 19 6 5" xfId="22746" xr:uid="{00000000-0005-0000-0000-0000DD580000}"/>
    <cellStyle name="Normal 2 19 6 6" xfId="22747" xr:uid="{00000000-0005-0000-0000-0000DE580000}"/>
    <cellStyle name="Normal 2 19 7" xfId="22748" xr:uid="{00000000-0005-0000-0000-0000DF580000}"/>
    <cellStyle name="Normal 2 19 7 2" xfId="22749" xr:uid="{00000000-0005-0000-0000-0000E0580000}"/>
    <cellStyle name="Normal 2 19 7 3" xfId="22750" xr:uid="{00000000-0005-0000-0000-0000E1580000}"/>
    <cellStyle name="Normal 2 19 7 4" xfId="22751" xr:uid="{00000000-0005-0000-0000-0000E2580000}"/>
    <cellStyle name="Normal 2 19 7 5" xfId="22752" xr:uid="{00000000-0005-0000-0000-0000E3580000}"/>
    <cellStyle name="Normal 2 19 8" xfId="22753" xr:uid="{00000000-0005-0000-0000-0000E4580000}"/>
    <cellStyle name="Normal 2 19 8 2" xfId="22754" xr:uid="{00000000-0005-0000-0000-0000E5580000}"/>
    <cellStyle name="Normal 2 19 9" xfId="22755" xr:uid="{00000000-0005-0000-0000-0000E6580000}"/>
    <cellStyle name="Normal 2 2" xfId="22756" xr:uid="{00000000-0005-0000-0000-0000E7580000}"/>
    <cellStyle name="Normal 2 2 10" xfId="22757" xr:uid="{00000000-0005-0000-0000-0000E8580000}"/>
    <cellStyle name="Normal 2 2 10 2" xfId="22758" xr:uid="{00000000-0005-0000-0000-0000E9580000}"/>
    <cellStyle name="Normal 2 2 10 3" xfId="22759" xr:uid="{00000000-0005-0000-0000-0000EA580000}"/>
    <cellStyle name="Normal 2 2 10 4" xfId="22760" xr:uid="{00000000-0005-0000-0000-0000EB580000}"/>
    <cellStyle name="Normal 2 2 11" xfId="22761" xr:uid="{00000000-0005-0000-0000-0000EC580000}"/>
    <cellStyle name="Normal 2 2 11 2" xfId="22762" xr:uid="{00000000-0005-0000-0000-0000ED580000}"/>
    <cellStyle name="Normal 2 2 11 3" xfId="22763" xr:uid="{00000000-0005-0000-0000-0000EE580000}"/>
    <cellStyle name="Normal 2 2 11 4" xfId="22764" xr:uid="{00000000-0005-0000-0000-0000EF580000}"/>
    <cellStyle name="Normal 2 2 12" xfId="22765" xr:uid="{00000000-0005-0000-0000-0000F0580000}"/>
    <cellStyle name="Normal 2 2 12 2" xfId="22766" xr:uid="{00000000-0005-0000-0000-0000F1580000}"/>
    <cellStyle name="Normal 2 2 12 3" xfId="22767" xr:uid="{00000000-0005-0000-0000-0000F2580000}"/>
    <cellStyle name="Normal 2 2 12 4" xfId="22768" xr:uid="{00000000-0005-0000-0000-0000F3580000}"/>
    <cellStyle name="Normal 2 2 13" xfId="22769" xr:uid="{00000000-0005-0000-0000-0000F4580000}"/>
    <cellStyle name="Normal 2 2 13 2" xfId="22770" xr:uid="{00000000-0005-0000-0000-0000F5580000}"/>
    <cellStyle name="Normal 2 2 13 3" xfId="22771" xr:uid="{00000000-0005-0000-0000-0000F6580000}"/>
    <cellStyle name="Normal 2 2 13 4" xfId="22772" xr:uid="{00000000-0005-0000-0000-0000F7580000}"/>
    <cellStyle name="Normal 2 2 14" xfId="22773" xr:uid="{00000000-0005-0000-0000-0000F8580000}"/>
    <cellStyle name="Normal 2 2 14 2" xfId="22774" xr:uid="{00000000-0005-0000-0000-0000F9580000}"/>
    <cellStyle name="Normal 2 2 14 3" xfId="22775" xr:uid="{00000000-0005-0000-0000-0000FA580000}"/>
    <cellStyle name="Normal 2 2 14 4" xfId="22776" xr:uid="{00000000-0005-0000-0000-0000FB580000}"/>
    <cellStyle name="Normal 2 2 15" xfId="22777" xr:uid="{00000000-0005-0000-0000-0000FC580000}"/>
    <cellStyle name="Normal 2 2 15 2" xfId="22778" xr:uid="{00000000-0005-0000-0000-0000FD580000}"/>
    <cellStyle name="Normal 2 2 15 3" xfId="22779" xr:uid="{00000000-0005-0000-0000-0000FE580000}"/>
    <cellStyle name="Normal 2 2 15 4" xfId="22780" xr:uid="{00000000-0005-0000-0000-0000FF580000}"/>
    <cellStyle name="Normal 2 2 16" xfId="22781" xr:uid="{00000000-0005-0000-0000-000000590000}"/>
    <cellStyle name="Normal 2 2 16 2" xfId="22782" xr:uid="{00000000-0005-0000-0000-000001590000}"/>
    <cellStyle name="Normal 2 2 16 3" xfId="22783" xr:uid="{00000000-0005-0000-0000-000002590000}"/>
    <cellStyle name="Normal 2 2 16 4" xfId="22784" xr:uid="{00000000-0005-0000-0000-000003590000}"/>
    <cellStyle name="Normal 2 2 17" xfId="22785" xr:uid="{00000000-0005-0000-0000-000004590000}"/>
    <cellStyle name="Normal 2 2 17 2" xfId="22786" xr:uid="{00000000-0005-0000-0000-000005590000}"/>
    <cellStyle name="Normal 2 2 17 2 2" xfId="22787" xr:uid="{00000000-0005-0000-0000-000006590000}"/>
    <cellStyle name="Normal 2 2 18" xfId="22788" xr:uid="{00000000-0005-0000-0000-000007590000}"/>
    <cellStyle name="Normal 2 2 19" xfId="22789" xr:uid="{00000000-0005-0000-0000-000008590000}"/>
    <cellStyle name="Normal 2 2 2" xfId="22790" xr:uid="{00000000-0005-0000-0000-000009590000}"/>
    <cellStyle name="Normal 2 2 2 10" xfId="22791" xr:uid="{00000000-0005-0000-0000-00000A590000}"/>
    <cellStyle name="Normal 2 2 2 10 10" xfId="22792" xr:uid="{00000000-0005-0000-0000-00000B590000}"/>
    <cellStyle name="Normal 2 2 2 10 2" xfId="22793" xr:uid="{00000000-0005-0000-0000-00000C590000}"/>
    <cellStyle name="Normal 2 2 2 10 2 2" xfId="22794" xr:uid="{00000000-0005-0000-0000-00000D590000}"/>
    <cellStyle name="Normal 2 2 2 10 2 2 2" xfId="22795" xr:uid="{00000000-0005-0000-0000-00000E590000}"/>
    <cellStyle name="Normal 2 2 2 10 2 2 3" xfId="22796" xr:uid="{00000000-0005-0000-0000-00000F590000}"/>
    <cellStyle name="Normal 2 2 2 10 2 3" xfId="22797" xr:uid="{00000000-0005-0000-0000-000010590000}"/>
    <cellStyle name="Normal 2 2 2 10 2 4" xfId="22798" xr:uid="{00000000-0005-0000-0000-000011590000}"/>
    <cellStyle name="Normal 2 2 2 10 2 5" xfId="22799" xr:uid="{00000000-0005-0000-0000-000012590000}"/>
    <cellStyle name="Normal 2 2 2 10 2 6" xfId="22800" xr:uid="{00000000-0005-0000-0000-000013590000}"/>
    <cellStyle name="Normal 2 2 2 10 3" xfId="22801" xr:uid="{00000000-0005-0000-0000-000014590000}"/>
    <cellStyle name="Normal 2 2 2 10 3 2" xfId="22802" xr:uid="{00000000-0005-0000-0000-000015590000}"/>
    <cellStyle name="Normal 2 2 2 10 3 2 2" xfId="22803" xr:uid="{00000000-0005-0000-0000-000016590000}"/>
    <cellStyle name="Normal 2 2 2 10 3 2 3" xfId="22804" xr:uid="{00000000-0005-0000-0000-000017590000}"/>
    <cellStyle name="Normal 2 2 2 10 3 3" xfId="22805" xr:uid="{00000000-0005-0000-0000-000018590000}"/>
    <cellStyle name="Normal 2 2 2 10 3 4" xfId="22806" xr:uid="{00000000-0005-0000-0000-000019590000}"/>
    <cellStyle name="Normal 2 2 2 10 3 5" xfId="22807" xr:uid="{00000000-0005-0000-0000-00001A590000}"/>
    <cellStyle name="Normal 2 2 2 10 3 6" xfId="22808" xr:uid="{00000000-0005-0000-0000-00001B590000}"/>
    <cellStyle name="Normal 2 2 2 10 4" xfId="22809" xr:uid="{00000000-0005-0000-0000-00001C590000}"/>
    <cellStyle name="Normal 2 2 2 10 4 2" xfId="22810" xr:uid="{00000000-0005-0000-0000-00001D590000}"/>
    <cellStyle name="Normal 2 2 2 10 4 2 2" xfId="22811" xr:uid="{00000000-0005-0000-0000-00001E590000}"/>
    <cellStyle name="Normal 2 2 2 10 4 3" xfId="22812" xr:uid="{00000000-0005-0000-0000-00001F590000}"/>
    <cellStyle name="Normal 2 2 2 10 4 4" xfId="22813" xr:uid="{00000000-0005-0000-0000-000020590000}"/>
    <cellStyle name="Normal 2 2 2 10 4 5" xfId="22814" xr:uid="{00000000-0005-0000-0000-000021590000}"/>
    <cellStyle name="Normal 2 2 2 10 5" xfId="22815" xr:uid="{00000000-0005-0000-0000-000022590000}"/>
    <cellStyle name="Normal 2 2 2 10 5 2" xfId="22816" xr:uid="{00000000-0005-0000-0000-000023590000}"/>
    <cellStyle name="Normal 2 2 2 10 5 3" xfId="22817" xr:uid="{00000000-0005-0000-0000-000024590000}"/>
    <cellStyle name="Normal 2 2 2 10 5 4" xfId="22818" xr:uid="{00000000-0005-0000-0000-000025590000}"/>
    <cellStyle name="Normal 2 2 2 10 6" xfId="22819" xr:uid="{00000000-0005-0000-0000-000026590000}"/>
    <cellStyle name="Normal 2 2 2 10 6 2" xfId="22820" xr:uid="{00000000-0005-0000-0000-000027590000}"/>
    <cellStyle name="Normal 2 2 2 10 7" xfId="22821" xr:uid="{00000000-0005-0000-0000-000028590000}"/>
    <cellStyle name="Normal 2 2 2 10 8" xfId="22822" xr:uid="{00000000-0005-0000-0000-000029590000}"/>
    <cellStyle name="Normal 2 2 2 10 9" xfId="22823" xr:uid="{00000000-0005-0000-0000-00002A590000}"/>
    <cellStyle name="Normal 2 2 2 11" xfId="22824" xr:uid="{00000000-0005-0000-0000-00002B590000}"/>
    <cellStyle name="Normal 2 2 2 11 10" xfId="22825" xr:uid="{00000000-0005-0000-0000-00002C590000}"/>
    <cellStyle name="Normal 2 2 2 11 2" xfId="22826" xr:uid="{00000000-0005-0000-0000-00002D590000}"/>
    <cellStyle name="Normal 2 2 2 11 2 2" xfId="22827" xr:uid="{00000000-0005-0000-0000-00002E590000}"/>
    <cellStyle name="Normal 2 2 2 11 2 2 2" xfId="22828" xr:uid="{00000000-0005-0000-0000-00002F590000}"/>
    <cellStyle name="Normal 2 2 2 11 2 2 3" xfId="22829" xr:uid="{00000000-0005-0000-0000-000030590000}"/>
    <cellStyle name="Normal 2 2 2 11 2 3" xfId="22830" xr:uid="{00000000-0005-0000-0000-000031590000}"/>
    <cellStyle name="Normal 2 2 2 11 2 4" xfId="22831" xr:uid="{00000000-0005-0000-0000-000032590000}"/>
    <cellStyle name="Normal 2 2 2 11 2 5" xfId="22832" xr:uid="{00000000-0005-0000-0000-000033590000}"/>
    <cellStyle name="Normal 2 2 2 11 2 6" xfId="22833" xr:uid="{00000000-0005-0000-0000-000034590000}"/>
    <cellStyle name="Normal 2 2 2 11 3" xfId="22834" xr:uid="{00000000-0005-0000-0000-000035590000}"/>
    <cellStyle name="Normal 2 2 2 11 3 2" xfId="22835" xr:uid="{00000000-0005-0000-0000-000036590000}"/>
    <cellStyle name="Normal 2 2 2 11 3 2 2" xfId="22836" xr:uid="{00000000-0005-0000-0000-000037590000}"/>
    <cellStyle name="Normal 2 2 2 11 3 2 3" xfId="22837" xr:uid="{00000000-0005-0000-0000-000038590000}"/>
    <cellStyle name="Normal 2 2 2 11 3 3" xfId="22838" xr:uid="{00000000-0005-0000-0000-000039590000}"/>
    <cellStyle name="Normal 2 2 2 11 3 4" xfId="22839" xr:uid="{00000000-0005-0000-0000-00003A590000}"/>
    <cellStyle name="Normal 2 2 2 11 3 5" xfId="22840" xr:uid="{00000000-0005-0000-0000-00003B590000}"/>
    <cellStyle name="Normal 2 2 2 11 3 6" xfId="22841" xr:uid="{00000000-0005-0000-0000-00003C590000}"/>
    <cellStyle name="Normal 2 2 2 11 4" xfId="22842" xr:uid="{00000000-0005-0000-0000-00003D590000}"/>
    <cellStyle name="Normal 2 2 2 11 4 2" xfId="22843" xr:uid="{00000000-0005-0000-0000-00003E590000}"/>
    <cellStyle name="Normal 2 2 2 11 4 2 2" xfId="22844" xr:uid="{00000000-0005-0000-0000-00003F590000}"/>
    <cellStyle name="Normal 2 2 2 11 4 3" xfId="22845" xr:uid="{00000000-0005-0000-0000-000040590000}"/>
    <cellStyle name="Normal 2 2 2 11 4 4" xfId="22846" xr:uid="{00000000-0005-0000-0000-000041590000}"/>
    <cellStyle name="Normal 2 2 2 11 4 5" xfId="22847" xr:uid="{00000000-0005-0000-0000-000042590000}"/>
    <cellStyle name="Normal 2 2 2 11 5" xfId="22848" xr:uid="{00000000-0005-0000-0000-000043590000}"/>
    <cellStyle name="Normal 2 2 2 11 5 2" xfId="22849" xr:uid="{00000000-0005-0000-0000-000044590000}"/>
    <cellStyle name="Normal 2 2 2 11 5 3" xfId="22850" xr:uid="{00000000-0005-0000-0000-000045590000}"/>
    <cellStyle name="Normal 2 2 2 11 5 4" xfId="22851" xr:uid="{00000000-0005-0000-0000-000046590000}"/>
    <cellStyle name="Normal 2 2 2 11 6" xfId="22852" xr:uid="{00000000-0005-0000-0000-000047590000}"/>
    <cellStyle name="Normal 2 2 2 11 6 2" xfId="22853" xr:uid="{00000000-0005-0000-0000-000048590000}"/>
    <cellStyle name="Normal 2 2 2 11 7" xfId="22854" xr:uid="{00000000-0005-0000-0000-000049590000}"/>
    <cellStyle name="Normal 2 2 2 11 8" xfId="22855" xr:uid="{00000000-0005-0000-0000-00004A590000}"/>
    <cellStyle name="Normal 2 2 2 11 9" xfId="22856" xr:uid="{00000000-0005-0000-0000-00004B590000}"/>
    <cellStyle name="Normal 2 2 2 12" xfId="22857" xr:uid="{00000000-0005-0000-0000-00004C590000}"/>
    <cellStyle name="Normal 2 2 2 12 10" xfId="22858" xr:uid="{00000000-0005-0000-0000-00004D590000}"/>
    <cellStyle name="Normal 2 2 2 12 2" xfId="22859" xr:uid="{00000000-0005-0000-0000-00004E590000}"/>
    <cellStyle name="Normal 2 2 2 12 2 2" xfId="22860" xr:uid="{00000000-0005-0000-0000-00004F590000}"/>
    <cellStyle name="Normal 2 2 2 12 2 2 2" xfId="22861" xr:uid="{00000000-0005-0000-0000-000050590000}"/>
    <cellStyle name="Normal 2 2 2 12 2 2 3" xfId="22862" xr:uid="{00000000-0005-0000-0000-000051590000}"/>
    <cellStyle name="Normal 2 2 2 12 2 3" xfId="22863" xr:uid="{00000000-0005-0000-0000-000052590000}"/>
    <cellStyle name="Normal 2 2 2 12 2 4" xfId="22864" xr:uid="{00000000-0005-0000-0000-000053590000}"/>
    <cellStyle name="Normal 2 2 2 12 2 5" xfId="22865" xr:uid="{00000000-0005-0000-0000-000054590000}"/>
    <cellStyle name="Normal 2 2 2 12 2 6" xfId="22866" xr:uid="{00000000-0005-0000-0000-000055590000}"/>
    <cellStyle name="Normal 2 2 2 12 3" xfId="22867" xr:uid="{00000000-0005-0000-0000-000056590000}"/>
    <cellStyle name="Normal 2 2 2 12 3 2" xfId="22868" xr:uid="{00000000-0005-0000-0000-000057590000}"/>
    <cellStyle name="Normal 2 2 2 12 3 2 2" xfId="22869" xr:uid="{00000000-0005-0000-0000-000058590000}"/>
    <cellStyle name="Normal 2 2 2 12 3 2 3" xfId="22870" xr:uid="{00000000-0005-0000-0000-000059590000}"/>
    <cellStyle name="Normal 2 2 2 12 3 3" xfId="22871" xr:uid="{00000000-0005-0000-0000-00005A590000}"/>
    <cellStyle name="Normal 2 2 2 12 3 4" xfId="22872" xr:uid="{00000000-0005-0000-0000-00005B590000}"/>
    <cellStyle name="Normal 2 2 2 12 3 5" xfId="22873" xr:uid="{00000000-0005-0000-0000-00005C590000}"/>
    <cellStyle name="Normal 2 2 2 12 3 6" xfId="22874" xr:uid="{00000000-0005-0000-0000-00005D590000}"/>
    <cellStyle name="Normal 2 2 2 12 4" xfId="22875" xr:uid="{00000000-0005-0000-0000-00005E590000}"/>
    <cellStyle name="Normal 2 2 2 12 4 2" xfId="22876" xr:uid="{00000000-0005-0000-0000-00005F590000}"/>
    <cellStyle name="Normal 2 2 2 12 4 2 2" xfId="22877" xr:uid="{00000000-0005-0000-0000-000060590000}"/>
    <cellStyle name="Normal 2 2 2 12 4 3" xfId="22878" xr:uid="{00000000-0005-0000-0000-000061590000}"/>
    <cellStyle name="Normal 2 2 2 12 4 4" xfId="22879" xr:uid="{00000000-0005-0000-0000-000062590000}"/>
    <cellStyle name="Normal 2 2 2 12 4 5" xfId="22880" xr:uid="{00000000-0005-0000-0000-000063590000}"/>
    <cellStyle name="Normal 2 2 2 12 5" xfId="22881" xr:uid="{00000000-0005-0000-0000-000064590000}"/>
    <cellStyle name="Normal 2 2 2 12 5 2" xfId="22882" xr:uid="{00000000-0005-0000-0000-000065590000}"/>
    <cellStyle name="Normal 2 2 2 12 5 3" xfId="22883" xr:uid="{00000000-0005-0000-0000-000066590000}"/>
    <cellStyle name="Normal 2 2 2 12 5 4" xfId="22884" xr:uid="{00000000-0005-0000-0000-000067590000}"/>
    <cellStyle name="Normal 2 2 2 12 6" xfId="22885" xr:uid="{00000000-0005-0000-0000-000068590000}"/>
    <cellStyle name="Normal 2 2 2 12 6 2" xfId="22886" xr:uid="{00000000-0005-0000-0000-000069590000}"/>
    <cellStyle name="Normal 2 2 2 12 7" xfId="22887" xr:uid="{00000000-0005-0000-0000-00006A590000}"/>
    <cellStyle name="Normal 2 2 2 12 8" xfId="22888" xr:uid="{00000000-0005-0000-0000-00006B590000}"/>
    <cellStyle name="Normal 2 2 2 12 9" xfId="22889" xr:uid="{00000000-0005-0000-0000-00006C590000}"/>
    <cellStyle name="Normal 2 2 2 13" xfId="22890" xr:uid="{00000000-0005-0000-0000-00006D590000}"/>
    <cellStyle name="Normal 2 2 2 13 10" xfId="22891" xr:uid="{00000000-0005-0000-0000-00006E590000}"/>
    <cellStyle name="Normal 2 2 2 13 2" xfId="22892" xr:uid="{00000000-0005-0000-0000-00006F590000}"/>
    <cellStyle name="Normal 2 2 2 13 2 2" xfId="22893" xr:uid="{00000000-0005-0000-0000-000070590000}"/>
    <cellStyle name="Normal 2 2 2 13 2 2 2" xfId="22894" xr:uid="{00000000-0005-0000-0000-000071590000}"/>
    <cellStyle name="Normal 2 2 2 13 2 2 3" xfId="22895" xr:uid="{00000000-0005-0000-0000-000072590000}"/>
    <cellStyle name="Normal 2 2 2 13 2 3" xfId="22896" xr:uid="{00000000-0005-0000-0000-000073590000}"/>
    <cellStyle name="Normal 2 2 2 13 2 4" xfId="22897" xr:uid="{00000000-0005-0000-0000-000074590000}"/>
    <cellStyle name="Normal 2 2 2 13 2 5" xfId="22898" xr:uid="{00000000-0005-0000-0000-000075590000}"/>
    <cellStyle name="Normal 2 2 2 13 2 6" xfId="22899" xr:uid="{00000000-0005-0000-0000-000076590000}"/>
    <cellStyle name="Normal 2 2 2 13 3" xfId="22900" xr:uid="{00000000-0005-0000-0000-000077590000}"/>
    <cellStyle name="Normal 2 2 2 13 3 2" xfId="22901" xr:uid="{00000000-0005-0000-0000-000078590000}"/>
    <cellStyle name="Normal 2 2 2 13 3 2 2" xfId="22902" xr:uid="{00000000-0005-0000-0000-000079590000}"/>
    <cellStyle name="Normal 2 2 2 13 3 2 3" xfId="22903" xr:uid="{00000000-0005-0000-0000-00007A590000}"/>
    <cellStyle name="Normal 2 2 2 13 3 3" xfId="22904" xr:uid="{00000000-0005-0000-0000-00007B590000}"/>
    <cellStyle name="Normal 2 2 2 13 3 4" xfId="22905" xr:uid="{00000000-0005-0000-0000-00007C590000}"/>
    <cellStyle name="Normal 2 2 2 13 3 5" xfId="22906" xr:uid="{00000000-0005-0000-0000-00007D590000}"/>
    <cellStyle name="Normal 2 2 2 13 3 6" xfId="22907" xr:uid="{00000000-0005-0000-0000-00007E590000}"/>
    <cellStyle name="Normal 2 2 2 13 4" xfId="22908" xr:uid="{00000000-0005-0000-0000-00007F590000}"/>
    <cellStyle name="Normal 2 2 2 13 4 2" xfId="22909" xr:uid="{00000000-0005-0000-0000-000080590000}"/>
    <cellStyle name="Normal 2 2 2 13 4 2 2" xfId="22910" xr:uid="{00000000-0005-0000-0000-000081590000}"/>
    <cellStyle name="Normal 2 2 2 13 4 3" xfId="22911" xr:uid="{00000000-0005-0000-0000-000082590000}"/>
    <cellStyle name="Normal 2 2 2 13 4 4" xfId="22912" xr:uid="{00000000-0005-0000-0000-000083590000}"/>
    <cellStyle name="Normal 2 2 2 13 4 5" xfId="22913" xr:uid="{00000000-0005-0000-0000-000084590000}"/>
    <cellStyle name="Normal 2 2 2 13 5" xfId="22914" xr:uid="{00000000-0005-0000-0000-000085590000}"/>
    <cellStyle name="Normal 2 2 2 13 5 2" xfId="22915" xr:uid="{00000000-0005-0000-0000-000086590000}"/>
    <cellStyle name="Normal 2 2 2 13 5 3" xfId="22916" xr:uid="{00000000-0005-0000-0000-000087590000}"/>
    <cellStyle name="Normal 2 2 2 13 5 4" xfId="22917" xr:uid="{00000000-0005-0000-0000-000088590000}"/>
    <cellStyle name="Normal 2 2 2 13 6" xfId="22918" xr:uid="{00000000-0005-0000-0000-000089590000}"/>
    <cellStyle name="Normal 2 2 2 13 6 2" xfId="22919" xr:uid="{00000000-0005-0000-0000-00008A590000}"/>
    <cellStyle name="Normal 2 2 2 13 7" xfId="22920" xr:uid="{00000000-0005-0000-0000-00008B590000}"/>
    <cellStyle name="Normal 2 2 2 13 8" xfId="22921" xr:uid="{00000000-0005-0000-0000-00008C590000}"/>
    <cellStyle name="Normal 2 2 2 13 9" xfId="22922" xr:uid="{00000000-0005-0000-0000-00008D590000}"/>
    <cellStyle name="Normal 2 2 2 14" xfId="22923" xr:uid="{00000000-0005-0000-0000-00008E590000}"/>
    <cellStyle name="Normal 2 2 2 14 10" xfId="22924" xr:uid="{00000000-0005-0000-0000-00008F590000}"/>
    <cellStyle name="Normal 2 2 2 14 2" xfId="22925" xr:uid="{00000000-0005-0000-0000-000090590000}"/>
    <cellStyle name="Normal 2 2 2 14 2 2" xfId="22926" xr:uid="{00000000-0005-0000-0000-000091590000}"/>
    <cellStyle name="Normal 2 2 2 14 2 2 2" xfId="22927" xr:uid="{00000000-0005-0000-0000-000092590000}"/>
    <cellStyle name="Normal 2 2 2 14 2 2 3" xfId="22928" xr:uid="{00000000-0005-0000-0000-000093590000}"/>
    <cellStyle name="Normal 2 2 2 14 2 3" xfId="22929" xr:uid="{00000000-0005-0000-0000-000094590000}"/>
    <cellStyle name="Normal 2 2 2 14 2 4" xfId="22930" xr:uid="{00000000-0005-0000-0000-000095590000}"/>
    <cellStyle name="Normal 2 2 2 14 2 5" xfId="22931" xr:uid="{00000000-0005-0000-0000-000096590000}"/>
    <cellStyle name="Normal 2 2 2 14 2 6" xfId="22932" xr:uid="{00000000-0005-0000-0000-000097590000}"/>
    <cellStyle name="Normal 2 2 2 14 3" xfId="22933" xr:uid="{00000000-0005-0000-0000-000098590000}"/>
    <cellStyle name="Normal 2 2 2 14 3 2" xfId="22934" xr:uid="{00000000-0005-0000-0000-000099590000}"/>
    <cellStyle name="Normal 2 2 2 14 3 2 2" xfId="22935" xr:uid="{00000000-0005-0000-0000-00009A590000}"/>
    <cellStyle name="Normal 2 2 2 14 3 2 3" xfId="22936" xr:uid="{00000000-0005-0000-0000-00009B590000}"/>
    <cellStyle name="Normal 2 2 2 14 3 3" xfId="22937" xr:uid="{00000000-0005-0000-0000-00009C590000}"/>
    <cellStyle name="Normal 2 2 2 14 3 4" xfId="22938" xr:uid="{00000000-0005-0000-0000-00009D590000}"/>
    <cellStyle name="Normal 2 2 2 14 3 5" xfId="22939" xr:uid="{00000000-0005-0000-0000-00009E590000}"/>
    <cellStyle name="Normal 2 2 2 14 3 6" xfId="22940" xr:uid="{00000000-0005-0000-0000-00009F590000}"/>
    <cellStyle name="Normal 2 2 2 14 4" xfId="22941" xr:uid="{00000000-0005-0000-0000-0000A0590000}"/>
    <cellStyle name="Normal 2 2 2 14 4 2" xfId="22942" xr:uid="{00000000-0005-0000-0000-0000A1590000}"/>
    <cellStyle name="Normal 2 2 2 14 4 2 2" xfId="22943" xr:uid="{00000000-0005-0000-0000-0000A2590000}"/>
    <cellStyle name="Normal 2 2 2 14 4 3" xfId="22944" xr:uid="{00000000-0005-0000-0000-0000A3590000}"/>
    <cellStyle name="Normal 2 2 2 14 4 4" xfId="22945" xr:uid="{00000000-0005-0000-0000-0000A4590000}"/>
    <cellStyle name="Normal 2 2 2 14 4 5" xfId="22946" xr:uid="{00000000-0005-0000-0000-0000A5590000}"/>
    <cellStyle name="Normal 2 2 2 14 5" xfId="22947" xr:uid="{00000000-0005-0000-0000-0000A6590000}"/>
    <cellStyle name="Normal 2 2 2 14 5 2" xfId="22948" xr:uid="{00000000-0005-0000-0000-0000A7590000}"/>
    <cellStyle name="Normal 2 2 2 14 5 3" xfId="22949" xr:uid="{00000000-0005-0000-0000-0000A8590000}"/>
    <cellStyle name="Normal 2 2 2 14 5 4" xfId="22950" xr:uid="{00000000-0005-0000-0000-0000A9590000}"/>
    <cellStyle name="Normal 2 2 2 14 6" xfId="22951" xr:uid="{00000000-0005-0000-0000-0000AA590000}"/>
    <cellStyle name="Normal 2 2 2 14 6 2" xfId="22952" xr:uid="{00000000-0005-0000-0000-0000AB590000}"/>
    <cellStyle name="Normal 2 2 2 14 7" xfId="22953" xr:uid="{00000000-0005-0000-0000-0000AC590000}"/>
    <cellStyle name="Normal 2 2 2 14 8" xfId="22954" xr:uid="{00000000-0005-0000-0000-0000AD590000}"/>
    <cellStyle name="Normal 2 2 2 14 9" xfId="22955" xr:uid="{00000000-0005-0000-0000-0000AE590000}"/>
    <cellStyle name="Normal 2 2 2 15" xfId="22956" xr:uid="{00000000-0005-0000-0000-0000AF590000}"/>
    <cellStyle name="Normal 2 2 2 15 10" xfId="22957" xr:uid="{00000000-0005-0000-0000-0000B0590000}"/>
    <cellStyle name="Normal 2 2 2 15 2" xfId="22958" xr:uid="{00000000-0005-0000-0000-0000B1590000}"/>
    <cellStyle name="Normal 2 2 2 15 2 2" xfId="22959" xr:uid="{00000000-0005-0000-0000-0000B2590000}"/>
    <cellStyle name="Normal 2 2 2 15 2 2 2" xfId="22960" xr:uid="{00000000-0005-0000-0000-0000B3590000}"/>
    <cellStyle name="Normal 2 2 2 15 2 2 3" xfId="22961" xr:uid="{00000000-0005-0000-0000-0000B4590000}"/>
    <cellStyle name="Normal 2 2 2 15 2 3" xfId="22962" xr:uid="{00000000-0005-0000-0000-0000B5590000}"/>
    <cellStyle name="Normal 2 2 2 15 2 4" xfId="22963" xr:uid="{00000000-0005-0000-0000-0000B6590000}"/>
    <cellStyle name="Normal 2 2 2 15 2 5" xfId="22964" xr:uid="{00000000-0005-0000-0000-0000B7590000}"/>
    <cellStyle name="Normal 2 2 2 15 2 6" xfId="22965" xr:uid="{00000000-0005-0000-0000-0000B8590000}"/>
    <cellStyle name="Normal 2 2 2 15 3" xfId="22966" xr:uid="{00000000-0005-0000-0000-0000B9590000}"/>
    <cellStyle name="Normal 2 2 2 15 3 2" xfId="22967" xr:uid="{00000000-0005-0000-0000-0000BA590000}"/>
    <cellStyle name="Normal 2 2 2 15 3 2 2" xfId="22968" xr:uid="{00000000-0005-0000-0000-0000BB590000}"/>
    <cellStyle name="Normal 2 2 2 15 3 2 3" xfId="22969" xr:uid="{00000000-0005-0000-0000-0000BC590000}"/>
    <cellStyle name="Normal 2 2 2 15 3 3" xfId="22970" xr:uid="{00000000-0005-0000-0000-0000BD590000}"/>
    <cellStyle name="Normal 2 2 2 15 3 4" xfId="22971" xr:uid="{00000000-0005-0000-0000-0000BE590000}"/>
    <cellStyle name="Normal 2 2 2 15 3 5" xfId="22972" xr:uid="{00000000-0005-0000-0000-0000BF590000}"/>
    <cellStyle name="Normal 2 2 2 15 3 6" xfId="22973" xr:uid="{00000000-0005-0000-0000-0000C0590000}"/>
    <cellStyle name="Normal 2 2 2 15 4" xfId="22974" xr:uid="{00000000-0005-0000-0000-0000C1590000}"/>
    <cellStyle name="Normal 2 2 2 15 4 2" xfId="22975" xr:uid="{00000000-0005-0000-0000-0000C2590000}"/>
    <cellStyle name="Normal 2 2 2 15 4 2 2" xfId="22976" xr:uid="{00000000-0005-0000-0000-0000C3590000}"/>
    <cellStyle name="Normal 2 2 2 15 4 3" xfId="22977" xr:uid="{00000000-0005-0000-0000-0000C4590000}"/>
    <cellStyle name="Normal 2 2 2 15 4 4" xfId="22978" xr:uid="{00000000-0005-0000-0000-0000C5590000}"/>
    <cellStyle name="Normal 2 2 2 15 4 5" xfId="22979" xr:uid="{00000000-0005-0000-0000-0000C6590000}"/>
    <cellStyle name="Normal 2 2 2 15 5" xfId="22980" xr:uid="{00000000-0005-0000-0000-0000C7590000}"/>
    <cellStyle name="Normal 2 2 2 15 5 2" xfId="22981" xr:uid="{00000000-0005-0000-0000-0000C8590000}"/>
    <cellStyle name="Normal 2 2 2 15 5 3" xfId="22982" xr:uid="{00000000-0005-0000-0000-0000C9590000}"/>
    <cellStyle name="Normal 2 2 2 15 5 4" xfId="22983" xr:uid="{00000000-0005-0000-0000-0000CA590000}"/>
    <cellStyle name="Normal 2 2 2 15 6" xfId="22984" xr:uid="{00000000-0005-0000-0000-0000CB590000}"/>
    <cellStyle name="Normal 2 2 2 15 6 2" xfId="22985" xr:uid="{00000000-0005-0000-0000-0000CC590000}"/>
    <cellStyle name="Normal 2 2 2 15 7" xfId="22986" xr:uid="{00000000-0005-0000-0000-0000CD590000}"/>
    <cellStyle name="Normal 2 2 2 15 8" xfId="22987" xr:uid="{00000000-0005-0000-0000-0000CE590000}"/>
    <cellStyle name="Normal 2 2 2 15 9" xfId="22988" xr:uid="{00000000-0005-0000-0000-0000CF590000}"/>
    <cellStyle name="Normal 2 2 2 16" xfId="22989" xr:uid="{00000000-0005-0000-0000-0000D0590000}"/>
    <cellStyle name="Normal 2 2 2 16 10" xfId="22990" xr:uid="{00000000-0005-0000-0000-0000D1590000}"/>
    <cellStyle name="Normal 2 2 2 16 2" xfId="22991" xr:uid="{00000000-0005-0000-0000-0000D2590000}"/>
    <cellStyle name="Normal 2 2 2 16 2 2" xfId="22992" xr:uid="{00000000-0005-0000-0000-0000D3590000}"/>
    <cellStyle name="Normal 2 2 2 16 2 2 2" xfId="22993" xr:uid="{00000000-0005-0000-0000-0000D4590000}"/>
    <cellStyle name="Normal 2 2 2 16 2 2 3" xfId="22994" xr:uid="{00000000-0005-0000-0000-0000D5590000}"/>
    <cellStyle name="Normal 2 2 2 16 2 3" xfId="22995" xr:uid="{00000000-0005-0000-0000-0000D6590000}"/>
    <cellStyle name="Normal 2 2 2 16 2 4" xfId="22996" xr:uid="{00000000-0005-0000-0000-0000D7590000}"/>
    <cellStyle name="Normal 2 2 2 16 2 5" xfId="22997" xr:uid="{00000000-0005-0000-0000-0000D8590000}"/>
    <cellStyle name="Normal 2 2 2 16 2 6" xfId="22998" xr:uid="{00000000-0005-0000-0000-0000D9590000}"/>
    <cellStyle name="Normal 2 2 2 16 3" xfId="22999" xr:uid="{00000000-0005-0000-0000-0000DA590000}"/>
    <cellStyle name="Normal 2 2 2 16 3 2" xfId="23000" xr:uid="{00000000-0005-0000-0000-0000DB590000}"/>
    <cellStyle name="Normal 2 2 2 16 3 2 2" xfId="23001" xr:uid="{00000000-0005-0000-0000-0000DC590000}"/>
    <cellStyle name="Normal 2 2 2 16 3 2 3" xfId="23002" xr:uid="{00000000-0005-0000-0000-0000DD590000}"/>
    <cellStyle name="Normal 2 2 2 16 3 3" xfId="23003" xr:uid="{00000000-0005-0000-0000-0000DE590000}"/>
    <cellStyle name="Normal 2 2 2 16 3 4" xfId="23004" xr:uid="{00000000-0005-0000-0000-0000DF590000}"/>
    <cellStyle name="Normal 2 2 2 16 3 5" xfId="23005" xr:uid="{00000000-0005-0000-0000-0000E0590000}"/>
    <cellStyle name="Normal 2 2 2 16 3 6" xfId="23006" xr:uid="{00000000-0005-0000-0000-0000E1590000}"/>
    <cellStyle name="Normal 2 2 2 16 4" xfId="23007" xr:uid="{00000000-0005-0000-0000-0000E2590000}"/>
    <cellStyle name="Normal 2 2 2 16 4 2" xfId="23008" xr:uid="{00000000-0005-0000-0000-0000E3590000}"/>
    <cellStyle name="Normal 2 2 2 16 4 2 2" xfId="23009" xr:uid="{00000000-0005-0000-0000-0000E4590000}"/>
    <cellStyle name="Normal 2 2 2 16 4 3" xfId="23010" xr:uid="{00000000-0005-0000-0000-0000E5590000}"/>
    <cellStyle name="Normal 2 2 2 16 4 4" xfId="23011" xr:uid="{00000000-0005-0000-0000-0000E6590000}"/>
    <cellStyle name="Normal 2 2 2 16 4 5" xfId="23012" xr:uid="{00000000-0005-0000-0000-0000E7590000}"/>
    <cellStyle name="Normal 2 2 2 16 5" xfId="23013" xr:uid="{00000000-0005-0000-0000-0000E8590000}"/>
    <cellStyle name="Normal 2 2 2 16 5 2" xfId="23014" xr:uid="{00000000-0005-0000-0000-0000E9590000}"/>
    <cellStyle name="Normal 2 2 2 16 5 3" xfId="23015" xr:uid="{00000000-0005-0000-0000-0000EA590000}"/>
    <cellStyle name="Normal 2 2 2 16 5 4" xfId="23016" xr:uid="{00000000-0005-0000-0000-0000EB590000}"/>
    <cellStyle name="Normal 2 2 2 16 6" xfId="23017" xr:uid="{00000000-0005-0000-0000-0000EC590000}"/>
    <cellStyle name="Normal 2 2 2 16 6 2" xfId="23018" xr:uid="{00000000-0005-0000-0000-0000ED590000}"/>
    <cellStyle name="Normal 2 2 2 16 7" xfId="23019" xr:uid="{00000000-0005-0000-0000-0000EE590000}"/>
    <cellStyle name="Normal 2 2 2 16 8" xfId="23020" xr:uid="{00000000-0005-0000-0000-0000EF590000}"/>
    <cellStyle name="Normal 2 2 2 16 9" xfId="23021" xr:uid="{00000000-0005-0000-0000-0000F0590000}"/>
    <cellStyle name="Normal 2 2 2 17" xfId="23022" xr:uid="{00000000-0005-0000-0000-0000F1590000}"/>
    <cellStyle name="Normal 2 2 2 17 10" xfId="23023" xr:uid="{00000000-0005-0000-0000-0000F2590000}"/>
    <cellStyle name="Normal 2 2 2 17 2" xfId="23024" xr:uid="{00000000-0005-0000-0000-0000F3590000}"/>
    <cellStyle name="Normal 2 2 2 17 2 2" xfId="23025" xr:uid="{00000000-0005-0000-0000-0000F4590000}"/>
    <cellStyle name="Normal 2 2 2 17 2 2 2" xfId="23026" xr:uid="{00000000-0005-0000-0000-0000F5590000}"/>
    <cellStyle name="Normal 2 2 2 17 2 2 3" xfId="23027" xr:uid="{00000000-0005-0000-0000-0000F6590000}"/>
    <cellStyle name="Normal 2 2 2 17 2 3" xfId="23028" xr:uid="{00000000-0005-0000-0000-0000F7590000}"/>
    <cellStyle name="Normal 2 2 2 17 2 4" xfId="23029" xr:uid="{00000000-0005-0000-0000-0000F8590000}"/>
    <cellStyle name="Normal 2 2 2 17 2 5" xfId="23030" xr:uid="{00000000-0005-0000-0000-0000F9590000}"/>
    <cellStyle name="Normal 2 2 2 17 2 6" xfId="23031" xr:uid="{00000000-0005-0000-0000-0000FA590000}"/>
    <cellStyle name="Normal 2 2 2 17 3" xfId="23032" xr:uid="{00000000-0005-0000-0000-0000FB590000}"/>
    <cellStyle name="Normal 2 2 2 17 3 2" xfId="23033" xr:uid="{00000000-0005-0000-0000-0000FC590000}"/>
    <cellStyle name="Normal 2 2 2 17 3 2 2" xfId="23034" xr:uid="{00000000-0005-0000-0000-0000FD590000}"/>
    <cellStyle name="Normal 2 2 2 17 3 2 3" xfId="23035" xr:uid="{00000000-0005-0000-0000-0000FE590000}"/>
    <cellStyle name="Normal 2 2 2 17 3 3" xfId="23036" xr:uid="{00000000-0005-0000-0000-0000FF590000}"/>
    <cellStyle name="Normal 2 2 2 17 3 4" xfId="23037" xr:uid="{00000000-0005-0000-0000-0000005A0000}"/>
    <cellStyle name="Normal 2 2 2 17 3 5" xfId="23038" xr:uid="{00000000-0005-0000-0000-0000015A0000}"/>
    <cellStyle name="Normal 2 2 2 17 3 6" xfId="23039" xr:uid="{00000000-0005-0000-0000-0000025A0000}"/>
    <cellStyle name="Normal 2 2 2 17 4" xfId="23040" xr:uid="{00000000-0005-0000-0000-0000035A0000}"/>
    <cellStyle name="Normal 2 2 2 17 4 2" xfId="23041" xr:uid="{00000000-0005-0000-0000-0000045A0000}"/>
    <cellStyle name="Normal 2 2 2 17 4 2 2" xfId="23042" xr:uid="{00000000-0005-0000-0000-0000055A0000}"/>
    <cellStyle name="Normal 2 2 2 17 4 3" xfId="23043" xr:uid="{00000000-0005-0000-0000-0000065A0000}"/>
    <cellStyle name="Normal 2 2 2 17 4 4" xfId="23044" xr:uid="{00000000-0005-0000-0000-0000075A0000}"/>
    <cellStyle name="Normal 2 2 2 17 4 5" xfId="23045" xr:uid="{00000000-0005-0000-0000-0000085A0000}"/>
    <cellStyle name="Normal 2 2 2 17 5" xfId="23046" xr:uid="{00000000-0005-0000-0000-0000095A0000}"/>
    <cellStyle name="Normal 2 2 2 17 5 2" xfId="23047" xr:uid="{00000000-0005-0000-0000-00000A5A0000}"/>
    <cellStyle name="Normal 2 2 2 17 5 3" xfId="23048" xr:uid="{00000000-0005-0000-0000-00000B5A0000}"/>
    <cellStyle name="Normal 2 2 2 17 5 4" xfId="23049" xr:uid="{00000000-0005-0000-0000-00000C5A0000}"/>
    <cellStyle name="Normal 2 2 2 17 6" xfId="23050" xr:uid="{00000000-0005-0000-0000-00000D5A0000}"/>
    <cellStyle name="Normal 2 2 2 17 6 2" xfId="23051" xr:uid="{00000000-0005-0000-0000-00000E5A0000}"/>
    <cellStyle name="Normal 2 2 2 17 7" xfId="23052" xr:uid="{00000000-0005-0000-0000-00000F5A0000}"/>
    <cellStyle name="Normal 2 2 2 17 8" xfId="23053" xr:uid="{00000000-0005-0000-0000-0000105A0000}"/>
    <cellStyle name="Normal 2 2 2 17 9" xfId="23054" xr:uid="{00000000-0005-0000-0000-0000115A0000}"/>
    <cellStyle name="Normal 2 2 2 18" xfId="23055" xr:uid="{00000000-0005-0000-0000-0000125A0000}"/>
    <cellStyle name="Normal 2 2 2 18 10" xfId="23056" xr:uid="{00000000-0005-0000-0000-0000135A0000}"/>
    <cellStyle name="Normal 2 2 2 18 2" xfId="23057" xr:uid="{00000000-0005-0000-0000-0000145A0000}"/>
    <cellStyle name="Normal 2 2 2 18 2 2" xfId="23058" xr:uid="{00000000-0005-0000-0000-0000155A0000}"/>
    <cellStyle name="Normal 2 2 2 18 2 2 2" xfId="23059" xr:uid="{00000000-0005-0000-0000-0000165A0000}"/>
    <cellStyle name="Normal 2 2 2 18 2 2 3" xfId="23060" xr:uid="{00000000-0005-0000-0000-0000175A0000}"/>
    <cellStyle name="Normal 2 2 2 18 2 3" xfId="23061" xr:uid="{00000000-0005-0000-0000-0000185A0000}"/>
    <cellStyle name="Normal 2 2 2 18 2 4" xfId="23062" xr:uid="{00000000-0005-0000-0000-0000195A0000}"/>
    <cellStyle name="Normal 2 2 2 18 2 5" xfId="23063" xr:uid="{00000000-0005-0000-0000-00001A5A0000}"/>
    <cellStyle name="Normal 2 2 2 18 2 6" xfId="23064" xr:uid="{00000000-0005-0000-0000-00001B5A0000}"/>
    <cellStyle name="Normal 2 2 2 18 3" xfId="23065" xr:uid="{00000000-0005-0000-0000-00001C5A0000}"/>
    <cellStyle name="Normal 2 2 2 18 3 2" xfId="23066" xr:uid="{00000000-0005-0000-0000-00001D5A0000}"/>
    <cellStyle name="Normal 2 2 2 18 3 2 2" xfId="23067" xr:uid="{00000000-0005-0000-0000-00001E5A0000}"/>
    <cellStyle name="Normal 2 2 2 18 3 2 3" xfId="23068" xr:uid="{00000000-0005-0000-0000-00001F5A0000}"/>
    <cellStyle name="Normal 2 2 2 18 3 3" xfId="23069" xr:uid="{00000000-0005-0000-0000-0000205A0000}"/>
    <cellStyle name="Normal 2 2 2 18 3 4" xfId="23070" xr:uid="{00000000-0005-0000-0000-0000215A0000}"/>
    <cellStyle name="Normal 2 2 2 18 3 5" xfId="23071" xr:uid="{00000000-0005-0000-0000-0000225A0000}"/>
    <cellStyle name="Normal 2 2 2 18 3 6" xfId="23072" xr:uid="{00000000-0005-0000-0000-0000235A0000}"/>
    <cellStyle name="Normal 2 2 2 18 4" xfId="23073" xr:uid="{00000000-0005-0000-0000-0000245A0000}"/>
    <cellStyle name="Normal 2 2 2 18 4 2" xfId="23074" xr:uid="{00000000-0005-0000-0000-0000255A0000}"/>
    <cellStyle name="Normal 2 2 2 18 4 2 2" xfId="23075" xr:uid="{00000000-0005-0000-0000-0000265A0000}"/>
    <cellStyle name="Normal 2 2 2 18 4 3" xfId="23076" xr:uid="{00000000-0005-0000-0000-0000275A0000}"/>
    <cellStyle name="Normal 2 2 2 18 4 4" xfId="23077" xr:uid="{00000000-0005-0000-0000-0000285A0000}"/>
    <cellStyle name="Normal 2 2 2 18 4 5" xfId="23078" xr:uid="{00000000-0005-0000-0000-0000295A0000}"/>
    <cellStyle name="Normal 2 2 2 18 5" xfId="23079" xr:uid="{00000000-0005-0000-0000-00002A5A0000}"/>
    <cellStyle name="Normal 2 2 2 18 5 2" xfId="23080" xr:uid="{00000000-0005-0000-0000-00002B5A0000}"/>
    <cellStyle name="Normal 2 2 2 18 5 3" xfId="23081" xr:uid="{00000000-0005-0000-0000-00002C5A0000}"/>
    <cellStyle name="Normal 2 2 2 18 5 4" xfId="23082" xr:uid="{00000000-0005-0000-0000-00002D5A0000}"/>
    <cellStyle name="Normal 2 2 2 18 6" xfId="23083" xr:uid="{00000000-0005-0000-0000-00002E5A0000}"/>
    <cellStyle name="Normal 2 2 2 18 6 2" xfId="23084" xr:uid="{00000000-0005-0000-0000-00002F5A0000}"/>
    <cellStyle name="Normal 2 2 2 18 7" xfId="23085" xr:uid="{00000000-0005-0000-0000-0000305A0000}"/>
    <cellStyle name="Normal 2 2 2 18 8" xfId="23086" xr:uid="{00000000-0005-0000-0000-0000315A0000}"/>
    <cellStyle name="Normal 2 2 2 18 9" xfId="23087" xr:uid="{00000000-0005-0000-0000-0000325A0000}"/>
    <cellStyle name="Normal 2 2 2 19" xfId="23088" xr:uid="{00000000-0005-0000-0000-0000335A0000}"/>
    <cellStyle name="Normal 2 2 2 19 10" xfId="23089" xr:uid="{00000000-0005-0000-0000-0000345A0000}"/>
    <cellStyle name="Normal 2 2 2 19 2" xfId="23090" xr:uid="{00000000-0005-0000-0000-0000355A0000}"/>
    <cellStyle name="Normal 2 2 2 19 2 2" xfId="23091" xr:uid="{00000000-0005-0000-0000-0000365A0000}"/>
    <cellStyle name="Normal 2 2 2 19 2 2 2" xfId="23092" xr:uid="{00000000-0005-0000-0000-0000375A0000}"/>
    <cellStyle name="Normal 2 2 2 19 2 2 3" xfId="23093" xr:uid="{00000000-0005-0000-0000-0000385A0000}"/>
    <cellStyle name="Normal 2 2 2 19 2 3" xfId="23094" xr:uid="{00000000-0005-0000-0000-0000395A0000}"/>
    <cellStyle name="Normal 2 2 2 19 2 4" xfId="23095" xr:uid="{00000000-0005-0000-0000-00003A5A0000}"/>
    <cellStyle name="Normal 2 2 2 19 2 5" xfId="23096" xr:uid="{00000000-0005-0000-0000-00003B5A0000}"/>
    <cellStyle name="Normal 2 2 2 19 2 6" xfId="23097" xr:uid="{00000000-0005-0000-0000-00003C5A0000}"/>
    <cellStyle name="Normal 2 2 2 19 3" xfId="23098" xr:uid="{00000000-0005-0000-0000-00003D5A0000}"/>
    <cellStyle name="Normal 2 2 2 19 3 2" xfId="23099" xr:uid="{00000000-0005-0000-0000-00003E5A0000}"/>
    <cellStyle name="Normal 2 2 2 19 3 2 2" xfId="23100" xr:uid="{00000000-0005-0000-0000-00003F5A0000}"/>
    <cellStyle name="Normal 2 2 2 19 3 2 3" xfId="23101" xr:uid="{00000000-0005-0000-0000-0000405A0000}"/>
    <cellStyle name="Normal 2 2 2 19 3 3" xfId="23102" xr:uid="{00000000-0005-0000-0000-0000415A0000}"/>
    <cellStyle name="Normal 2 2 2 19 3 4" xfId="23103" xr:uid="{00000000-0005-0000-0000-0000425A0000}"/>
    <cellStyle name="Normal 2 2 2 19 3 5" xfId="23104" xr:uid="{00000000-0005-0000-0000-0000435A0000}"/>
    <cellStyle name="Normal 2 2 2 19 3 6" xfId="23105" xr:uid="{00000000-0005-0000-0000-0000445A0000}"/>
    <cellStyle name="Normal 2 2 2 19 4" xfId="23106" xr:uid="{00000000-0005-0000-0000-0000455A0000}"/>
    <cellStyle name="Normal 2 2 2 19 4 2" xfId="23107" xr:uid="{00000000-0005-0000-0000-0000465A0000}"/>
    <cellStyle name="Normal 2 2 2 19 4 2 2" xfId="23108" xr:uid="{00000000-0005-0000-0000-0000475A0000}"/>
    <cellStyle name="Normal 2 2 2 19 4 3" xfId="23109" xr:uid="{00000000-0005-0000-0000-0000485A0000}"/>
    <cellStyle name="Normal 2 2 2 19 4 4" xfId="23110" xr:uid="{00000000-0005-0000-0000-0000495A0000}"/>
    <cellStyle name="Normal 2 2 2 19 4 5" xfId="23111" xr:uid="{00000000-0005-0000-0000-00004A5A0000}"/>
    <cellStyle name="Normal 2 2 2 19 5" xfId="23112" xr:uid="{00000000-0005-0000-0000-00004B5A0000}"/>
    <cellStyle name="Normal 2 2 2 19 5 2" xfId="23113" xr:uid="{00000000-0005-0000-0000-00004C5A0000}"/>
    <cellStyle name="Normal 2 2 2 19 5 3" xfId="23114" xr:uid="{00000000-0005-0000-0000-00004D5A0000}"/>
    <cellStyle name="Normal 2 2 2 19 5 4" xfId="23115" xr:uid="{00000000-0005-0000-0000-00004E5A0000}"/>
    <cellStyle name="Normal 2 2 2 19 6" xfId="23116" xr:uid="{00000000-0005-0000-0000-00004F5A0000}"/>
    <cellStyle name="Normal 2 2 2 19 6 2" xfId="23117" xr:uid="{00000000-0005-0000-0000-0000505A0000}"/>
    <cellStyle name="Normal 2 2 2 19 7" xfId="23118" xr:uid="{00000000-0005-0000-0000-0000515A0000}"/>
    <cellStyle name="Normal 2 2 2 19 8" xfId="23119" xr:uid="{00000000-0005-0000-0000-0000525A0000}"/>
    <cellStyle name="Normal 2 2 2 19 9" xfId="23120" xr:uid="{00000000-0005-0000-0000-0000535A0000}"/>
    <cellStyle name="Normal 2 2 2 2" xfId="23121" xr:uid="{00000000-0005-0000-0000-0000545A0000}"/>
    <cellStyle name="Normal 2 2 2 2 10" xfId="23122" xr:uid="{00000000-0005-0000-0000-0000555A0000}"/>
    <cellStyle name="Normal 2 2 2 2 11" xfId="23123" xr:uid="{00000000-0005-0000-0000-0000565A0000}"/>
    <cellStyle name="Normal 2 2 2 2 2" xfId="23124" xr:uid="{00000000-0005-0000-0000-0000575A0000}"/>
    <cellStyle name="Normal 2 2 2 2 2 2" xfId="23125" xr:uid="{00000000-0005-0000-0000-0000585A0000}"/>
    <cellStyle name="Normal 2 2 2 2 2 2 2" xfId="23126" xr:uid="{00000000-0005-0000-0000-0000595A0000}"/>
    <cellStyle name="Normal 2 2 2 2 2 2 2 2" xfId="23127" xr:uid="{00000000-0005-0000-0000-00005A5A0000}"/>
    <cellStyle name="Normal 2 2 2 2 2 2 2 3" xfId="23128" xr:uid="{00000000-0005-0000-0000-00005B5A0000}"/>
    <cellStyle name="Normal 2 2 2 2 2 2 3" xfId="23129" xr:uid="{00000000-0005-0000-0000-00005C5A0000}"/>
    <cellStyle name="Normal 2 2 2 2 2 2 4" xfId="23130" xr:uid="{00000000-0005-0000-0000-00005D5A0000}"/>
    <cellStyle name="Normal 2 2 2 2 2 2 5" xfId="23131" xr:uid="{00000000-0005-0000-0000-00005E5A0000}"/>
    <cellStyle name="Normal 2 2 2 2 2 2 6" xfId="23132" xr:uid="{00000000-0005-0000-0000-00005F5A0000}"/>
    <cellStyle name="Normal 2 2 2 2 2 3" xfId="23133" xr:uid="{00000000-0005-0000-0000-0000605A0000}"/>
    <cellStyle name="Normal 2 2 2 2 2 3 2" xfId="23134" xr:uid="{00000000-0005-0000-0000-0000615A0000}"/>
    <cellStyle name="Normal 2 2 2 2 2 3 2 2" xfId="23135" xr:uid="{00000000-0005-0000-0000-0000625A0000}"/>
    <cellStyle name="Normal 2 2 2 2 2 3 3" xfId="23136" xr:uid="{00000000-0005-0000-0000-0000635A0000}"/>
    <cellStyle name="Normal 2 2 2 2 2 3 4" xfId="23137" xr:uid="{00000000-0005-0000-0000-0000645A0000}"/>
    <cellStyle name="Normal 2 2 2 2 2 3 5" xfId="23138" xr:uid="{00000000-0005-0000-0000-0000655A0000}"/>
    <cellStyle name="Normal 2 2 2 2 2 4" xfId="23139" xr:uid="{00000000-0005-0000-0000-0000665A0000}"/>
    <cellStyle name="Normal 2 2 2 2 2 4 2" xfId="23140" xr:uid="{00000000-0005-0000-0000-0000675A0000}"/>
    <cellStyle name="Normal 2 2 2 2 2 4 3" xfId="23141" xr:uid="{00000000-0005-0000-0000-0000685A0000}"/>
    <cellStyle name="Normal 2 2 2 2 2 4 4" xfId="23142" xr:uid="{00000000-0005-0000-0000-0000695A0000}"/>
    <cellStyle name="Normal 2 2 2 2 2 5" xfId="23143" xr:uid="{00000000-0005-0000-0000-00006A5A0000}"/>
    <cellStyle name="Normal 2 2 2 2 2 5 2" xfId="23144" xr:uid="{00000000-0005-0000-0000-00006B5A0000}"/>
    <cellStyle name="Normal 2 2 2 2 2 6" xfId="23145" xr:uid="{00000000-0005-0000-0000-00006C5A0000}"/>
    <cellStyle name="Normal 2 2 2 2 2 7" xfId="23146" xr:uid="{00000000-0005-0000-0000-00006D5A0000}"/>
    <cellStyle name="Normal 2 2 2 2 2 8" xfId="23147" xr:uid="{00000000-0005-0000-0000-00006E5A0000}"/>
    <cellStyle name="Normal 2 2 2 2 2 9" xfId="23148" xr:uid="{00000000-0005-0000-0000-00006F5A0000}"/>
    <cellStyle name="Normal 2 2 2 2 3" xfId="23149" xr:uid="{00000000-0005-0000-0000-0000705A0000}"/>
    <cellStyle name="Normal 2 2 2 2 3 2" xfId="23150" xr:uid="{00000000-0005-0000-0000-0000715A0000}"/>
    <cellStyle name="Normal 2 2 2 2 3 2 2" xfId="23151" xr:uid="{00000000-0005-0000-0000-0000725A0000}"/>
    <cellStyle name="Normal 2 2 2 2 3 2 2 2" xfId="23152" xr:uid="{00000000-0005-0000-0000-0000735A0000}"/>
    <cellStyle name="Normal 2 2 2 2 3 2 2 3" xfId="23153" xr:uid="{00000000-0005-0000-0000-0000745A0000}"/>
    <cellStyle name="Normal 2 2 2 2 3 2 3" xfId="23154" xr:uid="{00000000-0005-0000-0000-0000755A0000}"/>
    <cellStyle name="Normal 2 2 2 2 3 2 4" xfId="23155" xr:uid="{00000000-0005-0000-0000-0000765A0000}"/>
    <cellStyle name="Normal 2 2 2 2 3 2 5" xfId="23156" xr:uid="{00000000-0005-0000-0000-0000775A0000}"/>
    <cellStyle name="Normal 2 2 2 2 3 2 6" xfId="23157" xr:uid="{00000000-0005-0000-0000-0000785A0000}"/>
    <cellStyle name="Normal 2 2 2 2 3 3" xfId="23158" xr:uid="{00000000-0005-0000-0000-0000795A0000}"/>
    <cellStyle name="Normal 2 2 2 2 3 3 2" xfId="23159" xr:uid="{00000000-0005-0000-0000-00007A5A0000}"/>
    <cellStyle name="Normal 2 2 2 2 3 3 2 2" xfId="23160" xr:uid="{00000000-0005-0000-0000-00007B5A0000}"/>
    <cellStyle name="Normal 2 2 2 2 3 3 3" xfId="23161" xr:uid="{00000000-0005-0000-0000-00007C5A0000}"/>
    <cellStyle name="Normal 2 2 2 2 3 3 4" xfId="23162" xr:uid="{00000000-0005-0000-0000-00007D5A0000}"/>
    <cellStyle name="Normal 2 2 2 2 3 3 5" xfId="23163" xr:uid="{00000000-0005-0000-0000-00007E5A0000}"/>
    <cellStyle name="Normal 2 2 2 2 3 4" xfId="23164" xr:uid="{00000000-0005-0000-0000-00007F5A0000}"/>
    <cellStyle name="Normal 2 2 2 2 3 4 2" xfId="23165" xr:uid="{00000000-0005-0000-0000-0000805A0000}"/>
    <cellStyle name="Normal 2 2 2 2 3 4 3" xfId="23166" xr:uid="{00000000-0005-0000-0000-0000815A0000}"/>
    <cellStyle name="Normal 2 2 2 2 3 4 4" xfId="23167" xr:uid="{00000000-0005-0000-0000-0000825A0000}"/>
    <cellStyle name="Normal 2 2 2 2 3 5" xfId="23168" xr:uid="{00000000-0005-0000-0000-0000835A0000}"/>
    <cellStyle name="Normal 2 2 2 2 3 5 2" xfId="23169" xr:uid="{00000000-0005-0000-0000-0000845A0000}"/>
    <cellStyle name="Normal 2 2 2 2 3 6" xfId="23170" xr:uid="{00000000-0005-0000-0000-0000855A0000}"/>
    <cellStyle name="Normal 2 2 2 2 3 7" xfId="23171" xr:uid="{00000000-0005-0000-0000-0000865A0000}"/>
    <cellStyle name="Normal 2 2 2 2 3 8" xfId="23172" xr:uid="{00000000-0005-0000-0000-0000875A0000}"/>
    <cellStyle name="Normal 2 2 2 2 3 9" xfId="23173" xr:uid="{00000000-0005-0000-0000-0000885A0000}"/>
    <cellStyle name="Normal 2 2 2 2 4" xfId="23174" xr:uid="{00000000-0005-0000-0000-0000895A0000}"/>
    <cellStyle name="Normal 2 2 2 2 4 2" xfId="23175" xr:uid="{00000000-0005-0000-0000-00008A5A0000}"/>
    <cellStyle name="Normal 2 2 2 2 4 2 2" xfId="23176" xr:uid="{00000000-0005-0000-0000-00008B5A0000}"/>
    <cellStyle name="Normal 2 2 2 2 4 2 3" xfId="23177" xr:uid="{00000000-0005-0000-0000-00008C5A0000}"/>
    <cellStyle name="Normal 2 2 2 2 4 3" xfId="23178" xr:uid="{00000000-0005-0000-0000-00008D5A0000}"/>
    <cellStyle name="Normal 2 2 2 2 4 4" xfId="23179" xr:uid="{00000000-0005-0000-0000-00008E5A0000}"/>
    <cellStyle name="Normal 2 2 2 2 4 5" xfId="23180" xr:uid="{00000000-0005-0000-0000-00008F5A0000}"/>
    <cellStyle name="Normal 2 2 2 2 4 6" xfId="23181" xr:uid="{00000000-0005-0000-0000-0000905A0000}"/>
    <cellStyle name="Normal 2 2 2 2 5" xfId="23182" xr:uid="{00000000-0005-0000-0000-0000915A0000}"/>
    <cellStyle name="Normal 2 2 2 2 5 2" xfId="23183" xr:uid="{00000000-0005-0000-0000-0000925A0000}"/>
    <cellStyle name="Normal 2 2 2 2 5 2 2" xfId="23184" xr:uid="{00000000-0005-0000-0000-0000935A0000}"/>
    <cellStyle name="Normal 2 2 2 2 5 3" xfId="23185" xr:uid="{00000000-0005-0000-0000-0000945A0000}"/>
    <cellStyle name="Normal 2 2 2 2 5 4" xfId="23186" xr:uid="{00000000-0005-0000-0000-0000955A0000}"/>
    <cellStyle name="Normal 2 2 2 2 5 5" xfId="23187" xr:uid="{00000000-0005-0000-0000-0000965A0000}"/>
    <cellStyle name="Normal 2 2 2 2 6" xfId="23188" xr:uid="{00000000-0005-0000-0000-0000975A0000}"/>
    <cellStyle name="Normal 2 2 2 2 6 2" xfId="23189" xr:uid="{00000000-0005-0000-0000-0000985A0000}"/>
    <cellStyle name="Normal 2 2 2 2 6 3" xfId="23190" xr:uid="{00000000-0005-0000-0000-0000995A0000}"/>
    <cellStyle name="Normal 2 2 2 2 6 4" xfId="23191" xr:uid="{00000000-0005-0000-0000-00009A5A0000}"/>
    <cellStyle name="Normal 2 2 2 2 7" xfId="23192" xr:uid="{00000000-0005-0000-0000-00009B5A0000}"/>
    <cellStyle name="Normal 2 2 2 2 7 2" xfId="23193" xr:uid="{00000000-0005-0000-0000-00009C5A0000}"/>
    <cellStyle name="Normal 2 2 2 2 8" xfId="23194" xr:uid="{00000000-0005-0000-0000-00009D5A0000}"/>
    <cellStyle name="Normal 2 2 2 2 9" xfId="23195" xr:uid="{00000000-0005-0000-0000-00009E5A0000}"/>
    <cellStyle name="Normal 2 2 2 20" xfId="23196" xr:uid="{00000000-0005-0000-0000-00009F5A0000}"/>
    <cellStyle name="Normal 2 2 2 20 10" xfId="23197" xr:uid="{00000000-0005-0000-0000-0000A05A0000}"/>
    <cellStyle name="Normal 2 2 2 20 2" xfId="23198" xr:uid="{00000000-0005-0000-0000-0000A15A0000}"/>
    <cellStyle name="Normal 2 2 2 20 2 2" xfId="23199" xr:uid="{00000000-0005-0000-0000-0000A25A0000}"/>
    <cellStyle name="Normal 2 2 2 20 2 2 2" xfId="23200" xr:uid="{00000000-0005-0000-0000-0000A35A0000}"/>
    <cellStyle name="Normal 2 2 2 20 2 2 3" xfId="23201" xr:uid="{00000000-0005-0000-0000-0000A45A0000}"/>
    <cellStyle name="Normal 2 2 2 20 2 3" xfId="23202" xr:uid="{00000000-0005-0000-0000-0000A55A0000}"/>
    <cellStyle name="Normal 2 2 2 20 2 4" xfId="23203" xr:uid="{00000000-0005-0000-0000-0000A65A0000}"/>
    <cellStyle name="Normal 2 2 2 20 2 5" xfId="23204" xr:uid="{00000000-0005-0000-0000-0000A75A0000}"/>
    <cellStyle name="Normal 2 2 2 20 2 6" xfId="23205" xr:uid="{00000000-0005-0000-0000-0000A85A0000}"/>
    <cellStyle name="Normal 2 2 2 20 3" xfId="23206" xr:uid="{00000000-0005-0000-0000-0000A95A0000}"/>
    <cellStyle name="Normal 2 2 2 20 3 2" xfId="23207" xr:uid="{00000000-0005-0000-0000-0000AA5A0000}"/>
    <cellStyle name="Normal 2 2 2 20 3 2 2" xfId="23208" xr:uid="{00000000-0005-0000-0000-0000AB5A0000}"/>
    <cellStyle name="Normal 2 2 2 20 3 2 3" xfId="23209" xr:uid="{00000000-0005-0000-0000-0000AC5A0000}"/>
    <cellStyle name="Normal 2 2 2 20 3 3" xfId="23210" xr:uid="{00000000-0005-0000-0000-0000AD5A0000}"/>
    <cellStyle name="Normal 2 2 2 20 3 4" xfId="23211" xr:uid="{00000000-0005-0000-0000-0000AE5A0000}"/>
    <cellStyle name="Normal 2 2 2 20 3 5" xfId="23212" xr:uid="{00000000-0005-0000-0000-0000AF5A0000}"/>
    <cellStyle name="Normal 2 2 2 20 3 6" xfId="23213" xr:uid="{00000000-0005-0000-0000-0000B05A0000}"/>
    <cellStyle name="Normal 2 2 2 20 4" xfId="23214" xr:uid="{00000000-0005-0000-0000-0000B15A0000}"/>
    <cellStyle name="Normal 2 2 2 20 4 2" xfId="23215" xr:uid="{00000000-0005-0000-0000-0000B25A0000}"/>
    <cellStyle name="Normal 2 2 2 20 4 2 2" xfId="23216" xr:uid="{00000000-0005-0000-0000-0000B35A0000}"/>
    <cellStyle name="Normal 2 2 2 20 4 3" xfId="23217" xr:uid="{00000000-0005-0000-0000-0000B45A0000}"/>
    <cellStyle name="Normal 2 2 2 20 4 4" xfId="23218" xr:uid="{00000000-0005-0000-0000-0000B55A0000}"/>
    <cellStyle name="Normal 2 2 2 20 4 5" xfId="23219" xr:uid="{00000000-0005-0000-0000-0000B65A0000}"/>
    <cellStyle name="Normal 2 2 2 20 5" xfId="23220" xr:uid="{00000000-0005-0000-0000-0000B75A0000}"/>
    <cellStyle name="Normal 2 2 2 20 5 2" xfId="23221" xr:uid="{00000000-0005-0000-0000-0000B85A0000}"/>
    <cellStyle name="Normal 2 2 2 20 5 3" xfId="23222" xr:uid="{00000000-0005-0000-0000-0000B95A0000}"/>
    <cellStyle name="Normal 2 2 2 20 5 4" xfId="23223" xr:uid="{00000000-0005-0000-0000-0000BA5A0000}"/>
    <cellStyle name="Normal 2 2 2 20 6" xfId="23224" xr:uid="{00000000-0005-0000-0000-0000BB5A0000}"/>
    <cellStyle name="Normal 2 2 2 20 6 2" xfId="23225" xr:uid="{00000000-0005-0000-0000-0000BC5A0000}"/>
    <cellStyle name="Normal 2 2 2 20 7" xfId="23226" xr:uid="{00000000-0005-0000-0000-0000BD5A0000}"/>
    <cellStyle name="Normal 2 2 2 20 8" xfId="23227" xr:uid="{00000000-0005-0000-0000-0000BE5A0000}"/>
    <cellStyle name="Normal 2 2 2 20 9" xfId="23228" xr:uid="{00000000-0005-0000-0000-0000BF5A0000}"/>
    <cellStyle name="Normal 2 2 2 21" xfId="23229" xr:uid="{00000000-0005-0000-0000-0000C05A0000}"/>
    <cellStyle name="Normal 2 2 2 21 10" xfId="23230" xr:uid="{00000000-0005-0000-0000-0000C15A0000}"/>
    <cellStyle name="Normal 2 2 2 21 2" xfId="23231" xr:uid="{00000000-0005-0000-0000-0000C25A0000}"/>
    <cellStyle name="Normal 2 2 2 21 2 2" xfId="23232" xr:uid="{00000000-0005-0000-0000-0000C35A0000}"/>
    <cellStyle name="Normal 2 2 2 21 2 2 2" xfId="23233" xr:uid="{00000000-0005-0000-0000-0000C45A0000}"/>
    <cellStyle name="Normal 2 2 2 21 2 2 3" xfId="23234" xr:uid="{00000000-0005-0000-0000-0000C55A0000}"/>
    <cellStyle name="Normal 2 2 2 21 2 3" xfId="23235" xr:uid="{00000000-0005-0000-0000-0000C65A0000}"/>
    <cellStyle name="Normal 2 2 2 21 2 4" xfId="23236" xr:uid="{00000000-0005-0000-0000-0000C75A0000}"/>
    <cellStyle name="Normal 2 2 2 21 2 5" xfId="23237" xr:uid="{00000000-0005-0000-0000-0000C85A0000}"/>
    <cellStyle name="Normal 2 2 2 21 2 6" xfId="23238" xr:uid="{00000000-0005-0000-0000-0000C95A0000}"/>
    <cellStyle name="Normal 2 2 2 21 3" xfId="23239" xr:uid="{00000000-0005-0000-0000-0000CA5A0000}"/>
    <cellStyle name="Normal 2 2 2 21 3 2" xfId="23240" xr:uid="{00000000-0005-0000-0000-0000CB5A0000}"/>
    <cellStyle name="Normal 2 2 2 21 3 2 2" xfId="23241" xr:uid="{00000000-0005-0000-0000-0000CC5A0000}"/>
    <cellStyle name="Normal 2 2 2 21 3 2 3" xfId="23242" xr:uid="{00000000-0005-0000-0000-0000CD5A0000}"/>
    <cellStyle name="Normal 2 2 2 21 3 3" xfId="23243" xr:uid="{00000000-0005-0000-0000-0000CE5A0000}"/>
    <cellStyle name="Normal 2 2 2 21 3 4" xfId="23244" xr:uid="{00000000-0005-0000-0000-0000CF5A0000}"/>
    <cellStyle name="Normal 2 2 2 21 3 5" xfId="23245" xr:uid="{00000000-0005-0000-0000-0000D05A0000}"/>
    <cellStyle name="Normal 2 2 2 21 3 6" xfId="23246" xr:uid="{00000000-0005-0000-0000-0000D15A0000}"/>
    <cellStyle name="Normal 2 2 2 21 4" xfId="23247" xr:uid="{00000000-0005-0000-0000-0000D25A0000}"/>
    <cellStyle name="Normal 2 2 2 21 4 2" xfId="23248" xr:uid="{00000000-0005-0000-0000-0000D35A0000}"/>
    <cellStyle name="Normal 2 2 2 21 4 2 2" xfId="23249" xr:uid="{00000000-0005-0000-0000-0000D45A0000}"/>
    <cellStyle name="Normal 2 2 2 21 4 3" xfId="23250" xr:uid="{00000000-0005-0000-0000-0000D55A0000}"/>
    <cellStyle name="Normal 2 2 2 21 4 4" xfId="23251" xr:uid="{00000000-0005-0000-0000-0000D65A0000}"/>
    <cellStyle name="Normal 2 2 2 21 4 5" xfId="23252" xr:uid="{00000000-0005-0000-0000-0000D75A0000}"/>
    <cellStyle name="Normal 2 2 2 21 5" xfId="23253" xr:uid="{00000000-0005-0000-0000-0000D85A0000}"/>
    <cellStyle name="Normal 2 2 2 21 5 2" xfId="23254" xr:uid="{00000000-0005-0000-0000-0000D95A0000}"/>
    <cellStyle name="Normal 2 2 2 21 5 3" xfId="23255" xr:uid="{00000000-0005-0000-0000-0000DA5A0000}"/>
    <cellStyle name="Normal 2 2 2 21 5 4" xfId="23256" xr:uid="{00000000-0005-0000-0000-0000DB5A0000}"/>
    <cellStyle name="Normal 2 2 2 21 6" xfId="23257" xr:uid="{00000000-0005-0000-0000-0000DC5A0000}"/>
    <cellStyle name="Normal 2 2 2 21 6 2" xfId="23258" xr:uid="{00000000-0005-0000-0000-0000DD5A0000}"/>
    <cellStyle name="Normal 2 2 2 21 7" xfId="23259" xr:uid="{00000000-0005-0000-0000-0000DE5A0000}"/>
    <cellStyle name="Normal 2 2 2 21 8" xfId="23260" xr:uid="{00000000-0005-0000-0000-0000DF5A0000}"/>
    <cellStyle name="Normal 2 2 2 21 9" xfId="23261" xr:uid="{00000000-0005-0000-0000-0000E05A0000}"/>
    <cellStyle name="Normal 2 2 2 22" xfId="23262" xr:uid="{00000000-0005-0000-0000-0000E15A0000}"/>
    <cellStyle name="Normal 2 2 2 22 10" xfId="23263" xr:uid="{00000000-0005-0000-0000-0000E25A0000}"/>
    <cellStyle name="Normal 2 2 2 22 2" xfId="23264" xr:uid="{00000000-0005-0000-0000-0000E35A0000}"/>
    <cellStyle name="Normal 2 2 2 22 2 2" xfId="23265" xr:uid="{00000000-0005-0000-0000-0000E45A0000}"/>
    <cellStyle name="Normal 2 2 2 22 2 2 2" xfId="23266" xr:uid="{00000000-0005-0000-0000-0000E55A0000}"/>
    <cellStyle name="Normal 2 2 2 22 2 2 3" xfId="23267" xr:uid="{00000000-0005-0000-0000-0000E65A0000}"/>
    <cellStyle name="Normal 2 2 2 22 2 3" xfId="23268" xr:uid="{00000000-0005-0000-0000-0000E75A0000}"/>
    <cellStyle name="Normal 2 2 2 22 2 4" xfId="23269" xr:uid="{00000000-0005-0000-0000-0000E85A0000}"/>
    <cellStyle name="Normal 2 2 2 22 2 5" xfId="23270" xr:uid="{00000000-0005-0000-0000-0000E95A0000}"/>
    <cellStyle name="Normal 2 2 2 22 2 6" xfId="23271" xr:uid="{00000000-0005-0000-0000-0000EA5A0000}"/>
    <cellStyle name="Normal 2 2 2 22 3" xfId="23272" xr:uid="{00000000-0005-0000-0000-0000EB5A0000}"/>
    <cellStyle name="Normal 2 2 2 22 3 2" xfId="23273" xr:uid="{00000000-0005-0000-0000-0000EC5A0000}"/>
    <cellStyle name="Normal 2 2 2 22 3 2 2" xfId="23274" xr:uid="{00000000-0005-0000-0000-0000ED5A0000}"/>
    <cellStyle name="Normal 2 2 2 22 3 2 3" xfId="23275" xr:uid="{00000000-0005-0000-0000-0000EE5A0000}"/>
    <cellStyle name="Normal 2 2 2 22 3 3" xfId="23276" xr:uid="{00000000-0005-0000-0000-0000EF5A0000}"/>
    <cellStyle name="Normal 2 2 2 22 3 4" xfId="23277" xr:uid="{00000000-0005-0000-0000-0000F05A0000}"/>
    <cellStyle name="Normal 2 2 2 22 3 5" xfId="23278" xr:uid="{00000000-0005-0000-0000-0000F15A0000}"/>
    <cellStyle name="Normal 2 2 2 22 3 6" xfId="23279" xr:uid="{00000000-0005-0000-0000-0000F25A0000}"/>
    <cellStyle name="Normal 2 2 2 22 4" xfId="23280" xr:uid="{00000000-0005-0000-0000-0000F35A0000}"/>
    <cellStyle name="Normal 2 2 2 22 4 2" xfId="23281" xr:uid="{00000000-0005-0000-0000-0000F45A0000}"/>
    <cellStyle name="Normal 2 2 2 22 4 2 2" xfId="23282" xr:uid="{00000000-0005-0000-0000-0000F55A0000}"/>
    <cellStyle name="Normal 2 2 2 22 4 3" xfId="23283" xr:uid="{00000000-0005-0000-0000-0000F65A0000}"/>
    <cellStyle name="Normal 2 2 2 22 4 4" xfId="23284" xr:uid="{00000000-0005-0000-0000-0000F75A0000}"/>
    <cellStyle name="Normal 2 2 2 22 4 5" xfId="23285" xr:uid="{00000000-0005-0000-0000-0000F85A0000}"/>
    <cellStyle name="Normal 2 2 2 22 5" xfId="23286" xr:uid="{00000000-0005-0000-0000-0000F95A0000}"/>
    <cellStyle name="Normal 2 2 2 22 5 2" xfId="23287" xr:uid="{00000000-0005-0000-0000-0000FA5A0000}"/>
    <cellStyle name="Normal 2 2 2 22 5 3" xfId="23288" xr:uid="{00000000-0005-0000-0000-0000FB5A0000}"/>
    <cellStyle name="Normal 2 2 2 22 5 4" xfId="23289" xr:uid="{00000000-0005-0000-0000-0000FC5A0000}"/>
    <cellStyle name="Normal 2 2 2 22 6" xfId="23290" xr:uid="{00000000-0005-0000-0000-0000FD5A0000}"/>
    <cellStyle name="Normal 2 2 2 22 6 2" xfId="23291" xr:uid="{00000000-0005-0000-0000-0000FE5A0000}"/>
    <cellStyle name="Normal 2 2 2 22 7" xfId="23292" xr:uid="{00000000-0005-0000-0000-0000FF5A0000}"/>
    <cellStyle name="Normal 2 2 2 22 8" xfId="23293" xr:uid="{00000000-0005-0000-0000-0000005B0000}"/>
    <cellStyle name="Normal 2 2 2 22 9" xfId="23294" xr:uid="{00000000-0005-0000-0000-0000015B0000}"/>
    <cellStyle name="Normal 2 2 2 23" xfId="23295" xr:uid="{00000000-0005-0000-0000-0000025B0000}"/>
    <cellStyle name="Normal 2 2 2 23 10" xfId="23296" xr:uid="{00000000-0005-0000-0000-0000035B0000}"/>
    <cellStyle name="Normal 2 2 2 23 2" xfId="23297" xr:uid="{00000000-0005-0000-0000-0000045B0000}"/>
    <cellStyle name="Normal 2 2 2 23 2 2" xfId="23298" xr:uid="{00000000-0005-0000-0000-0000055B0000}"/>
    <cellStyle name="Normal 2 2 2 23 2 2 2" xfId="23299" xr:uid="{00000000-0005-0000-0000-0000065B0000}"/>
    <cellStyle name="Normal 2 2 2 23 2 2 3" xfId="23300" xr:uid="{00000000-0005-0000-0000-0000075B0000}"/>
    <cellStyle name="Normal 2 2 2 23 2 3" xfId="23301" xr:uid="{00000000-0005-0000-0000-0000085B0000}"/>
    <cellStyle name="Normal 2 2 2 23 2 4" xfId="23302" xr:uid="{00000000-0005-0000-0000-0000095B0000}"/>
    <cellStyle name="Normal 2 2 2 23 2 5" xfId="23303" xr:uid="{00000000-0005-0000-0000-00000A5B0000}"/>
    <cellStyle name="Normal 2 2 2 23 2 6" xfId="23304" xr:uid="{00000000-0005-0000-0000-00000B5B0000}"/>
    <cellStyle name="Normal 2 2 2 23 3" xfId="23305" xr:uid="{00000000-0005-0000-0000-00000C5B0000}"/>
    <cellStyle name="Normal 2 2 2 23 3 2" xfId="23306" xr:uid="{00000000-0005-0000-0000-00000D5B0000}"/>
    <cellStyle name="Normal 2 2 2 23 3 2 2" xfId="23307" xr:uid="{00000000-0005-0000-0000-00000E5B0000}"/>
    <cellStyle name="Normal 2 2 2 23 3 2 3" xfId="23308" xr:uid="{00000000-0005-0000-0000-00000F5B0000}"/>
    <cellStyle name="Normal 2 2 2 23 3 3" xfId="23309" xr:uid="{00000000-0005-0000-0000-0000105B0000}"/>
    <cellStyle name="Normal 2 2 2 23 3 4" xfId="23310" xr:uid="{00000000-0005-0000-0000-0000115B0000}"/>
    <cellStyle name="Normal 2 2 2 23 3 5" xfId="23311" xr:uid="{00000000-0005-0000-0000-0000125B0000}"/>
    <cellStyle name="Normal 2 2 2 23 3 6" xfId="23312" xr:uid="{00000000-0005-0000-0000-0000135B0000}"/>
    <cellStyle name="Normal 2 2 2 23 4" xfId="23313" xr:uid="{00000000-0005-0000-0000-0000145B0000}"/>
    <cellStyle name="Normal 2 2 2 23 4 2" xfId="23314" xr:uid="{00000000-0005-0000-0000-0000155B0000}"/>
    <cellStyle name="Normal 2 2 2 23 4 2 2" xfId="23315" xr:uid="{00000000-0005-0000-0000-0000165B0000}"/>
    <cellStyle name="Normal 2 2 2 23 4 3" xfId="23316" xr:uid="{00000000-0005-0000-0000-0000175B0000}"/>
    <cellStyle name="Normal 2 2 2 23 4 4" xfId="23317" xr:uid="{00000000-0005-0000-0000-0000185B0000}"/>
    <cellStyle name="Normal 2 2 2 23 4 5" xfId="23318" xr:uid="{00000000-0005-0000-0000-0000195B0000}"/>
    <cellStyle name="Normal 2 2 2 23 5" xfId="23319" xr:uid="{00000000-0005-0000-0000-00001A5B0000}"/>
    <cellStyle name="Normal 2 2 2 23 5 2" xfId="23320" xr:uid="{00000000-0005-0000-0000-00001B5B0000}"/>
    <cellStyle name="Normal 2 2 2 23 5 3" xfId="23321" xr:uid="{00000000-0005-0000-0000-00001C5B0000}"/>
    <cellStyle name="Normal 2 2 2 23 5 4" xfId="23322" xr:uid="{00000000-0005-0000-0000-00001D5B0000}"/>
    <cellStyle name="Normal 2 2 2 23 6" xfId="23323" xr:uid="{00000000-0005-0000-0000-00001E5B0000}"/>
    <cellStyle name="Normal 2 2 2 23 6 2" xfId="23324" xr:uid="{00000000-0005-0000-0000-00001F5B0000}"/>
    <cellStyle name="Normal 2 2 2 23 7" xfId="23325" xr:uid="{00000000-0005-0000-0000-0000205B0000}"/>
    <cellStyle name="Normal 2 2 2 23 8" xfId="23326" xr:uid="{00000000-0005-0000-0000-0000215B0000}"/>
    <cellStyle name="Normal 2 2 2 23 9" xfId="23327" xr:uid="{00000000-0005-0000-0000-0000225B0000}"/>
    <cellStyle name="Normal 2 2 2 24" xfId="23328" xr:uid="{00000000-0005-0000-0000-0000235B0000}"/>
    <cellStyle name="Normal 2 2 2 24 10" xfId="23329" xr:uid="{00000000-0005-0000-0000-0000245B0000}"/>
    <cellStyle name="Normal 2 2 2 24 2" xfId="23330" xr:uid="{00000000-0005-0000-0000-0000255B0000}"/>
    <cellStyle name="Normal 2 2 2 24 2 2" xfId="23331" xr:uid="{00000000-0005-0000-0000-0000265B0000}"/>
    <cellStyle name="Normal 2 2 2 24 2 2 2" xfId="23332" xr:uid="{00000000-0005-0000-0000-0000275B0000}"/>
    <cellStyle name="Normal 2 2 2 24 2 2 3" xfId="23333" xr:uid="{00000000-0005-0000-0000-0000285B0000}"/>
    <cellStyle name="Normal 2 2 2 24 2 3" xfId="23334" xr:uid="{00000000-0005-0000-0000-0000295B0000}"/>
    <cellStyle name="Normal 2 2 2 24 2 4" xfId="23335" xr:uid="{00000000-0005-0000-0000-00002A5B0000}"/>
    <cellStyle name="Normal 2 2 2 24 2 5" xfId="23336" xr:uid="{00000000-0005-0000-0000-00002B5B0000}"/>
    <cellStyle name="Normal 2 2 2 24 2 6" xfId="23337" xr:uid="{00000000-0005-0000-0000-00002C5B0000}"/>
    <cellStyle name="Normal 2 2 2 24 3" xfId="23338" xr:uid="{00000000-0005-0000-0000-00002D5B0000}"/>
    <cellStyle name="Normal 2 2 2 24 3 2" xfId="23339" xr:uid="{00000000-0005-0000-0000-00002E5B0000}"/>
    <cellStyle name="Normal 2 2 2 24 3 2 2" xfId="23340" xr:uid="{00000000-0005-0000-0000-00002F5B0000}"/>
    <cellStyle name="Normal 2 2 2 24 3 2 3" xfId="23341" xr:uid="{00000000-0005-0000-0000-0000305B0000}"/>
    <cellStyle name="Normal 2 2 2 24 3 3" xfId="23342" xr:uid="{00000000-0005-0000-0000-0000315B0000}"/>
    <cellStyle name="Normal 2 2 2 24 3 4" xfId="23343" xr:uid="{00000000-0005-0000-0000-0000325B0000}"/>
    <cellStyle name="Normal 2 2 2 24 3 5" xfId="23344" xr:uid="{00000000-0005-0000-0000-0000335B0000}"/>
    <cellStyle name="Normal 2 2 2 24 3 6" xfId="23345" xr:uid="{00000000-0005-0000-0000-0000345B0000}"/>
    <cellStyle name="Normal 2 2 2 24 4" xfId="23346" xr:uid="{00000000-0005-0000-0000-0000355B0000}"/>
    <cellStyle name="Normal 2 2 2 24 4 2" xfId="23347" xr:uid="{00000000-0005-0000-0000-0000365B0000}"/>
    <cellStyle name="Normal 2 2 2 24 4 2 2" xfId="23348" xr:uid="{00000000-0005-0000-0000-0000375B0000}"/>
    <cellStyle name="Normal 2 2 2 24 4 3" xfId="23349" xr:uid="{00000000-0005-0000-0000-0000385B0000}"/>
    <cellStyle name="Normal 2 2 2 24 4 4" xfId="23350" xr:uid="{00000000-0005-0000-0000-0000395B0000}"/>
    <cellStyle name="Normal 2 2 2 24 4 5" xfId="23351" xr:uid="{00000000-0005-0000-0000-00003A5B0000}"/>
    <cellStyle name="Normal 2 2 2 24 5" xfId="23352" xr:uid="{00000000-0005-0000-0000-00003B5B0000}"/>
    <cellStyle name="Normal 2 2 2 24 5 2" xfId="23353" xr:uid="{00000000-0005-0000-0000-00003C5B0000}"/>
    <cellStyle name="Normal 2 2 2 24 5 3" xfId="23354" xr:uid="{00000000-0005-0000-0000-00003D5B0000}"/>
    <cellStyle name="Normal 2 2 2 24 5 4" xfId="23355" xr:uid="{00000000-0005-0000-0000-00003E5B0000}"/>
    <cellStyle name="Normal 2 2 2 24 6" xfId="23356" xr:uid="{00000000-0005-0000-0000-00003F5B0000}"/>
    <cellStyle name="Normal 2 2 2 24 6 2" xfId="23357" xr:uid="{00000000-0005-0000-0000-0000405B0000}"/>
    <cellStyle name="Normal 2 2 2 24 7" xfId="23358" xr:uid="{00000000-0005-0000-0000-0000415B0000}"/>
    <cellStyle name="Normal 2 2 2 24 8" xfId="23359" xr:uid="{00000000-0005-0000-0000-0000425B0000}"/>
    <cellStyle name="Normal 2 2 2 24 9" xfId="23360" xr:uid="{00000000-0005-0000-0000-0000435B0000}"/>
    <cellStyle name="Normal 2 2 2 25" xfId="23361" xr:uid="{00000000-0005-0000-0000-0000445B0000}"/>
    <cellStyle name="Normal 2 2 2 25 10" xfId="23362" xr:uid="{00000000-0005-0000-0000-0000455B0000}"/>
    <cellStyle name="Normal 2 2 2 25 2" xfId="23363" xr:uid="{00000000-0005-0000-0000-0000465B0000}"/>
    <cellStyle name="Normal 2 2 2 25 2 2" xfId="23364" xr:uid="{00000000-0005-0000-0000-0000475B0000}"/>
    <cellStyle name="Normal 2 2 2 25 2 2 2" xfId="23365" xr:uid="{00000000-0005-0000-0000-0000485B0000}"/>
    <cellStyle name="Normal 2 2 2 25 2 2 3" xfId="23366" xr:uid="{00000000-0005-0000-0000-0000495B0000}"/>
    <cellStyle name="Normal 2 2 2 25 2 3" xfId="23367" xr:uid="{00000000-0005-0000-0000-00004A5B0000}"/>
    <cellStyle name="Normal 2 2 2 25 2 4" xfId="23368" xr:uid="{00000000-0005-0000-0000-00004B5B0000}"/>
    <cellStyle name="Normal 2 2 2 25 2 5" xfId="23369" xr:uid="{00000000-0005-0000-0000-00004C5B0000}"/>
    <cellStyle name="Normal 2 2 2 25 2 6" xfId="23370" xr:uid="{00000000-0005-0000-0000-00004D5B0000}"/>
    <cellStyle name="Normal 2 2 2 25 3" xfId="23371" xr:uid="{00000000-0005-0000-0000-00004E5B0000}"/>
    <cellStyle name="Normal 2 2 2 25 3 2" xfId="23372" xr:uid="{00000000-0005-0000-0000-00004F5B0000}"/>
    <cellStyle name="Normal 2 2 2 25 3 2 2" xfId="23373" xr:uid="{00000000-0005-0000-0000-0000505B0000}"/>
    <cellStyle name="Normal 2 2 2 25 3 2 3" xfId="23374" xr:uid="{00000000-0005-0000-0000-0000515B0000}"/>
    <cellStyle name="Normal 2 2 2 25 3 3" xfId="23375" xr:uid="{00000000-0005-0000-0000-0000525B0000}"/>
    <cellStyle name="Normal 2 2 2 25 3 4" xfId="23376" xr:uid="{00000000-0005-0000-0000-0000535B0000}"/>
    <cellStyle name="Normal 2 2 2 25 3 5" xfId="23377" xr:uid="{00000000-0005-0000-0000-0000545B0000}"/>
    <cellStyle name="Normal 2 2 2 25 3 6" xfId="23378" xr:uid="{00000000-0005-0000-0000-0000555B0000}"/>
    <cellStyle name="Normal 2 2 2 25 4" xfId="23379" xr:uid="{00000000-0005-0000-0000-0000565B0000}"/>
    <cellStyle name="Normal 2 2 2 25 4 2" xfId="23380" xr:uid="{00000000-0005-0000-0000-0000575B0000}"/>
    <cellStyle name="Normal 2 2 2 25 4 2 2" xfId="23381" xr:uid="{00000000-0005-0000-0000-0000585B0000}"/>
    <cellStyle name="Normal 2 2 2 25 4 3" xfId="23382" xr:uid="{00000000-0005-0000-0000-0000595B0000}"/>
    <cellStyle name="Normal 2 2 2 25 4 4" xfId="23383" xr:uid="{00000000-0005-0000-0000-00005A5B0000}"/>
    <cellStyle name="Normal 2 2 2 25 4 5" xfId="23384" xr:uid="{00000000-0005-0000-0000-00005B5B0000}"/>
    <cellStyle name="Normal 2 2 2 25 5" xfId="23385" xr:uid="{00000000-0005-0000-0000-00005C5B0000}"/>
    <cellStyle name="Normal 2 2 2 25 5 2" xfId="23386" xr:uid="{00000000-0005-0000-0000-00005D5B0000}"/>
    <cellStyle name="Normal 2 2 2 25 5 3" xfId="23387" xr:uid="{00000000-0005-0000-0000-00005E5B0000}"/>
    <cellStyle name="Normal 2 2 2 25 5 4" xfId="23388" xr:uid="{00000000-0005-0000-0000-00005F5B0000}"/>
    <cellStyle name="Normal 2 2 2 25 6" xfId="23389" xr:uid="{00000000-0005-0000-0000-0000605B0000}"/>
    <cellStyle name="Normal 2 2 2 25 6 2" xfId="23390" xr:uid="{00000000-0005-0000-0000-0000615B0000}"/>
    <cellStyle name="Normal 2 2 2 25 7" xfId="23391" xr:uid="{00000000-0005-0000-0000-0000625B0000}"/>
    <cellStyle name="Normal 2 2 2 25 8" xfId="23392" xr:uid="{00000000-0005-0000-0000-0000635B0000}"/>
    <cellStyle name="Normal 2 2 2 25 9" xfId="23393" xr:uid="{00000000-0005-0000-0000-0000645B0000}"/>
    <cellStyle name="Normal 2 2 2 26" xfId="23394" xr:uid="{00000000-0005-0000-0000-0000655B0000}"/>
    <cellStyle name="Normal 2 2 2 26 10" xfId="23395" xr:uid="{00000000-0005-0000-0000-0000665B0000}"/>
    <cellStyle name="Normal 2 2 2 26 2" xfId="23396" xr:uid="{00000000-0005-0000-0000-0000675B0000}"/>
    <cellStyle name="Normal 2 2 2 26 2 2" xfId="23397" xr:uid="{00000000-0005-0000-0000-0000685B0000}"/>
    <cellStyle name="Normal 2 2 2 26 2 2 2" xfId="23398" xr:uid="{00000000-0005-0000-0000-0000695B0000}"/>
    <cellStyle name="Normal 2 2 2 26 2 2 3" xfId="23399" xr:uid="{00000000-0005-0000-0000-00006A5B0000}"/>
    <cellStyle name="Normal 2 2 2 26 2 3" xfId="23400" xr:uid="{00000000-0005-0000-0000-00006B5B0000}"/>
    <cellStyle name="Normal 2 2 2 26 2 4" xfId="23401" xr:uid="{00000000-0005-0000-0000-00006C5B0000}"/>
    <cellStyle name="Normal 2 2 2 26 2 5" xfId="23402" xr:uid="{00000000-0005-0000-0000-00006D5B0000}"/>
    <cellStyle name="Normal 2 2 2 26 2 6" xfId="23403" xr:uid="{00000000-0005-0000-0000-00006E5B0000}"/>
    <cellStyle name="Normal 2 2 2 26 3" xfId="23404" xr:uid="{00000000-0005-0000-0000-00006F5B0000}"/>
    <cellStyle name="Normal 2 2 2 26 3 2" xfId="23405" xr:uid="{00000000-0005-0000-0000-0000705B0000}"/>
    <cellStyle name="Normal 2 2 2 26 3 2 2" xfId="23406" xr:uid="{00000000-0005-0000-0000-0000715B0000}"/>
    <cellStyle name="Normal 2 2 2 26 3 2 3" xfId="23407" xr:uid="{00000000-0005-0000-0000-0000725B0000}"/>
    <cellStyle name="Normal 2 2 2 26 3 3" xfId="23408" xr:uid="{00000000-0005-0000-0000-0000735B0000}"/>
    <cellStyle name="Normal 2 2 2 26 3 4" xfId="23409" xr:uid="{00000000-0005-0000-0000-0000745B0000}"/>
    <cellStyle name="Normal 2 2 2 26 3 5" xfId="23410" xr:uid="{00000000-0005-0000-0000-0000755B0000}"/>
    <cellStyle name="Normal 2 2 2 26 3 6" xfId="23411" xr:uid="{00000000-0005-0000-0000-0000765B0000}"/>
    <cellStyle name="Normal 2 2 2 26 4" xfId="23412" xr:uid="{00000000-0005-0000-0000-0000775B0000}"/>
    <cellStyle name="Normal 2 2 2 26 4 2" xfId="23413" xr:uid="{00000000-0005-0000-0000-0000785B0000}"/>
    <cellStyle name="Normal 2 2 2 26 4 2 2" xfId="23414" xr:uid="{00000000-0005-0000-0000-0000795B0000}"/>
    <cellStyle name="Normal 2 2 2 26 4 3" xfId="23415" xr:uid="{00000000-0005-0000-0000-00007A5B0000}"/>
    <cellStyle name="Normal 2 2 2 26 4 4" xfId="23416" xr:uid="{00000000-0005-0000-0000-00007B5B0000}"/>
    <cellStyle name="Normal 2 2 2 26 4 5" xfId="23417" xr:uid="{00000000-0005-0000-0000-00007C5B0000}"/>
    <cellStyle name="Normal 2 2 2 26 5" xfId="23418" xr:uid="{00000000-0005-0000-0000-00007D5B0000}"/>
    <cellStyle name="Normal 2 2 2 26 5 2" xfId="23419" xr:uid="{00000000-0005-0000-0000-00007E5B0000}"/>
    <cellStyle name="Normal 2 2 2 26 5 3" xfId="23420" xr:uid="{00000000-0005-0000-0000-00007F5B0000}"/>
    <cellStyle name="Normal 2 2 2 26 5 4" xfId="23421" xr:uid="{00000000-0005-0000-0000-0000805B0000}"/>
    <cellStyle name="Normal 2 2 2 26 6" xfId="23422" xr:uid="{00000000-0005-0000-0000-0000815B0000}"/>
    <cellStyle name="Normal 2 2 2 26 6 2" xfId="23423" xr:uid="{00000000-0005-0000-0000-0000825B0000}"/>
    <cellStyle name="Normal 2 2 2 26 7" xfId="23424" xr:uid="{00000000-0005-0000-0000-0000835B0000}"/>
    <cellStyle name="Normal 2 2 2 26 8" xfId="23425" xr:uid="{00000000-0005-0000-0000-0000845B0000}"/>
    <cellStyle name="Normal 2 2 2 26 9" xfId="23426" xr:uid="{00000000-0005-0000-0000-0000855B0000}"/>
    <cellStyle name="Normal 2 2 2 27" xfId="23427" xr:uid="{00000000-0005-0000-0000-0000865B0000}"/>
    <cellStyle name="Normal 2 2 2 27 10" xfId="23428" xr:uid="{00000000-0005-0000-0000-0000875B0000}"/>
    <cellStyle name="Normal 2 2 2 27 2" xfId="23429" xr:uid="{00000000-0005-0000-0000-0000885B0000}"/>
    <cellStyle name="Normal 2 2 2 27 2 2" xfId="23430" xr:uid="{00000000-0005-0000-0000-0000895B0000}"/>
    <cellStyle name="Normal 2 2 2 27 2 2 2" xfId="23431" xr:uid="{00000000-0005-0000-0000-00008A5B0000}"/>
    <cellStyle name="Normal 2 2 2 27 2 2 3" xfId="23432" xr:uid="{00000000-0005-0000-0000-00008B5B0000}"/>
    <cellStyle name="Normal 2 2 2 27 2 3" xfId="23433" xr:uid="{00000000-0005-0000-0000-00008C5B0000}"/>
    <cellStyle name="Normal 2 2 2 27 2 4" xfId="23434" xr:uid="{00000000-0005-0000-0000-00008D5B0000}"/>
    <cellStyle name="Normal 2 2 2 27 2 5" xfId="23435" xr:uid="{00000000-0005-0000-0000-00008E5B0000}"/>
    <cellStyle name="Normal 2 2 2 27 2 6" xfId="23436" xr:uid="{00000000-0005-0000-0000-00008F5B0000}"/>
    <cellStyle name="Normal 2 2 2 27 3" xfId="23437" xr:uid="{00000000-0005-0000-0000-0000905B0000}"/>
    <cellStyle name="Normal 2 2 2 27 3 2" xfId="23438" xr:uid="{00000000-0005-0000-0000-0000915B0000}"/>
    <cellStyle name="Normal 2 2 2 27 3 2 2" xfId="23439" xr:uid="{00000000-0005-0000-0000-0000925B0000}"/>
    <cellStyle name="Normal 2 2 2 27 3 2 3" xfId="23440" xr:uid="{00000000-0005-0000-0000-0000935B0000}"/>
    <cellStyle name="Normal 2 2 2 27 3 3" xfId="23441" xr:uid="{00000000-0005-0000-0000-0000945B0000}"/>
    <cellStyle name="Normal 2 2 2 27 3 4" xfId="23442" xr:uid="{00000000-0005-0000-0000-0000955B0000}"/>
    <cellStyle name="Normal 2 2 2 27 3 5" xfId="23443" xr:uid="{00000000-0005-0000-0000-0000965B0000}"/>
    <cellStyle name="Normal 2 2 2 27 3 6" xfId="23444" xr:uid="{00000000-0005-0000-0000-0000975B0000}"/>
    <cellStyle name="Normal 2 2 2 27 4" xfId="23445" xr:uid="{00000000-0005-0000-0000-0000985B0000}"/>
    <cellStyle name="Normal 2 2 2 27 4 2" xfId="23446" xr:uid="{00000000-0005-0000-0000-0000995B0000}"/>
    <cellStyle name="Normal 2 2 2 27 4 2 2" xfId="23447" xr:uid="{00000000-0005-0000-0000-00009A5B0000}"/>
    <cellStyle name="Normal 2 2 2 27 4 3" xfId="23448" xr:uid="{00000000-0005-0000-0000-00009B5B0000}"/>
    <cellStyle name="Normal 2 2 2 27 4 4" xfId="23449" xr:uid="{00000000-0005-0000-0000-00009C5B0000}"/>
    <cellStyle name="Normal 2 2 2 27 4 5" xfId="23450" xr:uid="{00000000-0005-0000-0000-00009D5B0000}"/>
    <cellStyle name="Normal 2 2 2 27 5" xfId="23451" xr:uid="{00000000-0005-0000-0000-00009E5B0000}"/>
    <cellStyle name="Normal 2 2 2 27 5 2" xfId="23452" xr:uid="{00000000-0005-0000-0000-00009F5B0000}"/>
    <cellStyle name="Normal 2 2 2 27 5 3" xfId="23453" xr:uid="{00000000-0005-0000-0000-0000A05B0000}"/>
    <cellStyle name="Normal 2 2 2 27 5 4" xfId="23454" xr:uid="{00000000-0005-0000-0000-0000A15B0000}"/>
    <cellStyle name="Normal 2 2 2 27 6" xfId="23455" xr:uid="{00000000-0005-0000-0000-0000A25B0000}"/>
    <cellStyle name="Normal 2 2 2 27 6 2" xfId="23456" xr:uid="{00000000-0005-0000-0000-0000A35B0000}"/>
    <cellStyle name="Normal 2 2 2 27 7" xfId="23457" xr:uid="{00000000-0005-0000-0000-0000A45B0000}"/>
    <cellStyle name="Normal 2 2 2 27 8" xfId="23458" xr:uid="{00000000-0005-0000-0000-0000A55B0000}"/>
    <cellStyle name="Normal 2 2 2 27 9" xfId="23459" xr:uid="{00000000-0005-0000-0000-0000A65B0000}"/>
    <cellStyle name="Normal 2 2 2 28" xfId="23460" xr:uid="{00000000-0005-0000-0000-0000A75B0000}"/>
    <cellStyle name="Normal 2 2 2 28 10" xfId="23461" xr:uid="{00000000-0005-0000-0000-0000A85B0000}"/>
    <cellStyle name="Normal 2 2 2 28 2" xfId="23462" xr:uid="{00000000-0005-0000-0000-0000A95B0000}"/>
    <cellStyle name="Normal 2 2 2 28 2 2" xfId="23463" xr:uid="{00000000-0005-0000-0000-0000AA5B0000}"/>
    <cellStyle name="Normal 2 2 2 28 2 2 2" xfId="23464" xr:uid="{00000000-0005-0000-0000-0000AB5B0000}"/>
    <cellStyle name="Normal 2 2 2 28 2 2 3" xfId="23465" xr:uid="{00000000-0005-0000-0000-0000AC5B0000}"/>
    <cellStyle name="Normal 2 2 2 28 2 3" xfId="23466" xr:uid="{00000000-0005-0000-0000-0000AD5B0000}"/>
    <cellStyle name="Normal 2 2 2 28 2 4" xfId="23467" xr:uid="{00000000-0005-0000-0000-0000AE5B0000}"/>
    <cellStyle name="Normal 2 2 2 28 2 5" xfId="23468" xr:uid="{00000000-0005-0000-0000-0000AF5B0000}"/>
    <cellStyle name="Normal 2 2 2 28 2 6" xfId="23469" xr:uid="{00000000-0005-0000-0000-0000B05B0000}"/>
    <cellStyle name="Normal 2 2 2 28 3" xfId="23470" xr:uid="{00000000-0005-0000-0000-0000B15B0000}"/>
    <cellStyle name="Normal 2 2 2 28 3 2" xfId="23471" xr:uid="{00000000-0005-0000-0000-0000B25B0000}"/>
    <cellStyle name="Normal 2 2 2 28 3 2 2" xfId="23472" xr:uid="{00000000-0005-0000-0000-0000B35B0000}"/>
    <cellStyle name="Normal 2 2 2 28 3 2 3" xfId="23473" xr:uid="{00000000-0005-0000-0000-0000B45B0000}"/>
    <cellStyle name="Normal 2 2 2 28 3 3" xfId="23474" xr:uid="{00000000-0005-0000-0000-0000B55B0000}"/>
    <cellStyle name="Normal 2 2 2 28 3 4" xfId="23475" xr:uid="{00000000-0005-0000-0000-0000B65B0000}"/>
    <cellStyle name="Normal 2 2 2 28 3 5" xfId="23476" xr:uid="{00000000-0005-0000-0000-0000B75B0000}"/>
    <cellStyle name="Normal 2 2 2 28 3 6" xfId="23477" xr:uid="{00000000-0005-0000-0000-0000B85B0000}"/>
    <cellStyle name="Normal 2 2 2 28 4" xfId="23478" xr:uid="{00000000-0005-0000-0000-0000B95B0000}"/>
    <cellStyle name="Normal 2 2 2 28 4 2" xfId="23479" xr:uid="{00000000-0005-0000-0000-0000BA5B0000}"/>
    <cellStyle name="Normal 2 2 2 28 4 2 2" xfId="23480" xr:uid="{00000000-0005-0000-0000-0000BB5B0000}"/>
    <cellStyle name="Normal 2 2 2 28 4 3" xfId="23481" xr:uid="{00000000-0005-0000-0000-0000BC5B0000}"/>
    <cellStyle name="Normal 2 2 2 28 4 4" xfId="23482" xr:uid="{00000000-0005-0000-0000-0000BD5B0000}"/>
    <cellStyle name="Normal 2 2 2 28 4 5" xfId="23483" xr:uid="{00000000-0005-0000-0000-0000BE5B0000}"/>
    <cellStyle name="Normal 2 2 2 28 5" xfId="23484" xr:uid="{00000000-0005-0000-0000-0000BF5B0000}"/>
    <cellStyle name="Normal 2 2 2 28 5 2" xfId="23485" xr:uid="{00000000-0005-0000-0000-0000C05B0000}"/>
    <cellStyle name="Normal 2 2 2 28 5 3" xfId="23486" xr:uid="{00000000-0005-0000-0000-0000C15B0000}"/>
    <cellStyle name="Normal 2 2 2 28 5 4" xfId="23487" xr:uid="{00000000-0005-0000-0000-0000C25B0000}"/>
    <cellStyle name="Normal 2 2 2 28 6" xfId="23488" xr:uid="{00000000-0005-0000-0000-0000C35B0000}"/>
    <cellStyle name="Normal 2 2 2 28 6 2" xfId="23489" xr:uid="{00000000-0005-0000-0000-0000C45B0000}"/>
    <cellStyle name="Normal 2 2 2 28 7" xfId="23490" xr:uid="{00000000-0005-0000-0000-0000C55B0000}"/>
    <cellStyle name="Normal 2 2 2 28 8" xfId="23491" xr:uid="{00000000-0005-0000-0000-0000C65B0000}"/>
    <cellStyle name="Normal 2 2 2 28 9" xfId="23492" xr:uid="{00000000-0005-0000-0000-0000C75B0000}"/>
    <cellStyle name="Normal 2 2 2 29" xfId="23493" xr:uid="{00000000-0005-0000-0000-0000C85B0000}"/>
    <cellStyle name="Normal 2 2 2 29 10" xfId="23494" xr:uid="{00000000-0005-0000-0000-0000C95B0000}"/>
    <cellStyle name="Normal 2 2 2 29 2" xfId="23495" xr:uid="{00000000-0005-0000-0000-0000CA5B0000}"/>
    <cellStyle name="Normal 2 2 2 29 2 2" xfId="23496" xr:uid="{00000000-0005-0000-0000-0000CB5B0000}"/>
    <cellStyle name="Normal 2 2 2 29 2 2 2" xfId="23497" xr:uid="{00000000-0005-0000-0000-0000CC5B0000}"/>
    <cellStyle name="Normal 2 2 2 29 2 2 3" xfId="23498" xr:uid="{00000000-0005-0000-0000-0000CD5B0000}"/>
    <cellStyle name="Normal 2 2 2 29 2 3" xfId="23499" xr:uid="{00000000-0005-0000-0000-0000CE5B0000}"/>
    <cellStyle name="Normal 2 2 2 29 2 4" xfId="23500" xr:uid="{00000000-0005-0000-0000-0000CF5B0000}"/>
    <cellStyle name="Normal 2 2 2 29 2 5" xfId="23501" xr:uid="{00000000-0005-0000-0000-0000D05B0000}"/>
    <cellStyle name="Normal 2 2 2 29 2 6" xfId="23502" xr:uid="{00000000-0005-0000-0000-0000D15B0000}"/>
    <cellStyle name="Normal 2 2 2 29 3" xfId="23503" xr:uid="{00000000-0005-0000-0000-0000D25B0000}"/>
    <cellStyle name="Normal 2 2 2 29 3 2" xfId="23504" xr:uid="{00000000-0005-0000-0000-0000D35B0000}"/>
    <cellStyle name="Normal 2 2 2 29 3 2 2" xfId="23505" xr:uid="{00000000-0005-0000-0000-0000D45B0000}"/>
    <cellStyle name="Normal 2 2 2 29 3 2 3" xfId="23506" xr:uid="{00000000-0005-0000-0000-0000D55B0000}"/>
    <cellStyle name="Normal 2 2 2 29 3 3" xfId="23507" xr:uid="{00000000-0005-0000-0000-0000D65B0000}"/>
    <cellStyle name="Normal 2 2 2 29 3 4" xfId="23508" xr:uid="{00000000-0005-0000-0000-0000D75B0000}"/>
    <cellStyle name="Normal 2 2 2 29 3 5" xfId="23509" xr:uid="{00000000-0005-0000-0000-0000D85B0000}"/>
    <cellStyle name="Normal 2 2 2 29 3 6" xfId="23510" xr:uid="{00000000-0005-0000-0000-0000D95B0000}"/>
    <cellStyle name="Normal 2 2 2 29 4" xfId="23511" xr:uid="{00000000-0005-0000-0000-0000DA5B0000}"/>
    <cellStyle name="Normal 2 2 2 29 4 2" xfId="23512" xr:uid="{00000000-0005-0000-0000-0000DB5B0000}"/>
    <cellStyle name="Normal 2 2 2 29 4 2 2" xfId="23513" xr:uid="{00000000-0005-0000-0000-0000DC5B0000}"/>
    <cellStyle name="Normal 2 2 2 29 4 3" xfId="23514" xr:uid="{00000000-0005-0000-0000-0000DD5B0000}"/>
    <cellStyle name="Normal 2 2 2 29 4 4" xfId="23515" xr:uid="{00000000-0005-0000-0000-0000DE5B0000}"/>
    <cellStyle name="Normal 2 2 2 29 4 5" xfId="23516" xr:uid="{00000000-0005-0000-0000-0000DF5B0000}"/>
    <cellStyle name="Normal 2 2 2 29 5" xfId="23517" xr:uid="{00000000-0005-0000-0000-0000E05B0000}"/>
    <cellStyle name="Normal 2 2 2 29 5 2" xfId="23518" xr:uid="{00000000-0005-0000-0000-0000E15B0000}"/>
    <cellStyle name="Normal 2 2 2 29 5 3" xfId="23519" xr:uid="{00000000-0005-0000-0000-0000E25B0000}"/>
    <cellStyle name="Normal 2 2 2 29 5 4" xfId="23520" xr:uid="{00000000-0005-0000-0000-0000E35B0000}"/>
    <cellStyle name="Normal 2 2 2 29 6" xfId="23521" xr:uid="{00000000-0005-0000-0000-0000E45B0000}"/>
    <cellStyle name="Normal 2 2 2 29 6 2" xfId="23522" xr:uid="{00000000-0005-0000-0000-0000E55B0000}"/>
    <cellStyle name="Normal 2 2 2 29 7" xfId="23523" xr:uid="{00000000-0005-0000-0000-0000E65B0000}"/>
    <cellStyle name="Normal 2 2 2 29 8" xfId="23524" xr:uid="{00000000-0005-0000-0000-0000E75B0000}"/>
    <cellStyle name="Normal 2 2 2 29 9" xfId="23525" xr:uid="{00000000-0005-0000-0000-0000E85B0000}"/>
    <cellStyle name="Normal 2 2 2 3" xfId="23526" xr:uid="{00000000-0005-0000-0000-0000E95B0000}"/>
    <cellStyle name="Normal 2 2 2 3 10" xfId="23527" xr:uid="{00000000-0005-0000-0000-0000EA5B0000}"/>
    <cellStyle name="Normal 2 2 2 3 11" xfId="23528" xr:uid="{00000000-0005-0000-0000-0000EB5B0000}"/>
    <cellStyle name="Normal 2 2 2 3 2" xfId="23529" xr:uid="{00000000-0005-0000-0000-0000EC5B0000}"/>
    <cellStyle name="Normal 2 2 2 3 2 2" xfId="23530" xr:uid="{00000000-0005-0000-0000-0000ED5B0000}"/>
    <cellStyle name="Normal 2 2 2 3 2 2 2" xfId="23531" xr:uid="{00000000-0005-0000-0000-0000EE5B0000}"/>
    <cellStyle name="Normal 2 2 2 3 2 2 2 2" xfId="23532" xr:uid="{00000000-0005-0000-0000-0000EF5B0000}"/>
    <cellStyle name="Normal 2 2 2 3 2 2 2 3" xfId="23533" xr:uid="{00000000-0005-0000-0000-0000F05B0000}"/>
    <cellStyle name="Normal 2 2 2 3 2 2 3" xfId="23534" xr:uid="{00000000-0005-0000-0000-0000F15B0000}"/>
    <cellStyle name="Normal 2 2 2 3 2 2 4" xfId="23535" xr:uid="{00000000-0005-0000-0000-0000F25B0000}"/>
    <cellStyle name="Normal 2 2 2 3 2 2 5" xfId="23536" xr:uid="{00000000-0005-0000-0000-0000F35B0000}"/>
    <cellStyle name="Normal 2 2 2 3 2 2 6" xfId="23537" xr:uid="{00000000-0005-0000-0000-0000F45B0000}"/>
    <cellStyle name="Normal 2 2 2 3 2 3" xfId="23538" xr:uid="{00000000-0005-0000-0000-0000F55B0000}"/>
    <cellStyle name="Normal 2 2 2 3 2 3 2" xfId="23539" xr:uid="{00000000-0005-0000-0000-0000F65B0000}"/>
    <cellStyle name="Normal 2 2 2 3 2 3 2 2" xfId="23540" xr:uid="{00000000-0005-0000-0000-0000F75B0000}"/>
    <cellStyle name="Normal 2 2 2 3 2 3 3" xfId="23541" xr:uid="{00000000-0005-0000-0000-0000F85B0000}"/>
    <cellStyle name="Normal 2 2 2 3 2 3 4" xfId="23542" xr:uid="{00000000-0005-0000-0000-0000F95B0000}"/>
    <cellStyle name="Normal 2 2 2 3 2 3 5" xfId="23543" xr:uid="{00000000-0005-0000-0000-0000FA5B0000}"/>
    <cellStyle name="Normal 2 2 2 3 2 4" xfId="23544" xr:uid="{00000000-0005-0000-0000-0000FB5B0000}"/>
    <cellStyle name="Normal 2 2 2 3 2 4 2" xfId="23545" xr:uid="{00000000-0005-0000-0000-0000FC5B0000}"/>
    <cellStyle name="Normal 2 2 2 3 2 4 3" xfId="23546" xr:uid="{00000000-0005-0000-0000-0000FD5B0000}"/>
    <cellStyle name="Normal 2 2 2 3 2 4 4" xfId="23547" xr:uid="{00000000-0005-0000-0000-0000FE5B0000}"/>
    <cellStyle name="Normal 2 2 2 3 2 5" xfId="23548" xr:uid="{00000000-0005-0000-0000-0000FF5B0000}"/>
    <cellStyle name="Normal 2 2 2 3 2 5 2" xfId="23549" xr:uid="{00000000-0005-0000-0000-0000005C0000}"/>
    <cellStyle name="Normal 2 2 2 3 2 6" xfId="23550" xr:uid="{00000000-0005-0000-0000-0000015C0000}"/>
    <cellStyle name="Normal 2 2 2 3 2 7" xfId="23551" xr:uid="{00000000-0005-0000-0000-0000025C0000}"/>
    <cellStyle name="Normal 2 2 2 3 2 8" xfId="23552" xr:uid="{00000000-0005-0000-0000-0000035C0000}"/>
    <cellStyle name="Normal 2 2 2 3 2 9" xfId="23553" xr:uid="{00000000-0005-0000-0000-0000045C0000}"/>
    <cellStyle name="Normal 2 2 2 3 3" xfId="23554" xr:uid="{00000000-0005-0000-0000-0000055C0000}"/>
    <cellStyle name="Normal 2 2 2 3 3 2" xfId="23555" xr:uid="{00000000-0005-0000-0000-0000065C0000}"/>
    <cellStyle name="Normal 2 2 2 3 3 2 2" xfId="23556" xr:uid="{00000000-0005-0000-0000-0000075C0000}"/>
    <cellStyle name="Normal 2 2 2 3 3 2 2 2" xfId="23557" xr:uid="{00000000-0005-0000-0000-0000085C0000}"/>
    <cellStyle name="Normal 2 2 2 3 3 2 2 3" xfId="23558" xr:uid="{00000000-0005-0000-0000-0000095C0000}"/>
    <cellStyle name="Normal 2 2 2 3 3 2 3" xfId="23559" xr:uid="{00000000-0005-0000-0000-00000A5C0000}"/>
    <cellStyle name="Normal 2 2 2 3 3 2 4" xfId="23560" xr:uid="{00000000-0005-0000-0000-00000B5C0000}"/>
    <cellStyle name="Normal 2 2 2 3 3 2 5" xfId="23561" xr:uid="{00000000-0005-0000-0000-00000C5C0000}"/>
    <cellStyle name="Normal 2 2 2 3 3 2 6" xfId="23562" xr:uid="{00000000-0005-0000-0000-00000D5C0000}"/>
    <cellStyle name="Normal 2 2 2 3 3 3" xfId="23563" xr:uid="{00000000-0005-0000-0000-00000E5C0000}"/>
    <cellStyle name="Normal 2 2 2 3 3 3 2" xfId="23564" xr:uid="{00000000-0005-0000-0000-00000F5C0000}"/>
    <cellStyle name="Normal 2 2 2 3 3 3 2 2" xfId="23565" xr:uid="{00000000-0005-0000-0000-0000105C0000}"/>
    <cellStyle name="Normal 2 2 2 3 3 3 3" xfId="23566" xr:uid="{00000000-0005-0000-0000-0000115C0000}"/>
    <cellStyle name="Normal 2 2 2 3 3 3 4" xfId="23567" xr:uid="{00000000-0005-0000-0000-0000125C0000}"/>
    <cellStyle name="Normal 2 2 2 3 3 3 5" xfId="23568" xr:uid="{00000000-0005-0000-0000-0000135C0000}"/>
    <cellStyle name="Normal 2 2 2 3 3 4" xfId="23569" xr:uid="{00000000-0005-0000-0000-0000145C0000}"/>
    <cellStyle name="Normal 2 2 2 3 3 4 2" xfId="23570" xr:uid="{00000000-0005-0000-0000-0000155C0000}"/>
    <cellStyle name="Normal 2 2 2 3 3 4 3" xfId="23571" xr:uid="{00000000-0005-0000-0000-0000165C0000}"/>
    <cellStyle name="Normal 2 2 2 3 3 4 4" xfId="23572" xr:uid="{00000000-0005-0000-0000-0000175C0000}"/>
    <cellStyle name="Normal 2 2 2 3 3 5" xfId="23573" xr:uid="{00000000-0005-0000-0000-0000185C0000}"/>
    <cellStyle name="Normal 2 2 2 3 3 5 2" xfId="23574" xr:uid="{00000000-0005-0000-0000-0000195C0000}"/>
    <cellStyle name="Normal 2 2 2 3 3 6" xfId="23575" xr:uid="{00000000-0005-0000-0000-00001A5C0000}"/>
    <cellStyle name="Normal 2 2 2 3 3 7" xfId="23576" xr:uid="{00000000-0005-0000-0000-00001B5C0000}"/>
    <cellStyle name="Normal 2 2 2 3 3 8" xfId="23577" xr:uid="{00000000-0005-0000-0000-00001C5C0000}"/>
    <cellStyle name="Normal 2 2 2 3 3 9" xfId="23578" xr:uid="{00000000-0005-0000-0000-00001D5C0000}"/>
    <cellStyle name="Normal 2 2 2 3 4" xfId="23579" xr:uid="{00000000-0005-0000-0000-00001E5C0000}"/>
    <cellStyle name="Normal 2 2 2 3 4 2" xfId="23580" xr:uid="{00000000-0005-0000-0000-00001F5C0000}"/>
    <cellStyle name="Normal 2 2 2 3 4 2 2" xfId="23581" xr:uid="{00000000-0005-0000-0000-0000205C0000}"/>
    <cellStyle name="Normal 2 2 2 3 4 2 3" xfId="23582" xr:uid="{00000000-0005-0000-0000-0000215C0000}"/>
    <cellStyle name="Normal 2 2 2 3 4 3" xfId="23583" xr:uid="{00000000-0005-0000-0000-0000225C0000}"/>
    <cellStyle name="Normal 2 2 2 3 4 4" xfId="23584" xr:uid="{00000000-0005-0000-0000-0000235C0000}"/>
    <cellStyle name="Normal 2 2 2 3 4 5" xfId="23585" xr:uid="{00000000-0005-0000-0000-0000245C0000}"/>
    <cellStyle name="Normal 2 2 2 3 4 6" xfId="23586" xr:uid="{00000000-0005-0000-0000-0000255C0000}"/>
    <cellStyle name="Normal 2 2 2 3 5" xfId="23587" xr:uid="{00000000-0005-0000-0000-0000265C0000}"/>
    <cellStyle name="Normal 2 2 2 3 5 2" xfId="23588" xr:uid="{00000000-0005-0000-0000-0000275C0000}"/>
    <cellStyle name="Normal 2 2 2 3 5 2 2" xfId="23589" xr:uid="{00000000-0005-0000-0000-0000285C0000}"/>
    <cellStyle name="Normal 2 2 2 3 5 3" xfId="23590" xr:uid="{00000000-0005-0000-0000-0000295C0000}"/>
    <cellStyle name="Normal 2 2 2 3 5 4" xfId="23591" xr:uid="{00000000-0005-0000-0000-00002A5C0000}"/>
    <cellStyle name="Normal 2 2 2 3 5 5" xfId="23592" xr:uid="{00000000-0005-0000-0000-00002B5C0000}"/>
    <cellStyle name="Normal 2 2 2 3 6" xfId="23593" xr:uid="{00000000-0005-0000-0000-00002C5C0000}"/>
    <cellStyle name="Normal 2 2 2 3 6 2" xfId="23594" xr:uid="{00000000-0005-0000-0000-00002D5C0000}"/>
    <cellStyle name="Normal 2 2 2 3 6 3" xfId="23595" xr:uid="{00000000-0005-0000-0000-00002E5C0000}"/>
    <cellStyle name="Normal 2 2 2 3 6 4" xfId="23596" xr:uid="{00000000-0005-0000-0000-00002F5C0000}"/>
    <cellStyle name="Normal 2 2 2 3 7" xfId="23597" xr:uid="{00000000-0005-0000-0000-0000305C0000}"/>
    <cellStyle name="Normal 2 2 2 3 7 2" xfId="23598" xr:uid="{00000000-0005-0000-0000-0000315C0000}"/>
    <cellStyle name="Normal 2 2 2 3 8" xfId="23599" xr:uid="{00000000-0005-0000-0000-0000325C0000}"/>
    <cellStyle name="Normal 2 2 2 3 9" xfId="23600" xr:uid="{00000000-0005-0000-0000-0000335C0000}"/>
    <cellStyle name="Normal 2 2 2 30" xfId="23601" xr:uid="{00000000-0005-0000-0000-0000345C0000}"/>
    <cellStyle name="Normal 2 2 2 30 10" xfId="23602" xr:uid="{00000000-0005-0000-0000-0000355C0000}"/>
    <cellStyle name="Normal 2 2 2 30 2" xfId="23603" xr:uid="{00000000-0005-0000-0000-0000365C0000}"/>
    <cellStyle name="Normal 2 2 2 30 2 2" xfId="23604" xr:uid="{00000000-0005-0000-0000-0000375C0000}"/>
    <cellStyle name="Normal 2 2 2 30 2 2 2" xfId="23605" xr:uid="{00000000-0005-0000-0000-0000385C0000}"/>
    <cellStyle name="Normal 2 2 2 30 2 2 3" xfId="23606" xr:uid="{00000000-0005-0000-0000-0000395C0000}"/>
    <cellStyle name="Normal 2 2 2 30 2 3" xfId="23607" xr:uid="{00000000-0005-0000-0000-00003A5C0000}"/>
    <cellStyle name="Normal 2 2 2 30 2 4" xfId="23608" xr:uid="{00000000-0005-0000-0000-00003B5C0000}"/>
    <cellStyle name="Normal 2 2 2 30 2 5" xfId="23609" xr:uid="{00000000-0005-0000-0000-00003C5C0000}"/>
    <cellStyle name="Normal 2 2 2 30 2 6" xfId="23610" xr:uid="{00000000-0005-0000-0000-00003D5C0000}"/>
    <cellStyle name="Normal 2 2 2 30 3" xfId="23611" xr:uid="{00000000-0005-0000-0000-00003E5C0000}"/>
    <cellStyle name="Normal 2 2 2 30 3 2" xfId="23612" xr:uid="{00000000-0005-0000-0000-00003F5C0000}"/>
    <cellStyle name="Normal 2 2 2 30 3 2 2" xfId="23613" xr:uid="{00000000-0005-0000-0000-0000405C0000}"/>
    <cellStyle name="Normal 2 2 2 30 3 2 3" xfId="23614" xr:uid="{00000000-0005-0000-0000-0000415C0000}"/>
    <cellStyle name="Normal 2 2 2 30 3 3" xfId="23615" xr:uid="{00000000-0005-0000-0000-0000425C0000}"/>
    <cellStyle name="Normal 2 2 2 30 3 4" xfId="23616" xr:uid="{00000000-0005-0000-0000-0000435C0000}"/>
    <cellStyle name="Normal 2 2 2 30 3 5" xfId="23617" xr:uid="{00000000-0005-0000-0000-0000445C0000}"/>
    <cellStyle name="Normal 2 2 2 30 3 6" xfId="23618" xr:uid="{00000000-0005-0000-0000-0000455C0000}"/>
    <cellStyle name="Normal 2 2 2 30 4" xfId="23619" xr:uid="{00000000-0005-0000-0000-0000465C0000}"/>
    <cellStyle name="Normal 2 2 2 30 4 2" xfId="23620" xr:uid="{00000000-0005-0000-0000-0000475C0000}"/>
    <cellStyle name="Normal 2 2 2 30 4 2 2" xfId="23621" xr:uid="{00000000-0005-0000-0000-0000485C0000}"/>
    <cellStyle name="Normal 2 2 2 30 4 3" xfId="23622" xr:uid="{00000000-0005-0000-0000-0000495C0000}"/>
    <cellStyle name="Normal 2 2 2 30 4 4" xfId="23623" xr:uid="{00000000-0005-0000-0000-00004A5C0000}"/>
    <cellStyle name="Normal 2 2 2 30 4 5" xfId="23624" xr:uid="{00000000-0005-0000-0000-00004B5C0000}"/>
    <cellStyle name="Normal 2 2 2 30 5" xfId="23625" xr:uid="{00000000-0005-0000-0000-00004C5C0000}"/>
    <cellStyle name="Normal 2 2 2 30 5 2" xfId="23626" xr:uid="{00000000-0005-0000-0000-00004D5C0000}"/>
    <cellStyle name="Normal 2 2 2 30 5 3" xfId="23627" xr:uid="{00000000-0005-0000-0000-00004E5C0000}"/>
    <cellStyle name="Normal 2 2 2 30 5 4" xfId="23628" xr:uid="{00000000-0005-0000-0000-00004F5C0000}"/>
    <cellStyle name="Normal 2 2 2 30 6" xfId="23629" xr:uid="{00000000-0005-0000-0000-0000505C0000}"/>
    <cellStyle name="Normal 2 2 2 30 6 2" xfId="23630" xr:uid="{00000000-0005-0000-0000-0000515C0000}"/>
    <cellStyle name="Normal 2 2 2 30 7" xfId="23631" xr:uid="{00000000-0005-0000-0000-0000525C0000}"/>
    <cellStyle name="Normal 2 2 2 30 8" xfId="23632" xr:uid="{00000000-0005-0000-0000-0000535C0000}"/>
    <cellStyle name="Normal 2 2 2 30 9" xfId="23633" xr:uid="{00000000-0005-0000-0000-0000545C0000}"/>
    <cellStyle name="Normal 2 2 2 31" xfId="23634" xr:uid="{00000000-0005-0000-0000-0000555C0000}"/>
    <cellStyle name="Normal 2 2 2 31 10" xfId="23635" xr:uid="{00000000-0005-0000-0000-0000565C0000}"/>
    <cellStyle name="Normal 2 2 2 31 2" xfId="23636" xr:uid="{00000000-0005-0000-0000-0000575C0000}"/>
    <cellStyle name="Normal 2 2 2 31 2 2" xfId="23637" xr:uid="{00000000-0005-0000-0000-0000585C0000}"/>
    <cellStyle name="Normal 2 2 2 31 2 2 2" xfId="23638" xr:uid="{00000000-0005-0000-0000-0000595C0000}"/>
    <cellStyle name="Normal 2 2 2 31 2 2 3" xfId="23639" xr:uid="{00000000-0005-0000-0000-00005A5C0000}"/>
    <cellStyle name="Normal 2 2 2 31 2 3" xfId="23640" xr:uid="{00000000-0005-0000-0000-00005B5C0000}"/>
    <cellStyle name="Normal 2 2 2 31 2 4" xfId="23641" xr:uid="{00000000-0005-0000-0000-00005C5C0000}"/>
    <cellStyle name="Normal 2 2 2 31 2 5" xfId="23642" xr:uid="{00000000-0005-0000-0000-00005D5C0000}"/>
    <cellStyle name="Normal 2 2 2 31 2 6" xfId="23643" xr:uid="{00000000-0005-0000-0000-00005E5C0000}"/>
    <cellStyle name="Normal 2 2 2 31 3" xfId="23644" xr:uid="{00000000-0005-0000-0000-00005F5C0000}"/>
    <cellStyle name="Normal 2 2 2 31 3 2" xfId="23645" xr:uid="{00000000-0005-0000-0000-0000605C0000}"/>
    <cellStyle name="Normal 2 2 2 31 3 2 2" xfId="23646" xr:uid="{00000000-0005-0000-0000-0000615C0000}"/>
    <cellStyle name="Normal 2 2 2 31 3 2 3" xfId="23647" xr:uid="{00000000-0005-0000-0000-0000625C0000}"/>
    <cellStyle name="Normal 2 2 2 31 3 3" xfId="23648" xr:uid="{00000000-0005-0000-0000-0000635C0000}"/>
    <cellStyle name="Normal 2 2 2 31 3 4" xfId="23649" xr:uid="{00000000-0005-0000-0000-0000645C0000}"/>
    <cellStyle name="Normal 2 2 2 31 3 5" xfId="23650" xr:uid="{00000000-0005-0000-0000-0000655C0000}"/>
    <cellStyle name="Normal 2 2 2 31 3 6" xfId="23651" xr:uid="{00000000-0005-0000-0000-0000665C0000}"/>
    <cellStyle name="Normal 2 2 2 31 4" xfId="23652" xr:uid="{00000000-0005-0000-0000-0000675C0000}"/>
    <cellStyle name="Normal 2 2 2 31 4 2" xfId="23653" xr:uid="{00000000-0005-0000-0000-0000685C0000}"/>
    <cellStyle name="Normal 2 2 2 31 4 2 2" xfId="23654" xr:uid="{00000000-0005-0000-0000-0000695C0000}"/>
    <cellStyle name="Normal 2 2 2 31 4 3" xfId="23655" xr:uid="{00000000-0005-0000-0000-00006A5C0000}"/>
    <cellStyle name="Normal 2 2 2 31 4 4" xfId="23656" xr:uid="{00000000-0005-0000-0000-00006B5C0000}"/>
    <cellStyle name="Normal 2 2 2 31 4 5" xfId="23657" xr:uid="{00000000-0005-0000-0000-00006C5C0000}"/>
    <cellStyle name="Normal 2 2 2 31 5" xfId="23658" xr:uid="{00000000-0005-0000-0000-00006D5C0000}"/>
    <cellStyle name="Normal 2 2 2 31 5 2" xfId="23659" xr:uid="{00000000-0005-0000-0000-00006E5C0000}"/>
    <cellStyle name="Normal 2 2 2 31 5 3" xfId="23660" xr:uid="{00000000-0005-0000-0000-00006F5C0000}"/>
    <cellStyle name="Normal 2 2 2 31 5 4" xfId="23661" xr:uid="{00000000-0005-0000-0000-0000705C0000}"/>
    <cellStyle name="Normal 2 2 2 31 6" xfId="23662" xr:uid="{00000000-0005-0000-0000-0000715C0000}"/>
    <cellStyle name="Normal 2 2 2 31 6 2" xfId="23663" xr:uid="{00000000-0005-0000-0000-0000725C0000}"/>
    <cellStyle name="Normal 2 2 2 31 7" xfId="23664" xr:uid="{00000000-0005-0000-0000-0000735C0000}"/>
    <cellStyle name="Normal 2 2 2 31 8" xfId="23665" xr:uid="{00000000-0005-0000-0000-0000745C0000}"/>
    <cellStyle name="Normal 2 2 2 31 9" xfId="23666" xr:uid="{00000000-0005-0000-0000-0000755C0000}"/>
    <cellStyle name="Normal 2 2 2 32" xfId="23667" xr:uid="{00000000-0005-0000-0000-0000765C0000}"/>
    <cellStyle name="Normal 2 2 2 32 10" xfId="23668" xr:uid="{00000000-0005-0000-0000-0000775C0000}"/>
    <cellStyle name="Normal 2 2 2 32 2" xfId="23669" xr:uid="{00000000-0005-0000-0000-0000785C0000}"/>
    <cellStyle name="Normal 2 2 2 32 2 2" xfId="23670" xr:uid="{00000000-0005-0000-0000-0000795C0000}"/>
    <cellStyle name="Normal 2 2 2 32 2 2 2" xfId="23671" xr:uid="{00000000-0005-0000-0000-00007A5C0000}"/>
    <cellStyle name="Normal 2 2 2 32 2 2 3" xfId="23672" xr:uid="{00000000-0005-0000-0000-00007B5C0000}"/>
    <cellStyle name="Normal 2 2 2 32 2 3" xfId="23673" xr:uid="{00000000-0005-0000-0000-00007C5C0000}"/>
    <cellStyle name="Normal 2 2 2 32 2 4" xfId="23674" xr:uid="{00000000-0005-0000-0000-00007D5C0000}"/>
    <cellStyle name="Normal 2 2 2 32 2 5" xfId="23675" xr:uid="{00000000-0005-0000-0000-00007E5C0000}"/>
    <cellStyle name="Normal 2 2 2 32 2 6" xfId="23676" xr:uid="{00000000-0005-0000-0000-00007F5C0000}"/>
    <cellStyle name="Normal 2 2 2 32 3" xfId="23677" xr:uid="{00000000-0005-0000-0000-0000805C0000}"/>
    <cellStyle name="Normal 2 2 2 32 3 2" xfId="23678" xr:uid="{00000000-0005-0000-0000-0000815C0000}"/>
    <cellStyle name="Normal 2 2 2 32 3 2 2" xfId="23679" xr:uid="{00000000-0005-0000-0000-0000825C0000}"/>
    <cellStyle name="Normal 2 2 2 32 3 2 3" xfId="23680" xr:uid="{00000000-0005-0000-0000-0000835C0000}"/>
    <cellStyle name="Normal 2 2 2 32 3 3" xfId="23681" xr:uid="{00000000-0005-0000-0000-0000845C0000}"/>
    <cellStyle name="Normal 2 2 2 32 3 4" xfId="23682" xr:uid="{00000000-0005-0000-0000-0000855C0000}"/>
    <cellStyle name="Normal 2 2 2 32 3 5" xfId="23683" xr:uid="{00000000-0005-0000-0000-0000865C0000}"/>
    <cellStyle name="Normal 2 2 2 32 3 6" xfId="23684" xr:uid="{00000000-0005-0000-0000-0000875C0000}"/>
    <cellStyle name="Normal 2 2 2 32 4" xfId="23685" xr:uid="{00000000-0005-0000-0000-0000885C0000}"/>
    <cellStyle name="Normal 2 2 2 32 4 2" xfId="23686" xr:uid="{00000000-0005-0000-0000-0000895C0000}"/>
    <cellStyle name="Normal 2 2 2 32 4 2 2" xfId="23687" xr:uid="{00000000-0005-0000-0000-00008A5C0000}"/>
    <cellStyle name="Normal 2 2 2 32 4 3" xfId="23688" xr:uid="{00000000-0005-0000-0000-00008B5C0000}"/>
    <cellStyle name="Normal 2 2 2 32 4 4" xfId="23689" xr:uid="{00000000-0005-0000-0000-00008C5C0000}"/>
    <cellStyle name="Normal 2 2 2 32 4 5" xfId="23690" xr:uid="{00000000-0005-0000-0000-00008D5C0000}"/>
    <cellStyle name="Normal 2 2 2 32 5" xfId="23691" xr:uid="{00000000-0005-0000-0000-00008E5C0000}"/>
    <cellStyle name="Normal 2 2 2 32 5 2" xfId="23692" xr:uid="{00000000-0005-0000-0000-00008F5C0000}"/>
    <cellStyle name="Normal 2 2 2 32 5 3" xfId="23693" xr:uid="{00000000-0005-0000-0000-0000905C0000}"/>
    <cellStyle name="Normal 2 2 2 32 5 4" xfId="23694" xr:uid="{00000000-0005-0000-0000-0000915C0000}"/>
    <cellStyle name="Normal 2 2 2 32 6" xfId="23695" xr:uid="{00000000-0005-0000-0000-0000925C0000}"/>
    <cellStyle name="Normal 2 2 2 32 6 2" xfId="23696" xr:uid="{00000000-0005-0000-0000-0000935C0000}"/>
    <cellStyle name="Normal 2 2 2 32 7" xfId="23697" xr:uid="{00000000-0005-0000-0000-0000945C0000}"/>
    <cellStyle name="Normal 2 2 2 32 8" xfId="23698" xr:uid="{00000000-0005-0000-0000-0000955C0000}"/>
    <cellStyle name="Normal 2 2 2 32 9" xfId="23699" xr:uid="{00000000-0005-0000-0000-0000965C0000}"/>
    <cellStyle name="Normal 2 2 2 33" xfId="23700" xr:uid="{00000000-0005-0000-0000-0000975C0000}"/>
    <cellStyle name="Normal 2 2 2 33 2" xfId="23701" xr:uid="{00000000-0005-0000-0000-0000985C0000}"/>
    <cellStyle name="Normal 2 2 2 33 2 2" xfId="23702" xr:uid="{00000000-0005-0000-0000-0000995C0000}"/>
    <cellStyle name="Normal 2 2 2 33 2 2 2" xfId="23703" xr:uid="{00000000-0005-0000-0000-00009A5C0000}"/>
    <cellStyle name="Normal 2 2 2 33 2 2 3" xfId="23704" xr:uid="{00000000-0005-0000-0000-00009B5C0000}"/>
    <cellStyle name="Normal 2 2 2 33 2 3" xfId="23705" xr:uid="{00000000-0005-0000-0000-00009C5C0000}"/>
    <cellStyle name="Normal 2 2 2 33 2 4" xfId="23706" xr:uid="{00000000-0005-0000-0000-00009D5C0000}"/>
    <cellStyle name="Normal 2 2 2 33 2 5" xfId="23707" xr:uid="{00000000-0005-0000-0000-00009E5C0000}"/>
    <cellStyle name="Normal 2 2 2 33 2 6" xfId="23708" xr:uid="{00000000-0005-0000-0000-00009F5C0000}"/>
    <cellStyle name="Normal 2 2 2 33 3" xfId="23709" xr:uid="{00000000-0005-0000-0000-0000A05C0000}"/>
    <cellStyle name="Normal 2 2 2 33 3 2" xfId="23710" xr:uid="{00000000-0005-0000-0000-0000A15C0000}"/>
    <cellStyle name="Normal 2 2 2 33 3 2 2" xfId="23711" xr:uid="{00000000-0005-0000-0000-0000A25C0000}"/>
    <cellStyle name="Normal 2 2 2 33 3 3" xfId="23712" xr:uid="{00000000-0005-0000-0000-0000A35C0000}"/>
    <cellStyle name="Normal 2 2 2 33 3 4" xfId="23713" xr:uid="{00000000-0005-0000-0000-0000A45C0000}"/>
    <cellStyle name="Normal 2 2 2 33 3 5" xfId="23714" xr:uid="{00000000-0005-0000-0000-0000A55C0000}"/>
    <cellStyle name="Normal 2 2 2 33 4" xfId="23715" xr:uid="{00000000-0005-0000-0000-0000A65C0000}"/>
    <cellStyle name="Normal 2 2 2 33 4 2" xfId="23716" xr:uid="{00000000-0005-0000-0000-0000A75C0000}"/>
    <cellStyle name="Normal 2 2 2 33 4 3" xfId="23717" xr:uid="{00000000-0005-0000-0000-0000A85C0000}"/>
    <cellStyle name="Normal 2 2 2 33 4 4" xfId="23718" xr:uid="{00000000-0005-0000-0000-0000A95C0000}"/>
    <cellStyle name="Normal 2 2 2 33 5" xfId="23719" xr:uid="{00000000-0005-0000-0000-0000AA5C0000}"/>
    <cellStyle name="Normal 2 2 2 33 5 2" xfId="23720" xr:uid="{00000000-0005-0000-0000-0000AB5C0000}"/>
    <cellStyle name="Normal 2 2 2 33 6" xfId="23721" xr:uid="{00000000-0005-0000-0000-0000AC5C0000}"/>
    <cellStyle name="Normal 2 2 2 33 7" xfId="23722" xr:uid="{00000000-0005-0000-0000-0000AD5C0000}"/>
    <cellStyle name="Normal 2 2 2 33 8" xfId="23723" xr:uid="{00000000-0005-0000-0000-0000AE5C0000}"/>
    <cellStyle name="Normal 2 2 2 33 9" xfId="23724" xr:uid="{00000000-0005-0000-0000-0000AF5C0000}"/>
    <cellStyle name="Normal 2 2 2 34" xfId="23725" xr:uid="{00000000-0005-0000-0000-0000B05C0000}"/>
    <cellStyle name="Normal 2 2 2 34 2" xfId="23726" xr:uid="{00000000-0005-0000-0000-0000B15C0000}"/>
    <cellStyle name="Normal 2 2 2 34 3" xfId="23727" xr:uid="{00000000-0005-0000-0000-0000B25C0000}"/>
    <cellStyle name="Normal 2 2 2 34 4" xfId="23728" xr:uid="{00000000-0005-0000-0000-0000B35C0000}"/>
    <cellStyle name="Normal 2 2 2 35" xfId="23729" xr:uid="{00000000-0005-0000-0000-0000B45C0000}"/>
    <cellStyle name="Normal 2 2 2 35 2" xfId="23730" xr:uid="{00000000-0005-0000-0000-0000B55C0000}"/>
    <cellStyle name="Normal 2 2 2 35 2 2" xfId="23731" xr:uid="{00000000-0005-0000-0000-0000B65C0000}"/>
    <cellStyle name="Normal 2 2 2 35 2 3" xfId="23732" xr:uid="{00000000-0005-0000-0000-0000B75C0000}"/>
    <cellStyle name="Normal 2 2 2 35 3" xfId="23733" xr:uid="{00000000-0005-0000-0000-0000B85C0000}"/>
    <cellStyle name="Normal 2 2 2 35 4" xfId="23734" xr:uid="{00000000-0005-0000-0000-0000B95C0000}"/>
    <cellStyle name="Normal 2 2 2 35 5" xfId="23735" xr:uid="{00000000-0005-0000-0000-0000BA5C0000}"/>
    <cellStyle name="Normal 2 2 2 35 6" xfId="23736" xr:uid="{00000000-0005-0000-0000-0000BB5C0000}"/>
    <cellStyle name="Normal 2 2 2 36" xfId="23737" xr:uid="{00000000-0005-0000-0000-0000BC5C0000}"/>
    <cellStyle name="Normal 2 2 2 36 2" xfId="23738" xr:uid="{00000000-0005-0000-0000-0000BD5C0000}"/>
    <cellStyle name="Normal 2 2 2 36 2 2" xfId="23739" xr:uid="{00000000-0005-0000-0000-0000BE5C0000}"/>
    <cellStyle name="Normal 2 2 2 36 3" xfId="23740" xr:uid="{00000000-0005-0000-0000-0000BF5C0000}"/>
    <cellStyle name="Normal 2 2 2 36 4" xfId="23741" xr:uid="{00000000-0005-0000-0000-0000C05C0000}"/>
    <cellStyle name="Normal 2 2 2 36 5" xfId="23742" xr:uid="{00000000-0005-0000-0000-0000C15C0000}"/>
    <cellStyle name="Normal 2 2 2 36 6" xfId="23743" xr:uid="{00000000-0005-0000-0000-0000C25C0000}"/>
    <cellStyle name="Normal 2 2 2 37" xfId="23744" xr:uid="{00000000-0005-0000-0000-0000C35C0000}"/>
    <cellStyle name="Normal 2 2 2 37 2" xfId="23745" xr:uid="{00000000-0005-0000-0000-0000C45C0000}"/>
    <cellStyle name="Normal 2 2 2 37 3" xfId="23746" xr:uid="{00000000-0005-0000-0000-0000C55C0000}"/>
    <cellStyle name="Normal 2 2 2 38" xfId="23747" xr:uid="{00000000-0005-0000-0000-0000C65C0000}"/>
    <cellStyle name="Normal 2 2 2 39" xfId="23748" xr:uid="{00000000-0005-0000-0000-0000C75C0000}"/>
    <cellStyle name="Normal 2 2 2 4" xfId="23749" xr:uid="{00000000-0005-0000-0000-0000C85C0000}"/>
    <cellStyle name="Normal 2 2 2 4 10" xfId="23750" xr:uid="{00000000-0005-0000-0000-0000C95C0000}"/>
    <cellStyle name="Normal 2 2 2 4 11" xfId="23751" xr:uid="{00000000-0005-0000-0000-0000CA5C0000}"/>
    <cellStyle name="Normal 2 2 2 4 2" xfId="23752" xr:uid="{00000000-0005-0000-0000-0000CB5C0000}"/>
    <cellStyle name="Normal 2 2 2 4 2 2" xfId="23753" xr:uid="{00000000-0005-0000-0000-0000CC5C0000}"/>
    <cellStyle name="Normal 2 2 2 4 2 2 2" xfId="23754" xr:uid="{00000000-0005-0000-0000-0000CD5C0000}"/>
    <cellStyle name="Normal 2 2 2 4 2 2 2 2" xfId="23755" xr:uid="{00000000-0005-0000-0000-0000CE5C0000}"/>
    <cellStyle name="Normal 2 2 2 4 2 2 2 3" xfId="23756" xr:uid="{00000000-0005-0000-0000-0000CF5C0000}"/>
    <cellStyle name="Normal 2 2 2 4 2 2 3" xfId="23757" xr:uid="{00000000-0005-0000-0000-0000D05C0000}"/>
    <cellStyle name="Normal 2 2 2 4 2 2 4" xfId="23758" xr:uid="{00000000-0005-0000-0000-0000D15C0000}"/>
    <cellStyle name="Normal 2 2 2 4 2 2 5" xfId="23759" xr:uid="{00000000-0005-0000-0000-0000D25C0000}"/>
    <cellStyle name="Normal 2 2 2 4 2 2 6" xfId="23760" xr:uid="{00000000-0005-0000-0000-0000D35C0000}"/>
    <cellStyle name="Normal 2 2 2 4 2 3" xfId="23761" xr:uid="{00000000-0005-0000-0000-0000D45C0000}"/>
    <cellStyle name="Normal 2 2 2 4 2 3 2" xfId="23762" xr:uid="{00000000-0005-0000-0000-0000D55C0000}"/>
    <cellStyle name="Normal 2 2 2 4 2 3 2 2" xfId="23763" xr:uid="{00000000-0005-0000-0000-0000D65C0000}"/>
    <cellStyle name="Normal 2 2 2 4 2 3 3" xfId="23764" xr:uid="{00000000-0005-0000-0000-0000D75C0000}"/>
    <cellStyle name="Normal 2 2 2 4 2 3 4" xfId="23765" xr:uid="{00000000-0005-0000-0000-0000D85C0000}"/>
    <cellStyle name="Normal 2 2 2 4 2 3 5" xfId="23766" xr:uid="{00000000-0005-0000-0000-0000D95C0000}"/>
    <cellStyle name="Normal 2 2 2 4 2 4" xfId="23767" xr:uid="{00000000-0005-0000-0000-0000DA5C0000}"/>
    <cellStyle name="Normal 2 2 2 4 2 4 2" xfId="23768" xr:uid="{00000000-0005-0000-0000-0000DB5C0000}"/>
    <cellStyle name="Normal 2 2 2 4 2 4 3" xfId="23769" xr:uid="{00000000-0005-0000-0000-0000DC5C0000}"/>
    <cellStyle name="Normal 2 2 2 4 2 4 4" xfId="23770" xr:uid="{00000000-0005-0000-0000-0000DD5C0000}"/>
    <cellStyle name="Normal 2 2 2 4 2 5" xfId="23771" xr:uid="{00000000-0005-0000-0000-0000DE5C0000}"/>
    <cellStyle name="Normal 2 2 2 4 2 5 2" xfId="23772" xr:uid="{00000000-0005-0000-0000-0000DF5C0000}"/>
    <cellStyle name="Normal 2 2 2 4 2 6" xfId="23773" xr:uid="{00000000-0005-0000-0000-0000E05C0000}"/>
    <cellStyle name="Normal 2 2 2 4 2 7" xfId="23774" xr:uid="{00000000-0005-0000-0000-0000E15C0000}"/>
    <cellStyle name="Normal 2 2 2 4 2 8" xfId="23775" xr:uid="{00000000-0005-0000-0000-0000E25C0000}"/>
    <cellStyle name="Normal 2 2 2 4 2 9" xfId="23776" xr:uid="{00000000-0005-0000-0000-0000E35C0000}"/>
    <cellStyle name="Normal 2 2 2 4 3" xfId="23777" xr:uid="{00000000-0005-0000-0000-0000E45C0000}"/>
    <cellStyle name="Normal 2 2 2 4 3 2" xfId="23778" xr:uid="{00000000-0005-0000-0000-0000E55C0000}"/>
    <cellStyle name="Normal 2 2 2 4 3 2 2" xfId="23779" xr:uid="{00000000-0005-0000-0000-0000E65C0000}"/>
    <cellStyle name="Normal 2 2 2 4 3 2 2 2" xfId="23780" xr:uid="{00000000-0005-0000-0000-0000E75C0000}"/>
    <cellStyle name="Normal 2 2 2 4 3 2 2 3" xfId="23781" xr:uid="{00000000-0005-0000-0000-0000E85C0000}"/>
    <cellStyle name="Normal 2 2 2 4 3 2 3" xfId="23782" xr:uid="{00000000-0005-0000-0000-0000E95C0000}"/>
    <cellStyle name="Normal 2 2 2 4 3 2 4" xfId="23783" xr:uid="{00000000-0005-0000-0000-0000EA5C0000}"/>
    <cellStyle name="Normal 2 2 2 4 3 2 5" xfId="23784" xr:uid="{00000000-0005-0000-0000-0000EB5C0000}"/>
    <cellStyle name="Normal 2 2 2 4 3 2 6" xfId="23785" xr:uid="{00000000-0005-0000-0000-0000EC5C0000}"/>
    <cellStyle name="Normal 2 2 2 4 3 3" xfId="23786" xr:uid="{00000000-0005-0000-0000-0000ED5C0000}"/>
    <cellStyle name="Normal 2 2 2 4 3 3 2" xfId="23787" xr:uid="{00000000-0005-0000-0000-0000EE5C0000}"/>
    <cellStyle name="Normal 2 2 2 4 3 3 2 2" xfId="23788" xr:uid="{00000000-0005-0000-0000-0000EF5C0000}"/>
    <cellStyle name="Normal 2 2 2 4 3 3 3" xfId="23789" xr:uid="{00000000-0005-0000-0000-0000F05C0000}"/>
    <cellStyle name="Normal 2 2 2 4 3 3 4" xfId="23790" xr:uid="{00000000-0005-0000-0000-0000F15C0000}"/>
    <cellStyle name="Normal 2 2 2 4 3 3 5" xfId="23791" xr:uid="{00000000-0005-0000-0000-0000F25C0000}"/>
    <cellStyle name="Normal 2 2 2 4 3 4" xfId="23792" xr:uid="{00000000-0005-0000-0000-0000F35C0000}"/>
    <cellStyle name="Normal 2 2 2 4 3 4 2" xfId="23793" xr:uid="{00000000-0005-0000-0000-0000F45C0000}"/>
    <cellStyle name="Normal 2 2 2 4 3 4 3" xfId="23794" xr:uid="{00000000-0005-0000-0000-0000F55C0000}"/>
    <cellStyle name="Normal 2 2 2 4 3 4 4" xfId="23795" xr:uid="{00000000-0005-0000-0000-0000F65C0000}"/>
    <cellStyle name="Normal 2 2 2 4 3 5" xfId="23796" xr:uid="{00000000-0005-0000-0000-0000F75C0000}"/>
    <cellStyle name="Normal 2 2 2 4 3 5 2" xfId="23797" xr:uid="{00000000-0005-0000-0000-0000F85C0000}"/>
    <cellStyle name="Normal 2 2 2 4 3 6" xfId="23798" xr:uid="{00000000-0005-0000-0000-0000F95C0000}"/>
    <cellStyle name="Normal 2 2 2 4 3 7" xfId="23799" xr:uid="{00000000-0005-0000-0000-0000FA5C0000}"/>
    <cellStyle name="Normal 2 2 2 4 3 8" xfId="23800" xr:uid="{00000000-0005-0000-0000-0000FB5C0000}"/>
    <cellStyle name="Normal 2 2 2 4 3 9" xfId="23801" xr:uid="{00000000-0005-0000-0000-0000FC5C0000}"/>
    <cellStyle name="Normal 2 2 2 4 4" xfId="23802" xr:uid="{00000000-0005-0000-0000-0000FD5C0000}"/>
    <cellStyle name="Normal 2 2 2 4 4 2" xfId="23803" xr:uid="{00000000-0005-0000-0000-0000FE5C0000}"/>
    <cellStyle name="Normal 2 2 2 4 4 2 2" xfId="23804" xr:uid="{00000000-0005-0000-0000-0000FF5C0000}"/>
    <cellStyle name="Normal 2 2 2 4 4 2 3" xfId="23805" xr:uid="{00000000-0005-0000-0000-0000005D0000}"/>
    <cellStyle name="Normal 2 2 2 4 4 3" xfId="23806" xr:uid="{00000000-0005-0000-0000-0000015D0000}"/>
    <cellStyle name="Normal 2 2 2 4 4 4" xfId="23807" xr:uid="{00000000-0005-0000-0000-0000025D0000}"/>
    <cellStyle name="Normal 2 2 2 4 4 5" xfId="23808" xr:uid="{00000000-0005-0000-0000-0000035D0000}"/>
    <cellStyle name="Normal 2 2 2 4 4 6" xfId="23809" xr:uid="{00000000-0005-0000-0000-0000045D0000}"/>
    <cellStyle name="Normal 2 2 2 4 5" xfId="23810" xr:uid="{00000000-0005-0000-0000-0000055D0000}"/>
    <cellStyle name="Normal 2 2 2 4 5 2" xfId="23811" xr:uid="{00000000-0005-0000-0000-0000065D0000}"/>
    <cellStyle name="Normal 2 2 2 4 5 2 2" xfId="23812" xr:uid="{00000000-0005-0000-0000-0000075D0000}"/>
    <cellStyle name="Normal 2 2 2 4 5 3" xfId="23813" xr:uid="{00000000-0005-0000-0000-0000085D0000}"/>
    <cellStyle name="Normal 2 2 2 4 5 4" xfId="23814" xr:uid="{00000000-0005-0000-0000-0000095D0000}"/>
    <cellStyle name="Normal 2 2 2 4 5 5" xfId="23815" xr:uid="{00000000-0005-0000-0000-00000A5D0000}"/>
    <cellStyle name="Normal 2 2 2 4 6" xfId="23816" xr:uid="{00000000-0005-0000-0000-00000B5D0000}"/>
    <cellStyle name="Normal 2 2 2 4 6 2" xfId="23817" xr:uid="{00000000-0005-0000-0000-00000C5D0000}"/>
    <cellStyle name="Normal 2 2 2 4 6 3" xfId="23818" xr:uid="{00000000-0005-0000-0000-00000D5D0000}"/>
    <cellStyle name="Normal 2 2 2 4 6 4" xfId="23819" xr:uid="{00000000-0005-0000-0000-00000E5D0000}"/>
    <cellStyle name="Normal 2 2 2 4 7" xfId="23820" xr:uid="{00000000-0005-0000-0000-00000F5D0000}"/>
    <cellStyle name="Normal 2 2 2 4 7 2" xfId="23821" xr:uid="{00000000-0005-0000-0000-0000105D0000}"/>
    <cellStyle name="Normal 2 2 2 4 8" xfId="23822" xr:uid="{00000000-0005-0000-0000-0000115D0000}"/>
    <cellStyle name="Normal 2 2 2 4 9" xfId="23823" xr:uid="{00000000-0005-0000-0000-0000125D0000}"/>
    <cellStyle name="Normal 2 2 2 40" xfId="23824" xr:uid="{00000000-0005-0000-0000-0000135D0000}"/>
    <cellStyle name="Normal 2 2 2 41" xfId="23825" xr:uid="{00000000-0005-0000-0000-0000145D0000}"/>
    <cellStyle name="Normal 2 2 2 5" xfId="23826" xr:uid="{00000000-0005-0000-0000-0000155D0000}"/>
    <cellStyle name="Normal 2 2 2 5 10" xfId="23827" xr:uid="{00000000-0005-0000-0000-0000165D0000}"/>
    <cellStyle name="Normal 2 2 2 5 11" xfId="23828" xr:uid="{00000000-0005-0000-0000-0000175D0000}"/>
    <cellStyle name="Normal 2 2 2 5 2" xfId="23829" xr:uid="{00000000-0005-0000-0000-0000185D0000}"/>
    <cellStyle name="Normal 2 2 2 5 2 2" xfId="23830" xr:uid="{00000000-0005-0000-0000-0000195D0000}"/>
    <cellStyle name="Normal 2 2 2 5 2 2 2" xfId="23831" xr:uid="{00000000-0005-0000-0000-00001A5D0000}"/>
    <cellStyle name="Normal 2 2 2 5 2 2 2 2" xfId="23832" xr:uid="{00000000-0005-0000-0000-00001B5D0000}"/>
    <cellStyle name="Normal 2 2 2 5 2 2 2 3" xfId="23833" xr:uid="{00000000-0005-0000-0000-00001C5D0000}"/>
    <cellStyle name="Normal 2 2 2 5 2 2 3" xfId="23834" xr:uid="{00000000-0005-0000-0000-00001D5D0000}"/>
    <cellStyle name="Normal 2 2 2 5 2 2 4" xfId="23835" xr:uid="{00000000-0005-0000-0000-00001E5D0000}"/>
    <cellStyle name="Normal 2 2 2 5 2 2 5" xfId="23836" xr:uid="{00000000-0005-0000-0000-00001F5D0000}"/>
    <cellStyle name="Normal 2 2 2 5 2 2 6" xfId="23837" xr:uid="{00000000-0005-0000-0000-0000205D0000}"/>
    <cellStyle name="Normal 2 2 2 5 2 3" xfId="23838" xr:uid="{00000000-0005-0000-0000-0000215D0000}"/>
    <cellStyle name="Normal 2 2 2 5 2 3 2" xfId="23839" xr:uid="{00000000-0005-0000-0000-0000225D0000}"/>
    <cellStyle name="Normal 2 2 2 5 2 3 2 2" xfId="23840" xr:uid="{00000000-0005-0000-0000-0000235D0000}"/>
    <cellStyle name="Normal 2 2 2 5 2 3 3" xfId="23841" xr:uid="{00000000-0005-0000-0000-0000245D0000}"/>
    <cellStyle name="Normal 2 2 2 5 2 3 4" xfId="23842" xr:uid="{00000000-0005-0000-0000-0000255D0000}"/>
    <cellStyle name="Normal 2 2 2 5 2 3 5" xfId="23843" xr:uid="{00000000-0005-0000-0000-0000265D0000}"/>
    <cellStyle name="Normal 2 2 2 5 2 4" xfId="23844" xr:uid="{00000000-0005-0000-0000-0000275D0000}"/>
    <cellStyle name="Normal 2 2 2 5 2 4 2" xfId="23845" xr:uid="{00000000-0005-0000-0000-0000285D0000}"/>
    <cellStyle name="Normal 2 2 2 5 2 4 3" xfId="23846" xr:uid="{00000000-0005-0000-0000-0000295D0000}"/>
    <cellStyle name="Normal 2 2 2 5 2 4 4" xfId="23847" xr:uid="{00000000-0005-0000-0000-00002A5D0000}"/>
    <cellStyle name="Normal 2 2 2 5 2 5" xfId="23848" xr:uid="{00000000-0005-0000-0000-00002B5D0000}"/>
    <cellStyle name="Normal 2 2 2 5 2 5 2" xfId="23849" xr:uid="{00000000-0005-0000-0000-00002C5D0000}"/>
    <cellStyle name="Normal 2 2 2 5 2 6" xfId="23850" xr:uid="{00000000-0005-0000-0000-00002D5D0000}"/>
    <cellStyle name="Normal 2 2 2 5 2 7" xfId="23851" xr:uid="{00000000-0005-0000-0000-00002E5D0000}"/>
    <cellStyle name="Normal 2 2 2 5 2 8" xfId="23852" xr:uid="{00000000-0005-0000-0000-00002F5D0000}"/>
    <cellStyle name="Normal 2 2 2 5 2 9" xfId="23853" xr:uid="{00000000-0005-0000-0000-0000305D0000}"/>
    <cellStyle name="Normal 2 2 2 5 3" xfId="23854" xr:uid="{00000000-0005-0000-0000-0000315D0000}"/>
    <cellStyle name="Normal 2 2 2 5 3 2" xfId="23855" xr:uid="{00000000-0005-0000-0000-0000325D0000}"/>
    <cellStyle name="Normal 2 2 2 5 3 2 2" xfId="23856" xr:uid="{00000000-0005-0000-0000-0000335D0000}"/>
    <cellStyle name="Normal 2 2 2 5 3 2 2 2" xfId="23857" xr:uid="{00000000-0005-0000-0000-0000345D0000}"/>
    <cellStyle name="Normal 2 2 2 5 3 2 2 3" xfId="23858" xr:uid="{00000000-0005-0000-0000-0000355D0000}"/>
    <cellStyle name="Normal 2 2 2 5 3 2 3" xfId="23859" xr:uid="{00000000-0005-0000-0000-0000365D0000}"/>
    <cellStyle name="Normal 2 2 2 5 3 2 4" xfId="23860" xr:uid="{00000000-0005-0000-0000-0000375D0000}"/>
    <cellStyle name="Normal 2 2 2 5 3 2 5" xfId="23861" xr:uid="{00000000-0005-0000-0000-0000385D0000}"/>
    <cellStyle name="Normal 2 2 2 5 3 2 6" xfId="23862" xr:uid="{00000000-0005-0000-0000-0000395D0000}"/>
    <cellStyle name="Normal 2 2 2 5 3 3" xfId="23863" xr:uid="{00000000-0005-0000-0000-00003A5D0000}"/>
    <cellStyle name="Normal 2 2 2 5 3 3 2" xfId="23864" xr:uid="{00000000-0005-0000-0000-00003B5D0000}"/>
    <cellStyle name="Normal 2 2 2 5 3 3 2 2" xfId="23865" xr:uid="{00000000-0005-0000-0000-00003C5D0000}"/>
    <cellStyle name="Normal 2 2 2 5 3 3 3" xfId="23866" xr:uid="{00000000-0005-0000-0000-00003D5D0000}"/>
    <cellStyle name="Normal 2 2 2 5 3 3 4" xfId="23867" xr:uid="{00000000-0005-0000-0000-00003E5D0000}"/>
    <cellStyle name="Normal 2 2 2 5 3 3 5" xfId="23868" xr:uid="{00000000-0005-0000-0000-00003F5D0000}"/>
    <cellStyle name="Normal 2 2 2 5 3 4" xfId="23869" xr:uid="{00000000-0005-0000-0000-0000405D0000}"/>
    <cellStyle name="Normal 2 2 2 5 3 4 2" xfId="23870" xr:uid="{00000000-0005-0000-0000-0000415D0000}"/>
    <cellStyle name="Normal 2 2 2 5 3 4 3" xfId="23871" xr:uid="{00000000-0005-0000-0000-0000425D0000}"/>
    <cellStyle name="Normal 2 2 2 5 3 4 4" xfId="23872" xr:uid="{00000000-0005-0000-0000-0000435D0000}"/>
    <cellStyle name="Normal 2 2 2 5 3 5" xfId="23873" xr:uid="{00000000-0005-0000-0000-0000445D0000}"/>
    <cellStyle name="Normal 2 2 2 5 3 5 2" xfId="23874" xr:uid="{00000000-0005-0000-0000-0000455D0000}"/>
    <cellStyle name="Normal 2 2 2 5 3 6" xfId="23875" xr:uid="{00000000-0005-0000-0000-0000465D0000}"/>
    <cellStyle name="Normal 2 2 2 5 3 7" xfId="23876" xr:uid="{00000000-0005-0000-0000-0000475D0000}"/>
    <cellStyle name="Normal 2 2 2 5 3 8" xfId="23877" xr:uid="{00000000-0005-0000-0000-0000485D0000}"/>
    <cellStyle name="Normal 2 2 2 5 3 9" xfId="23878" xr:uid="{00000000-0005-0000-0000-0000495D0000}"/>
    <cellStyle name="Normal 2 2 2 5 4" xfId="23879" xr:uid="{00000000-0005-0000-0000-00004A5D0000}"/>
    <cellStyle name="Normal 2 2 2 5 4 2" xfId="23880" xr:uid="{00000000-0005-0000-0000-00004B5D0000}"/>
    <cellStyle name="Normal 2 2 2 5 4 2 2" xfId="23881" xr:uid="{00000000-0005-0000-0000-00004C5D0000}"/>
    <cellStyle name="Normal 2 2 2 5 4 2 3" xfId="23882" xr:uid="{00000000-0005-0000-0000-00004D5D0000}"/>
    <cellStyle name="Normal 2 2 2 5 4 3" xfId="23883" xr:uid="{00000000-0005-0000-0000-00004E5D0000}"/>
    <cellStyle name="Normal 2 2 2 5 4 4" xfId="23884" xr:uid="{00000000-0005-0000-0000-00004F5D0000}"/>
    <cellStyle name="Normal 2 2 2 5 4 5" xfId="23885" xr:uid="{00000000-0005-0000-0000-0000505D0000}"/>
    <cellStyle name="Normal 2 2 2 5 4 6" xfId="23886" xr:uid="{00000000-0005-0000-0000-0000515D0000}"/>
    <cellStyle name="Normal 2 2 2 5 5" xfId="23887" xr:uid="{00000000-0005-0000-0000-0000525D0000}"/>
    <cellStyle name="Normal 2 2 2 5 5 2" xfId="23888" xr:uid="{00000000-0005-0000-0000-0000535D0000}"/>
    <cellStyle name="Normal 2 2 2 5 5 2 2" xfId="23889" xr:uid="{00000000-0005-0000-0000-0000545D0000}"/>
    <cellStyle name="Normal 2 2 2 5 5 3" xfId="23890" xr:uid="{00000000-0005-0000-0000-0000555D0000}"/>
    <cellStyle name="Normal 2 2 2 5 5 4" xfId="23891" xr:uid="{00000000-0005-0000-0000-0000565D0000}"/>
    <cellStyle name="Normal 2 2 2 5 5 5" xfId="23892" xr:uid="{00000000-0005-0000-0000-0000575D0000}"/>
    <cellStyle name="Normal 2 2 2 5 6" xfId="23893" xr:uid="{00000000-0005-0000-0000-0000585D0000}"/>
    <cellStyle name="Normal 2 2 2 5 6 2" xfId="23894" xr:uid="{00000000-0005-0000-0000-0000595D0000}"/>
    <cellStyle name="Normal 2 2 2 5 6 3" xfId="23895" xr:uid="{00000000-0005-0000-0000-00005A5D0000}"/>
    <cellStyle name="Normal 2 2 2 5 6 4" xfId="23896" xr:uid="{00000000-0005-0000-0000-00005B5D0000}"/>
    <cellStyle name="Normal 2 2 2 5 7" xfId="23897" xr:uid="{00000000-0005-0000-0000-00005C5D0000}"/>
    <cellStyle name="Normal 2 2 2 5 7 2" xfId="23898" xr:uid="{00000000-0005-0000-0000-00005D5D0000}"/>
    <cellStyle name="Normal 2 2 2 5 8" xfId="23899" xr:uid="{00000000-0005-0000-0000-00005E5D0000}"/>
    <cellStyle name="Normal 2 2 2 5 9" xfId="23900" xr:uid="{00000000-0005-0000-0000-00005F5D0000}"/>
    <cellStyle name="Normal 2 2 2 6" xfId="23901" xr:uid="{00000000-0005-0000-0000-0000605D0000}"/>
    <cellStyle name="Normal 2 2 2 6 10" xfId="23902" xr:uid="{00000000-0005-0000-0000-0000615D0000}"/>
    <cellStyle name="Normal 2 2 2 6 11" xfId="23903" xr:uid="{00000000-0005-0000-0000-0000625D0000}"/>
    <cellStyle name="Normal 2 2 2 6 2" xfId="23904" xr:uid="{00000000-0005-0000-0000-0000635D0000}"/>
    <cellStyle name="Normal 2 2 2 6 2 2" xfId="23905" xr:uid="{00000000-0005-0000-0000-0000645D0000}"/>
    <cellStyle name="Normal 2 2 2 6 2 2 2" xfId="23906" xr:uid="{00000000-0005-0000-0000-0000655D0000}"/>
    <cellStyle name="Normal 2 2 2 6 2 2 2 2" xfId="23907" xr:uid="{00000000-0005-0000-0000-0000665D0000}"/>
    <cellStyle name="Normal 2 2 2 6 2 2 2 3" xfId="23908" xr:uid="{00000000-0005-0000-0000-0000675D0000}"/>
    <cellStyle name="Normal 2 2 2 6 2 2 3" xfId="23909" xr:uid="{00000000-0005-0000-0000-0000685D0000}"/>
    <cellStyle name="Normal 2 2 2 6 2 2 4" xfId="23910" xr:uid="{00000000-0005-0000-0000-0000695D0000}"/>
    <cellStyle name="Normal 2 2 2 6 2 2 5" xfId="23911" xr:uid="{00000000-0005-0000-0000-00006A5D0000}"/>
    <cellStyle name="Normal 2 2 2 6 2 2 6" xfId="23912" xr:uid="{00000000-0005-0000-0000-00006B5D0000}"/>
    <cellStyle name="Normal 2 2 2 6 2 3" xfId="23913" xr:uid="{00000000-0005-0000-0000-00006C5D0000}"/>
    <cellStyle name="Normal 2 2 2 6 2 3 2" xfId="23914" xr:uid="{00000000-0005-0000-0000-00006D5D0000}"/>
    <cellStyle name="Normal 2 2 2 6 2 3 2 2" xfId="23915" xr:uid="{00000000-0005-0000-0000-00006E5D0000}"/>
    <cellStyle name="Normal 2 2 2 6 2 3 3" xfId="23916" xr:uid="{00000000-0005-0000-0000-00006F5D0000}"/>
    <cellStyle name="Normal 2 2 2 6 2 3 4" xfId="23917" xr:uid="{00000000-0005-0000-0000-0000705D0000}"/>
    <cellStyle name="Normal 2 2 2 6 2 3 5" xfId="23918" xr:uid="{00000000-0005-0000-0000-0000715D0000}"/>
    <cellStyle name="Normal 2 2 2 6 2 4" xfId="23919" xr:uid="{00000000-0005-0000-0000-0000725D0000}"/>
    <cellStyle name="Normal 2 2 2 6 2 4 2" xfId="23920" xr:uid="{00000000-0005-0000-0000-0000735D0000}"/>
    <cellStyle name="Normal 2 2 2 6 2 4 3" xfId="23921" xr:uid="{00000000-0005-0000-0000-0000745D0000}"/>
    <cellStyle name="Normal 2 2 2 6 2 4 4" xfId="23922" xr:uid="{00000000-0005-0000-0000-0000755D0000}"/>
    <cellStyle name="Normal 2 2 2 6 2 5" xfId="23923" xr:uid="{00000000-0005-0000-0000-0000765D0000}"/>
    <cellStyle name="Normal 2 2 2 6 2 5 2" xfId="23924" xr:uid="{00000000-0005-0000-0000-0000775D0000}"/>
    <cellStyle name="Normal 2 2 2 6 2 6" xfId="23925" xr:uid="{00000000-0005-0000-0000-0000785D0000}"/>
    <cellStyle name="Normal 2 2 2 6 2 7" xfId="23926" xr:uid="{00000000-0005-0000-0000-0000795D0000}"/>
    <cellStyle name="Normal 2 2 2 6 2 8" xfId="23927" xr:uid="{00000000-0005-0000-0000-00007A5D0000}"/>
    <cellStyle name="Normal 2 2 2 6 2 9" xfId="23928" xr:uid="{00000000-0005-0000-0000-00007B5D0000}"/>
    <cellStyle name="Normal 2 2 2 6 3" xfId="23929" xr:uid="{00000000-0005-0000-0000-00007C5D0000}"/>
    <cellStyle name="Normal 2 2 2 6 3 2" xfId="23930" xr:uid="{00000000-0005-0000-0000-00007D5D0000}"/>
    <cellStyle name="Normal 2 2 2 6 3 2 2" xfId="23931" xr:uid="{00000000-0005-0000-0000-00007E5D0000}"/>
    <cellStyle name="Normal 2 2 2 6 3 2 2 2" xfId="23932" xr:uid="{00000000-0005-0000-0000-00007F5D0000}"/>
    <cellStyle name="Normal 2 2 2 6 3 2 2 3" xfId="23933" xr:uid="{00000000-0005-0000-0000-0000805D0000}"/>
    <cellStyle name="Normal 2 2 2 6 3 2 3" xfId="23934" xr:uid="{00000000-0005-0000-0000-0000815D0000}"/>
    <cellStyle name="Normal 2 2 2 6 3 2 4" xfId="23935" xr:uid="{00000000-0005-0000-0000-0000825D0000}"/>
    <cellStyle name="Normal 2 2 2 6 3 2 5" xfId="23936" xr:uid="{00000000-0005-0000-0000-0000835D0000}"/>
    <cellStyle name="Normal 2 2 2 6 3 2 6" xfId="23937" xr:uid="{00000000-0005-0000-0000-0000845D0000}"/>
    <cellStyle name="Normal 2 2 2 6 3 3" xfId="23938" xr:uid="{00000000-0005-0000-0000-0000855D0000}"/>
    <cellStyle name="Normal 2 2 2 6 3 3 2" xfId="23939" xr:uid="{00000000-0005-0000-0000-0000865D0000}"/>
    <cellStyle name="Normal 2 2 2 6 3 3 2 2" xfId="23940" xr:uid="{00000000-0005-0000-0000-0000875D0000}"/>
    <cellStyle name="Normal 2 2 2 6 3 3 3" xfId="23941" xr:uid="{00000000-0005-0000-0000-0000885D0000}"/>
    <cellStyle name="Normal 2 2 2 6 3 3 4" xfId="23942" xr:uid="{00000000-0005-0000-0000-0000895D0000}"/>
    <cellStyle name="Normal 2 2 2 6 3 3 5" xfId="23943" xr:uid="{00000000-0005-0000-0000-00008A5D0000}"/>
    <cellStyle name="Normal 2 2 2 6 3 4" xfId="23944" xr:uid="{00000000-0005-0000-0000-00008B5D0000}"/>
    <cellStyle name="Normal 2 2 2 6 3 4 2" xfId="23945" xr:uid="{00000000-0005-0000-0000-00008C5D0000}"/>
    <cellStyle name="Normal 2 2 2 6 3 4 3" xfId="23946" xr:uid="{00000000-0005-0000-0000-00008D5D0000}"/>
    <cellStyle name="Normal 2 2 2 6 3 4 4" xfId="23947" xr:uid="{00000000-0005-0000-0000-00008E5D0000}"/>
    <cellStyle name="Normal 2 2 2 6 3 5" xfId="23948" xr:uid="{00000000-0005-0000-0000-00008F5D0000}"/>
    <cellStyle name="Normal 2 2 2 6 3 5 2" xfId="23949" xr:uid="{00000000-0005-0000-0000-0000905D0000}"/>
    <cellStyle name="Normal 2 2 2 6 3 6" xfId="23950" xr:uid="{00000000-0005-0000-0000-0000915D0000}"/>
    <cellStyle name="Normal 2 2 2 6 3 7" xfId="23951" xr:uid="{00000000-0005-0000-0000-0000925D0000}"/>
    <cellStyle name="Normal 2 2 2 6 3 8" xfId="23952" xr:uid="{00000000-0005-0000-0000-0000935D0000}"/>
    <cellStyle name="Normal 2 2 2 6 3 9" xfId="23953" xr:uid="{00000000-0005-0000-0000-0000945D0000}"/>
    <cellStyle name="Normal 2 2 2 6 4" xfId="23954" xr:uid="{00000000-0005-0000-0000-0000955D0000}"/>
    <cellStyle name="Normal 2 2 2 6 4 2" xfId="23955" xr:uid="{00000000-0005-0000-0000-0000965D0000}"/>
    <cellStyle name="Normal 2 2 2 6 4 2 2" xfId="23956" xr:uid="{00000000-0005-0000-0000-0000975D0000}"/>
    <cellStyle name="Normal 2 2 2 6 4 2 3" xfId="23957" xr:uid="{00000000-0005-0000-0000-0000985D0000}"/>
    <cellStyle name="Normal 2 2 2 6 4 3" xfId="23958" xr:uid="{00000000-0005-0000-0000-0000995D0000}"/>
    <cellStyle name="Normal 2 2 2 6 4 4" xfId="23959" xr:uid="{00000000-0005-0000-0000-00009A5D0000}"/>
    <cellStyle name="Normal 2 2 2 6 4 5" xfId="23960" xr:uid="{00000000-0005-0000-0000-00009B5D0000}"/>
    <cellStyle name="Normal 2 2 2 6 4 6" xfId="23961" xr:uid="{00000000-0005-0000-0000-00009C5D0000}"/>
    <cellStyle name="Normal 2 2 2 6 5" xfId="23962" xr:uid="{00000000-0005-0000-0000-00009D5D0000}"/>
    <cellStyle name="Normal 2 2 2 6 5 2" xfId="23963" xr:uid="{00000000-0005-0000-0000-00009E5D0000}"/>
    <cellStyle name="Normal 2 2 2 6 5 2 2" xfId="23964" xr:uid="{00000000-0005-0000-0000-00009F5D0000}"/>
    <cellStyle name="Normal 2 2 2 6 5 3" xfId="23965" xr:uid="{00000000-0005-0000-0000-0000A05D0000}"/>
    <cellStyle name="Normal 2 2 2 6 5 4" xfId="23966" xr:uid="{00000000-0005-0000-0000-0000A15D0000}"/>
    <cellStyle name="Normal 2 2 2 6 5 5" xfId="23967" xr:uid="{00000000-0005-0000-0000-0000A25D0000}"/>
    <cellStyle name="Normal 2 2 2 6 6" xfId="23968" xr:uid="{00000000-0005-0000-0000-0000A35D0000}"/>
    <cellStyle name="Normal 2 2 2 6 6 2" xfId="23969" xr:uid="{00000000-0005-0000-0000-0000A45D0000}"/>
    <cellStyle name="Normal 2 2 2 6 6 3" xfId="23970" xr:uid="{00000000-0005-0000-0000-0000A55D0000}"/>
    <cellStyle name="Normal 2 2 2 6 6 4" xfId="23971" xr:uid="{00000000-0005-0000-0000-0000A65D0000}"/>
    <cellStyle name="Normal 2 2 2 6 7" xfId="23972" xr:uid="{00000000-0005-0000-0000-0000A75D0000}"/>
    <cellStyle name="Normal 2 2 2 6 7 2" xfId="23973" xr:uid="{00000000-0005-0000-0000-0000A85D0000}"/>
    <cellStyle name="Normal 2 2 2 6 8" xfId="23974" xr:uid="{00000000-0005-0000-0000-0000A95D0000}"/>
    <cellStyle name="Normal 2 2 2 6 9" xfId="23975" xr:uid="{00000000-0005-0000-0000-0000AA5D0000}"/>
    <cellStyle name="Normal 2 2 2 7" xfId="23976" xr:uid="{00000000-0005-0000-0000-0000AB5D0000}"/>
    <cellStyle name="Normal 2 2 2 7 10" xfId="23977" xr:uid="{00000000-0005-0000-0000-0000AC5D0000}"/>
    <cellStyle name="Normal 2 2 2 7 11" xfId="23978" xr:uid="{00000000-0005-0000-0000-0000AD5D0000}"/>
    <cellStyle name="Normal 2 2 2 7 2" xfId="23979" xr:uid="{00000000-0005-0000-0000-0000AE5D0000}"/>
    <cellStyle name="Normal 2 2 2 7 2 2" xfId="23980" xr:uid="{00000000-0005-0000-0000-0000AF5D0000}"/>
    <cellStyle name="Normal 2 2 2 7 2 2 2" xfId="23981" xr:uid="{00000000-0005-0000-0000-0000B05D0000}"/>
    <cellStyle name="Normal 2 2 2 7 2 2 2 2" xfId="23982" xr:uid="{00000000-0005-0000-0000-0000B15D0000}"/>
    <cellStyle name="Normal 2 2 2 7 2 2 2 3" xfId="23983" xr:uid="{00000000-0005-0000-0000-0000B25D0000}"/>
    <cellStyle name="Normal 2 2 2 7 2 2 3" xfId="23984" xr:uid="{00000000-0005-0000-0000-0000B35D0000}"/>
    <cellStyle name="Normal 2 2 2 7 2 2 4" xfId="23985" xr:uid="{00000000-0005-0000-0000-0000B45D0000}"/>
    <cellStyle name="Normal 2 2 2 7 2 2 5" xfId="23986" xr:uid="{00000000-0005-0000-0000-0000B55D0000}"/>
    <cellStyle name="Normal 2 2 2 7 2 2 6" xfId="23987" xr:uid="{00000000-0005-0000-0000-0000B65D0000}"/>
    <cellStyle name="Normal 2 2 2 7 2 3" xfId="23988" xr:uid="{00000000-0005-0000-0000-0000B75D0000}"/>
    <cellStyle name="Normal 2 2 2 7 2 3 2" xfId="23989" xr:uid="{00000000-0005-0000-0000-0000B85D0000}"/>
    <cellStyle name="Normal 2 2 2 7 2 3 2 2" xfId="23990" xr:uid="{00000000-0005-0000-0000-0000B95D0000}"/>
    <cellStyle name="Normal 2 2 2 7 2 3 3" xfId="23991" xr:uid="{00000000-0005-0000-0000-0000BA5D0000}"/>
    <cellStyle name="Normal 2 2 2 7 2 3 4" xfId="23992" xr:uid="{00000000-0005-0000-0000-0000BB5D0000}"/>
    <cellStyle name="Normal 2 2 2 7 2 3 5" xfId="23993" xr:uid="{00000000-0005-0000-0000-0000BC5D0000}"/>
    <cellStyle name="Normal 2 2 2 7 2 4" xfId="23994" xr:uid="{00000000-0005-0000-0000-0000BD5D0000}"/>
    <cellStyle name="Normal 2 2 2 7 2 4 2" xfId="23995" xr:uid="{00000000-0005-0000-0000-0000BE5D0000}"/>
    <cellStyle name="Normal 2 2 2 7 2 4 3" xfId="23996" xr:uid="{00000000-0005-0000-0000-0000BF5D0000}"/>
    <cellStyle name="Normal 2 2 2 7 2 4 4" xfId="23997" xr:uid="{00000000-0005-0000-0000-0000C05D0000}"/>
    <cellStyle name="Normal 2 2 2 7 2 5" xfId="23998" xr:uid="{00000000-0005-0000-0000-0000C15D0000}"/>
    <cellStyle name="Normal 2 2 2 7 2 5 2" xfId="23999" xr:uid="{00000000-0005-0000-0000-0000C25D0000}"/>
    <cellStyle name="Normal 2 2 2 7 2 6" xfId="24000" xr:uid="{00000000-0005-0000-0000-0000C35D0000}"/>
    <cellStyle name="Normal 2 2 2 7 2 7" xfId="24001" xr:uid="{00000000-0005-0000-0000-0000C45D0000}"/>
    <cellStyle name="Normal 2 2 2 7 2 8" xfId="24002" xr:uid="{00000000-0005-0000-0000-0000C55D0000}"/>
    <cellStyle name="Normal 2 2 2 7 2 9" xfId="24003" xr:uid="{00000000-0005-0000-0000-0000C65D0000}"/>
    <cellStyle name="Normal 2 2 2 7 3" xfId="24004" xr:uid="{00000000-0005-0000-0000-0000C75D0000}"/>
    <cellStyle name="Normal 2 2 2 7 3 2" xfId="24005" xr:uid="{00000000-0005-0000-0000-0000C85D0000}"/>
    <cellStyle name="Normal 2 2 2 7 3 2 2" xfId="24006" xr:uid="{00000000-0005-0000-0000-0000C95D0000}"/>
    <cellStyle name="Normal 2 2 2 7 3 2 2 2" xfId="24007" xr:uid="{00000000-0005-0000-0000-0000CA5D0000}"/>
    <cellStyle name="Normal 2 2 2 7 3 2 2 3" xfId="24008" xr:uid="{00000000-0005-0000-0000-0000CB5D0000}"/>
    <cellStyle name="Normal 2 2 2 7 3 2 3" xfId="24009" xr:uid="{00000000-0005-0000-0000-0000CC5D0000}"/>
    <cellStyle name="Normal 2 2 2 7 3 2 4" xfId="24010" xr:uid="{00000000-0005-0000-0000-0000CD5D0000}"/>
    <cellStyle name="Normal 2 2 2 7 3 2 5" xfId="24011" xr:uid="{00000000-0005-0000-0000-0000CE5D0000}"/>
    <cellStyle name="Normal 2 2 2 7 3 2 6" xfId="24012" xr:uid="{00000000-0005-0000-0000-0000CF5D0000}"/>
    <cellStyle name="Normal 2 2 2 7 3 3" xfId="24013" xr:uid="{00000000-0005-0000-0000-0000D05D0000}"/>
    <cellStyle name="Normal 2 2 2 7 3 3 2" xfId="24014" xr:uid="{00000000-0005-0000-0000-0000D15D0000}"/>
    <cellStyle name="Normal 2 2 2 7 3 3 2 2" xfId="24015" xr:uid="{00000000-0005-0000-0000-0000D25D0000}"/>
    <cellStyle name="Normal 2 2 2 7 3 3 3" xfId="24016" xr:uid="{00000000-0005-0000-0000-0000D35D0000}"/>
    <cellStyle name="Normal 2 2 2 7 3 3 4" xfId="24017" xr:uid="{00000000-0005-0000-0000-0000D45D0000}"/>
    <cellStyle name="Normal 2 2 2 7 3 3 5" xfId="24018" xr:uid="{00000000-0005-0000-0000-0000D55D0000}"/>
    <cellStyle name="Normal 2 2 2 7 3 4" xfId="24019" xr:uid="{00000000-0005-0000-0000-0000D65D0000}"/>
    <cellStyle name="Normal 2 2 2 7 3 4 2" xfId="24020" xr:uid="{00000000-0005-0000-0000-0000D75D0000}"/>
    <cellStyle name="Normal 2 2 2 7 3 4 3" xfId="24021" xr:uid="{00000000-0005-0000-0000-0000D85D0000}"/>
    <cellStyle name="Normal 2 2 2 7 3 4 4" xfId="24022" xr:uid="{00000000-0005-0000-0000-0000D95D0000}"/>
    <cellStyle name="Normal 2 2 2 7 3 5" xfId="24023" xr:uid="{00000000-0005-0000-0000-0000DA5D0000}"/>
    <cellStyle name="Normal 2 2 2 7 3 5 2" xfId="24024" xr:uid="{00000000-0005-0000-0000-0000DB5D0000}"/>
    <cellStyle name="Normal 2 2 2 7 3 6" xfId="24025" xr:uid="{00000000-0005-0000-0000-0000DC5D0000}"/>
    <cellStyle name="Normal 2 2 2 7 3 7" xfId="24026" xr:uid="{00000000-0005-0000-0000-0000DD5D0000}"/>
    <cellStyle name="Normal 2 2 2 7 3 8" xfId="24027" xr:uid="{00000000-0005-0000-0000-0000DE5D0000}"/>
    <cellStyle name="Normal 2 2 2 7 3 9" xfId="24028" xr:uid="{00000000-0005-0000-0000-0000DF5D0000}"/>
    <cellStyle name="Normal 2 2 2 7 4" xfId="24029" xr:uid="{00000000-0005-0000-0000-0000E05D0000}"/>
    <cellStyle name="Normal 2 2 2 7 4 2" xfId="24030" xr:uid="{00000000-0005-0000-0000-0000E15D0000}"/>
    <cellStyle name="Normal 2 2 2 7 4 2 2" xfId="24031" xr:uid="{00000000-0005-0000-0000-0000E25D0000}"/>
    <cellStyle name="Normal 2 2 2 7 4 2 3" xfId="24032" xr:uid="{00000000-0005-0000-0000-0000E35D0000}"/>
    <cellStyle name="Normal 2 2 2 7 4 3" xfId="24033" xr:uid="{00000000-0005-0000-0000-0000E45D0000}"/>
    <cellStyle name="Normal 2 2 2 7 4 4" xfId="24034" xr:uid="{00000000-0005-0000-0000-0000E55D0000}"/>
    <cellStyle name="Normal 2 2 2 7 4 5" xfId="24035" xr:uid="{00000000-0005-0000-0000-0000E65D0000}"/>
    <cellStyle name="Normal 2 2 2 7 4 6" xfId="24036" xr:uid="{00000000-0005-0000-0000-0000E75D0000}"/>
    <cellStyle name="Normal 2 2 2 7 5" xfId="24037" xr:uid="{00000000-0005-0000-0000-0000E85D0000}"/>
    <cellStyle name="Normal 2 2 2 7 5 2" xfId="24038" xr:uid="{00000000-0005-0000-0000-0000E95D0000}"/>
    <cellStyle name="Normal 2 2 2 7 5 2 2" xfId="24039" xr:uid="{00000000-0005-0000-0000-0000EA5D0000}"/>
    <cellStyle name="Normal 2 2 2 7 5 3" xfId="24040" xr:uid="{00000000-0005-0000-0000-0000EB5D0000}"/>
    <cellStyle name="Normal 2 2 2 7 5 4" xfId="24041" xr:uid="{00000000-0005-0000-0000-0000EC5D0000}"/>
    <cellStyle name="Normal 2 2 2 7 5 5" xfId="24042" xr:uid="{00000000-0005-0000-0000-0000ED5D0000}"/>
    <cellStyle name="Normal 2 2 2 7 6" xfId="24043" xr:uid="{00000000-0005-0000-0000-0000EE5D0000}"/>
    <cellStyle name="Normal 2 2 2 7 6 2" xfId="24044" xr:uid="{00000000-0005-0000-0000-0000EF5D0000}"/>
    <cellStyle name="Normal 2 2 2 7 6 3" xfId="24045" xr:uid="{00000000-0005-0000-0000-0000F05D0000}"/>
    <cellStyle name="Normal 2 2 2 7 6 4" xfId="24046" xr:uid="{00000000-0005-0000-0000-0000F15D0000}"/>
    <cellStyle name="Normal 2 2 2 7 7" xfId="24047" xr:uid="{00000000-0005-0000-0000-0000F25D0000}"/>
    <cellStyle name="Normal 2 2 2 7 7 2" xfId="24048" xr:uid="{00000000-0005-0000-0000-0000F35D0000}"/>
    <cellStyle name="Normal 2 2 2 7 8" xfId="24049" xr:uid="{00000000-0005-0000-0000-0000F45D0000}"/>
    <cellStyle name="Normal 2 2 2 7 9" xfId="24050" xr:uid="{00000000-0005-0000-0000-0000F55D0000}"/>
    <cellStyle name="Normal 2 2 2 8" xfId="24051" xr:uid="{00000000-0005-0000-0000-0000F65D0000}"/>
    <cellStyle name="Normal 2 2 2 8 10" xfId="24052" xr:uid="{00000000-0005-0000-0000-0000F75D0000}"/>
    <cellStyle name="Normal 2 2 2 8 2" xfId="24053" xr:uid="{00000000-0005-0000-0000-0000F85D0000}"/>
    <cellStyle name="Normal 2 2 2 8 2 2" xfId="24054" xr:uid="{00000000-0005-0000-0000-0000F95D0000}"/>
    <cellStyle name="Normal 2 2 2 8 2 2 2" xfId="24055" xr:uid="{00000000-0005-0000-0000-0000FA5D0000}"/>
    <cellStyle name="Normal 2 2 2 8 2 2 3" xfId="24056" xr:uid="{00000000-0005-0000-0000-0000FB5D0000}"/>
    <cellStyle name="Normal 2 2 2 8 2 3" xfId="24057" xr:uid="{00000000-0005-0000-0000-0000FC5D0000}"/>
    <cellStyle name="Normal 2 2 2 8 2 4" xfId="24058" xr:uid="{00000000-0005-0000-0000-0000FD5D0000}"/>
    <cellStyle name="Normal 2 2 2 8 2 5" xfId="24059" xr:uid="{00000000-0005-0000-0000-0000FE5D0000}"/>
    <cellStyle name="Normal 2 2 2 8 2 6" xfId="24060" xr:uid="{00000000-0005-0000-0000-0000FF5D0000}"/>
    <cellStyle name="Normal 2 2 2 8 3" xfId="24061" xr:uid="{00000000-0005-0000-0000-0000005E0000}"/>
    <cellStyle name="Normal 2 2 2 8 3 2" xfId="24062" xr:uid="{00000000-0005-0000-0000-0000015E0000}"/>
    <cellStyle name="Normal 2 2 2 8 3 2 2" xfId="24063" xr:uid="{00000000-0005-0000-0000-0000025E0000}"/>
    <cellStyle name="Normal 2 2 2 8 3 2 3" xfId="24064" xr:uid="{00000000-0005-0000-0000-0000035E0000}"/>
    <cellStyle name="Normal 2 2 2 8 3 3" xfId="24065" xr:uid="{00000000-0005-0000-0000-0000045E0000}"/>
    <cellStyle name="Normal 2 2 2 8 3 4" xfId="24066" xr:uid="{00000000-0005-0000-0000-0000055E0000}"/>
    <cellStyle name="Normal 2 2 2 8 3 5" xfId="24067" xr:uid="{00000000-0005-0000-0000-0000065E0000}"/>
    <cellStyle name="Normal 2 2 2 8 3 6" xfId="24068" xr:uid="{00000000-0005-0000-0000-0000075E0000}"/>
    <cellStyle name="Normal 2 2 2 8 4" xfId="24069" xr:uid="{00000000-0005-0000-0000-0000085E0000}"/>
    <cellStyle name="Normal 2 2 2 8 4 2" xfId="24070" xr:uid="{00000000-0005-0000-0000-0000095E0000}"/>
    <cellStyle name="Normal 2 2 2 8 4 2 2" xfId="24071" xr:uid="{00000000-0005-0000-0000-00000A5E0000}"/>
    <cellStyle name="Normal 2 2 2 8 4 3" xfId="24072" xr:uid="{00000000-0005-0000-0000-00000B5E0000}"/>
    <cellStyle name="Normal 2 2 2 8 4 4" xfId="24073" xr:uid="{00000000-0005-0000-0000-00000C5E0000}"/>
    <cellStyle name="Normal 2 2 2 8 4 5" xfId="24074" xr:uid="{00000000-0005-0000-0000-00000D5E0000}"/>
    <cellStyle name="Normal 2 2 2 8 5" xfId="24075" xr:uid="{00000000-0005-0000-0000-00000E5E0000}"/>
    <cellStyle name="Normal 2 2 2 8 5 2" xfId="24076" xr:uid="{00000000-0005-0000-0000-00000F5E0000}"/>
    <cellStyle name="Normal 2 2 2 8 5 3" xfId="24077" xr:uid="{00000000-0005-0000-0000-0000105E0000}"/>
    <cellStyle name="Normal 2 2 2 8 5 4" xfId="24078" xr:uid="{00000000-0005-0000-0000-0000115E0000}"/>
    <cellStyle name="Normal 2 2 2 8 6" xfId="24079" xr:uid="{00000000-0005-0000-0000-0000125E0000}"/>
    <cellStyle name="Normal 2 2 2 8 6 2" xfId="24080" xr:uid="{00000000-0005-0000-0000-0000135E0000}"/>
    <cellStyle name="Normal 2 2 2 8 7" xfId="24081" xr:uid="{00000000-0005-0000-0000-0000145E0000}"/>
    <cellStyle name="Normal 2 2 2 8 8" xfId="24082" xr:uid="{00000000-0005-0000-0000-0000155E0000}"/>
    <cellStyle name="Normal 2 2 2 8 9" xfId="24083" xr:uid="{00000000-0005-0000-0000-0000165E0000}"/>
    <cellStyle name="Normal 2 2 2 9" xfId="24084" xr:uid="{00000000-0005-0000-0000-0000175E0000}"/>
    <cellStyle name="Normal 2 2 2 9 10" xfId="24085" xr:uid="{00000000-0005-0000-0000-0000185E0000}"/>
    <cellStyle name="Normal 2 2 2 9 2" xfId="24086" xr:uid="{00000000-0005-0000-0000-0000195E0000}"/>
    <cellStyle name="Normal 2 2 2 9 2 2" xfId="24087" xr:uid="{00000000-0005-0000-0000-00001A5E0000}"/>
    <cellStyle name="Normal 2 2 2 9 2 2 2" xfId="24088" xr:uid="{00000000-0005-0000-0000-00001B5E0000}"/>
    <cellStyle name="Normal 2 2 2 9 2 2 3" xfId="24089" xr:uid="{00000000-0005-0000-0000-00001C5E0000}"/>
    <cellStyle name="Normal 2 2 2 9 2 3" xfId="24090" xr:uid="{00000000-0005-0000-0000-00001D5E0000}"/>
    <cellStyle name="Normal 2 2 2 9 2 4" xfId="24091" xr:uid="{00000000-0005-0000-0000-00001E5E0000}"/>
    <cellStyle name="Normal 2 2 2 9 2 5" xfId="24092" xr:uid="{00000000-0005-0000-0000-00001F5E0000}"/>
    <cellStyle name="Normal 2 2 2 9 2 6" xfId="24093" xr:uid="{00000000-0005-0000-0000-0000205E0000}"/>
    <cellStyle name="Normal 2 2 2 9 3" xfId="24094" xr:uid="{00000000-0005-0000-0000-0000215E0000}"/>
    <cellStyle name="Normal 2 2 2 9 3 2" xfId="24095" xr:uid="{00000000-0005-0000-0000-0000225E0000}"/>
    <cellStyle name="Normal 2 2 2 9 3 2 2" xfId="24096" xr:uid="{00000000-0005-0000-0000-0000235E0000}"/>
    <cellStyle name="Normal 2 2 2 9 3 2 3" xfId="24097" xr:uid="{00000000-0005-0000-0000-0000245E0000}"/>
    <cellStyle name="Normal 2 2 2 9 3 3" xfId="24098" xr:uid="{00000000-0005-0000-0000-0000255E0000}"/>
    <cellStyle name="Normal 2 2 2 9 3 4" xfId="24099" xr:uid="{00000000-0005-0000-0000-0000265E0000}"/>
    <cellStyle name="Normal 2 2 2 9 3 5" xfId="24100" xr:uid="{00000000-0005-0000-0000-0000275E0000}"/>
    <cellStyle name="Normal 2 2 2 9 3 6" xfId="24101" xr:uid="{00000000-0005-0000-0000-0000285E0000}"/>
    <cellStyle name="Normal 2 2 2 9 4" xfId="24102" xr:uid="{00000000-0005-0000-0000-0000295E0000}"/>
    <cellStyle name="Normal 2 2 2 9 4 2" xfId="24103" xr:uid="{00000000-0005-0000-0000-00002A5E0000}"/>
    <cellStyle name="Normal 2 2 2 9 4 2 2" xfId="24104" xr:uid="{00000000-0005-0000-0000-00002B5E0000}"/>
    <cellStyle name="Normal 2 2 2 9 4 3" xfId="24105" xr:uid="{00000000-0005-0000-0000-00002C5E0000}"/>
    <cellStyle name="Normal 2 2 2 9 4 4" xfId="24106" xr:uid="{00000000-0005-0000-0000-00002D5E0000}"/>
    <cellStyle name="Normal 2 2 2 9 4 5" xfId="24107" xr:uid="{00000000-0005-0000-0000-00002E5E0000}"/>
    <cellStyle name="Normal 2 2 2 9 5" xfId="24108" xr:uid="{00000000-0005-0000-0000-00002F5E0000}"/>
    <cellStyle name="Normal 2 2 2 9 5 2" xfId="24109" xr:uid="{00000000-0005-0000-0000-0000305E0000}"/>
    <cellStyle name="Normal 2 2 2 9 5 3" xfId="24110" xr:uid="{00000000-0005-0000-0000-0000315E0000}"/>
    <cellStyle name="Normal 2 2 2 9 5 4" xfId="24111" xr:uid="{00000000-0005-0000-0000-0000325E0000}"/>
    <cellStyle name="Normal 2 2 2 9 6" xfId="24112" xr:uid="{00000000-0005-0000-0000-0000335E0000}"/>
    <cellStyle name="Normal 2 2 2 9 6 2" xfId="24113" xr:uid="{00000000-0005-0000-0000-0000345E0000}"/>
    <cellStyle name="Normal 2 2 2 9 7" xfId="24114" xr:uid="{00000000-0005-0000-0000-0000355E0000}"/>
    <cellStyle name="Normal 2 2 2 9 8" xfId="24115" xr:uid="{00000000-0005-0000-0000-0000365E0000}"/>
    <cellStyle name="Normal 2 2 2 9 9" xfId="24116" xr:uid="{00000000-0005-0000-0000-0000375E0000}"/>
    <cellStyle name="Normal 2 2 20" xfId="24117" xr:uid="{00000000-0005-0000-0000-0000385E0000}"/>
    <cellStyle name="Normal 2 2 21" xfId="24118" xr:uid="{00000000-0005-0000-0000-0000395E0000}"/>
    <cellStyle name="Normal 2 2 22" xfId="24119" xr:uid="{00000000-0005-0000-0000-00003A5E0000}"/>
    <cellStyle name="Normal 2 2 23" xfId="24120" xr:uid="{00000000-0005-0000-0000-00003B5E0000}"/>
    <cellStyle name="Normal 2 2 24" xfId="24121" xr:uid="{00000000-0005-0000-0000-00003C5E0000}"/>
    <cellStyle name="Normal 2 2 25" xfId="24122" xr:uid="{00000000-0005-0000-0000-00003D5E0000}"/>
    <cellStyle name="Normal 2 2 25 2" xfId="24123" xr:uid="{00000000-0005-0000-0000-00003E5E0000}"/>
    <cellStyle name="Normal 2 2 25 2 2" xfId="24124" xr:uid="{00000000-0005-0000-0000-00003F5E0000}"/>
    <cellStyle name="Normal 2 2 25 2 2 2" xfId="24125" xr:uid="{00000000-0005-0000-0000-0000405E0000}"/>
    <cellStyle name="Normal 2 2 25 2 2 3" xfId="24126" xr:uid="{00000000-0005-0000-0000-0000415E0000}"/>
    <cellStyle name="Normal 2 2 25 2 3" xfId="24127" xr:uid="{00000000-0005-0000-0000-0000425E0000}"/>
    <cellStyle name="Normal 2 2 25 2 4" xfId="24128" xr:uid="{00000000-0005-0000-0000-0000435E0000}"/>
    <cellStyle name="Normal 2 2 25 2 5" xfId="24129" xr:uid="{00000000-0005-0000-0000-0000445E0000}"/>
    <cellStyle name="Normal 2 2 25 2 6" xfId="24130" xr:uid="{00000000-0005-0000-0000-0000455E0000}"/>
    <cellStyle name="Normal 2 2 25 3" xfId="24131" xr:uid="{00000000-0005-0000-0000-0000465E0000}"/>
    <cellStyle name="Normal 2 2 25 3 2" xfId="24132" xr:uid="{00000000-0005-0000-0000-0000475E0000}"/>
    <cellStyle name="Normal 2 2 25 3 2 2" xfId="24133" xr:uid="{00000000-0005-0000-0000-0000485E0000}"/>
    <cellStyle name="Normal 2 2 25 3 3" xfId="24134" xr:uid="{00000000-0005-0000-0000-0000495E0000}"/>
    <cellStyle name="Normal 2 2 25 3 4" xfId="24135" xr:uid="{00000000-0005-0000-0000-00004A5E0000}"/>
    <cellStyle name="Normal 2 2 25 3 5" xfId="24136" xr:uid="{00000000-0005-0000-0000-00004B5E0000}"/>
    <cellStyle name="Normal 2 2 25 4" xfId="24137" xr:uid="{00000000-0005-0000-0000-00004C5E0000}"/>
    <cellStyle name="Normal 2 2 25 4 2" xfId="24138" xr:uid="{00000000-0005-0000-0000-00004D5E0000}"/>
    <cellStyle name="Normal 2 2 25 4 3" xfId="24139" xr:uid="{00000000-0005-0000-0000-00004E5E0000}"/>
    <cellStyle name="Normal 2 2 25 4 4" xfId="24140" xr:uid="{00000000-0005-0000-0000-00004F5E0000}"/>
    <cellStyle name="Normal 2 2 25 5" xfId="24141" xr:uid="{00000000-0005-0000-0000-0000505E0000}"/>
    <cellStyle name="Normal 2 2 25 5 2" xfId="24142" xr:uid="{00000000-0005-0000-0000-0000515E0000}"/>
    <cellStyle name="Normal 2 2 25 6" xfId="24143" xr:uid="{00000000-0005-0000-0000-0000525E0000}"/>
    <cellStyle name="Normal 2 2 25 7" xfId="24144" xr:uid="{00000000-0005-0000-0000-0000535E0000}"/>
    <cellStyle name="Normal 2 2 25 8" xfId="24145" xr:uid="{00000000-0005-0000-0000-0000545E0000}"/>
    <cellStyle name="Normal 2 2 25 9" xfId="24146" xr:uid="{00000000-0005-0000-0000-0000555E0000}"/>
    <cellStyle name="Normal 2 2 26" xfId="24147" xr:uid="{00000000-0005-0000-0000-0000565E0000}"/>
    <cellStyle name="Normal 2 2 26 2" xfId="24148" xr:uid="{00000000-0005-0000-0000-0000575E0000}"/>
    <cellStyle name="Normal 2 2 26 2 2" xfId="24149" xr:uid="{00000000-0005-0000-0000-0000585E0000}"/>
    <cellStyle name="Normal 2 2 26 3" xfId="24150" xr:uid="{00000000-0005-0000-0000-0000595E0000}"/>
    <cellStyle name="Normal 2 2 26 4" xfId="24151" xr:uid="{00000000-0005-0000-0000-00005A5E0000}"/>
    <cellStyle name="Normal 2 2 26 5" xfId="24152" xr:uid="{00000000-0005-0000-0000-00005B5E0000}"/>
    <cellStyle name="Normal 2 2 26 6" xfId="24153" xr:uid="{00000000-0005-0000-0000-00005C5E0000}"/>
    <cellStyle name="Normal 2 2 27" xfId="24154" xr:uid="{00000000-0005-0000-0000-00005D5E0000}"/>
    <cellStyle name="Normal 2 2 27 2" xfId="24155" xr:uid="{00000000-0005-0000-0000-00005E5E0000}"/>
    <cellStyle name="Normal 2 2 28" xfId="24156" xr:uid="{00000000-0005-0000-0000-00005F5E0000}"/>
    <cellStyle name="Normal 2 2 28 2" xfId="24157" xr:uid="{00000000-0005-0000-0000-0000605E0000}"/>
    <cellStyle name="Normal 2 2 28 3" xfId="24158" xr:uid="{00000000-0005-0000-0000-0000615E0000}"/>
    <cellStyle name="Normal 2 2 29" xfId="24159" xr:uid="{00000000-0005-0000-0000-0000625E0000}"/>
    <cellStyle name="Normal 2 2 29 2" xfId="24160" xr:uid="{00000000-0005-0000-0000-0000635E0000}"/>
    <cellStyle name="Normal 2 2 29 3" xfId="24161" xr:uid="{00000000-0005-0000-0000-0000645E0000}"/>
    <cellStyle name="Normal 2 2 3" xfId="24162" xr:uid="{00000000-0005-0000-0000-0000655E0000}"/>
    <cellStyle name="Normal 2 2 3 2" xfId="24163" xr:uid="{00000000-0005-0000-0000-0000665E0000}"/>
    <cellStyle name="Normal 2 2 3 3" xfId="24164" xr:uid="{00000000-0005-0000-0000-0000675E0000}"/>
    <cellStyle name="Normal 2 2 3 4" xfId="24165" xr:uid="{00000000-0005-0000-0000-0000685E0000}"/>
    <cellStyle name="Normal 2 2 30" xfId="24166" xr:uid="{00000000-0005-0000-0000-0000695E0000}"/>
    <cellStyle name="Normal 2 2 31" xfId="24167" xr:uid="{00000000-0005-0000-0000-00006A5E0000}"/>
    <cellStyle name="Normal 2 2 32" xfId="24168" xr:uid="{00000000-0005-0000-0000-00006B5E0000}"/>
    <cellStyle name="Normal 2 2 33" xfId="24169" xr:uid="{00000000-0005-0000-0000-00006C5E0000}"/>
    <cellStyle name="Normal 2 2 34" xfId="24170" xr:uid="{00000000-0005-0000-0000-00006D5E0000}"/>
    <cellStyle name="Normal 2 2 35" xfId="24171" xr:uid="{00000000-0005-0000-0000-00006E5E0000}"/>
    <cellStyle name="Normal 2 2 36" xfId="24172" xr:uid="{00000000-0005-0000-0000-00006F5E0000}"/>
    <cellStyle name="Normal 2 2 37" xfId="24173" xr:uid="{00000000-0005-0000-0000-0000705E0000}"/>
    <cellStyle name="Normal 2 2 38" xfId="24174" xr:uid="{00000000-0005-0000-0000-0000715E0000}"/>
    <cellStyle name="Normal 2 2 39" xfId="24175" xr:uid="{00000000-0005-0000-0000-0000725E0000}"/>
    <cellStyle name="Normal 2 2 4" xfId="24176" xr:uid="{00000000-0005-0000-0000-0000735E0000}"/>
    <cellStyle name="Normal 2 2 4 2" xfId="24177" xr:uid="{00000000-0005-0000-0000-0000745E0000}"/>
    <cellStyle name="Normal 2 2 4 3" xfId="24178" xr:uid="{00000000-0005-0000-0000-0000755E0000}"/>
    <cellStyle name="Normal 2 2 4 3 2" xfId="24179" xr:uid="{00000000-0005-0000-0000-0000765E0000}"/>
    <cellStyle name="Normal 2 2 4 4" xfId="24180" xr:uid="{00000000-0005-0000-0000-0000775E0000}"/>
    <cellStyle name="Normal 2 2 40" xfId="24181" xr:uid="{00000000-0005-0000-0000-0000785E0000}"/>
    <cellStyle name="Normal 2 2 41" xfId="24182" xr:uid="{00000000-0005-0000-0000-0000795E0000}"/>
    <cellStyle name="Normal 2 2 42" xfId="24183" xr:uid="{00000000-0005-0000-0000-00007A5E0000}"/>
    <cellStyle name="Normal 2 2 43" xfId="24184" xr:uid="{00000000-0005-0000-0000-00007B5E0000}"/>
    <cellStyle name="Normal 2 2 44" xfId="24185" xr:uid="{00000000-0005-0000-0000-00007C5E0000}"/>
    <cellStyle name="Normal 2 2 45" xfId="24186" xr:uid="{00000000-0005-0000-0000-00007D5E0000}"/>
    <cellStyle name="Normal 2 2 46" xfId="24187" xr:uid="{00000000-0005-0000-0000-00007E5E0000}"/>
    <cellStyle name="Normal 2 2 47" xfId="24188" xr:uid="{00000000-0005-0000-0000-00007F5E0000}"/>
    <cellStyle name="Normal 2 2 48" xfId="24189" xr:uid="{00000000-0005-0000-0000-0000805E0000}"/>
    <cellStyle name="Normal 2 2 49" xfId="24190" xr:uid="{00000000-0005-0000-0000-0000815E0000}"/>
    <cellStyle name="Normal 2 2 5" xfId="24191" xr:uid="{00000000-0005-0000-0000-0000825E0000}"/>
    <cellStyle name="Normal 2 2 5 2" xfId="24192" xr:uid="{00000000-0005-0000-0000-0000835E0000}"/>
    <cellStyle name="Normal 2 2 5 3" xfId="24193" xr:uid="{00000000-0005-0000-0000-0000845E0000}"/>
    <cellStyle name="Normal 2 2 5 3 2" xfId="24194" xr:uid="{00000000-0005-0000-0000-0000855E0000}"/>
    <cellStyle name="Normal 2 2 5 4" xfId="24195" xr:uid="{00000000-0005-0000-0000-0000865E0000}"/>
    <cellStyle name="Normal 2 2 50" xfId="24196" xr:uid="{00000000-0005-0000-0000-0000875E0000}"/>
    <cellStyle name="Normal 2 2 51" xfId="24197" xr:uid="{00000000-0005-0000-0000-0000885E0000}"/>
    <cellStyle name="Normal 2 2 52" xfId="24198" xr:uid="{00000000-0005-0000-0000-0000895E0000}"/>
    <cellStyle name="Normal 2 2 53" xfId="24199" xr:uid="{00000000-0005-0000-0000-00008A5E0000}"/>
    <cellStyle name="Normal 2 2 6" xfId="24200" xr:uid="{00000000-0005-0000-0000-00008B5E0000}"/>
    <cellStyle name="Normal 2 2 6 2" xfId="24201" xr:uid="{00000000-0005-0000-0000-00008C5E0000}"/>
    <cellStyle name="Normal 2 2 6 3" xfId="24202" xr:uid="{00000000-0005-0000-0000-00008D5E0000}"/>
    <cellStyle name="Normal 2 2 6 3 2" xfId="24203" xr:uid="{00000000-0005-0000-0000-00008E5E0000}"/>
    <cellStyle name="Normal 2 2 6 4" xfId="24204" xr:uid="{00000000-0005-0000-0000-00008F5E0000}"/>
    <cellStyle name="Normal 2 2 7" xfId="24205" xr:uid="{00000000-0005-0000-0000-0000905E0000}"/>
    <cellStyle name="Normal 2 2 7 2" xfId="24206" xr:uid="{00000000-0005-0000-0000-0000915E0000}"/>
    <cellStyle name="Normal 2 2 7 3" xfId="24207" xr:uid="{00000000-0005-0000-0000-0000925E0000}"/>
    <cellStyle name="Normal 2 2 7 3 2" xfId="24208" xr:uid="{00000000-0005-0000-0000-0000935E0000}"/>
    <cellStyle name="Normal 2 2 7 4" xfId="24209" xr:uid="{00000000-0005-0000-0000-0000945E0000}"/>
    <cellStyle name="Normal 2 2 8" xfId="24210" xr:uid="{00000000-0005-0000-0000-0000955E0000}"/>
    <cellStyle name="Normal 2 2 8 2" xfId="24211" xr:uid="{00000000-0005-0000-0000-0000965E0000}"/>
    <cellStyle name="Normal 2 2 8 3" xfId="24212" xr:uid="{00000000-0005-0000-0000-0000975E0000}"/>
    <cellStyle name="Normal 2 2 8 3 2" xfId="24213" xr:uid="{00000000-0005-0000-0000-0000985E0000}"/>
    <cellStyle name="Normal 2 2 8 4" xfId="24214" xr:uid="{00000000-0005-0000-0000-0000995E0000}"/>
    <cellStyle name="Normal 2 2 9" xfId="24215" xr:uid="{00000000-0005-0000-0000-00009A5E0000}"/>
    <cellStyle name="Normal 2 2 9 2" xfId="24216" xr:uid="{00000000-0005-0000-0000-00009B5E0000}"/>
    <cellStyle name="Normal 2 2 9 3" xfId="24217" xr:uid="{00000000-0005-0000-0000-00009C5E0000}"/>
    <cellStyle name="Normal 2 2 9 3 2" xfId="24218" xr:uid="{00000000-0005-0000-0000-00009D5E0000}"/>
    <cellStyle name="Normal 2 2 9 4" xfId="24219" xr:uid="{00000000-0005-0000-0000-00009E5E0000}"/>
    <cellStyle name="Normal 2 20" xfId="24220" xr:uid="{00000000-0005-0000-0000-00009F5E0000}"/>
    <cellStyle name="Normal 2 20 10" xfId="24221" xr:uid="{00000000-0005-0000-0000-0000A05E0000}"/>
    <cellStyle name="Normal 2 20 11" xfId="24222" xr:uid="{00000000-0005-0000-0000-0000A15E0000}"/>
    <cellStyle name="Normal 2 20 2" xfId="24223" xr:uid="{00000000-0005-0000-0000-0000A25E0000}"/>
    <cellStyle name="Normal 2 20 2 2" xfId="24224" xr:uid="{00000000-0005-0000-0000-0000A35E0000}"/>
    <cellStyle name="Normal 2 20 3" xfId="24225" xr:uid="{00000000-0005-0000-0000-0000A45E0000}"/>
    <cellStyle name="Normal 2 20 3 2" xfId="24226" xr:uid="{00000000-0005-0000-0000-0000A55E0000}"/>
    <cellStyle name="Normal 2 20 3 2 2" xfId="24227" xr:uid="{00000000-0005-0000-0000-0000A65E0000}"/>
    <cellStyle name="Normal 2 20 3 2 2 2" xfId="24228" xr:uid="{00000000-0005-0000-0000-0000A75E0000}"/>
    <cellStyle name="Normal 2 20 3 2 2 3" xfId="24229" xr:uid="{00000000-0005-0000-0000-0000A85E0000}"/>
    <cellStyle name="Normal 2 20 3 2 3" xfId="24230" xr:uid="{00000000-0005-0000-0000-0000A95E0000}"/>
    <cellStyle name="Normal 2 20 3 2 4" xfId="24231" xr:uid="{00000000-0005-0000-0000-0000AA5E0000}"/>
    <cellStyle name="Normal 2 20 3 2 5" xfId="24232" xr:uid="{00000000-0005-0000-0000-0000AB5E0000}"/>
    <cellStyle name="Normal 2 20 3 2 6" xfId="24233" xr:uid="{00000000-0005-0000-0000-0000AC5E0000}"/>
    <cellStyle name="Normal 2 20 3 3" xfId="24234" xr:uid="{00000000-0005-0000-0000-0000AD5E0000}"/>
    <cellStyle name="Normal 2 20 3 3 2" xfId="24235" xr:uid="{00000000-0005-0000-0000-0000AE5E0000}"/>
    <cellStyle name="Normal 2 20 3 3 2 2" xfId="24236" xr:uid="{00000000-0005-0000-0000-0000AF5E0000}"/>
    <cellStyle name="Normal 2 20 3 3 3" xfId="24237" xr:uid="{00000000-0005-0000-0000-0000B05E0000}"/>
    <cellStyle name="Normal 2 20 3 3 4" xfId="24238" xr:uid="{00000000-0005-0000-0000-0000B15E0000}"/>
    <cellStyle name="Normal 2 20 3 3 5" xfId="24239" xr:uid="{00000000-0005-0000-0000-0000B25E0000}"/>
    <cellStyle name="Normal 2 20 3 4" xfId="24240" xr:uid="{00000000-0005-0000-0000-0000B35E0000}"/>
    <cellStyle name="Normal 2 20 3 4 2" xfId="24241" xr:uid="{00000000-0005-0000-0000-0000B45E0000}"/>
    <cellStyle name="Normal 2 20 3 4 3" xfId="24242" xr:uid="{00000000-0005-0000-0000-0000B55E0000}"/>
    <cellStyle name="Normal 2 20 3 4 4" xfId="24243" xr:uid="{00000000-0005-0000-0000-0000B65E0000}"/>
    <cellStyle name="Normal 2 20 3 5" xfId="24244" xr:uid="{00000000-0005-0000-0000-0000B75E0000}"/>
    <cellStyle name="Normal 2 20 3 5 2" xfId="24245" xr:uid="{00000000-0005-0000-0000-0000B85E0000}"/>
    <cellStyle name="Normal 2 20 3 6" xfId="24246" xr:uid="{00000000-0005-0000-0000-0000B95E0000}"/>
    <cellStyle name="Normal 2 20 3 7" xfId="24247" xr:uid="{00000000-0005-0000-0000-0000BA5E0000}"/>
    <cellStyle name="Normal 2 20 3 8" xfId="24248" xr:uid="{00000000-0005-0000-0000-0000BB5E0000}"/>
    <cellStyle name="Normal 2 20 3 9" xfId="24249" xr:uid="{00000000-0005-0000-0000-0000BC5E0000}"/>
    <cellStyle name="Normal 2 20 4" xfId="24250" xr:uid="{00000000-0005-0000-0000-0000BD5E0000}"/>
    <cellStyle name="Normal 2 20 4 2" xfId="24251" xr:uid="{00000000-0005-0000-0000-0000BE5E0000}"/>
    <cellStyle name="Normal 2 20 4 2 2" xfId="24252" xr:uid="{00000000-0005-0000-0000-0000BF5E0000}"/>
    <cellStyle name="Normal 2 20 4 2 2 2" xfId="24253" xr:uid="{00000000-0005-0000-0000-0000C05E0000}"/>
    <cellStyle name="Normal 2 20 4 2 2 3" xfId="24254" xr:uid="{00000000-0005-0000-0000-0000C15E0000}"/>
    <cellStyle name="Normal 2 20 4 2 3" xfId="24255" xr:uid="{00000000-0005-0000-0000-0000C25E0000}"/>
    <cellStyle name="Normal 2 20 4 2 4" xfId="24256" xr:uid="{00000000-0005-0000-0000-0000C35E0000}"/>
    <cellStyle name="Normal 2 20 4 2 5" xfId="24257" xr:uid="{00000000-0005-0000-0000-0000C45E0000}"/>
    <cellStyle name="Normal 2 20 4 2 6" xfId="24258" xr:uid="{00000000-0005-0000-0000-0000C55E0000}"/>
    <cellStyle name="Normal 2 20 4 3" xfId="24259" xr:uid="{00000000-0005-0000-0000-0000C65E0000}"/>
    <cellStyle name="Normal 2 20 4 3 2" xfId="24260" xr:uid="{00000000-0005-0000-0000-0000C75E0000}"/>
    <cellStyle name="Normal 2 20 4 3 2 2" xfId="24261" xr:uid="{00000000-0005-0000-0000-0000C85E0000}"/>
    <cellStyle name="Normal 2 20 4 3 3" xfId="24262" xr:uid="{00000000-0005-0000-0000-0000C95E0000}"/>
    <cellStyle name="Normal 2 20 4 3 4" xfId="24263" xr:uid="{00000000-0005-0000-0000-0000CA5E0000}"/>
    <cellStyle name="Normal 2 20 4 3 5" xfId="24264" xr:uid="{00000000-0005-0000-0000-0000CB5E0000}"/>
    <cellStyle name="Normal 2 20 4 4" xfId="24265" xr:uid="{00000000-0005-0000-0000-0000CC5E0000}"/>
    <cellStyle name="Normal 2 20 4 4 2" xfId="24266" xr:uid="{00000000-0005-0000-0000-0000CD5E0000}"/>
    <cellStyle name="Normal 2 20 4 4 3" xfId="24267" xr:uid="{00000000-0005-0000-0000-0000CE5E0000}"/>
    <cellStyle name="Normal 2 20 4 4 4" xfId="24268" xr:uid="{00000000-0005-0000-0000-0000CF5E0000}"/>
    <cellStyle name="Normal 2 20 4 5" xfId="24269" xr:uid="{00000000-0005-0000-0000-0000D05E0000}"/>
    <cellStyle name="Normal 2 20 4 5 2" xfId="24270" xr:uid="{00000000-0005-0000-0000-0000D15E0000}"/>
    <cellStyle name="Normal 2 20 4 6" xfId="24271" xr:uid="{00000000-0005-0000-0000-0000D25E0000}"/>
    <cellStyle name="Normal 2 20 4 7" xfId="24272" xr:uid="{00000000-0005-0000-0000-0000D35E0000}"/>
    <cellStyle name="Normal 2 20 4 8" xfId="24273" xr:uid="{00000000-0005-0000-0000-0000D45E0000}"/>
    <cellStyle name="Normal 2 20 4 9" xfId="24274" xr:uid="{00000000-0005-0000-0000-0000D55E0000}"/>
    <cellStyle name="Normal 2 20 5" xfId="24275" xr:uid="{00000000-0005-0000-0000-0000D65E0000}"/>
    <cellStyle name="Normal 2 20 5 2" xfId="24276" xr:uid="{00000000-0005-0000-0000-0000D75E0000}"/>
    <cellStyle name="Normal 2 20 5 2 2" xfId="24277" xr:uid="{00000000-0005-0000-0000-0000D85E0000}"/>
    <cellStyle name="Normal 2 20 5 2 3" xfId="24278" xr:uid="{00000000-0005-0000-0000-0000D95E0000}"/>
    <cellStyle name="Normal 2 20 5 3" xfId="24279" xr:uid="{00000000-0005-0000-0000-0000DA5E0000}"/>
    <cellStyle name="Normal 2 20 5 4" xfId="24280" xr:uid="{00000000-0005-0000-0000-0000DB5E0000}"/>
    <cellStyle name="Normal 2 20 5 5" xfId="24281" xr:uid="{00000000-0005-0000-0000-0000DC5E0000}"/>
    <cellStyle name="Normal 2 20 5 6" xfId="24282" xr:uid="{00000000-0005-0000-0000-0000DD5E0000}"/>
    <cellStyle name="Normal 2 20 6" xfId="24283" xr:uid="{00000000-0005-0000-0000-0000DE5E0000}"/>
    <cellStyle name="Normal 2 20 6 2" xfId="24284" xr:uid="{00000000-0005-0000-0000-0000DF5E0000}"/>
    <cellStyle name="Normal 2 20 6 2 2" xfId="24285" xr:uid="{00000000-0005-0000-0000-0000E05E0000}"/>
    <cellStyle name="Normal 2 20 6 3" xfId="24286" xr:uid="{00000000-0005-0000-0000-0000E15E0000}"/>
    <cellStyle name="Normal 2 20 6 4" xfId="24287" xr:uid="{00000000-0005-0000-0000-0000E25E0000}"/>
    <cellStyle name="Normal 2 20 6 5" xfId="24288" xr:uid="{00000000-0005-0000-0000-0000E35E0000}"/>
    <cellStyle name="Normal 2 20 6 6" xfId="24289" xr:uid="{00000000-0005-0000-0000-0000E45E0000}"/>
    <cellStyle name="Normal 2 20 7" xfId="24290" xr:uid="{00000000-0005-0000-0000-0000E55E0000}"/>
    <cellStyle name="Normal 2 20 7 2" xfId="24291" xr:uid="{00000000-0005-0000-0000-0000E65E0000}"/>
    <cellStyle name="Normal 2 20 7 3" xfId="24292" xr:uid="{00000000-0005-0000-0000-0000E75E0000}"/>
    <cellStyle name="Normal 2 20 7 4" xfId="24293" xr:uid="{00000000-0005-0000-0000-0000E85E0000}"/>
    <cellStyle name="Normal 2 20 7 5" xfId="24294" xr:uid="{00000000-0005-0000-0000-0000E95E0000}"/>
    <cellStyle name="Normal 2 20 8" xfId="24295" xr:uid="{00000000-0005-0000-0000-0000EA5E0000}"/>
    <cellStyle name="Normal 2 20 8 2" xfId="24296" xr:uid="{00000000-0005-0000-0000-0000EB5E0000}"/>
    <cellStyle name="Normal 2 20 9" xfId="24297" xr:uid="{00000000-0005-0000-0000-0000EC5E0000}"/>
    <cellStyle name="Normal 2 21" xfId="24298" xr:uid="{00000000-0005-0000-0000-0000ED5E0000}"/>
    <cellStyle name="Normal 2 21 2" xfId="24299" xr:uid="{00000000-0005-0000-0000-0000EE5E0000}"/>
    <cellStyle name="Normal 2 21 2 2" xfId="24300" xr:uid="{00000000-0005-0000-0000-0000EF5E0000}"/>
    <cellStyle name="Normal 2 21 3" xfId="24301" xr:uid="{00000000-0005-0000-0000-0000F05E0000}"/>
    <cellStyle name="Normal 2 21 3 2" xfId="24302" xr:uid="{00000000-0005-0000-0000-0000F15E0000}"/>
    <cellStyle name="Normal 2 21 3 2 2" xfId="24303" xr:uid="{00000000-0005-0000-0000-0000F25E0000}"/>
    <cellStyle name="Normal 2 21 3 2 2 2" xfId="24304" xr:uid="{00000000-0005-0000-0000-0000F35E0000}"/>
    <cellStyle name="Normal 2 21 3 2 2 3" xfId="24305" xr:uid="{00000000-0005-0000-0000-0000F45E0000}"/>
    <cellStyle name="Normal 2 21 3 2 3" xfId="24306" xr:uid="{00000000-0005-0000-0000-0000F55E0000}"/>
    <cellStyle name="Normal 2 21 3 2 4" xfId="24307" xr:uid="{00000000-0005-0000-0000-0000F65E0000}"/>
    <cellStyle name="Normal 2 21 3 2 5" xfId="24308" xr:uid="{00000000-0005-0000-0000-0000F75E0000}"/>
    <cellStyle name="Normal 2 21 3 2 6" xfId="24309" xr:uid="{00000000-0005-0000-0000-0000F85E0000}"/>
    <cellStyle name="Normal 2 21 3 3" xfId="24310" xr:uid="{00000000-0005-0000-0000-0000F95E0000}"/>
    <cellStyle name="Normal 2 21 3 3 2" xfId="24311" xr:uid="{00000000-0005-0000-0000-0000FA5E0000}"/>
    <cellStyle name="Normal 2 21 3 3 2 2" xfId="24312" xr:uid="{00000000-0005-0000-0000-0000FB5E0000}"/>
    <cellStyle name="Normal 2 21 3 3 3" xfId="24313" xr:uid="{00000000-0005-0000-0000-0000FC5E0000}"/>
    <cellStyle name="Normal 2 21 3 3 4" xfId="24314" xr:uid="{00000000-0005-0000-0000-0000FD5E0000}"/>
    <cellStyle name="Normal 2 21 3 3 5" xfId="24315" xr:uid="{00000000-0005-0000-0000-0000FE5E0000}"/>
    <cellStyle name="Normal 2 21 3 4" xfId="24316" xr:uid="{00000000-0005-0000-0000-0000FF5E0000}"/>
    <cellStyle name="Normal 2 21 3 4 2" xfId="24317" xr:uid="{00000000-0005-0000-0000-0000005F0000}"/>
    <cellStyle name="Normal 2 21 3 4 3" xfId="24318" xr:uid="{00000000-0005-0000-0000-0000015F0000}"/>
    <cellStyle name="Normal 2 21 3 4 4" xfId="24319" xr:uid="{00000000-0005-0000-0000-0000025F0000}"/>
    <cellStyle name="Normal 2 21 3 5" xfId="24320" xr:uid="{00000000-0005-0000-0000-0000035F0000}"/>
    <cellStyle name="Normal 2 21 3 5 2" xfId="24321" xr:uid="{00000000-0005-0000-0000-0000045F0000}"/>
    <cellStyle name="Normal 2 21 3 6" xfId="24322" xr:uid="{00000000-0005-0000-0000-0000055F0000}"/>
    <cellStyle name="Normal 2 21 3 7" xfId="24323" xr:uid="{00000000-0005-0000-0000-0000065F0000}"/>
    <cellStyle name="Normal 2 21 3 8" xfId="24324" xr:uid="{00000000-0005-0000-0000-0000075F0000}"/>
    <cellStyle name="Normal 2 21 3 9" xfId="24325" xr:uid="{00000000-0005-0000-0000-0000085F0000}"/>
    <cellStyle name="Normal 2 21 4" xfId="24326" xr:uid="{00000000-0005-0000-0000-0000095F0000}"/>
    <cellStyle name="Normal 2 21 4 2" xfId="24327" xr:uid="{00000000-0005-0000-0000-00000A5F0000}"/>
    <cellStyle name="Normal 2 21 4 2 2" xfId="24328" xr:uid="{00000000-0005-0000-0000-00000B5F0000}"/>
    <cellStyle name="Normal 2 21 4 3" xfId="24329" xr:uid="{00000000-0005-0000-0000-00000C5F0000}"/>
    <cellStyle name="Normal 2 21 4 4" xfId="24330" xr:uid="{00000000-0005-0000-0000-00000D5F0000}"/>
    <cellStyle name="Normal 2 21 4 5" xfId="24331" xr:uid="{00000000-0005-0000-0000-00000E5F0000}"/>
    <cellStyle name="Normal 2 21 4 6" xfId="24332" xr:uid="{00000000-0005-0000-0000-00000F5F0000}"/>
    <cellStyle name="Normal 2 21 5" xfId="24333" xr:uid="{00000000-0005-0000-0000-0000105F0000}"/>
    <cellStyle name="Normal 2 21 5 2" xfId="24334" xr:uid="{00000000-0005-0000-0000-0000115F0000}"/>
    <cellStyle name="Normal 2 21 5 3" xfId="24335" xr:uid="{00000000-0005-0000-0000-0000125F0000}"/>
    <cellStyle name="Normal 2 21 6" xfId="24336" xr:uid="{00000000-0005-0000-0000-0000135F0000}"/>
    <cellStyle name="Normal 2 21 7" xfId="24337" xr:uid="{00000000-0005-0000-0000-0000145F0000}"/>
    <cellStyle name="Normal 2 22" xfId="24338" xr:uid="{00000000-0005-0000-0000-0000155F0000}"/>
    <cellStyle name="Normal 2 22 2" xfId="24339" xr:uid="{00000000-0005-0000-0000-0000165F0000}"/>
    <cellStyle name="Normal 2 22 2 2" xfId="24340" xr:uid="{00000000-0005-0000-0000-0000175F0000}"/>
    <cellStyle name="Normal 2 22 3" xfId="24341" xr:uid="{00000000-0005-0000-0000-0000185F0000}"/>
    <cellStyle name="Normal 2 22 3 2" xfId="24342" xr:uid="{00000000-0005-0000-0000-0000195F0000}"/>
    <cellStyle name="Normal 2 22 3 2 2" xfId="24343" xr:uid="{00000000-0005-0000-0000-00001A5F0000}"/>
    <cellStyle name="Normal 2 22 3 2 2 2" xfId="24344" xr:uid="{00000000-0005-0000-0000-00001B5F0000}"/>
    <cellStyle name="Normal 2 22 3 2 2 3" xfId="24345" xr:uid="{00000000-0005-0000-0000-00001C5F0000}"/>
    <cellStyle name="Normal 2 22 3 2 3" xfId="24346" xr:uid="{00000000-0005-0000-0000-00001D5F0000}"/>
    <cellStyle name="Normal 2 22 3 2 4" xfId="24347" xr:uid="{00000000-0005-0000-0000-00001E5F0000}"/>
    <cellStyle name="Normal 2 22 3 2 5" xfId="24348" xr:uid="{00000000-0005-0000-0000-00001F5F0000}"/>
    <cellStyle name="Normal 2 22 3 2 6" xfId="24349" xr:uid="{00000000-0005-0000-0000-0000205F0000}"/>
    <cellStyle name="Normal 2 22 3 3" xfId="24350" xr:uid="{00000000-0005-0000-0000-0000215F0000}"/>
    <cellStyle name="Normal 2 22 3 3 2" xfId="24351" xr:uid="{00000000-0005-0000-0000-0000225F0000}"/>
    <cellStyle name="Normal 2 22 3 3 2 2" xfId="24352" xr:uid="{00000000-0005-0000-0000-0000235F0000}"/>
    <cellStyle name="Normal 2 22 3 3 3" xfId="24353" xr:uid="{00000000-0005-0000-0000-0000245F0000}"/>
    <cellStyle name="Normal 2 22 3 3 4" xfId="24354" xr:uid="{00000000-0005-0000-0000-0000255F0000}"/>
    <cellStyle name="Normal 2 22 3 3 5" xfId="24355" xr:uid="{00000000-0005-0000-0000-0000265F0000}"/>
    <cellStyle name="Normal 2 22 3 4" xfId="24356" xr:uid="{00000000-0005-0000-0000-0000275F0000}"/>
    <cellStyle name="Normal 2 22 3 4 2" xfId="24357" xr:uid="{00000000-0005-0000-0000-0000285F0000}"/>
    <cellStyle name="Normal 2 22 3 4 3" xfId="24358" xr:uid="{00000000-0005-0000-0000-0000295F0000}"/>
    <cellStyle name="Normal 2 22 3 4 4" xfId="24359" xr:uid="{00000000-0005-0000-0000-00002A5F0000}"/>
    <cellStyle name="Normal 2 22 3 5" xfId="24360" xr:uid="{00000000-0005-0000-0000-00002B5F0000}"/>
    <cellStyle name="Normal 2 22 3 5 2" xfId="24361" xr:uid="{00000000-0005-0000-0000-00002C5F0000}"/>
    <cellStyle name="Normal 2 22 3 6" xfId="24362" xr:uid="{00000000-0005-0000-0000-00002D5F0000}"/>
    <cellStyle name="Normal 2 22 3 7" xfId="24363" xr:uid="{00000000-0005-0000-0000-00002E5F0000}"/>
    <cellStyle name="Normal 2 22 3 8" xfId="24364" xr:uid="{00000000-0005-0000-0000-00002F5F0000}"/>
    <cellStyle name="Normal 2 22 3 9" xfId="24365" xr:uid="{00000000-0005-0000-0000-0000305F0000}"/>
    <cellStyle name="Normal 2 22 4" xfId="24366" xr:uid="{00000000-0005-0000-0000-0000315F0000}"/>
    <cellStyle name="Normal 2 22 4 2" xfId="24367" xr:uid="{00000000-0005-0000-0000-0000325F0000}"/>
    <cellStyle name="Normal 2 22 4 2 2" xfId="24368" xr:uid="{00000000-0005-0000-0000-0000335F0000}"/>
    <cellStyle name="Normal 2 22 4 3" xfId="24369" xr:uid="{00000000-0005-0000-0000-0000345F0000}"/>
    <cellStyle name="Normal 2 22 4 4" xfId="24370" xr:uid="{00000000-0005-0000-0000-0000355F0000}"/>
    <cellStyle name="Normal 2 22 4 5" xfId="24371" xr:uid="{00000000-0005-0000-0000-0000365F0000}"/>
    <cellStyle name="Normal 2 22 4 6" xfId="24372" xr:uid="{00000000-0005-0000-0000-0000375F0000}"/>
    <cellStyle name="Normal 2 22 5" xfId="24373" xr:uid="{00000000-0005-0000-0000-0000385F0000}"/>
    <cellStyle name="Normal 2 22 5 2" xfId="24374" xr:uid="{00000000-0005-0000-0000-0000395F0000}"/>
    <cellStyle name="Normal 2 22 5 3" xfId="24375" xr:uid="{00000000-0005-0000-0000-00003A5F0000}"/>
    <cellStyle name="Normal 2 22 6" xfId="24376" xr:uid="{00000000-0005-0000-0000-00003B5F0000}"/>
    <cellStyle name="Normal 2 22 7" xfId="24377" xr:uid="{00000000-0005-0000-0000-00003C5F0000}"/>
    <cellStyle name="Normal 2 23" xfId="24378" xr:uid="{00000000-0005-0000-0000-00003D5F0000}"/>
    <cellStyle name="Normal 2 23 2" xfId="24379" xr:uid="{00000000-0005-0000-0000-00003E5F0000}"/>
    <cellStyle name="Normal 2 23 2 2" xfId="24380" xr:uid="{00000000-0005-0000-0000-00003F5F0000}"/>
    <cellStyle name="Normal 2 23 3" xfId="24381" xr:uid="{00000000-0005-0000-0000-0000405F0000}"/>
    <cellStyle name="Normal 2 23 3 2" xfId="24382" xr:uid="{00000000-0005-0000-0000-0000415F0000}"/>
    <cellStyle name="Normal 2 23 3 2 2" xfId="24383" xr:uid="{00000000-0005-0000-0000-0000425F0000}"/>
    <cellStyle name="Normal 2 23 3 2 2 2" xfId="24384" xr:uid="{00000000-0005-0000-0000-0000435F0000}"/>
    <cellStyle name="Normal 2 23 3 2 2 3" xfId="24385" xr:uid="{00000000-0005-0000-0000-0000445F0000}"/>
    <cellStyle name="Normal 2 23 3 2 3" xfId="24386" xr:uid="{00000000-0005-0000-0000-0000455F0000}"/>
    <cellStyle name="Normal 2 23 3 2 4" xfId="24387" xr:uid="{00000000-0005-0000-0000-0000465F0000}"/>
    <cellStyle name="Normal 2 23 3 2 5" xfId="24388" xr:uid="{00000000-0005-0000-0000-0000475F0000}"/>
    <cellStyle name="Normal 2 23 3 2 6" xfId="24389" xr:uid="{00000000-0005-0000-0000-0000485F0000}"/>
    <cellStyle name="Normal 2 23 3 3" xfId="24390" xr:uid="{00000000-0005-0000-0000-0000495F0000}"/>
    <cellStyle name="Normal 2 23 3 3 2" xfId="24391" xr:uid="{00000000-0005-0000-0000-00004A5F0000}"/>
    <cellStyle name="Normal 2 23 3 3 2 2" xfId="24392" xr:uid="{00000000-0005-0000-0000-00004B5F0000}"/>
    <cellStyle name="Normal 2 23 3 3 3" xfId="24393" xr:uid="{00000000-0005-0000-0000-00004C5F0000}"/>
    <cellStyle name="Normal 2 23 3 3 4" xfId="24394" xr:uid="{00000000-0005-0000-0000-00004D5F0000}"/>
    <cellStyle name="Normal 2 23 3 3 5" xfId="24395" xr:uid="{00000000-0005-0000-0000-00004E5F0000}"/>
    <cellStyle name="Normal 2 23 3 4" xfId="24396" xr:uid="{00000000-0005-0000-0000-00004F5F0000}"/>
    <cellStyle name="Normal 2 23 3 4 2" xfId="24397" xr:uid="{00000000-0005-0000-0000-0000505F0000}"/>
    <cellStyle name="Normal 2 23 3 4 3" xfId="24398" xr:uid="{00000000-0005-0000-0000-0000515F0000}"/>
    <cellStyle name="Normal 2 23 3 4 4" xfId="24399" xr:uid="{00000000-0005-0000-0000-0000525F0000}"/>
    <cellStyle name="Normal 2 23 3 5" xfId="24400" xr:uid="{00000000-0005-0000-0000-0000535F0000}"/>
    <cellStyle name="Normal 2 23 3 5 2" xfId="24401" xr:uid="{00000000-0005-0000-0000-0000545F0000}"/>
    <cellStyle name="Normal 2 23 3 6" xfId="24402" xr:uid="{00000000-0005-0000-0000-0000555F0000}"/>
    <cellStyle name="Normal 2 23 3 7" xfId="24403" xr:uid="{00000000-0005-0000-0000-0000565F0000}"/>
    <cellStyle name="Normal 2 23 3 8" xfId="24404" xr:uid="{00000000-0005-0000-0000-0000575F0000}"/>
    <cellStyle name="Normal 2 23 3 9" xfId="24405" xr:uid="{00000000-0005-0000-0000-0000585F0000}"/>
    <cellStyle name="Normal 2 23 4" xfId="24406" xr:uid="{00000000-0005-0000-0000-0000595F0000}"/>
    <cellStyle name="Normal 2 23 4 2" xfId="24407" xr:uid="{00000000-0005-0000-0000-00005A5F0000}"/>
    <cellStyle name="Normal 2 23 4 2 2" xfId="24408" xr:uid="{00000000-0005-0000-0000-00005B5F0000}"/>
    <cellStyle name="Normal 2 23 4 3" xfId="24409" xr:uid="{00000000-0005-0000-0000-00005C5F0000}"/>
    <cellStyle name="Normal 2 23 4 4" xfId="24410" xr:uid="{00000000-0005-0000-0000-00005D5F0000}"/>
    <cellStyle name="Normal 2 23 4 5" xfId="24411" xr:uid="{00000000-0005-0000-0000-00005E5F0000}"/>
    <cellStyle name="Normal 2 23 4 6" xfId="24412" xr:uid="{00000000-0005-0000-0000-00005F5F0000}"/>
    <cellStyle name="Normal 2 23 5" xfId="24413" xr:uid="{00000000-0005-0000-0000-0000605F0000}"/>
    <cellStyle name="Normal 2 23 5 2" xfId="24414" xr:uid="{00000000-0005-0000-0000-0000615F0000}"/>
    <cellStyle name="Normal 2 23 5 3" xfId="24415" xr:uid="{00000000-0005-0000-0000-0000625F0000}"/>
    <cellStyle name="Normal 2 23 6" xfId="24416" xr:uid="{00000000-0005-0000-0000-0000635F0000}"/>
    <cellStyle name="Normal 2 23 7" xfId="24417" xr:uid="{00000000-0005-0000-0000-0000645F0000}"/>
    <cellStyle name="Normal 2 24" xfId="24418" xr:uid="{00000000-0005-0000-0000-0000655F0000}"/>
    <cellStyle name="Normal 2 24 2" xfId="24419" xr:uid="{00000000-0005-0000-0000-0000665F0000}"/>
    <cellStyle name="Normal 2 24 2 2" xfId="24420" xr:uid="{00000000-0005-0000-0000-0000675F0000}"/>
    <cellStyle name="Normal 2 24 3" xfId="24421" xr:uid="{00000000-0005-0000-0000-0000685F0000}"/>
    <cellStyle name="Normal 2 24 3 2" xfId="24422" xr:uid="{00000000-0005-0000-0000-0000695F0000}"/>
    <cellStyle name="Normal 2 24 3 2 2" xfId="24423" xr:uid="{00000000-0005-0000-0000-00006A5F0000}"/>
    <cellStyle name="Normal 2 24 3 2 2 2" xfId="24424" xr:uid="{00000000-0005-0000-0000-00006B5F0000}"/>
    <cellStyle name="Normal 2 24 3 2 2 3" xfId="24425" xr:uid="{00000000-0005-0000-0000-00006C5F0000}"/>
    <cellStyle name="Normal 2 24 3 2 3" xfId="24426" xr:uid="{00000000-0005-0000-0000-00006D5F0000}"/>
    <cellStyle name="Normal 2 24 3 2 4" xfId="24427" xr:uid="{00000000-0005-0000-0000-00006E5F0000}"/>
    <cellStyle name="Normal 2 24 3 2 5" xfId="24428" xr:uid="{00000000-0005-0000-0000-00006F5F0000}"/>
    <cellStyle name="Normal 2 24 3 2 6" xfId="24429" xr:uid="{00000000-0005-0000-0000-0000705F0000}"/>
    <cellStyle name="Normal 2 24 3 3" xfId="24430" xr:uid="{00000000-0005-0000-0000-0000715F0000}"/>
    <cellStyle name="Normal 2 24 3 3 2" xfId="24431" xr:uid="{00000000-0005-0000-0000-0000725F0000}"/>
    <cellStyle name="Normal 2 24 3 3 2 2" xfId="24432" xr:uid="{00000000-0005-0000-0000-0000735F0000}"/>
    <cellStyle name="Normal 2 24 3 3 3" xfId="24433" xr:uid="{00000000-0005-0000-0000-0000745F0000}"/>
    <cellStyle name="Normal 2 24 3 3 4" xfId="24434" xr:uid="{00000000-0005-0000-0000-0000755F0000}"/>
    <cellStyle name="Normal 2 24 3 3 5" xfId="24435" xr:uid="{00000000-0005-0000-0000-0000765F0000}"/>
    <cellStyle name="Normal 2 24 3 4" xfId="24436" xr:uid="{00000000-0005-0000-0000-0000775F0000}"/>
    <cellStyle name="Normal 2 24 3 4 2" xfId="24437" xr:uid="{00000000-0005-0000-0000-0000785F0000}"/>
    <cellStyle name="Normal 2 24 3 4 3" xfId="24438" xr:uid="{00000000-0005-0000-0000-0000795F0000}"/>
    <cellStyle name="Normal 2 24 3 4 4" xfId="24439" xr:uid="{00000000-0005-0000-0000-00007A5F0000}"/>
    <cellStyle name="Normal 2 24 3 5" xfId="24440" xr:uid="{00000000-0005-0000-0000-00007B5F0000}"/>
    <cellStyle name="Normal 2 24 3 5 2" xfId="24441" xr:uid="{00000000-0005-0000-0000-00007C5F0000}"/>
    <cellStyle name="Normal 2 24 3 6" xfId="24442" xr:uid="{00000000-0005-0000-0000-00007D5F0000}"/>
    <cellStyle name="Normal 2 24 3 7" xfId="24443" xr:uid="{00000000-0005-0000-0000-00007E5F0000}"/>
    <cellStyle name="Normal 2 24 3 8" xfId="24444" xr:uid="{00000000-0005-0000-0000-00007F5F0000}"/>
    <cellStyle name="Normal 2 24 3 9" xfId="24445" xr:uid="{00000000-0005-0000-0000-0000805F0000}"/>
    <cellStyle name="Normal 2 24 4" xfId="24446" xr:uid="{00000000-0005-0000-0000-0000815F0000}"/>
    <cellStyle name="Normal 2 24 4 2" xfId="24447" xr:uid="{00000000-0005-0000-0000-0000825F0000}"/>
    <cellStyle name="Normal 2 24 4 2 2" xfId="24448" xr:uid="{00000000-0005-0000-0000-0000835F0000}"/>
    <cellStyle name="Normal 2 24 4 3" xfId="24449" xr:uid="{00000000-0005-0000-0000-0000845F0000}"/>
    <cellStyle name="Normal 2 24 4 4" xfId="24450" xr:uid="{00000000-0005-0000-0000-0000855F0000}"/>
    <cellStyle name="Normal 2 24 4 5" xfId="24451" xr:uid="{00000000-0005-0000-0000-0000865F0000}"/>
    <cellStyle name="Normal 2 24 4 6" xfId="24452" xr:uid="{00000000-0005-0000-0000-0000875F0000}"/>
    <cellStyle name="Normal 2 24 5" xfId="24453" xr:uid="{00000000-0005-0000-0000-0000885F0000}"/>
    <cellStyle name="Normal 2 24 5 2" xfId="24454" xr:uid="{00000000-0005-0000-0000-0000895F0000}"/>
    <cellStyle name="Normal 2 24 5 3" xfId="24455" xr:uid="{00000000-0005-0000-0000-00008A5F0000}"/>
    <cellStyle name="Normal 2 24 6" xfId="24456" xr:uid="{00000000-0005-0000-0000-00008B5F0000}"/>
    <cellStyle name="Normal 2 24 7" xfId="24457" xr:uid="{00000000-0005-0000-0000-00008C5F0000}"/>
    <cellStyle name="Normal 2 25" xfId="24458" xr:uid="{00000000-0005-0000-0000-00008D5F0000}"/>
    <cellStyle name="Normal 2 25 2" xfId="24459" xr:uid="{00000000-0005-0000-0000-00008E5F0000}"/>
    <cellStyle name="Normal 2 25 2 2" xfId="24460" xr:uid="{00000000-0005-0000-0000-00008F5F0000}"/>
    <cellStyle name="Normal 2 25 3" xfId="24461" xr:uid="{00000000-0005-0000-0000-0000905F0000}"/>
    <cellStyle name="Normal 2 25 3 2" xfId="24462" xr:uid="{00000000-0005-0000-0000-0000915F0000}"/>
    <cellStyle name="Normal 2 25 3 2 2" xfId="24463" xr:uid="{00000000-0005-0000-0000-0000925F0000}"/>
    <cellStyle name="Normal 2 25 3 2 2 2" xfId="24464" xr:uid="{00000000-0005-0000-0000-0000935F0000}"/>
    <cellStyle name="Normal 2 25 3 2 2 3" xfId="24465" xr:uid="{00000000-0005-0000-0000-0000945F0000}"/>
    <cellStyle name="Normal 2 25 3 2 3" xfId="24466" xr:uid="{00000000-0005-0000-0000-0000955F0000}"/>
    <cellStyle name="Normal 2 25 3 2 4" xfId="24467" xr:uid="{00000000-0005-0000-0000-0000965F0000}"/>
    <cellStyle name="Normal 2 25 3 2 5" xfId="24468" xr:uid="{00000000-0005-0000-0000-0000975F0000}"/>
    <cellStyle name="Normal 2 25 3 2 6" xfId="24469" xr:uid="{00000000-0005-0000-0000-0000985F0000}"/>
    <cellStyle name="Normal 2 25 3 3" xfId="24470" xr:uid="{00000000-0005-0000-0000-0000995F0000}"/>
    <cellStyle name="Normal 2 25 3 3 2" xfId="24471" xr:uid="{00000000-0005-0000-0000-00009A5F0000}"/>
    <cellStyle name="Normal 2 25 3 3 2 2" xfId="24472" xr:uid="{00000000-0005-0000-0000-00009B5F0000}"/>
    <cellStyle name="Normal 2 25 3 3 3" xfId="24473" xr:uid="{00000000-0005-0000-0000-00009C5F0000}"/>
    <cellStyle name="Normal 2 25 3 3 4" xfId="24474" xr:uid="{00000000-0005-0000-0000-00009D5F0000}"/>
    <cellStyle name="Normal 2 25 3 3 5" xfId="24475" xr:uid="{00000000-0005-0000-0000-00009E5F0000}"/>
    <cellStyle name="Normal 2 25 3 4" xfId="24476" xr:uid="{00000000-0005-0000-0000-00009F5F0000}"/>
    <cellStyle name="Normal 2 25 3 4 2" xfId="24477" xr:uid="{00000000-0005-0000-0000-0000A05F0000}"/>
    <cellStyle name="Normal 2 25 3 4 3" xfId="24478" xr:uid="{00000000-0005-0000-0000-0000A15F0000}"/>
    <cellStyle name="Normal 2 25 3 4 4" xfId="24479" xr:uid="{00000000-0005-0000-0000-0000A25F0000}"/>
    <cellStyle name="Normal 2 25 3 5" xfId="24480" xr:uid="{00000000-0005-0000-0000-0000A35F0000}"/>
    <cellStyle name="Normal 2 25 3 5 2" xfId="24481" xr:uid="{00000000-0005-0000-0000-0000A45F0000}"/>
    <cellStyle name="Normal 2 25 3 6" xfId="24482" xr:uid="{00000000-0005-0000-0000-0000A55F0000}"/>
    <cellStyle name="Normal 2 25 3 7" xfId="24483" xr:uid="{00000000-0005-0000-0000-0000A65F0000}"/>
    <cellStyle name="Normal 2 25 3 8" xfId="24484" xr:uid="{00000000-0005-0000-0000-0000A75F0000}"/>
    <cellStyle name="Normal 2 25 3 9" xfId="24485" xr:uid="{00000000-0005-0000-0000-0000A85F0000}"/>
    <cellStyle name="Normal 2 25 4" xfId="24486" xr:uid="{00000000-0005-0000-0000-0000A95F0000}"/>
    <cellStyle name="Normal 2 25 4 2" xfId="24487" xr:uid="{00000000-0005-0000-0000-0000AA5F0000}"/>
    <cellStyle name="Normal 2 25 4 2 2" xfId="24488" xr:uid="{00000000-0005-0000-0000-0000AB5F0000}"/>
    <cellStyle name="Normal 2 25 4 3" xfId="24489" xr:uid="{00000000-0005-0000-0000-0000AC5F0000}"/>
    <cellStyle name="Normal 2 25 4 4" xfId="24490" xr:uid="{00000000-0005-0000-0000-0000AD5F0000}"/>
    <cellStyle name="Normal 2 25 4 5" xfId="24491" xr:uid="{00000000-0005-0000-0000-0000AE5F0000}"/>
    <cellStyle name="Normal 2 25 4 6" xfId="24492" xr:uid="{00000000-0005-0000-0000-0000AF5F0000}"/>
    <cellStyle name="Normal 2 25 5" xfId="24493" xr:uid="{00000000-0005-0000-0000-0000B05F0000}"/>
    <cellStyle name="Normal 2 25 5 2" xfId="24494" xr:uid="{00000000-0005-0000-0000-0000B15F0000}"/>
    <cellStyle name="Normal 2 25 5 3" xfId="24495" xr:uid="{00000000-0005-0000-0000-0000B25F0000}"/>
    <cellStyle name="Normal 2 25 6" xfId="24496" xr:uid="{00000000-0005-0000-0000-0000B35F0000}"/>
    <cellStyle name="Normal 2 25 7" xfId="24497" xr:uid="{00000000-0005-0000-0000-0000B45F0000}"/>
    <cellStyle name="Normal 2 26" xfId="24498" xr:uid="{00000000-0005-0000-0000-0000B55F0000}"/>
    <cellStyle name="Normal 2 26 2" xfId="24499" xr:uid="{00000000-0005-0000-0000-0000B65F0000}"/>
    <cellStyle name="Normal 2 26 2 2" xfId="24500" xr:uid="{00000000-0005-0000-0000-0000B75F0000}"/>
    <cellStyle name="Normal 2 26 3" xfId="24501" xr:uid="{00000000-0005-0000-0000-0000B85F0000}"/>
    <cellStyle name="Normal 2 26 3 2" xfId="24502" xr:uid="{00000000-0005-0000-0000-0000B95F0000}"/>
    <cellStyle name="Normal 2 26 3 2 2" xfId="24503" xr:uid="{00000000-0005-0000-0000-0000BA5F0000}"/>
    <cellStyle name="Normal 2 26 3 2 2 2" xfId="24504" xr:uid="{00000000-0005-0000-0000-0000BB5F0000}"/>
    <cellStyle name="Normal 2 26 3 2 2 3" xfId="24505" xr:uid="{00000000-0005-0000-0000-0000BC5F0000}"/>
    <cellStyle name="Normal 2 26 3 2 3" xfId="24506" xr:uid="{00000000-0005-0000-0000-0000BD5F0000}"/>
    <cellStyle name="Normal 2 26 3 2 4" xfId="24507" xr:uid="{00000000-0005-0000-0000-0000BE5F0000}"/>
    <cellStyle name="Normal 2 26 3 2 5" xfId="24508" xr:uid="{00000000-0005-0000-0000-0000BF5F0000}"/>
    <cellStyle name="Normal 2 26 3 2 6" xfId="24509" xr:uid="{00000000-0005-0000-0000-0000C05F0000}"/>
    <cellStyle name="Normal 2 26 3 3" xfId="24510" xr:uid="{00000000-0005-0000-0000-0000C15F0000}"/>
    <cellStyle name="Normal 2 26 3 3 2" xfId="24511" xr:uid="{00000000-0005-0000-0000-0000C25F0000}"/>
    <cellStyle name="Normal 2 26 3 3 2 2" xfId="24512" xr:uid="{00000000-0005-0000-0000-0000C35F0000}"/>
    <cellStyle name="Normal 2 26 3 3 3" xfId="24513" xr:uid="{00000000-0005-0000-0000-0000C45F0000}"/>
    <cellStyle name="Normal 2 26 3 3 4" xfId="24514" xr:uid="{00000000-0005-0000-0000-0000C55F0000}"/>
    <cellStyle name="Normal 2 26 3 3 5" xfId="24515" xr:uid="{00000000-0005-0000-0000-0000C65F0000}"/>
    <cellStyle name="Normal 2 26 3 4" xfId="24516" xr:uid="{00000000-0005-0000-0000-0000C75F0000}"/>
    <cellStyle name="Normal 2 26 3 4 2" xfId="24517" xr:uid="{00000000-0005-0000-0000-0000C85F0000}"/>
    <cellStyle name="Normal 2 26 3 4 3" xfId="24518" xr:uid="{00000000-0005-0000-0000-0000C95F0000}"/>
    <cellStyle name="Normal 2 26 3 4 4" xfId="24519" xr:uid="{00000000-0005-0000-0000-0000CA5F0000}"/>
    <cellStyle name="Normal 2 26 3 5" xfId="24520" xr:uid="{00000000-0005-0000-0000-0000CB5F0000}"/>
    <cellStyle name="Normal 2 26 3 5 2" xfId="24521" xr:uid="{00000000-0005-0000-0000-0000CC5F0000}"/>
    <cellStyle name="Normal 2 26 3 6" xfId="24522" xr:uid="{00000000-0005-0000-0000-0000CD5F0000}"/>
    <cellStyle name="Normal 2 26 3 7" xfId="24523" xr:uid="{00000000-0005-0000-0000-0000CE5F0000}"/>
    <cellStyle name="Normal 2 26 3 8" xfId="24524" xr:uid="{00000000-0005-0000-0000-0000CF5F0000}"/>
    <cellStyle name="Normal 2 26 3 9" xfId="24525" xr:uid="{00000000-0005-0000-0000-0000D05F0000}"/>
    <cellStyle name="Normal 2 26 4" xfId="24526" xr:uid="{00000000-0005-0000-0000-0000D15F0000}"/>
    <cellStyle name="Normal 2 26 4 2" xfId="24527" xr:uid="{00000000-0005-0000-0000-0000D25F0000}"/>
    <cellStyle name="Normal 2 26 4 2 2" xfId="24528" xr:uid="{00000000-0005-0000-0000-0000D35F0000}"/>
    <cellStyle name="Normal 2 26 4 3" xfId="24529" xr:uid="{00000000-0005-0000-0000-0000D45F0000}"/>
    <cellStyle name="Normal 2 26 4 4" xfId="24530" xr:uid="{00000000-0005-0000-0000-0000D55F0000}"/>
    <cellStyle name="Normal 2 26 4 5" xfId="24531" xr:uid="{00000000-0005-0000-0000-0000D65F0000}"/>
    <cellStyle name="Normal 2 26 4 6" xfId="24532" xr:uid="{00000000-0005-0000-0000-0000D75F0000}"/>
    <cellStyle name="Normal 2 26 5" xfId="24533" xr:uid="{00000000-0005-0000-0000-0000D85F0000}"/>
    <cellStyle name="Normal 2 26 5 2" xfId="24534" xr:uid="{00000000-0005-0000-0000-0000D95F0000}"/>
    <cellStyle name="Normal 2 26 5 3" xfId="24535" xr:uid="{00000000-0005-0000-0000-0000DA5F0000}"/>
    <cellStyle name="Normal 2 26 6" xfId="24536" xr:uid="{00000000-0005-0000-0000-0000DB5F0000}"/>
    <cellStyle name="Normal 2 26 7" xfId="24537" xr:uid="{00000000-0005-0000-0000-0000DC5F0000}"/>
    <cellStyle name="Normal 2 27" xfId="24538" xr:uid="{00000000-0005-0000-0000-0000DD5F0000}"/>
    <cellStyle name="Normal 2 27 2" xfId="24539" xr:uid="{00000000-0005-0000-0000-0000DE5F0000}"/>
    <cellStyle name="Normal 2 27 2 2" xfId="24540" xr:uid="{00000000-0005-0000-0000-0000DF5F0000}"/>
    <cellStyle name="Normal 2 27 3" xfId="24541" xr:uid="{00000000-0005-0000-0000-0000E05F0000}"/>
    <cellStyle name="Normal 2 27 3 2" xfId="24542" xr:uid="{00000000-0005-0000-0000-0000E15F0000}"/>
    <cellStyle name="Normal 2 27 3 2 2" xfId="24543" xr:uid="{00000000-0005-0000-0000-0000E25F0000}"/>
    <cellStyle name="Normal 2 27 3 2 2 2" xfId="24544" xr:uid="{00000000-0005-0000-0000-0000E35F0000}"/>
    <cellStyle name="Normal 2 27 3 2 2 3" xfId="24545" xr:uid="{00000000-0005-0000-0000-0000E45F0000}"/>
    <cellStyle name="Normal 2 27 3 2 3" xfId="24546" xr:uid="{00000000-0005-0000-0000-0000E55F0000}"/>
    <cellStyle name="Normal 2 27 3 2 4" xfId="24547" xr:uid="{00000000-0005-0000-0000-0000E65F0000}"/>
    <cellStyle name="Normal 2 27 3 2 5" xfId="24548" xr:uid="{00000000-0005-0000-0000-0000E75F0000}"/>
    <cellStyle name="Normal 2 27 3 2 6" xfId="24549" xr:uid="{00000000-0005-0000-0000-0000E85F0000}"/>
    <cellStyle name="Normal 2 27 3 3" xfId="24550" xr:uid="{00000000-0005-0000-0000-0000E95F0000}"/>
    <cellStyle name="Normal 2 27 3 3 2" xfId="24551" xr:uid="{00000000-0005-0000-0000-0000EA5F0000}"/>
    <cellStyle name="Normal 2 27 3 3 2 2" xfId="24552" xr:uid="{00000000-0005-0000-0000-0000EB5F0000}"/>
    <cellStyle name="Normal 2 27 3 3 3" xfId="24553" xr:uid="{00000000-0005-0000-0000-0000EC5F0000}"/>
    <cellStyle name="Normal 2 27 3 3 4" xfId="24554" xr:uid="{00000000-0005-0000-0000-0000ED5F0000}"/>
    <cellStyle name="Normal 2 27 3 3 5" xfId="24555" xr:uid="{00000000-0005-0000-0000-0000EE5F0000}"/>
    <cellStyle name="Normal 2 27 3 4" xfId="24556" xr:uid="{00000000-0005-0000-0000-0000EF5F0000}"/>
    <cellStyle name="Normal 2 27 3 4 2" xfId="24557" xr:uid="{00000000-0005-0000-0000-0000F05F0000}"/>
    <cellStyle name="Normal 2 27 3 4 3" xfId="24558" xr:uid="{00000000-0005-0000-0000-0000F15F0000}"/>
    <cellStyle name="Normal 2 27 3 4 4" xfId="24559" xr:uid="{00000000-0005-0000-0000-0000F25F0000}"/>
    <cellStyle name="Normal 2 27 3 5" xfId="24560" xr:uid="{00000000-0005-0000-0000-0000F35F0000}"/>
    <cellStyle name="Normal 2 27 3 5 2" xfId="24561" xr:uid="{00000000-0005-0000-0000-0000F45F0000}"/>
    <cellStyle name="Normal 2 27 3 6" xfId="24562" xr:uid="{00000000-0005-0000-0000-0000F55F0000}"/>
    <cellStyle name="Normal 2 27 3 7" xfId="24563" xr:uid="{00000000-0005-0000-0000-0000F65F0000}"/>
    <cellStyle name="Normal 2 27 3 8" xfId="24564" xr:uid="{00000000-0005-0000-0000-0000F75F0000}"/>
    <cellStyle name="Normal 2 27 3 9" xfId="24565" xr:uid="{00000000-0005-0000-0000-0000F85F0000}"/>
    <cellStyle name="Normal 2 27 4" xfId="24566" xr:uid="{00000000-0005-0000-0000-0000F95F0000}"/>
    <cellStyle name="Normal 2 27 4 2" xfId="24567" xr:uid="{00000000-0005-0000-0000-0000FA5F0000}"/>
    <cellStyle name="Normal 2 27 4 2 2" xfId="24568" xr:uid="{00000000-0005-0000-0000-0000FB5F0000}"/>
    <cellStyle name="Normal 2 27 4 3" xfId="24569" xr:uid="{00000000-0005-0000-0000-0000FC5F0000}"/>
    <cellStyle name="Normal 2 27 4 4" xfId="24570" xr:uid="{00000000-0005-0000-0000-0000FD5F0000}"/>
    <cellStyle name="Normal 2 27 4 5" xfId="24571" xr:uid="{00000000-0005-0000-0000-0000FE5F0000}"/>
    <cellStyle name="Normal 2 27 4 6" xfId="24572" xr:uid="{00000000-0005-0000-0000-0000FF5F0000}"/>
    <cellStyle name="Normal 2 27 5" xfId="24573" xr:uid="{00000000-0005-0000-0000-000000600000}"/>
    <cellStyle name="Normal 2 27 5 2" xfId="24574" xr:uid="{00000000-0005-0000-0000-000001600000}"/>
    <cellStyle name="Normal 2 27 5 3" xfId="24575" xr:uid="{00000000-0005-0000-0000-000002600000}"/>
    <cellStyle name="Normal 2 27 6" xfId="24576" xr:uid="{00000000-0005-0000-0000-000003600000}"/>
    <cellStyle name="Normal 2 27 7" xfId="24577" xr:uid="{00000000-0005-0000-0000-000004600000}"/>
    <cellStyle name="Normal 2 28" xfId="24578" xr:uid="{00000000-0005-0000-0000-000005600000}"/>
    <cellStyle name="Normal 2 28 2" xfId="24579" xr:uid="{00000000-0005-0000-0000-000006600000}"/>
    <cellStyle name="Normal 2 28 2 2" xfId="24580" xr:uid="{00000000-0005-0000-0000-000007600000}"/>
    <cellStyle name="Normal 2 28 3" xfId="24581" xr:uid="{00000000-0005-0000-0000-000008600000}"/>
    <cellStyle name="Normal 2 28 3 2" xfId="24582" xr:uid="{00000000-0005-0000-0000-000009600000}"/>
    <cellStyle name="Normal 2 28 3 2 2" xfId="24583" xr:uid="{00000000-0005-0000-0000-00000A600000}"/>
    <cellStyle name="Normal 2 28 3 2 2 2" xfId="24584" xr:uid="{00000000-0005-0000-0000-00000B600000}"/>
    <cellStyle name="Normal 2 28 3 2 2 3" xfId="24585" xr:uid="{00000000-0005-0000-0000-00000C600000}"/>
    <cellStyle name="Normal 2 28 3 2 3" xfId="24586" xr:uid="{00000000-0005-0000-0000-00000D600000}"/>
    <cellStyle name="Normal 2 28 3 2 4" xfId="24587" xr:uid="{00000000-0005-0000-0000-00000E600000}"/>
    <cellStyle name="Normal 2 28 3 2 5" xfId="24588" xr:uid="{00000000-0005-0000-0000-00000F600000}"/>
    <cellStyle name="Normal 2 28 3 2 6" xfId="24589" xr:uid="{00000000-0005-0000-0000-000010600000}"/>
    <cellStyle name="Normal 2 28 3 3" xfId="24590" xr:uid="{00000000-0005-0000-0000-000011600000}"/>
    <cellStyle name="Normal 2 28 3 3 2" xfId="24591" xr:uid="{00000000-0005-0000-0000-000012600000}"/>
    <cellStyle name="Normal 2 28 3 3 2 2" xfId="24592" xr:uid="{00000000-0005-0000-0000-000013600000}"/>
    <cellStyle name="Normal 2 28 3 3 3" xfId="24593" xr:uid="{00000000-0005-0000-0000-000014600000}"/>
    <cellStyle name="Normal 2 28 3 3 4" xfId="24594" xr:uid="{00000000-0005-0000-0000-000015600000}"/>
    <cellStyle name="Normal 2 28 3 3 5" xfId="24595" xr:uid="{00000000-0005-0000-0000-000016600000}"/>
    <cellStyle name="Normal 2 28 3 4" xfId="24596" xr:uid="{00000000-0005-0000-0000-000017600000}"/>
    <cellStyle name="Normal 2 28 3 4 2" xfId="24597" xr:uid="{00000000-0005-0000-0000-000018600000}"/>
    <cellStyle name="Normal 2 28 3 4 3" xfId="24598" xr:uid="{00000000-0005-0000-0000-000019600000}"/>
    <cellStyle name="Normal 2 28 3 4 4" xfId="24599" xr:uid="{00000000-0005-0000-0000-00001A600000}"/>
    <cellStyle name="Normal 2 28 3 5" xfId="24600" xr:uid="{00000000-0005-0000-0000-00001B600000}"/>
    <cellStyle name="Normal 2 28 3 5 2" xfId="24601" xr:uid="{00000000-0005-0000-0000-00001C600000}"/>
    <cellStyle name="Normal 2 28 3 6" xfId="24602" xr:uid="{00000000-0005-0000-0000-00001D600000}"/>
    <cellStyle name="Normal 2 28 3 7" xfId="24603" xr:uid="{00000000-0005-0000-0000-00001E600000}"/>
    <cellStyle name="Normal 2 28 3 8" xfId="24604" xr:uid="{00000000-0005-0000-0000-00001F600000}"/>
    <cellStyle name="Normal 2 28 3 9" xfId="24605" xr:uid="{00000000-0005-0000-0000-000020600000}"/>
    <cellStyle name="Normal 2 28 4" xfId="24606" xr:uid="{00000000-0005-0000-0000-000021600000}"/>
    <cellStyle name="Normal 2 28 4 2" xfId="24607" xr:uid="{00000000-0005-0000-0000-000022600000}"/>
    <cellStyle name="Normal 2 28 4 2 2" xfId="24608" xr:uid="{00000000-0005-0000-0000-000023600000}"/>
    <cellStyle name="Normal 2 28 4 3" xfId="24609" xr:uid="{00000000-0005-0000-0000-000024600000}"/>
    <cellStyle name="Normal 2 28 4 4" xfId="24610" xr:uid="{00000000-0005-0000-0000-000025600000}"/>
    <cellStyle name="Normal 2 28 4 5" xfId="24611" xr:uid="{00000000-0005-0000-0000-000026600000}"/>
    <cellStyle name="Normal 2 28 4 6" xfId="24612" xr:uid="{00000000-0005-0000-0000-000027600000}"/>
    <cellStyle name="Normal 2 28 5" xfId="24613" xr:uid="{00000000-0005-0000-0000-000028600000}"/>
    <cellStyle name="Normal 2 28 5 2" xfId="24614" xr:uid="{00000000-0005-0000-0000-000029600000}"/>
    <cellStyle name="Normal 2 28 5 3" xfId="24615" xr:uid="{00000000-0005-0000-0000-00002A600000}"/>
    <cellStyle name="Normal 2 28 6" xfId="24616" xr:uid="{00000000-0005-0000-0000-00002B600000}"/>
    <cellStyle name="Normal 2 28 6 2" xfId="24617" xr:uid="{00000000-0005-0000-0000-00002C600000}"/>
    <cellStyle name="Normal 2 28 7" xfId="24618" xr:uid="{00000000-0005-0000-0000-00002D600000}"/>
    <cellStyle name="Normal 2 28 8" xfId="24619" xr:uid="{00000000-0005-0000-0000-00002E600000}"/>
    <cellStyle name="Normal 2 29" xfId="24620" xr:uid="{00000000-0005-0000-0000-00002F600000}"/>
    <cellStyle name="Normal 2 29 2" xfId="24621" xr:uid="{00000000-0005-0000-0000-000030600000}"/>
    <cellStyle name="Normal 2 29 2 2" xfId="24622" xr:uid="{00000000-0005-0000-0000-000031600000}"/>
    <cellStyle name="Normal 2 29 2 2 2" xfId="24623" xr:uid="{00000000-0005-0000-0000-000032600000}"/>
    <cellStyle name="Normal 2 29 2 3" xfId="24624" xr:uid="{00000000-0005-0000-0000-000033600000}"/>
    <cellStyle name="Normal 2 29 3" xfId="24625" xr:uid="{00000000-0005-0000-0000-000034600000}"/>
    <cellStyle name="Normal 2 29 3 2" xfId="24626" xr:uid="{00000000-0005-0000-0000-000035600000}"/>
    <cellStyle name="Normal 2 29 3 2 2" xfId="24627" xr:uid="{00000000-0005-0000-0000-000036600000}"/>
    <cellStyle name="Normal 2 29 3 2 2 2" xfId="24628" xr:uid="{00000000-0005-0000-0000-000037600000}"/>
    <cellStyle name="Normal 2 29 3 2 2 3" xfId="24629" xr:uid="{00000000-0005-0000-0000-000038600000}"/>
    <cellStyle name="Normal 2 29 3 2 3" xfId="24630" xr:uid="{00000000-0005-0000-0000-000039600000}"/>
    <cellStyle name="Normal 2 29 3 2 4" xfId="24631" xr:uid="{00000000-0005-0000-0000-00003A600000}"/>
    <cellStyle name="Normal 2 29 3 2 5" xfId="24632" xr:uid="{00000000-0005-0000-0000-00003B600000}"/>
    <cellStyle name="Normal 2 29 3 2 6" xfId="24633" xr:uid="{00000000-0005-0000-0000-00003C600000}"/>
    <cellStyle name="Normal 2 29 3 3" xfId="24634" xr:uid="{00000000-0005-0000-0000-00003D600000}"/>
    <cellStyle name="Normal 2 29 3 3 2" xfId="24635" xr:uid="{00000000-0005-0000-0000-00003E600000}"/>
    <cellStyle name="Normal 2 29 3 3 2 2" xfId="24636" xr:uid="{00000000-0005-0000-0000-00003F600000}"/>
    <cellStyle name="Normal 2 29 3 3 3" xfId="24637" xr:uid="{00000000-0005-0000-0000-000040600000}"/>
    <cellStyle name="Normal 2 29 3 3 4" xfId="24638" xr:uid="{00000000-0005-0000-0000-000041600000}"/>
    <cellStyle name="Normal 2 29 3 3 5" xfId="24639" xr:uid="{00000000-0005-0000-0000-000042600000}"/>
    <cellStyle name="Normal 2 29 3 4" xfId="24640" xr:uid="{00000000-0005-0000-0000-000043600000}"/>
    <cellStyle name="Normal 2 29 3 4 2" xfId="24641" xr:uid="{00000000-0005-0000-0000-000044600000}"/>
    <cellStyle name="Normal 2 29 3 4 3" xfId="24642" xr:uid="{00000000-0005-0000-0000-000045600000}"/>
    <cellStyle name="Normal 2 29 3 4 4" xfId="24643" xr:uid="{00000000-0005-0000-0000-000046600000}"/>
    <cellStyle name="Normal 2 29 3 5" xfId="24644" xr:uid="{00000000-0005-0000-0000-000047600000}"/>
    <cellStyle name="Normal 2 29 3 5 2" xfId="24645" xr:uid="{00000000-0005-0000-0000-000048600000}"/>
    <cellStyle name="Normal 2 29 3 6" xfId="24646" xr:uid="{00000000-0005-0000-0000-000049600000}"/>
    <cellStyle name="Normal 2 29 3 7" xfId="24647" xr:uid="{00000000-0005-0000-0000-00004A600000}"/>
    <cellStyle name="Normal 2 29 3 8" xfId="24648" xr:uid="{00000000-0005-0000-0000-00004B600000}"/>
    <cellStyle name="Normal 2 29 3 9" xfId="24649" xr:uid="{00000000-0005-0000-0000-00004C600000}"/>
    <cellStyle name="Normal 2 29 4" xfId="24650" xr:uid="{00000000-0005-0000-0000-00004D600000}"/>
    <cellStyle name="Normal 2 29 4 2" xfId="24651" xr:uid="{00000000-0005-0000-0000-00004E600000}"/>
    <cellStyle name="Normal 2 29 4 2 2" xfId="24652" xr:uid="{00000000-0005-0000-0000-00004F600000}"/>
    <cellStyle name="Normal 2 29 4 3" xfId="24653" xr:uid="{00000000-0005-0000-0000-000050600000}"/>
    <cellStyle name="Normal 2 29 4 4" xfId="24654" xr:uid="{00000000-0005-0000-0000-000051600000}"/>
    <cellStyle name="Normal 2 29 4 5" xfId="24655" xr:uid="{00000000-0005-0000-0000-000052600000}"/>
    <cellStyle name="Normal 2 29 4 6" xfId="24656" xr:uid="{00000000-0005-0000-0000-000053600000}"/>
    <cellStyle name="Normal 2 29 5" xfId="24657" xr:uid="{00000000-0005-0000-0000-000054600000}"/>
    <cellStyle name="Normal 2 29 5 2" xfId="24658" xr:uid="{00000000-0005-0000-0000-000055600000}"/>
    <cellStyle name="Normal 2 29 5 3" xfId="24659" xr:uid="{00000000-0005-0000-0000-000056600000}"/>
    <cellStyle name="Normal 2 29 6" xfId="24660" xr:uid="{00000000-0005-0000-0000-000057600000}"/>
    <cellStyle name="Normal 2 29 6 2" xfId="24661" xr:uid="{00000000-0005-0000-0000-000058600000}"/>
    <cellStyle name="Normal 2 29 7" xfId="24662" xr:uid="{00000000-0005-0000-0000-000059600000}"/>
    <cellStyle name="Normal 2 29 8" xfId="24663" xr:uid="{00000000-0005-0000-0000-00005A600000}"/>
    <cellStyle name="Normal 2 3" xfId="24664" xr:uid="{00000000-0005-0000-0000-00005B600000}"/>
    <cellStyle name="Normal 2 3 2" xfId="24665" xr:uid="{00000000-0005-0000-0000-00005C600000}"/>
    <cellStyle name="Normal 2 3 2 10" xfId="24666" xr:uid="{00000000-0005-0000-0000-00005D600000}"/>
    <cellStyle name="Normal 2 3 2 10 10" xfId="24667" xr:uid="{00000000-0005-0000-0000-00005E600000}"/>
    <cellStyle name="Normal 2 3 2 10 2" xfId="24668" xr:uid="{00000000-0005-0000-0000-00005F600000}"/>
    <cellStyle name="Normal 2 3 2 10 2 2" xfId="24669" xr:uid="{00000000-0005-0000-0000-000060600000}"/>
    <cellStyle name="Normal 2 3 2 10 2 2 2" xfId="24670" xr:uid="{00000000-0005-0000-0000-000061600000}"/>
    <cellStyle name="Normal 2 3 2 10 2 2 3" xfId="24671" xr:uid="{00000000-0005-0000-0000-000062600000}"/>
    <cellStyle name="Normal 2 3 2 10 2 3" xfId="24672" xr:uid="{00000000-0005-0000-0000-000063600000}"/>
    <cellStyle name="Normal 2 3 2 10 2 4" xfId="24673" xr:uid="{00000000-0005-0000-0000-000064600000}"/>
    <cellStyle name="Normal 2 3 2 10 2 5" xfId="24674" xr:uid="{00000000-0005-0000-0000-000065600000}"/>
    <cellStyle name="Normal 2 3 2 10 2 6" xfId="24675" xr:uid="{00000000-0005-0000-0000-000066600000}"/>
    <cellStyle name="Normal 2 3 2 10 3" xfId="24676" xr:uid="{00000000-0005-0000-0000-000067600000}"/>
    <cellStyle name="Normal 2 3 2 10 3 2" xfId="24677" xr:uid="{00000000-0005-0000-0000-000068600000}"/>
    <cellStyle name="Normal 2 3 2 10 3 2 2" xfId="24678" xr:uid="{00000000-0005-0000-0000-000069600000}"/>
    <cellStyle name="Normal 2 3 2 10 3 2 3" xfId="24679" xr:uid="{00000000-0005-0000-0000-00006A600000}"/>
    <cellStyle name="Normal 2 3 2 10 3 3" xfId="24680" xr:uid="{00000000-0005-0000-0000-00006B600000}"/>
    <cellStyle name="Normal 2 3 2 10 3 4" xfId="24681" xr:uid="{00000000-0005-0000-0000-00006C600000}"/>
    <cellStyle name="Normal 2 3 2 10 3 5" xfId="24682" xr:uid="{00000000-0005-0000-0000-00006D600000}"/>
    <cellStyle name="Normal 2 3 2 10 3 6" xfId="24683" xr:uid="{00000000-0005-0000-0000-00006E600000}"/>
    <cellStyle name="Normal 2 3 2 10 4" xfId="24684" xr:uid="{00000000-0005-0000-0000-00006F600000}"/>
    <cellStyle name="Normal 2 3 2 10 4 2" xfId="24685" xr:uid="{00000000-0005-0000-0000-000070600000}"/>
    <cellStyle name="Normal 2 3 2 10 4 2 2" xfId="24686" xr:uid="{00000000-0005-0000-0000-000071600000}"/>
    <cellStyle name="Normal 2 3 2 10 4 3" xfId="24687" xr:uid="{00000000-0005-0000-0000-000072600000}"/>
    <cellStyle name="Normal 2 3 2 10 4 4" xfId="24688" xr:uid="{00000000-0005-0000-0000-000073600000}"/>
    <cellStyle name="Normal 2 3 2 10 4 5" xfId="24689" xr:uid="{00000000-0005-0000-0000-000074600000}"/>
    <cellStyle name="Normal 2 3 2 10 5" xfId="24690" xr:uid="{00000000-0005-0000-0000-000075600000}"/>
    <cellStyle name="Normal 2 3 2 10 5 2" xfId="24691" xr:uid="{00000000-0005-0000-0000-000076600000}"/>
    <cellStyle name="Normal 2 3 2 10 5 3" xfId="24692" xr:uid="{00000000-0005-0000-0000-000077600000}"/>
    <cellStyle name="Normal 2 3 2 10 5 4" xfId="24693" xr:uid="{00000000-0005-0000-0000-000078600000}"/>
    <cellStyle name="Normal 2 3 2 10 6" xfId="24694" xr:uid="{00000000-0005-0000-0000-000079600000}"/>
    <cellStyle name="Normal 2 3 2 10 6 2" xfId="24695" xr:uid="{00000000-0005-0000-0000-00007A600000}"/>
    <cellStyle name="Normal 2 3 2 10 7" xfId="24696" xr:uid="{00000000-0005-0000-0000-00007B600000}"/>
    <cellStyle name="Normal 2 3 2 10 8" xfId="24697" xr:uid="{00000000-0005-0000-0000-00007C600000}"/>
    <cellStyle name="Normal 2 3 2 10 9" xfId="24698" xr:uid="{00000000-0005-0000-0000-00007D600000}"/>
    <cellStyle name="Normal 2 3 2 11" xfId="24699" xr:uid="{00000000-0005-0000-0000-00007E600000}"/>
    <cellStyle name="Normal 2 3 2 11 10" xfId="24700" xr:uid="{00000000-0005-0000-0000-00007F600000}"/>
    <cellStyle name="Normal 2 3 2 11 2" xfId="24701" xr:uid="{00000000-0005-0000-0000-000080600000}"/>
    <cellStyle name="Normal 2 3 2 11 2 2" xfId="24702" xr:uid="{00000000-0005-0000-0000-000081600000}"/>
    <cellStyle name="Normal 2 3 2 11 2 2 2" xfId="24703" xr:uid="{00000000-0005-0000-0000-000082600000}"/>
    <cellStyle name="Normal 2 3 2 11 2 2 3" xfId="24704" xr:uid="{00000000-0005-0000-0000-000083600000}"/>
    <cellStyle name="Normal 2 3 2 11 2 3" xfId="24705" xr:uid="{00000000-0005-0000-0000-000084600000}"/>
    <cellStyle name="Normal 2 3 2 11 2 4" xfId="24706" xr:uid="{00000000-0005-0000-0000-000085600000}"/>
    <cellStyle name="Normal 2 3 2 11 2 5" xfId="24707" xr:uid="{00000000-0005-0000-0000-000086600000}"/>
    <cellStyle name="Normal 2 3 2 11 2 6" xfId="24708" xr:uid="{00000000-0005-0000-0000-000087600000}"/>
    <cellStyle name="Normal 2 3 2 11 3" xfId="24709" xr:uid="{00000000-0005-0000-0000-000088600000}"/>
    <cellStyle name="Normal 2 3 2 11 3 2" xfId="24710" xr:uid="{00000000-0005-0000-0000-000089600000}"/>
    <cellStyle name="Normal 2 3 2 11 3 2 2" xfId="24711" xr:uid="{00000000-0005-0000-0000-00008A600000}"/>
    <cellStyle name="Normal 2 3 2 11 3 2 3" xfId="24712" xr:uid="{00000000-0005-0000-0000-00008B600000}"/>
    <cellStyle name="Normal 2 3 2 11 3 3" xfId="24713" xr:uid="{00000000-0005-0000-0000-00008C600000}"/>
    <cellStyle name="Normal 2 3 2 11 3 4" xfId="24714" xr:uid="{00000000-0005-0000-0000-00008D600000}"/>
    <cellStyle name="Normal 2 3 2 11 3 5" xfId="24715" xr:uid="{00000000-0005-0000-0000-00008E600000}"/>
    <cellStyle name="Normal 2 3 2 11 3 6" xfId="24716" xr:uid="{00000000-0005-0000-0000-00008F600000}"/>
    <cellStyle name="Normal 2 3 2 11 4" xfId="24717" xr:uid="{00000000-0005-0000-0000-000090600000}"/>
    <cellStyle name="Normal 2 3 2 11 4 2" xfId="24718" xr:uid="{00000000-0005-0000-0000-000091600000}"/>
    <cellStyle name="Normal 2 3 2 11 4 2 2" xfId="24719" xr:uid="{00000000-0005-0000-0000-000092600000}"/>
    <cellStyle name="Normal 2 3 2 11 4 3" xfId="24720" xr:uid="{00000000-0005-0000-0000-000093600000}"/>
    <cellStyle name="Normal 2 3 2 11 4 4" xfId="24721" xr:uid="{00000000-0005-0000-0000-000094600000}"/>
    <cellStyle name="Normal 2 3 2 11 4 5" xfId="24722" xr:uid="{00000000-0005-0000-0000-000095600000}"/>
    <cellStyle name="Normal 2 3 2 11 5" xfId="24723" xr:uid="{00000000-0005-0000-0000-000096600000}"/>
    <cellStyle name="Normal 2 3 2 11 5 2" xfId="24724" xr:uid="{00000000-0005-0000-0000-000097600000}"/>
    <cellStyle name="Normal 2 3 2 11 5 3" xfId="24725" xr:uid="{00000000-0005-0000-0000-000098600000}"/>
    <cellStyle name="Normal 2 3 2 11 5 4" xfId="24726" xr:uid="{00000000-0005-0000-0000-000099600000}"/>
    <cellStyle name="Normal 2 3 2 11 6" xfId="24727" xr:uid="{00000000-0005-0000-0000-00009A600000}"/>
    <cellStyle name="Normal 2 3 2 11 6 2" xfId="24728" xr:uid="{00000000-0005-0000-0000-00009B600000}"/>
    <cellStyle name="Normal 2 3 2 11 7" xfId="24729" xr:uid="{00000000-0005-0000-0000-00009C600000}"/>
    <cellStyle name="Normal 2 3 2 11 8" xfId="24730" xr:uid="{00000000-0005-0000-0000-00009D600000}"/>
    <cellStyle name="Normal 2 3 2 11 9" xfId="24731" xr:uid="{00000000-0005-0000-0000-00009E600000}"/>
    <cellStyle name="Normal 2 3 2 12" xfId="24732" xr:uid="{00000000-0005-0000-0000-00009F600000}"/>
    <cellStyle name="Normal 2 3 2 12 10" xfId="24733" xr:uid="{00000000-0005-0000-0000-0000A0600000}"/>
    <cellStyle name="Normal 2 3 2 12 2" xfId="24734" xr:uid="{00000000-0005-0000-0000-0000A1600000}"/>
    <cellStyle name="Normal 2 3 2 12 2 2" xfId="24735" xr:uid="{00000000-0005-0000-0000-0000A2600000}"/>
    <cellStyle name="Normal 2 3 2 12 2 2 2" xfId="24736" xr:uid="{00000000-0005-0000-0000-0000A3600000}"/>
    <cellStyle name="Normal 2 3 2 12 2 2 3" xfId="24737" xr:uid="{00000000-0005-0000-0000-0000A4600000}"/>
    <cellStyle name="Normal 2 3 2 12 2 3" xfId="24738" xr:uid="{00000000-0005-0000-0000-0000A5600000}"/>
    <cellStyle name="Normal 2 3 2 12 2 4" xfId="24739" xr:uid="{00000000-0005-0000-0000-0000A6600000}"/>
    <cellStyle name="Normal 2 3 2 12 2 5" xfId="24740" xr:uid="{00000000-0005-0000-0000-0000A7600000}"/>
    <cellStyle name="Normal 2 3 2 12 2 6" xfId="24741" xr:uid="{00000000-0005-0000-0000-0000A8600000}"/>
    <cellStyle name="Normal 2 3 2 12 3" xfId="24742" xr:uid="{00000000-0005-0000-0000-0000A9600000}"/>
    <cellStyle name="Normal 2 3 2 12 3 2" xfId="24743" xr:uid="{00000000-0005-0000-0000-0000AA600000}"/>
    <cellStyle name="Normal 2 3 2 12 3 2 2" xfId="24744" xr:uid="{00000000-0005-0000-0000-0000AB600000}"/>
    <cellStyle name="Normal 2 3 2 12 3 2 3" xfId="24745" xr:uid="{00000000-0005-0000-0000-0000AC600000}"/>
    <cellStyle name="Normal 2 3 2 12 3 3" xfId="24746" xr:uid="{00000000-0005-0000-0000-0000AD600000}"/>
    <cellStyle name="Normal 2 3 2 12 3 4" xfId="24747" xr:uid="{00000000-0005-0000-0000-0000AE600000}"/>
    <cellStyle name="Normal 2 3 2 12 3 5" xfId="24748" xr:uid="{00000000-0005-0000-0000-0000AF600000}"/>
    <cellStyle name="Normal 2 3 2 12 3 6" xfId="24749" xr:uid="{00000000-0005-0000-0000-0000B0600000}"/>
    <cellStyle name="Normal 2 3 2 12 4" xfId="24750" xr:uid="{00000000-0005-0000-0000-0000B1600000}"/>
    <cellStyle name="Normal 2 3 2 12 4 2" xfId="24751" xr:uid="{00000000-0005-0000-0000-0000B2600000}"/>
    <cellStyle name="Normal 2 3 2 12 4 2 2" xfId="24752" xr:uid="{00000000-0005-0000-0000-0000B3600000}"/>
    <cellStyle name="Normal 2 3 2 12 4 3" xfId="24753" xr:uid="{00000000-0005-0000-0000-0000B4600000}"/>
    <cellStyle name="Normal 2 3 2 12 4 4" xfId="24754" xr:uid="{00000000-0005-0000-0000-0000B5600000}"/>
    <cellStyle name="Normal 2 3 2 12 4 5" xfId="24755" xr:uid="{00000000-0005-0000-0000-0000B6600000}"/>
    <cellStyle name="Normal 2 3 2 12 5" xfId="24756" xr:uid="{00000000-0005-0000-0000-0000B7600000}"/>
    <cellStyle name="Normal 2 3 2 12 5 2" xfId="24757" xr:uid="{00000000-0005-0000-0000-0000B8600000}"/>
    <cellStyle name="Normal 2 3 2 12 5 3" xfId="24758" xr:uid="{00000000-0005-0000-0000-0000B9600000}"/>
    <cellStyle name="Normal 2 3 2 12 5 4" xfId="24759" xr:uid="{00000000-0005-0000-0000-0000BA600000}"/>
    <cellStyle name="Normal 2 3 2 12 6" xfId="24760" xr:uid="{00000000-0005-0000-0000-0000BB600000}"/>
    <cellStyle name="Normal 2 3 2 12 6 2" xfId="24761" xr:uid="{00000000-0005-0000-0000-0000BC600000}"/>
    <cellStyle name="Normal 2 3 2 12 7" xfId="24762" xr:uid="{00000000-0005-0000-0000-0000BD600000}"/>
    <cellStyle name="Normal 2 3 2 12 8" xfId="24763" xr:uid="{00000000-0005-0000-0000-0000BE600000}"/>
    <cellStyle name="Normal 2 3 2 12 9" xfId="24764" xr:uid="{00000000-0005-0000-0000-0000BF600000}"/>
    <cellStyle name="Normal 2 3 2 13" xfId="24765" xr:uid="{00000000-0005-0000-0000-0000C0600000}"/>
    <cellStyle name="Normal 2 3 2 13 2" xfId="24766" xr:uid="{00000000-0005-0000-0000-0000C1600000}"/>
    <cellStyle name="Normal 2 3 2 13 2 2" xfId="24767" xr:uid="{00000000-0005-0000-0000-0000C2600000}"/>
    <cellStyle name="Normal 2 3 2 13 2 2 2" xfId="24768" xr:uid="{00000000-0005-0000-0000-0000C3600000}"/>
    <cellStyle name="Normal 2 3 2 13 2 2 3" xfId="24769" xr:uid="{00000000-0005-0000-0000-0000C4600000}"/>
    <cellStyle name="Normal 2 3 2 13 2 3" xfId="24770" xr:uid="{00000000-0005-0000-0000-0000C5600000}"/>
    <cellStyle name="Normal 2 3 2 13 2 4" xfId="24771" xr:uid="{00000000-0005-0000-0000-0000C6600000}"/>
    <cellStyle name="Normal 2 3 2 13 2 5" xfId="24772" xr:uid="{00000000-0005-0000-0000-0000C7600000}"/>
    <cellStyle name="Normal 2 3 2 13 2 6" xfId="24773" xr:uid="{00000000-0005-0000-0000-0000C8600000}"/>
    <cellStyle name="Normal 2 3 2 13 3" xfId="24774" xr:uid="{00000000-0005-0000-0000-0000C9600000}"/>
    <cellStyle name="Normal 2 3 2 13 3 2" xfId="24775" xr:uid="{00000000-0005-0000-0000-0000CA600000}"/>
    <cellStyle name="Normal 2 3 2 13 3 2 2" xfId="24776" xr:uid="{00000000-0005-0000-0000-0000CB600000}"/>
    <cellStyle name="Normal 2 3 2 13 3 3" xfId="24777" xr:uid="{00000000-0005-0000-0000-0000CC600000}"/>
    <cellStyle name="Normal 2 3 2 13 3 4" xfId="24778" xr:uid="{00000000-0005-0000-0000-0000CD600000}"/>
    <cellStyle name="Normal 2 3 2 13 3 5" xfId="24779" xr:uid="{00000000-0005-0000-0000-0000CE600000}"/>
    <cellStyle name="Normal 2 3 2 13 4" xfId="24780" xr:uid="{00000000-0005-0000-0000-0000CF600000}"/>
    <cellStyle name="Normal 2 3 2 13 4 2" xfId="24781" xr:uid="{00000000-0005-0000-0000-0000D0600000}"/>
    <cellStyle name="Normal 2 3 2 13 4 3" xfId="24782" xr:uid="{00000000-0005-0000-0000-0000D1600000}"/>
    <cellStyle name="Normal 2 3 2 13 4 4" xfId="24783" xr:uid="{00000000-0005-0000-0000-0000D2600000}"/>
    <cellStyle name="Normal 2 3 2 13 5" xfId="24784" xr:uid="{00000000-0005-0000-0000-0000D3600000}"/>
    <cellStyle name="Normal 2 3 2 13 5 2" xfId="24785" xr:uid="{00000000-0005-0000-0000-0000D4600000}"/>
    <cellStyle name="Normal 2 3 2 13 6" xfId="24786" xr:uid="{00000000-0005-0000-0000-0000D5600000}"/>
    <cellStyle name="Normal 2 3 2 13 7" xfId="24787" xr:uid="{00000000-0005-0000-0000-0000D6600000}"/>
    <cellStyle name="Normal 2 3 2 13 8" xfId="24788" xr:uid="{00000000-0005-0000-0000-0000D7600000}"/>
    <cellStyle name="Normal 2 3 2 13 9" xfId="24789" xr:uid="{00000000-0005-0000-0000-0000D8600000}"/>
    <cellStyle name="Normal 2 3 2 14" xfId="24790" xr:uid="{00000000-0005-0000-0000-0000D9600000}"/>
    <cellStyle name="Normal 2 3 2 14 2" xfId="24791" xr:uid="{00000000-0005-0000-0000-0000DA600000}"/>
    <cellStyle name="Normal 2 3 2 14 2 2" xfId="24792" xr:uid="{00000000-0005-0000-0000-0000DB600000}"/>
    <cellStyle name="Normal 2 3 2 14 2 2 2" xfId="24793" xr:uid="{00000000-0005-0000-0000-0000DC600000}"/>
    <cellStyle name="Normal 2 3 2 14 2 2 3" xfId="24794" xr:uid="{00000000-0005-0000-0000-0000DD600000}"/>
    <cellStyle name="Normal 2 3 2 14 2 3" xfId="24795" xr:uid="{00000000-0005-0000-0000-0000DE600000}"/>
    <cellStyle name="Normal 2 3 2 14 2 4" xfId="24796" xr:uid="{00000000-0005-0000-0000-0000DF600000}"/>
    <cellStyle name="Normal 2 3 2 14 2 5" xfId="24797" xr:uid="{00000000-0005-0000-0000-0000E0600000}"/>
    <cellStyle name="Normal 2 3 2 14 2 6" xfId="24798" xr:uid="{00000000-0005-0000-0000-0000E1600000}"/>
    <cellStyle name="Normal 2 3 2 14 3" xfId="24799" xr:uid="{00000000-0005-0000-0000-0000E2600000}"/>
    <cellStyle name="Normal 2 3 2 14 3 2" xfId="24800" xr:uid="{00000000-0005-0000-0000-0000E3600000}"/>
    <cellStyle name="Normal 2 3 2 14 3 2 2" xfId="24801" xr:uid="{00000000-0005-0000-0000-0000E4600000}"/>
    <cellStyle name="Normal 2 3 2 14 3 3" xfId="24802" xr:uid="{00000000-0005-0000-0000-0000E5600000}"/>
    <cellStyle name="Normal 2 3 2 14 3 4" xfId="24803" xr:uid="{00000000-0005-0000-0000-0000E6600000}"/>
    <cellStyle name="Normal 2 3 2 14 3 5" xfId="24804" xr:uid="{00000000-0005-0000-0000-0000E7600000}"/>
    <cellStyle name="Normal 2 3 2 14 4" xfId="24805" xr:uid="{00000000-0005-0000-0000-0000E8600000}"/>
    <cellStyle name="Normal 2 3 2 14 4 2" xfId="24806" xr:uid="{00000000-0005-0000-0000-0000E9600000}"/>
    <cellStyle name="Normal 2 3 2 14 4 3" xfId="24807" xr:uid="{00000000-0005-0000-0000-0000EA600000}"/>
    <cellStyle name="Normal 2 3 2 14 4 4" xfId="24808" xr:uid="{00000000-0005-0000-0000-0000EB600000}"/>
    <cellStyle name="Normal 2 3 2 14 5" xfId="24809" xr:uid="{00000000-0005-0000-0000-0000EC600000}"/>
    <cellStyle name="Normal 2 3 2 14 5 2" xfId="24810" xr:uid="{00000000-0005-0000-0000-0000ED600000}"/>
    <cellStyle name="Normal 2 3 2 14 6" xfId="24811" xr:uid="{00000000-0005-0000-0000-0000EE600000}"/>
    <cellStyle name="Normal 2 3 2 14 7" xfId="24812" xr:uid="{00000000-0005-0000-0000-0000EF600000}"/>
    <cellStyle name="Normal 2 3 2 14 8" xfId="24813" xr:uid="{00000000-0005-0000-0000-0000F0600000}"/>
    <cellStyle name="Normal 2 3 2 14 9" xfId="24814" xr:uid="{00000000-0005-0000-0000-0000F1600000}"/>
    <cellStyle name="Normal 2 3 2 15" xfId="24815" xr:uid="{00000000-0005-0000-0000-0000F2600000}"/>
    <cellStyle name="Normal 2 3 2 15 2" xfId="24816" xr:uid="{00000000-0005-0000-0000-0000F3600000}"/>
    <cellStyle name="Normal 2 3 2 15 2 2" xfId="24817" xr:uid="{00000000-0005-0000-0000-0000F4600000}"/>
    <cellStyle name="Normal 2 3 2 15 2 3" xfId="24818" xr:uid="{00000000-0005-0000-0000-0000F5600000}"/>
    <cellStyle name="Normal 2 3 2 15 3" xfId="24819" xr:uid="{00000000-0005-0000-0000-0000F6600000}"/>
    <cellStyle name="Normal 2 3 2 15 4" xfId="24820" xr:uid="{00000000-0005-0000-0000-0000F7600000}"/>
    <cellStyle name="Normal 2 3 2 15 5" xfId="24821" xr:uid="{00000000-0005-0000-0000-0000F8600000}"/>
    <cellStyle name="Normal 2 3 2 15 6" xfId="24822" xr:uid="{00000000-0005-0000-0000-0000F9600000}"/>
    <cellStyle name="Normal 2 3 2 16" xfId="24823" xr:uid="{00000000-0005-0000-0000-0000FA600000}"/>
    <cellStyle name="Normal 2 3 2 16 2" xfId="24824" xr:uid="{00000000-0005-0000-0000-0000FB600000}"/>
    <cellStyle name="Normal 2 3 2 16 2 2" xfId="24825" xr:uid="{00000000-0005-0000-0000-0000FC600000}"/>
    <cellStyle name="Normal 2 3 2 16 3" xfId="24826" xr:uid="{00000000-0005-0000-0000-0000FD600000}"/>
    <cellStyle name="Normal 2 3 2 16 4" xfId="24827" xr:uid="{00000000-0005-0000-0000-0000FE600000}"/>
    <cellStyle name="Normal 2 3 2 16 5" xfId="24828" xr:uid="{00000000-0005-0000-0000-0000FF600000}"/>
    <cellStyle name="Normal 2 3 2 17" xfId="24829" xr:uid="{00000000-0005-0000-0000-000000610000}"/>
    <cellStyle name="Normal 2 3 2 17 2" xfId="24830" xr:uid="{00000000-0005-0000-0000-000001610000}"/>
    <cellStyle name="Normal 2 3 2 17 2 2" xfId="24831" xr:uid="{00000000-0005-0000-0000-000002610000}"/>
    <cellStyle name="Normal 2 3 2 17 3" xfId="24832" xr:uid="{00000000-0005-0000-0000-000003610000}"/>
    <cellStyle name="Normal 2 3 2 17 4" xfId="24833" xr:uid="{00000000-0005-0000-0000-000004610000}"/>
    <cellStyle name="Normal 2 3 2 17 5" xfId="24834" xr:uid="{00000000-0005-0000-0000-000005610000}"/>
    <cellStyle name="Normal 2 3 2 18" xfId="24835" xr:uid="{00000000-0005-0000-0000-000006610000}"/>
    <cellStyle name="Normal 2 3 2 18 2" xfId="24836" xr:uid="{00000000-0005-0000-0000-000007610000}"/>
    <cellStyle name="Normal 2 3 2 19" xfId="24837" xr:uid="{00000000-0005-0000-0000-000008610000}"/>
    <cellStyle name="Normal 2 3 2 2" xfId="24838" xr:uid="{00000000-0005-0000-0000-000009610000}"/>
    <cellStyle name="Normal 2 3 2 2 10" xfId="24839" xr:uid="{00000000-0005-0000-0000-00000A610000}"/>
    <cellStyle name="Normal 2 3 2 2 11" xfId="24840" xr:uid="{00000000-0005-0000-0000-00000B610000}"/>
    <cellStyle name="Normal 2 3 2 2 2" xfId="24841" xr:uid="{00000000-0005-0000-0000-00000C610000}"/>
    <cellStyle name="Normal 2 3 2 2 2 2" xfId="24842" xr:uid="{00000000-0005-0000-0000-00000D610000}"/>
    <cellStyle name="Normal 2 3 2 2 2 2 2" xfId="24843" xr:uid="{00000000-0005-0000-0000-00000E610000}"/>
    <cellStyle name="Normal 2 3 2 2 2 2 2 2" xfId="24844" xr:uid="{00000000-0005-0000-0000-00000F610000}"/>
    <cellStyle name="Normal 2 3 2 2 2 2 2 3" xfId="24845" xr:uid="{00000000-0005-0000-0000-000010610000}"/>
    <cellStyle name="Normal 2 3 2 2 2 2 3" xfId="24846" xr:uid="{00000000-0005-0000-0000-000011610000}"/>
    <cellStyle name="Normal 2 3 2 2 2 2 4" xfId="24847" xr:uid="{00000000-0005-0000-0000-000012610000}"/>
    <cellStyle name="Normal 2 3 2 2 2 2 5" xfId="24848" xr:uid="{00000000-0005-0000-0000-000013610000}"/>
    <cellStyle name="Normal 2 3 2 2 2 2 6" xfId="24849" xr:uid="{00000000-0005-0000-0000-000014610000}"/>
    <cellStyle name="Normal 2 3 2 2 2 3" xfId="24850" xr:uid="{00000000-0005-0000-0000-000015610000}"/>
    <cellStyle name="Normal 2 3 2 2 2 3 2" xfId="24851" xr:uid="{00000000-0005-0000-0000-000016610000}"/>
    <cellStyle name="Normal 2 3 2 2 2 3 2 2" xfId="24852" xr:uid="{00000000-0005-0000-0000-000017610000}"/>
    <cellStyle name="Normal 2 3 2 2 2 3 3" xfId="24853" xr:uid="{00000000-0005-0000-0000-000018610000}"/>
    <cellStyle name="Normal 2 3 2 2 2 3 4" xfId="24854" xr:uid="{00000000-0005-0000-0000-000019610000}"/>
    <cellStyle name="Normal 2 3 2 2 2 3 5" xfId="24855" xr:uid="{00000000-0005-0000-0000-00001A610000}"/>
    <cellStyle name="Normal 2 3 2 2 2 4" xfId="24856" xr:uid="{00000000-0005-0000-0000-00001B610000}"/>
    <cellStyle name="Normal 2 3 2 2 2 4 2" xfId="24857" xr:uid="{00000000-0005-0000-0000-00001C610000}"/>
    <cellStyle name="Normal 2 3 2 2 2 4 3" xfId="24858" xr:uid="{00000000-0005-0000-0000-00001D610000}"/>
    <cellStyle name="Normal 2 3 2 2 2 4 4" xfId="24859" xr:uid="{00000000-0005-0000-0000-00001E610000}"/>
    <cellStyle name="Normal 2 3 2 2 2 5" xfId="24860" xr:uid="{00000000-0005-0000-0000-00001F610000}"/>
    <cellStyle name="Normal 2 3 2 2 2 5 2" xfId="24861" xr:uid="{00000000-0005-0000-0000-000020610000}"/>
    <cellStyle name="Normal 2 3 2 2 2 6" xfId="24862" xr:uid="{00000000-0005-0000-0000-000021610000}"/>
    <cellStyle name="Normal 2 3 2 2 2 7" xfId="24863" xr:uid="{00000000-0005-0000-0000-000022610000}"/>
    <cellStyle name="Normal 2 3 2 2 2 8" xfId="24864" xr:uid="{00000000-0005-0000-0000-000023610000}"/>
    <cellStyle name="Normal 2 3 2 2 2 9" xfId="24865" xr:uid="{00000000-0005-0000-0000-000024610000}"/>
    <cellStyle name="Normal 2 3 2 2 3" xfId="24866" xr:uid="{00000000-0005-0000-0000-000025610000}"/>
    <cellStyle name="Normal 2 3 2 2 3 2" xfId="24867" xr:uid="{00000000-0005-0000-0000-000026610000}"/>
    <cellStyle name="Normal 2 3 2 2 3 2 2" xfId="24868" xr:uid="{00000000-0005-0000-0000-000027610000}"/>
    <cellStyle name="Normal 2 3 2 2 3 2 2 2" xfId="24869" xr:uid="{00000000-0005-0000-0000-000028610000}"/>
    <cellStyle name="Normal 2 3 2 2 3 2 2 3" xfId="24870" xr:uid="{00000000-0005-0000-0000-000029610000}"/>
    <cellStyle name="Normal 2 3 2 2 3 2 3" xfId="24871" xr:uid="{00000000-0005-0000-0000-00002A610000}"/>
    <cellStyle name="Normal 2 3 2 2 3 2 4" xfId="24872" xr:uid="{00000000-0005-0000-0000-00002B610000}"/>
    <cellStyle name="Normal 2 3 2 2 3 2 5" xfId="24873" xr:uid="{00000000-0005-0000-0000-00002C610000}"/>
    <cellStyle name="Normal 2 3 2 2 3 2 6" xfId="24874" xr:uid="{00000000-0005-0000-0000-00002D610000}"/>
    <cellStyle name="Normal 2 3 2 2 3 3" xfId="24875" xr:uid="{00000000-0005-0000-0000-00002E610000}"/>
    <cellStyle name="Normal 2 3 2 2 3 3 2" xfId="24876" xr:uid="{00000000-0005-0000-0000-00002F610000}"/>
    <cellStyle name="Normal 2 3 2 2 3 3 2 2" xfId="24877" xr:uid="{00000000-0005-0000-0000-000030610000}"/>
    <cellStyle name="Normal 2 3 2 2 3 3 3" xfId="24878" xr:uid="{00000000-0005-0000-0000-000031610000}"/>
    <cellStyle name="Normal 2 3 2 2 3 3 4" xfId="24879" xr:uid="{00000000-0005-0000-0000-000032610000}"/>
    <cellStyle name="Normal 2 3 2 2 3 3 5" xfId="24880" xr:uid="{00000000-0005-0000-0000-000033610000}"/>
    <cellStyle name="Normal 2 3 2 2 3 4" xfId="24881" xr:uid="{00000000-0005-0000-0000-000034610000}"/>
    <cellStyle name="Normal 2 3 2 2 3 4 2" xfId="24882" xr:uid="{00000000-0005-0000-0000-000035610000}"/>
    <cellStyle name="Normal 2 3 2 2 3 4 3" xfId="24883" xr:uid="{00000000-0005-0000-0000-000036610000}"/>
    <cellStyle name="Normal 2 3 2 2 3 4 4" xfId="24884" xr:uid="{00000000-0005-0000-0000-000037610000}"/>
    <cellStyle name="Normal 2 3 2 2 3 5" xfId="24885" xr:uid="{00000000-0005-0000-0000-000038610000}"/>
    <cellStyle name="Normal 2 3 2 2 3 5 2" xfId="24886" xr:uid="{00000000-0005-0000-0000-000039610000}"/>
    <cellStyle name="Normal 2 3 2 2 3 6" xfId="24887" xr:uid="{00000000-0005-0000-0000-00003A610000}"/>
    <cellStyle name="Normal 2 3 2 2 3 7" xfId="24888" xr:uid="{00000000-0005-0000-0000-00003B610000}"/>
    <cellStyle name="Normal 2 3 2 2 3 8" xfId="24889" xr:uid="{00000000-0005-0000-0000-00003C610000}"/>
    <cellStyle name="Normal 2 3 2 2 3 9" xfId="24890" xr:uid="{00000000-0005-0000-0000-00003D610000}"/>
    <cellStyle name="Normal 2 3 2 2 4" xfId="24891" xr:uid="{00000000-0005-0000-0000-00003E610000}"/>
    <cellStyle name="Normal 2 3 2 2 4 2" xfId="24892" xr:uid="{00000000-0005-0000-0000-00003F610000}"/>
    <cellStyle name="Normal 2 3 2 2 4 2 2" xfId="24893" xr:uid="{00000000-0005-0000-0000-000040610000}"/>
    <cellStyle name="Normal 2 3 2 2 4 2 3" xfId="24894" xr:uid="{00000000-0005-0000-0000-000041610000}"/>
    <cellStyle name="Normal 2 3 2 2 4 3" xfId="24895" xr:uid="{00000000-0005-0000-0000-000042610000}"/>
    <cellStyle name="Normal 2 3 2 2 4 4" xfId="24896" xr:uid="{00000000-0005-0000-0000-000043610000}"/>
    <cellStyle name="Normal 2 3 2 2 4 5" xfId="24897" xr:uid="{00000000-0005-0000-0000-000044610000}"/>
    <cellStyle name="Normal 2 3 2 2 4 6" xfId="24898" xr:uid="{00000000-0005-0000-0000-000045610000}"/>
    <cellStyle name="Normal 2 3 2 2 5" xfId="24899" xr:uid="{00000000-0005-0000-0000-000046610000}"/>
    <cellStyle name="Normal 2 3 2 2 5 2" xfId="24900" xr:uid="{00000000-0005-0000-0000-000047610000}"/>
    <cellStyle name="Normal 2 3 2 2 5 2 2" xfId="24901" xr:uid="{00000000-0005-0000-0000-000048610000}"/>
    <cellStyle name="Normal 2 3 2 2 5 3" xfId="24902" xr:uid="{00000000-0005-0000-0000-000049610000}"/>
    <cellStyle name="Normal 2 3 2 2 5 4" xfId="24903" xr:uid="{00000000-0005-0000-0000-00004A610000}"/>
    <cellStyle name="Normal 2 3 2 2 5 5" xfId="24904" xr:uid="{00000000-0005-0000-0000-00004B610000}"/>
    <cellStyle name="Normal 2 3 2 2 6" xfId="24905" xr:uid="{00000000-0005-0000-0000-00004C610000}"/>
    <cellStyle name="Normal 2 3 2 2 6 2" xfId="24906" xr:uid="{00000000-0005-0000-0000-00004D610000}"/>
    <cellStyle name="Normal 2 3 2 2 6 3" xfId="24907" xr:uid="{00000000-0005-0000-0000-00004E610000}"/>
    <cellStyle name="Normal 2 3 2 2 6 4" xfId="24908" xr:uid="{00000000-0005-0000-0000-00004F610000}"/>
    <cellStyle name="Normal 2 3 2 2 7" xfId="24909" xr:uid="{00000000-0005-0000-0000-000050610000}"/>
    <cellStyle name="Normal 2 3 2 2 7 2" xfId="24910" xr:uid="{00000000-0005-0000-0000-000051610000}"/>
    <cellStyle name="Normal 2 3 2 2 8" xfId="24911" xr:uid="{00000000-0005-0000-0000-000052610000}"/>
    <cellStyle name="Normal 2 3 2 2 9" xfId="24912" xr:uid="{00000000-0005-0000-0000-000053610000}"/>
    <cellStyle name="Normal 2 3 2 20" xfId="24913" xr:uid="{00000000-0005-0000-0000-000054610000}"/>
    <cellStyle name="Normal 2 3 2 21" xfId="24914" xr:uid="{00000000-0005-0000-0000-000055610000}"/>
    <cellStyle name="Normal 2 3 2 22" xfId="24915" xr:uid="{00000000-0005-0000-0000-000056610000}"/>
    <cellStyle name="Normal 2 3 2 3" xfId="24916" xr:uid="{00000000-0005-0000-0000-000057610000}"/>
    <cellStyle name="Normal 2 3 2 3 10" xfId="24917" xr:uid="{00000000-0005-0000-0000-000058610000}"/>
    <cellStyle name="Normal 2 3 2 3 11" xfId="24918" xr:uid="{00000000-0005-0000-0000-000059610000}"/>
    <cellStyle name="Normal 2 3 2 3 2" xfId="24919" xr:uid="{00000000-0005-0000-0000-00005A610000}"/>
    <cellStyle name="Normal 2 3 2 3 2 2" xfId="24920" xr:uid="{00000000-0005-0000-0000-00005B610000}"/>
    <cellStyle name="Normal 2 3 2 3 2 2 2" xfId="24921" xr:uid="{00000000-0005-0000-0000-00005C610000}"/>
    <cellStyle name="Normal 2 3 2 3 2 2 2 2" xfId="24922" xr:uid="{00000000-0005-0000-0000-00005D610000}"/>
    <cellStyle name="Normal 2 3 2 3 2 2 2 3" xfId="24923" xr:uid="{00000000-0005-0000-0000-00005E610000}"/>
    <cellStyle name="Normal 2 3 2 3 2 2 3" xfId="24924" xr:uid="{00000000-0005-0000-0000-00005F610000}"/>
    <cellStyle name="Normal 2 3 2 3 2 2 4" xfId="24925" xr:uid="{00000000-0005-0000-0000-000060610000}"/>
    <cellStyle name="Normal 2 3 2 3 2 2 5" xfId="24926" xr:uid="{00000000-0005-0000-0000-000061610000}"/>
    <cellStyle name="Normal 2 3 2 3 2 2 6" xfId="24927" xr:uid="{00000000-0005-0000-0000-000062610000}"/>
    <cellStyle name="Normal 2 3 2 3 2 3" xfId="24928" xr:uid="{00000000-0005-0000-0000-000063610000}"/>
    <cellStyle name="Normal 2 3 2 3 2 3 2" xfId="24929" xr:uid="{00000000-0005-0000-0000-000064610000}"/>
    <cellStyle name="Normal 2 3 2 3 2 3 2 2" xfId="24930" xr:uid="{00000000-0005-0000-0000-000065610000}"/>
    <cellStyle name="Normal 2 3 2 3 2 3 3" xfId="24931" xr:uid="{00000000-0005-0000-0000-000066610000}"/>
    <cellStyle name="Normal 2 3 2 3 2 3 4" xfId="24932" xr:uid="{00000000-0005-0000-0000-000067610000}"/>
    <cellStyle name="Normal 2 3 2 3 2 3 5" xfId="24933" xr:uid="{00000000-0005-0000-0000-000068610000}"/>
    <cellStyle name="Normal 2 3 2 3 2 4" xfId="24934" xr:uid="{00000000-0005-0000-0000-000069610000}"/>
    <cellStyle name="Normal 2 3 2 3 2 4 2" xfId="24935" xr:uid="{00000000-0005-0000-0000-00006A610000}"/>
    <cellStyle name="Normal 2 3 2 3 2 4 3" xfId="24936" xr:uid="{00000000-0005-0000-0000-00006B610000}"/>
    <cellStyle name="Normal 2 3 2 3 2 4 4" xfId="24937" xr:uid="{00000000-0005-0000-0000-00006C610000}"/>
    <cellStyle name="Normal 2 3 2 3 2 5" xfId="24938" xr:uid="{00000000-0005-0000-0000-00006D610000}"/>
    <cellStyle name="Normal 2 3 2 3 2 5 2" xfId="24939" xr:uid="{00000000-0005-0000-0000-00006E610000}"/>
    <cellStyle name="Normal 2 3 2 3 2 6" xfId="24940" xr:uid="{00000000-0005-0000-0000-00006F610000}"/>
    <cellStyle name="Normal 2 3 2 3 2 7" xfId="24941" xr:uid="{00000000-0005-0000-0000-000070610000}"/>
    <cellStyle name="Normal 2 3 2 3 2 8" xfId="24942" xr:uid="{00000000-0005-0000-0000-000071610000}"/>
    <cellStyle name="Normal 2 3 2 3 2 9" xfId="24943" xr:uid="{00000000-0005-0000-0000-000072610000}"/>
    <cellStyle name="Normal 2 3 2 3 3" xfId="24944" xr:uid="{00000000-0005-0000-0000-000073610000}"/>
    <cellStyle name="Normal 2 3 2 3 3 2" xfId="24945" xr:uid="{00000000-0005-0000-0000-000074610000}"/>
    <cellStyle name="Normal 2 3 2 3 3 2 2" xfId="24946" xr:uid="{00000000-0005-0000-0000-000075610000}"/>
    <cellStyle name="Normal 2 3 2 3 3 2 2 2" xfId="24947" xr:uid="{00000000-0005-0000-0000-000076610000}"/>
    <cellStyle name="Normal 2 3 2 3 3 2 2 3" xfId="24948" xr:uid="{00000000-0005-0000-0000-000077610000}"/>
    <cellStyle name="Normal 2 3 2 3 3 2 3" xfId="24949" xr:uid="{00000000-0005-0000-0000-000078610000}"/>
    <cellStyle name="Normal 2 3 2 3 3 2 4" xfId="24950" xr:uid="{00000000-0005-0000-0000-000079610000}"/>
    <cellStyle name="Normal 2 3 2 3 3 2 5" xfId="24951" xr:uid="{00000000-0005-0000-0000-00007A610000}"/>
    <cellStyle name="Normal 2 3 2 3 3 2 6" xfId="24952" xr:uid="{00000000-0005-0000-0000-00007B610000}"/>
    <cellStyle name="Normal 2 3 2 3 3 3" xfId="24953" xr:uid="{00000000-0005-0000-0000-00007C610000}"/>
    <cellStyle name="Normal 2 3 2 3 3 3 2" xfId="24954" xr:uid="{00000000-0005-0000-0000-00007D610000}"/>
    <cellStyle name="Normal 2 3 2 3 3 3 2 2" xfId="24955" xr:uid="{00000000-0005-0000-0000-00007E610000}"/>
    <cellStyle name="Normal 2 3 2 3 3 3 3" xfId="24956" xr:uid="{00000000-0005-0000-0000-00007F610000}"/>
    <cellStyle name="Normal 2 3 2 3 3 3 4" xfId="24957" xr:uid="{00000000-0005-0000-0000-000080610000}"/>
    <cellStyle name="Normal 2 3 2 3 3 3 5" xfId="24958" xr:uid="{00000000-0005-0000-0000-000081610000}"/>
    <cellStyle name="Normal 2 3 2 3 3 4" xfId="24959" xr:uid="{00000000-0005-0000-0000-000082610000}"/>
    <cellStyle name="Normal 2 3 2 3 3 4 2" xfId="24960" xr:uid="{00000000-0005-0000-0000-000083610000}"/>
    <cellStyle name="Normal 2 3 2 3 3 4 3" xfId="24961" xr:uid="{00000000-0005-0000-0000-000084610000}"/>
    <cellStyle name="Normal 2 3 2 3 3 4 4" xfId="24962" xr:uid="{00000000-0005-0000-0000-000085610000}"/>
    <cellStyle name="Normal 2 3 2 3 3 5" xfId="24963" xr:uid="{00000000-0005-0000-0000-000086610000}"/>
    <cellStyle name="Normal 2 3 2 3 3 5 2" xfId="24964" xr:uid="{00000000-0005-0000-0000-000087610000}"/>
    <cellStyle name="Normal 2 3 2 3 3 6" xfId="24965" xr:uid="{00000000-0005-0000-0000-000088610000}"/>
    <cellStyle name="Normal 2 3 2 3 3 7" xfId="24966" xr:uid="{00000000-0005-0000-0000-000089610000}"/>
    <cellStyle name="Normal 2 3 2 3 3 8" xfId="24967" xr:uid="{00000000-0005-0000-0000-00008A610000}"/>
    <cellStyle name="Normal 2 3 2 3 3 9" xfId="24968" xr:uid="{00000000-0005-0000-0000-00008B610000}"/>
    <cellStyle name="Normal 2 3 2 3 4" xfId="24969" xr:uid="{00000000-0005-0000-0000-00008C610000}"/>
    <cellStyle name="Normal 2 3 2 3 4 2" xfId="24970" xr:uid="{00000000-0005-0000-0000-00008D610000}"/>
    <cellStyle name="Normal 2 3 2 3 4 2 2" xfId="24971" xr:uid="{00000000-0005-0000-0000-00008E610000}"/>
    <cellStyle name="Normal 2 3 2 3 4 2 3" xfId="24972" xr:uid="{00000000-0005-0000-0000-00008F610000}"/>
    <cellStyle name="Normal 2 3 2 3 4 3" xfId="24973" xr:uid="{00000000-0005-0000-0000-000090610000}"/>
    <cellStyle name="Normal 2 3 2 3 4 4" xfId="24974" xr:uid="{00000000-0005-0000-0000-000091610000}"/>
    <cellStyle name="Normal 2 3 2 3 4 5" xfId="24975" xr:uid="{00000000-0005-0000-0000-000092610000}"/>
    <cellStyle name="Normal 2 3 2 3 4 6" xfId="24976" xr:uid="{00000000-0005-0000-0000-000093610000}"/>
    <cellStyle name="Normal 2 3 2 3 5" xfId="24977" xr:uid="{00000000-0005-0000-0000-000094610000}"/>
    <cellStyle name="Normal 2 3 2 3 5 2" xfId="24978" xr:uid="{00000000-0005-0000-0000-000095610000}"/>
    <cellStyle name="Normal 2 3 2 3 5 2 2" xfId="24979" xr:uid="{00000000-0005-0000-0000-000096610000}"/>
    <cellStyle name="Normal 2 3 2 3 5 3" xfId="24980" xr:uid="{00000000-0005-0000-0000-000097610000}"/>
    <cellStyle name="Normal 2 3 2 3 5 4" xfId="24981" xr:uid="{00000000-0005-0000-0000-000098610000}"/>
    <cellStyle name="Normal 2 3 2 3 5 5" xfId="24982" xr:uid="{00000000-0005-0000-0000-000099610000}"/>
    <cellStyle name="Normal 2 3 2 3 6" xfId="24983" xr:uid="{00000000-0005-0000-0000-00009A610000}"/>
    <cellStyle name="Normal 2 3 2 3 6 2" xfId="24984" xr:uid="{00000000-0005-0000-0000-00009B610000}"/>
    <cellStyle name="Normal 2 3 2 3 6 3" xfId="24985" xr:uid="{00000000-0005-0000-0000-00009C610000}"/>
    <cellStyle name="Normal 2 3 2 3 6 4" xfId="24986" xr:uid="{00000000-0005-0000-0000-00009D610000}"/>
    <cellStyle name="Normal 2 3 2 3 7" xfId="24987" xr:uid="{00000000-0005-0000-0000-00009E610000}"/>
    <cellStyle name="Normal 2 3 2 3 7 2" xfId="24988" xr:uid="{00000000-0005-0000-0000-00009F610000}"/>
    <cellStyle name="Normal 2 3 2 3 8" xfId="24989" xr:uid="{00000000-0005-0000-0000-0000A0610000}"/>
    <cellStyle name="Normal 2 3 2 3 9" xfId="24990" xr:uid="{00000000-0005-0000-0000-0000A1610000}"/>
    <cellStyle name="Normal 2 3 2 4" xfId="24991" xr:uid="{00000000-0005-0000-0000-0000A2610000}"/>
    <cellStyle name="Normal 2 3 2 4 10" xfId="24992" xr:uid="{00000000-0005-0000-0000-0000A3610000}"/>
    <cellStyle name="Normal 2 3 2 4 11" xfId="24993" xr:uid="{00000000-0005-0000-0000-0000A4610000}"/>
    <cellStyle name="Normal 2 3 2 4 2" xfId="24994" xr:uid="{00000000-0005-0000-0000-0000A5610000}"/>
    <cellStyle name="Normal 2 3 2 4 2 2" xfId="24995" xr:uid="{00000000-0005-0000-0000-0000A6610000}"/>
    <cellStyle name="Normal 2 3 2 4 2 2 2" xfId="24996" xr:uid="{00000000-0005-0000-0000-0000A7610000}"/>
    <cellStyle name="Normal 2 3 2 4 2 2 2 2" xfId="24997" xr:uid="{00000000-0005-0000-0000-0000A8610000}"/>
    <cellStyle name="Normal 2 3 2 4 2 2 2 3" xfId="24998" xr:uid="{00000000-0005-0000-0000-0000A9610000}"/>
    <cellStyle name="Normal 2 3 2 4 2 2 3" xfId="24999" xr:uid="{00000000-0005-0000-0000-0000AA610000}"/>
    <cellStyle name="Normal 2 3 2 4 2 2 4" xfId="25000" xr:uid="{00000000-0005-0000-0000-0000AB610000}"/>
    <cellStyle name="Normal 2 3 2 4 2 2 5" xfId="25001" xr:uid="{00000000-0005-0000-0000-0000AC610000}"/>
    <cellStyle name="Normal 2 3 2 4 2 2 6" xfId="25002" xr:uid="{00000000-0005-0000-0000-0000AD610000}"/>
    <cellStyle name="Normal 2 3 2 4 2 3" xfId="25003" xr:uid="{00000000-0005-0000-0000-0000AE610000}"/>
    <cellStyle name="Normal 2 3 2 4 2 3 2" xfId="25004" xr:uid="{00000000-0005-0000-0000-0000AF610000}"/>
    <cellStyle name="Normal 2 3 2 4 2 3 2 2" xfId="25005" xr:uid="{00000000-0005-0000-0000-0000B0610000}"/>
    <cellStyle name="Normal 2 3 2 4 2 3 3" xfId="25006" xr:uid="{00000000-0005-0000-0000-0000B1610000}"/>
    <cellStyle name="Normal 2 3 2 4 2 3 4" xfId="25007" xr:uid="{00000000-0005-0000-0000-0000B2610000}"/>
    <cellStyle name="Normal 2 3 2 4 2 3 5" xfId="25008" xr:uid="{00000000-0005-0000-0000-0000B3610000}"/>
    <cellStyle name="Normal 2 3 2 4 2 4" xfId="25009" xr:uid="{00000000-0005-0000-0000-0000B4610000}"/>
    <cellStyle name="Normal 2 3 2 4 2 4 2" xfId="25010" xr:uid="{00000000-0005-0000-0000-0000B5610000}"/>
    <cellStyle name="Normal 2 3 2 4 2 4 3" xfId="25011" xr:uid="{00000000-0005-0000-0000-0000B6610000}"/>
    <cellStyle name="Normal 2 3 2 4 2 4 4" xfId="25012" xr:uid="{00000000-0005-0000-0000-0000B7610000}"/>
    <cellStyle name="Normal 2 3 2 4 2 5" xfId="25013" xr:uid="{00000000-0005-0000-0000-0000B8610000}"/>
    <cellStyle name="Normal 2 3 2 4 2 5 2" xfId="25014" xr:uid="{00000000-0005-0000-0000-0000B9610000}"/>
    <cellStyle name="Normal 2 3 2 4 2 6" xfId="25015" xr:uid="{00000000-0005-0000-0000-0000BA610000}"/>
    <cellStyle name="Normal 2 3 2 4 2 7" xfId="25016" xr:uid="{00000000-0005-0000-0000-0000BB610000}"/>
    <cellStyle name="Normal 2 3 2 4 2 8" xfId="25017" xr:uid="{00000000-0005-0000-0000-0000BC610000}"/>
    <cellStyle name="Normal 2 3 2 4 2 9" xfId="25018" xr:uid="{00000000-0005-0000-0000-0000BD610000}"/>
    <cellStyle name="Normal 2 3 2 4 3" xfId="25019" xr:uid="{00000000-0005-0000-0000-0000BE610000}"/>
    <cellStyle name="Normal 2 3 2 4 3 2" xfId="25020" xr:uid="{00000000-0005-0000-0000-0000BF610000}"/>
    <cellStyle name="Normal 2 3 2 4 3 2 2" xfId="25021" xr:uid="{00000000-0005-0000-0000-0000C0610000}"/>
    <cellStyle name="Normal 2 3 2 4 3 2 2 2" xfId="25022" xr:uid="{00000000-0005-0000-0000-0000C1610000}"/>
    <cellStyle name="Normal 2 3 2 4 3 2 2 3" xfId="25023" xr:uid="{00000000-0005-0000-0000-0000C2610000}"/>
    <cellStyle name="Normal 2 3 2 4 3 2 3" xfId="25024" xr:uid="{00000000-0005-0000-0000-0000C3610000}"/>
    <cellStyle name="Normal 2 3 2 4 3 2 4" xfId="25025" xr:uid="{00000000-0005-0000-0000-0000C4610000}"/>
    <cellStyle name="Normal 2 3 2 4 3 2 5" xfId="25026" xr:uid="{00000000-0005-0000-0000-0000C5610000}"/>
    <cellStyle name="Normal 2 3 2 4 3 2 6" xfId="25027" xr:uid="{00000000-0005-0000-0000-0000C6610000}"/>
    <cellStyle name="Normal 2 3 2 4 3 3" xfId="25028" xr:uid="{00000000-0005-0000-0000-0000C7610000}"/>
    <cellStyle name="Normal 2 3 2 4 3 3 2" xfId="25029" xr:uid="{00000000-0005-0000-0000-0000C8610000}"/>
    <cellStyle name="Normal 2 3 2 4 3 3 2 2" xfId="25030" xr:uid="{00000000-0005-0000-0000-0000C9610000}"/>
    <cellStyle name="Normal 2 3 2 4 3 3 3" xfId="25031" xr:uid="{00000000-0005-0000-0000-0000CA610000}"/>
    <cellStyle name="Normal 2 3 2 4 3 3 4" xfId="25032" xr:uid="{00000000-0005-0000-0000-0000CB610000}"/>
    <cellStyle name="Normal 2 3 2 4 3 3 5" xfId="25033" xr:uid="{00000000-0005-0000-0000-0000CC610000}"/>
    <cellStyle name="Normal 2 3 2 4 3 4" xfId="25034" xr:uid="{00000000-0005-0000-0000-0000CD610000}"/>
    <cellStyle name="Normal 2 3 2 4 3 4 2" xfId="25035" xr:uid="{00000000-0005-0000-0000-0000CE610000}"/>
    <cellStyle name="Normal 2 3 2 4 3 4 3" xfId="25036" xr:uid="{00000000-0005-0000-0000-0000CF610000}"/>
    <cellStyle name="Normal 2 3 2 4 3 4 4" xfId="25037" xr:uid="{00000000-0005-0000-0000-0000D0610000}"/>
    <cellStyle name="Normal 2 3 2 4 3 5" xfId="25038" xr:uid="{00000000-0005-0000-0000-0000D1610000}"/>
    <cellStyle name="Normal 2 3 2 4 3 5 2" xfId="25039" xr:uid="{00000000-0005-0000-0000-0000D2610000}"/>
    <cellStyle name="Normal 2 3 2 4 3 6" xfId="25040" xr:uid="{00000000-0005-0000-0000-0000D3610000}"/>
    <cellStyle name="Normal 2 3 2 4 3 7" xfId="25041" xr:uid="{00000000-0005-0000-0000-0000D4610000}"/>
    <cellStyle name="Normal 2 3 2 4 3 8" xfId="25042" xr:uid="{00000000-0005-0000-0000-0000D5610000}"/>
    <cellStyle name="Normal 2 3 2 4 3 9" xfId="25043" xr:uid="{00000000-0005-0000-0000-0000D6610000}"/>
    <cellStyle name="Normal 2 3 2 4 4" xfId="25044" xr:uid="{00000000-0005-0000-0000-0000D7610000}"/>
    <cellStyle name="Normal 2 3 2 4 4 2" xfId="25045" xr:uid="{00000000-0005-0000-0000-0000D8610000}"/>
    <cellStyle name="Normal 2 3 2 4 4 2 2" xfId="25046" xr:uid="{00000000-0005-0000-0000-0000D9610000}"/>
    <cellStyle name="Normal 2 3 2 4 4 2 3" xfId="25047" xr:uid="{00000000-0005-0000-0000-0000DA610000}"/>
    <cellStyle name="Normal 2 3 2 4 4 3" xfId="25048" xr:uid="{00000000-0005-0000-0000-0000DB610000}"/>
    <cellStyle name="Normal 2 3 2 4 4 4" xfId="25049" xr:uid="{00000000-0005-0000-0000-0000DC610000}"/>
    <cellStyle name="Normal 2 3 2 4 4 5" xfId="25050" xr:uid="{00000000-0005-0000-0000-0000DD610000}"/>
    <cellStyle name="Normal 2 3 2 4 4 6" xfId="25051" xr:uid="{00000000-0005-0000-0000-0000DE610000}"/>
    <cellStyle name="Normal 2 3 2 4 5" xfId="25052" xr:uid="{00000000-0005-0000-0000-0000DF610000}"/>
    <cellStyle name="Normal 2 3 2 4 5 2" xfId="25053" xr:uid="{00000000-0005-0000-0000-0000E0610000}"/>
    <cellStyle name="Normal 2 3 2 4 5 2 2" xfId="25054" xr:uid="{00000000-0005-0000-0000-0000E1610000}"/>
    <cellStyle name="Normal 2 3 2 4 5 3" xfId="25055" xr:uid="{00000000-0005-0000-0000-0000E2610000}"/>
    <cellStyle name="Normal 2 3 2 4 5 4" xfId="25056" xr:uid="{00000000-0005-0000-0000-0000E3610000}"/>
    <cellStyle name="Normal 2 3 2 4 5 5" xfId="25057" xr:uid="{00000000-0005-0000-0000-0000E4610000}"/>
    <cellStyle name="Normal 2 3 2 4 6" xfId="25058" xr:uid="{00000000-0005-0000-0000-0000E5610000}"/>
    <cellStyle name="Normal 2 3 2 4 6 2" xfId="25059" xr:uid="{00000000-0005-0000-0000-0000E6610000}"/>
    <cellStyle name="Normal 2 3 2 4 6 3" xfId="25060" xr:uid="{00000000-0005-0000-0000-0000E7610000}"/>
    <cellStyle name="Normal 2 3 2 4 6 4" xfId="25061" xr:uid="{00000000-0005-0000-0000-0000E8610000}"/>
    <cellStyle name="Normal 2 3 2 4 7" xfId="25062" xr:uid="{00000000-0005-0000-0000-0000E9610000}"/>
    <cellStyle name="Normal 2 3 2 4 7 2" xfId="25063" xr:uid="{00000000-0005-0000-0000-0000EA610000}"/>
    <cellStyle name="Normal 2 3 2 4 8" xfId="25064" xr:uid="{00000000-0005-0000-0000-0000EB610000}"/>
    <cellStyle name="Normal 2 3 2 4 9" xfId="25065" xr:uid="{00000000-0005-0000-0000-0000EC610000}"/>
    <cellStyle name="Normal 2 3 2 5" xfId="25066" xr:uid="{00000000-0005-0000-0000-0000ED610000}"/>
    <cellStyle name="Normal 2 3 2 5 10" xfId="25067" xr:uid="{00000000-0005-0000-0000-0000EE610000}"/>
    <cellStyle name="Normal 2 3 2 5 11" xfId="25068" xr:uid="{00000000-0005-0000-0000-0000EF610000}"/>
    <cellStyle name="Normal 2 3 2 5 2" xfId="25069" xr:uid="{00000000-0005-0000-0000-0000F0610000}"/>
    <cellStyle name="Normal 2 3 2 5 2 2" xfId="25070" xr:uid="{00000000-0005-0000-0000-0000F1610000}"/>
    <cellStyle name="Normal 2 3 2 5 2 2 2" xfId="25071" xr:uid="{00000000-0005-0000-0000-0000F2610000}"/>
    <cellStyle name="Normal 2 3 2 5 2 2 2 2" xfId="25072" xr:uid="{00000000-0005-0000-0000-0000F3610000}"/>
    <cellStyle name="Normal 2 3 2 5 2 2 2 3" xfId="25073" xr:uid="{00000000-0005-0000-0000-0000F4610000}"/>
    <cellStyle name="Normal 2 3 2 5 2 2 3" xfId="25074" xr:uid="{00000000-0005-0000-0000-0000F5610000}"/>
    <cellStyle name="Normal 2 3 2 5 2 2 4" xfId="25075" xr:uid="{00000000-0005-0000-0000-0000F6610000}"/>
    <cellStyle name="Normal 2 3 2 5 2 2 5" xfId="25076" xr:uid="{00000000-0005-0000-0000-0000F7610000}"/>
    <cellStyle name="Normal 2 3 2 5 2 2 6" xfId="25077" xr:uid="{00000000-0005-0000-0000-0000F8610000}"/>
    <cellStyle name="Normal 2 3 2 5 2 3" xfId="25078" xr:uid="{00000000-0005-0000-0000-0000F9610000}"/>
    <cellStyle name="Normal 2 3 2 5 2 3 2" xfId="25079" xr:uid="{00000000-0005-0000-0000-0000FA610000}"/>
    <cellStyle name="Normal 2 3 2 5 2 3 2 2" xfId="25080" xr:uid="{00000000-0005-0000-0000-0000FB610000}"/>
    <cellStyle name="Normal 2 3 2 5 2 3 3" xfId="25081" xr:uid="{00000000-0005-0000-0000-0000FC610000}"/>
    <cellStyle name="Normal 2 3 2 5 2 3 4" xfId="25082" xr:uid="{00000000-0005-0000-0000-0000FD610000}"/>
    <cellStyle name="Normal 2 3 2 5 2 3 5" xfId="25083" xr:uid="{00000000-0005-0000-0000-0000FE610000}"/>
    <cellStyle name="Normal 2 3 2 5 2 4" xfId="25084" xr:uid="{00000000-0005-0000-0000-0000FF610000}"/>
    <cellStyle name="Normal 2 3 2 5 2 4 2" xfId="25085" xr:uid="{00000000-0005-0000-0000-000000620000}"/>
    <cellStyle name="Normal 2 3 2 5 2 4 3" xfId="25086" xr:uid="{00000000-0005-0000-0000-000001620000}"/>
    <cellStyle name="Normal 2 3 2 5 2 4 4" xfId="25087" xr:uid="{00000000-0005-0000-0000-000002620000}"/>
    <cellStyle name="Normal 2 3 2 5 2 5" xfId="25088" xr:uid="{00000000-0005-0000-0000-000003620000}"/>
    <cellStyle name="Normal 2 3 2 5 2 5 2" xfId="25089" xr:uid="{00000000-0005-0000-0000-000004620000}"/>
    <cellStyle name="Normal 2 3 2 5 2 6" xfId="25090" xr:uid="{00000000-0005-0000-0000-000005620000}"/>
    <cellStyle name="Normal 2 3 2 5 2 7" xfId="25091" xr:uid="{00000000-0005-0000-0000-000006620000}"/>
    <cellStyle name="Normal 2 3 2 5 2 8" xfId="25092" xr:uid="{00000000-0005-0000-0000-000007620000}"/>
    <cellStyle name="Normal 2 3 2 5 2 9" xfId="25093" xr:uid="{00000000-0005-0000-0000-000008620000}"/>
    <cellStyle name="Normal 2 3 2 5 3" xfId="25094" xr:uid="{00000000-0005-0000-0000-000009620000}"/>
    <cellStyle name="Normal 2 3 2 5 3 2" xfId="25095" xr:uid="{00000000-0005-0000-0000-00000A620000}"/>
    <cellStyle name="Normal 2 3 2 5 3 2 2" xfId="25096" xr:uid="{00000000-0005-0000-0000-00000B620000}"/>
    <cellStyle name="Normal 2 3 2 5 3 2 2 2" xfId="25097" xr:uid="{00000000-0005-0000-0000-00000C620000}"/>
    <cellStyle name="Normal 2 3 2 5 3 2 2 3" xfId="25098" xr:uid="{00000000-0005-0000-0000-00000D620000}"/>
    <cellStyle name="Normal 2 3 2 5 3 2 3" xfId="25099" xr:uid="{00000000-0005-0000-0000-00000E620000}"/>
    <cellStyle name="Normal 2 3 2 5 3 2 4" xfId="25100" xr:uid="{00000000-0005-0000-0000-00000F620000}"/>
    <cellStyle name="Normal 2 3 2 5 3 2 5" xfId="25101" xr:uid="{00000000-0005-0000-0000-000010620000}"/>
    <cellStyle name="Normal 2 3 2 5 3 2 6" xfId="25102" xr:uid="{00000000-0005-0000-0000-000011620000}"/>
    <cellStyle name="Normal 2 3 2 5 3 3" xfId="25103" xr:uid="{00000000-0005-0000-0000-000012620000}"/>
    <cellStyle name="Normal 2 3 2 5 3 3 2" xfId="25104" xr:uid="{00000000-0005-0000-0000-000013620000}"/>
    <cellStyle name="Normal 2 3 2 5 3 3 2 2" xfId="25105" xr:uid="{00000000-0005-0000-0000-000014620000}"/>
    <cellStyle name="Normal 2 3 2 5 3 3 3" xfId="25106" xr:uid="{00000000-0005-0000-0000-000015620000}"/>
    <cellStyle name="Normal 2 3 2 5 3 3 4" xfId="25107" xr:uid="{00000000-0005-0000-0000-000016620000}"/>
    <cellStyle name="Normal 2 3 2 5 3 3 5" xfId="25108" xr:uid="{00000000-0005-0000-0000-000017620000}"/>
    <cellStyle name="Normal 2 3 2 5 3 4" xfId="25109" xr:uid="{00000000-0005-0000-0000-000018620000}"/>
    <cellStyle name="Normal 2 3 2 5 3 4 2" xfId="25110" xr:uid="{00000000-0005-0000-0000-000019620000}"/>
    <cellStyle name="Normal 2 3 2 5 3 4 3" xfId="25111" xr:uid="{00000000-0005-0000-0000-00001A620000}"/>
    <cellStyle name="Normal 2 3 2 5 3 4 4" xfId="25112" xr:uid="{00000000-0005-0000-0000-00001B620000}"/>
    <cellStyle name="Normal 2 3 2 5 3 5" xfId="25113" xr:uid="{00000000-0005-0000-0000-00001C620000}"/>
    <cellStyle name="Normal 2 3 2 5 3 5 2" xfId="25114" xr:uid="{00000000-0005-0000-0000-00001D620000}"/>
    <cellStyle name="Normal 2 3 2 5 3 6" xfId="25115" xr:uid="{00000000-0005-0000-0000-00001E620000}"/>
    <cellStyle name="Normal 2 3 2 5 3 7" xfId="25116" xr:uid="{00000000-0005-0000-0000-00001F620000}"/>
    <cellStyle name="Normal 2 3 2 5 3 8" xfId="25117" xr:uid="{00000000-0005-0000-0000-000020620000}"/>
    <cellStyle name="Normal 2 3 2 5 3 9" xfId="25118" xr:uid="{00000000-0005-0000-0000-000021620000}"/>
    <cellStyle name="Normal 2 3 2 5 4" xfId="25119" xr:uid="{00000000-0005-0000-0000-000022620000}"/>
    <cellStyle name="Normal 2 3 2 5 4 2" xfId="25120" xr:uid="{00000000-0005-0000-0000-000023620000}"/>
    <cellStyle name="Normal 2 3 2 5 4 2 2" xfId="25121" xr:uid="{00000000-0005-0000-0000-000024620000}"/>
    <cellStyle name="Normal 2 3 2 5 4 2 3" xfId="25122" xr:uid="{00000000-0005-0000-0000-000025620000}"/>
    <cellStyle name="Normal 2 3 2 5 4 3" xfId="25123" xr:uid="{00000000-0005-0000-0000-000026620000}"/>
    <cellStyle name="Normal 2 3 2 5 4 4" xfId="25124" xr:uid="{00000000-0005-0000-0000-000027620000}"/>
    <cellStyle name="Normal 2 3 2 5 4 5" xfId="25125" xr:uid="{00000000-0005-0000-0000-000028620000}"/>
    <cellStyle name="Normal 2 3 2 5 4 6" xfId="25126" xr:uid="{00000000-0005-0000-0000-000029620000}"/>
    <cellStyle name="Normal 2 3 2 5 5" xfId="25127" xr:uid="{00000000-0005-0000-0000-00002A620000}"/>
    <cellStyle name="Normal 2 3 2 5 5 2" xfId="25128" xr:uid="{00000000-0005-0000-0000-00002B620000}"/>
    <cellStyle name="Normal 2 3 2 5 5 2 2" xfId="25129" xr:uid="{00000000-0005-0000-0000-00002C620000}"/>
    <cellStyle name="Normal 2 3 2 5 5 3" xfId="25130" xr:uid="{00000000-0005-0000-0000-00002D620000}"/>
    <cellStyle name="Normal 2 3 2 5 5 4" xfId="25131" xr:uid="{00000000-0005-0000-0000-00002E620000}"/>
    <cellStyle name="Normal 2 3 2 5 5 5" xfId="25132" xr:uid="{00000000-0005-0000-0000-00002F620000}"/>
    <cellStyle name="Normal 2 3 2 5 6" xfId="25133" xr:uid="{00000000-0005-0000-0000-000030620000}"/>
    <cellStyle name="Normal 2 3 2 5 6 2" xfId="25134" xr:uid="{00000000-0005-0000-0000-000031620000}"/>
    <cellStyle name="Normal 2 3 2 5 6 3" xfId="25135" xr:uid="{00000000-0005-0000-0000-000032620000}"/>
    <cellStyle name="Normal 2 3 2 5 6 4" xfId="25136" xr:uid="{00000000-0005-0000-0000-000033620000}"/>
    <cellStyle name="Normal 2 3 2 5 7" xfId="25137" xr:uid="{00000000-0005-0000-0000-000034620000}"/>
    <cellStyle name="Normal 2 3 2 5 7 2" xfId="25138" xr:uid="{00000000-0005-0000-0000-000035620000}"/>
    <cellStyle name="Normal 2 3 2 5 8" xfId="25139" xr:uid="{00000000-0005-0000-0000-000036620000}"/>
    <cellStyle name="Normal 2 3 2 5 9" xfId="25140" xr:uid="{00000000-0005-0000-0000-000037620000}"/>
    <cellStyle name="Normal 2 3 2 6" xfId="25141" xr:uid="{00000000-0005-0000-0000-000038620000}"/>
    <cellStyle name="Normal 2 3 2 6 10" xfId="25142" xr:uid="{00000000-0005-0000-0000-000039620000}"/>
    <cellStyle name="Normal 2 3 2 6 11" xfId="25143" xr:uid="{00000000-0005-0000-0000-00003A620000}"/>
    <cellStyle name="Normal 2 3 2 6 2" xfId="25144" xr:uid="{00000000-0005-0000-0000-00003B620000}"/>
    <cellStyle name="Normal 2 3 2 6 2 2" xfId="25145" xr:uid="{00000000-0005-0000-0000-00003C620000}"/>
    <cellStyle name="Normal 2 3 2 6 2 2 2" xfId="25146" xr:uid="{00000000-0005-0000-0000-00003D620000}"/>
    <cellStyle name="Normal 2 3 2 6 2 2 2 2" xfId="25147" xr:uid="{00000000-0005-0000-0000-00003E620000}"/>
    <cellStyle name="Normal 2 3 2 6 2 2 2 3" xfId="25148" xr:uid="{00000000-0005-0000-0000-00003F620000}"/>
    <cellStyle name="Normal 2 3 2 6 2 2 3" xfId="25149" xr:uid="{00000000-0005-0000-0000-000040620000}"/>
    <cellStyle name="Normal 2 3 2 6 2 2 4" xfId="25150" xr:uid="{00000000-0005-0000-0000-000041620000}"/>
    <cellStyle name="Normal 2 3 2 6 2 2 5" xfId="25151" xr:uid="{00000000-0005-0000-0000-000042620000}"/>
    <cellStyle name="Normal 2 3 2 6 2 2 6" xfId="25152" xr:uid="{00000000-0005-0000-0000-000043620000}"/>
    <cellStyle name="Normal 2 3 2 6 2 3" xfId="25153" xr:uid="{00000000-0005-0000-0000-000044620000}"/>
    <cellStyle name="Normal 2 3 2 6 2 3 2" xfId="25154" xr:uid="{00000000-0005-0000-0000-000045620000}"/>
    <cellStyle name="Normal 2 3 2 6 2 3 2 2" xfId="25155" xr:uid="{00000000-0005-0000-0000-000046620000}"/>
    <cellStyle name="Normal 2 3 2 6 2 3 3" xfId="25156" xr:uid="{00000000-0005-0000-0000-000047620000}"/>
    <cellStyle name="Normal 2 3 2 6 2 3 4" xfId="25157" xr:uid="{00000000-0005-0000-0000-000048620000}"/>
    <cellStyle name="Normal 2 3 2 6 2 3 5" xfId="25158" xr:uid="{00000000-0005-0000-0000-000049620000}"/>
    <cellStyle name="Normal 2 3 2 6 2 4" xfId="25159" xr:uid="{00000000-0005-0000-0000-00004A620000}"/>
    <cellStyle name="Normal 2 3 2 6 2 4 2" xfId="25160" xr:uid="{00000000-0005-0000-0000-00004B620000}"/>
    <cellStyle name="Normal 2 3 2 6 2 4 3" xfId="25161" xr:uid="{00000000-0005-0000-0000-00004C620000}"/>
    <cellStyle name="Normal 2 3 2 6 2 4 4" xfId="25162" xr:uid="{00000000-0005-0000-0000-00004D620000}"/>
    <cellStyle name="Normal 2 3 2 6 2 5" xfId="25163" xr:uid="{00000000-0005-0000-0000-00004E620000}"/>
    <cellStyle name="Normal 2 3 2 6 2 5 2" xfId="25164" xr:uid="{00000000-0005-0000-0000-00004F620000}"/>
    <cellStyle name="Normal 2 3 2 6 2 6" xfId="25165" xr:uid="{00000000-0005-0000-0000-000050620000}"/>
    <cellStyle name="Normal 2 3 2 6 2 7" xfId="25166" xr:uid="{00000000-0005-0000-0000-000051620000}"/>
    <cellStyle name="Normal 2 3 2 6 2 8" xfId="25167" xr:uid="{00000000-0005-0000-0000-000052620000}"/>
    <cellStyle name="Normal 2 3 2 6 2 9" xfId="25168" xr:uid="{00000000-0005-0000-0000-000053620000}"/>
    <cellStyle name="Normal 2 3 2 6 3" xfId="25169" xr:uid="{00000000-0005-0000-0000-000054620000}"/>
    <cellStyle name="Normal 2 3 2 6 3 2" xfId="25170" xr:uid="{00000000-0005-0000-0000-000055620000}"/>
    <cellStyle name="Normal 2 3 2 6 3 2 2" xfId="25171" xr:uid="{00000000-0005-0000-0000-000056620000}"/>
    <cellStyle name="Normal 2 3 2 6 3 2 2 2" xfId="25172" xr:uid="{00000000-0005-0000-0000-000057620000}"/>
    <cellStyle name="Normal 2 3 2 6 3 2 2 3" xfId="25173" xr:uid="{00000000-0005-0000-0000-000058620000}"/>
    <cellStyle name="Normal 2 3 2 6 3 2 3" xfId="25174" xr:uid="{00000000-0005-0000-0000-000059620000}"/>
    <cellStyle name="Normal 2 3 2 6 3 2 4" xfId="25175" xr:uid="{00000000-0005-0000-0000-00005A620000}"/>
    <cellStyle name="Normal 2 3 2 6 3 2 5" xfId="25176" xr:uid="{00000000-0005-0000-0000-00005B620000}"/>
    <cellStyle name="Normal 2 3 2 6 3 2 6" xfId="25177" xr:uid="{00000000-0005-0000-0000-00005C620000}"/>
    <cellStyle name="Normal 2 3 2 6 3 3" xfId="25178" xr:uid="{00000000-0005-0000-0000-00005D620000}"/>
    <cellStyle name="Normal 2 3 2 6 3 3 2" xfId="25179" xr:uid="{00000000-0005-0000-0000-00005E620000}"/>
    <cellStyle name="Normal 2 3 2 6 3 3 2 2" xfId="25180" xr:uid="{00000000-0005-0000-0000-00005F620000}"/>
    <cellStyle name="Normal 2 3 2 6 3 3 3" xfId="25181" xr:uid="{00000000-0005-0000-0000-000060620000}"/>
    <cellStyle name="Normal 2 3 2 6 3 3 4" xfId="25182" xr:uid="{00000000-0005-0000-0000-000061620000}"/>
    <cellStyle name="Normal 2 3 2 6 3 3 5" xfId="25183" xr:uid="{00000000-0005-0000-0000-000062620000}"/>
    <cellStyle name="Normal 2 3 2 6 3 4" xfId="25184" xr:uid="{00000000-0005-0000-0000-000063620000}"/>
    <cellStyle name="Normal 2 3 2 6 3 4 2" xfId="25185" xr:uid="{00000000-0005-0000-0000-000064620000}"/>
    <cellStyle name="Normal 2 3 2 6 3 4 3" xfId="25186" xr:uid="{00000000-0005-0000-0000-000065620000}"/>
    <cellStyle name="Normal 2 3 2 6 3 4 4" xfId="25187" xr:uid="{00000000-0005-0000-0000-000066620000}"/>
    <cellStyle name="Normal 2 3 2 6 3 5" xfId="25188" xr:uid="{00000000-0005-0000-0000-000067620000}"/>
    <cellStyle name="Normal 2 3 2 6 3 5 2" xfId="25189" xr:uid="{00000000-0005-0000-0000-000068620000}"/>
    <cellStyle name="Normal 2 3 2 6 3 6" xfId="25190" xr:uid="{00000000-0005-0000-0000-000069620000}"/>
    <cellStyle name="Normal 2 3 2 6 3 7" xfId="25191" xr:uid="{00000000-0005-0000-0000-00006A620000}"/>
    <cellStyle name="Normal 2 3 2 6 3 8" xfId="25192" xr:uid="{00000000-0005-0000-0000-00006B620000}"/>
    <cellStyle name="Normal 2 3 2 6 3 9" xfId="25193" xr:uid="{00000000-0005-0000-0000-00006C620000}"/>
    <cellStyle name="Normal 2 3 2 6 4" xfId="25194" xr:uid="{00000000-0005-0000-0000-00006D620000}"/>
    <cellStyle name="Normal 2 3 2 6 4 2" xfId="25195" xr:uid="{00000000-0005-0000-0000-00006E620000}"/>
    <cellStyle name="Normal 2 3 2 6 4 2 2" xfId="25196" xr:uid="{00000000-0005-0000-0000-00006F620000}"/>
    <cellStyle name="Normal 2 3 2 6 4 2 3" xfId="25197" xr:uid="{00000000-0005-0000-0000-000070620000}"/>
    <cellStyle name="Normal 2 3 2 6 4 3" xfId="25198" xr:uid="{00000000-0005-0000-0000-000071620000}"/>
    <cellStyle name="Normal 2 3 2 6 4 4" xfId="25199" xr:uid="{00000000-0005-0000-0000-000072620000}"/>
    <cellStyle name="Normal 2 3 2 6 4 5" xfId="25200" xr:uid="{00000000-0005-0000-0000-000073620000}"/>
    <cellStyle name="Normal 2 3 2 6 4 6" xfId="25201" xr:uid="{00000000-0005-0000-0000-000074620000}"/>
    <cellStyle name="Normal 2 3 2 6 5" xfId="25202" xr:uid="{00000000-0005-0000-0000-000075620000}"/>
    <cellStyle name="Normal 2 3 2 6 5 2" xfId="25203" xr:uid="{00000000-0005-0000-0000-000076620000}"/>
    <cellStyle name="Normal 2 3 2 6 5 2 2" xfId="25204" xr:uid="{00000000-0005-0000-0000-000077620000}"/>
    <cellStyle name="Normal 2 3 2 6 5 3" xfId="25205" xr:uid="{00000000-0005-0000-0000-000078620000}"/>
    <cellStyle name="Normal 2 3 2 6 5 4" xfId="25206" xr:uid="{00000000-0005-0000-0000-000079620000}"/>
    <cellStyle name="Normal 2 3 2 6 5 5" xfId="25207" xr:uid="{00000000-0005-0000-0000-00007A620000}"/>
    <cellStyle name="Normal 2 3 2 6 6" xfId="25208" xr:uid="{00000000-0005-0000-0000-00007B620000}"/>
    <cellStyle name="Normal 2 3 2 6 6 2" xfId="25209" xr:uid="{00000000-0005-0000-0000-00007C620000}"/>
    <cellStyle name="Normal 2 3 2 6 6 3" xfId="25210" xr:uid="{00000000-0005-0000-0000-00007D620000}"/>
    <cellStyle name="Normal 2 3 2 6 6 4" xfId="25211" xr:uid="{00000000-0005-0000-0000-00007E620000}"/>
    <cellStyle name="Normal 2 3 2 6 7" xfId="25212" xr:uid="{00000000-0005-0000-0000-00007F620000}"/>
    <cellStyle name="Normal 2 3 2 6 7 2" xfId="25213" xr:uid="{00000000-0005-0000-0000-000080620000}"/>
    <cellStyle name="Normal 2 3 2 6 8" xfId="25214" xr:uid="{00000000-0005-0000-0000-000081620000}"/>
    <cellStyle name="Normal 2 3 2 6 9" xfId="25215" xr:uid="{00000000-0005-0000-0000-000082620000}"/>
    <cellStyle name="Normal 2 3 2 7" xfId="25216" xr:uid="{00000000-0005-0000-0000-000083620000}"/>
    <cellStyle name="Normal 2 3 2 7 10" xfId="25217" xr:uid="{00000000-0005-0000-0000-000084620000}"/>
    <cellStyle name="Normal 2 3 2 7 11" xfId="25218" xr:uid="{00000000-0005-0000-0000-000085620000}"/>
    <cellStyle name="Normal 2 3 2 7 2" xfId="25219" xr:uid="{00000000-0005-0000-0000-000086620000}"/>
    <cellStyle name="Normal 2 3 2 7 2 2" xfId="25220" xr:uid="{00000000-0005-0000-0000-000087620000}"/>
    <cellStyle name="Normal 2 3 2 7 2 2 2" xfId="25221" xr:uid="{00000000-0005-0000-0000-000088620000}"/>
    <cellStyle name="Normal 2 3 2 7 2 2 2 2" xfId="25222" xr:uid="{00000000-0005-0000-0000-000089620000}"/>
    <cellStyle name="Normal 2 3 2 7 2 2 2 3" xfId="25223" xr:uid="{00000000-0005-0000-0000-00008A620000}"/>
    <cellStyle name="Normal 2 3 2 7 2 2 3" xfId="25224" xr:uid="{00000000-0005-0000-0000-00008B620000}"/>
    <cellStyle name="Normal 2 3 2 7 2 2 4" xfId="25225" xr:uid="{00000000-0005-0000-0000-00008C620000}"/>
    <cellStyle name="Normal 2 3 2 7 2 2 5" xfId="25226" xr:uid="{00000000-0005-0000-0000-00008D620000}"/>
    <cellStyle name="Normal 2 3 2 7 2 2 6" xfId="25227" xr:uid="{00000000-0005-0000-0000-00008E620000}"/>
    <cellStyle name="Normal 2 3 2 7 2 3" xfId="25228" xr:uid="{00000000-0005-0000-0000-00008F620000}"/>
    <cellStyle name="Normal 2 3 2 7 2 3 2" xfId="25229" xr:uid="{00000000-0005-0000-0000-000090620000}"/>
    <cellStyle name="Normal 2 3 2 7 2 3 2 2" xfId="25230" xr:uid="{00000000-0005-0000-0000-000091620000}"/>
    <cellStyle name="Normal 2 3 2 7 2 3 3" xfId="25231" xr:uid="{00000000-0005-0000-0000-000092620000}"/>
    <cellStyle name="Normal 2 3 2 7 2 3 4" xfId="25232" xr:uid="{00000000-0005-0000-0000-000093620000}"/>
    <cellStyle name="Normal 2 3 2 7 2 3 5" xfId="25233" xr:uid="{00000000-0005-0000-0000-000094620000}"/>
    <cellStyle name="Normal 2 3 2 7 2 4" xfId="25234" xr:uid="{00000000-0005-0000-0000-000095620000}"/>
    <cellStyle name="Normal 2 3 2 7 2 4 2" xfId="25235" xr:uid="{00000000-0005-0000-0000-000096620000}"/>
    <cellStyle name="Normal 2 3 2 7 2 4 3" xfId="25236" xr:uid="{00000000-0005-0000-0000-000097620000}"/>
    <cellStyle name="Normal 2 3 2 7 2 4 4" xfId="25237" xr:uid="{00000000-0005-0000-0000-000098620000}"/>
    <cellStyle name="Normal 2 3 2 7 2 5" xfId="25238" xr:uid="{00000000-0005-0000-0000-000099620000}"/>
    <cellStyle name="Normal 2 3 2 7 2 5 2" xfId="25239" xr:uid="{00000000-0005-0000-0000-00009A620000}"/>
    <cellStyle name="Normal 2 3 2 7 2 6" xfId="25240" xr:uid="{00000000-0005-0000-0000-00009B620000}"/>
    <cellStyle name="Normal 2 3 2 7 2 7" xfId="25241" xr:uid="{00000000-0005-0000-0000-00009C620000}"/>
    <cellStyle name="Normal 2 3 2 7 2 8" xfId="25242" xr:uid="{00000000-0005-0000-0000-00009D620000}"/>
    <cellStyle name="Normal 2 3 2 7 2 9" xfId="25243" xr:uid="{00000000-0005-0000-0000-00009E620000}"/>
    <cellStyle name="Normal 2 3 2 7 3" xfId="25244" xr:uid="{00000000-0005-0000-0000-00009F620000}"/>
    <cellStyle name="Normal 2 3 2 7 3 2" xfId="25245" xr:uid="{00000000-0005-0000-0000-0000A0620000}"/>
    <cellStyle name="Normal 2 3 2 7 3 2 2" xfId="25246" xr:uid="{00000000-0005-0000-0000-0000A1620000}"/>
    <cellStyle name="Normal 2 3 2 7 3 2 2 2" xfId="25247" xr:uid="{00000000-0005-0000-0000-0000A2620000}"/>
    <cellStyle name="Normal 2 3 2 7 3 2 2 3" xfId="25248" xr:uid="{00000000-0005-0000-0000-0000A3620000}"/>
    <cellStyle name="Normal 2 3 2 7 3 2 3" xfId="25249" xr:uid="{00000000-0005-0000-0000-0000A4620000}"/>
    <cellStyle name="Normal 2 3 2 7 3 2 4" xfId="25250" xr:uid="{00000000-0005-0000-0000-0000A5620000}"/>
    <cellStyle name="Normal 2 3 2 7 3 2 5" xfId="25251" xr:uid="{00000000-0005-0000-0000-0000A6620000}"/>
    <cellStyle name="Normal 2 3 2 7 3 2 6" xfId="25252" xr:uid="{00000000-0005-0000-0000-0000A7620000}"/>
    <cellStyle name="Normal 2 3 2 7 3 3" xfId="25253" xr:uid="{00000000-0005-0000-0000-0000A8620000}"/>
    <cellStyle name="Normal 2 3 2 7 3 3 2" xfId="25254" xr:uid="{00000000-0005-0000-0000-0000A9620000}"/>
    <cellStyle name="Normal 2 3 2 7 3 3 2 2" xfId="25255" xr:uid="{00000000-0005-0000-0000-0000AA620000}"/>
    <cellStyle name="Normal 2 3 2 7 3 3 3" xfId="25256" xr:uid="{00000000-0005-0000-0000-0000AB620000}"/>
    <cellStyle name="Normal 2 3 2 7 3 3 4" xfId="25257" xr:uid="{00000000-0005-0000-0000-0000AC620000}"/>
    <cellStyle name="Normal 2 3 2 7 3 3 5" xfId="25258" xr:uid="{00000000-0005-0000-0000-0000AD620000}"/>
    <cellStyle name="Normal 2 3 2 7 3 4" xfId="25259" xr:uid="{00000000-0005-0000-0000-0000AE620000}"/>
    <cellStyle name="Normal 2 3 2 7 3 4 2" xfId="25260" xr:uid="{00000000-0005-0000-0000-0000AF620000}"/>
    <cellStyle name="Normal 2 3 2 7 3 4 3" xfId="25261" xr:uid="{00000000-0005-0000-0000-0000B0620000}"/>
    <cellStyle name="Normal 2 3 2 7 3 4 4" xfId="25262" xr:uid="{00000000-0005-0000-0000-0000B1620000}"/>
    <cellStyle name="Normal 2 3 2 7 3 5" xfId="25263" xr:uid="{00000000-0005-0000-0000-0000B2620000}"/>
    <cellStyle name="Normal 2 3 2 7 3 5 2" xfId="25264" xr:uid="{00000000-0005-0000-0000-0000B3620000}"/>
    <cellStyle name="Normal 2 3 2 7 3 6" xfId="25265" xr:uid="{00000000-0005-0000-0000-0000B4620000}"/>
    <cellStyle name="Normal 2 3 2 7 3 7" xfId="25266" xr:uid="{00000000-0005-0000-0000-0000B5620000}"/>
    <cellStyle name="Normal 2 3 2 7 3 8" xfId="25267" xr:uid="{00000000-0005-0000-0000-0000B6620000}"/>
    <cellStyle name="Normal 2 3 2 7 3 9" xfId="25268" xr:uid="{00000000-0005-0000-0000-0000B7620000}"/>
    <cellStyle name="Normal 2 3 2 7 4" xfId="25269" xr:uid="{00000000-0005-0000-0000-0000B8620000}"/>
    <cellStyle name="Normal 2 3 2 7 4 2" xfId="25270" xr:uid="{00000000-0005-0000-0000-0000B9620000}"/>
    <cellStyle name="Normal 2 3 2 7 4 2 2" xfId="25271" xr:uid="{00000000-0005-0000-0000-0000BA620000}"/>
    <cellStyle name="Normal 2 3 2 7 4 2 3" xfId="25272" xr:uid="{00000000-0005-0000-0000-0000BB620000}"/>
    <cellStyle name="Normal 2 3 2 7 4 3" xfId="25273" xr:uid="{00000000-0005-0000-0000-0000BC620000}"/>
    <cellStyle name="Normal 2 3 2 7 4 4" xfId="25274" xr:uid="{00000000-0005-0000-0000-0000BD620000}"/>
    <cellStyle name="Normal 2 3 2 7 4 5" xfId="25275" xr:uid="{00000000-0005-0000-0000-0000BE620000}"/>
    <cellStyle name="Normal 2 3 2 7 4 6" xfId="25276" xr:uid="{00000000-0005-0000-0000-0000BF620000}"/>
    <cellStyle name="Normal 2 3 2 7 5" xfId="25277" xr:uid="{00000000-0005-0000-0000-0000C0620000}"/>
    <cellStyle name="Normal 2 3 2 7 5 2" xfId="25278" xr:uid="{00000000-0005-0000-0000-0000C1620000}"/>
    <cellStyle name="Normal 2 3 2 7 5 2 2" xfId="25279" xr:uid="{00000000-0005-0000-0000-0000C2620000}"/>
    <cellStyle name="Normal 2 3 2 7 5 3" xfId="25280" xr:uid="{00000000-0005-0000-0000-0000C3620000}"/>
    <cellStyle name="Normal 2 3 2 7 5 4" xfId="25281" xr:uid="{00000000-0005-0000-0000-0000C4620000}"/>
    <cellStyle name="Normal 2 3 2 7 5 5" xfId="25282" xr:uid="{00000000-0005-0000-0000-0000C5620000}"/>
    <cellStyle name="Normal 2 3 2 7 6" xfId="25283" xr:uid="{00000000-0005-0000-0000-0000C6620000}"/>
    <cellStyle name="Normal 2 3 2 7 6 2" xfId="25284" xr:uid="{00000000-0005-0000-0000-0000C7620000}"/>
    <cellStyle name="Normal 2 3 2 7 6 3" xfId="25285" xr:uid="{00000000-0005-0000-0000-0000C8620000}"/>
    <cellStyle name="Normal 2 3 2 7 6 4" xfId="25286" xr:uid="{00000000-0005-0000-0000-0000C9620000}"/>
    <cellStyle name="Normal 2 3 2 7 7" xfId="25287" xr:uid="{00000000-0005-0000-0000-0000CA620000}"/>
    <cellStyle name="Normal 2 3 2 7 7 2" xfId="25288" xr:uid="{00000000-0005-0000-0000-0000CB620000}"/>
    <cellStyle name="Normal 2 3 2 7 8" xfId="25289" xr:uid="{00000000-0005-0000-0000-0000CC620000}"/>
    <cellStyle name="Normal 2 3 2 7 9" xfId="25290" xr:uid="{00000000-0005-0000-0000-0000CD620000}"/>
    <cellStyle name="Normal 2 3 2 8" xfId="25291" xr:uid="{00000000-0005-0000-0000-0000CE620000}"/>
    <cellStyle name="Normal 2 3 2 8 10" xfId="25292" xr:uid="{00000000-0005-0000-0000-0000CF620000}"/>
    <cellStyle name="Normal 2 3 2 8 2" xfId="25293" xr:uid="{00000000-0005-0000-0000-0000D0620000}"/>
    <cellStyle name="Normal 2 3 2 8 2 2" xfId="25294" xr:uid="{00000000-0005-0000-0000-0000D1620000}"/>
    <cellStyle name="Normal 2 3 2 8 2 2 2" xfId="25295" xr:uid="{00000000-0005-0000-0000-0000D2620000}"/>
    <cellStyle name="Normal 2 3 2 8 2 2 3" xfId="25296" xr:uid="{00000000-0005-0000-0000-0000D3620000}"/>
    <cellStyle name="Normal 2 3 2 8 2 3" xfId="25297" xr:uid="{00000000-0005-0000-0000-0000D4620000}"/>
    <cellStyle name="Normal 2 3 2 8 2 4" xfId="25298" xr:uid="{00000000-0005-0000-0000-0000D5620000}"/>
    <cellStyle name="Normal 2 3 2 8 2 5" xfId="25299" xr:uid="{00000000-0005-0000-0000-0000D6620000}"/>
    <cellStyle name="Normal 2 3 2 8 2 6" xfId="25300" xr:uid="{00000000-0005-0000-0000-0000D7620000}"/>
    <cellStyle name="Normal 2 3 2 8 3" xfId="25301" xr:uid="{00000000-0005-0000-0000-0000D8620000}"/>
    <cellStyle name="Normal 2 3 2 8 3 2" xfId="25302" xr:uid="{00000000-0005-0000-0000-0000D9620000}"/>
    <cellStyle name="Normal 2 3 2 8 3 2 2" xfId="25303" xr:uid="{00000000-0005-0000-0000-0000DA620000}"/>
    <cellStyle name="Normal 2 3 2 8 3 2 3" xfId="25304" xr:uid="{00000000-0005-0000-0000-0000DB620000}"/>
    <cellStyle name="Normal 2 3 2 8 3 3" xfId="25305" xr:uid="{00000000-0005-0000-0000-0000DC620000}"/>
    <cellStyle name="Normal 2 3 2 8 3 4" xfId="25306" xr:uid="{00000000-0005-0000-0000-0000DD620000}"/>
    <cellStyle name="Normal 2 3 2 8 3 5" xfId="25307" xr:uid="{00000000-0005-0000-0000-0000DE620000}"/>
    <cellStyle name="Normal 2 3 2 8 3 6" xfId="25308" xr:uid="{00000000-0005-0000-0000-0000DF620000}"/>
    <cellStyle name="Normal 2 3 2 8 4" xfId="25309" xr:uid="{00000000-0005-0000-0000-0000E0620000}"/>
    <cellStyle name="Normal 2 3 2 8 4 2" xfId="25310" xr:uid="{00000000-0005-0000-0000-0000E1620000}"/>
    <cellStyle name="Normal 2 3 2 8 4 2 2" xfId="25311" xr:uid="{00000000-0005-0000-0000-0000E2620000}"/>
    <cellStyle name="Normal 2 3 2 8 4 3" xfId="25312" xr:uid="{00000000-0005-0000-0000-0000E3620000}"/>
    <cellStyle name="Normal 2 3 2 8 4 4" xfId="25313" xr:uid="{00000000-0005-0000-0000-0000E4620000}"/>
    <cellStyle name="Normal 2 3 2 8 4 5" xfId="25314" xr:uid="{00000000-0005-0000-0000-0000E5620000}"/>
    <cellStyle name="Normal 2 3 2 8 5" xfId="25315" xr:uid="{00000000-0005-0000-0000-0000E6620000}"/>
    <cellStyle name="Normal 2 3 2 8 5 2" xfId="25316" xr:uid="{00000000-0005-0000-0000-0000E7620000}"/>
    <cellStyle name="Normal 2 3 2 8 5 3" xfId="25317" xr:uid="{00000000-0005-0000-0000-0000E8620000}"/>
    <cellStyle name="Normal 2 3 2 8 5 4" xfId="25318" xr:uid="{00000000-0005-0000-0000-0000E9620000}"/>
    <cellStyle name="Normal 2 3 2 8 6" xfId="25319" xr:uid="{00000000-0005-0000-0000-0000EA620000}"/>
    <cellStyle name="Normal 2 3 2 8 6 2" xfId="25320" xr:uid="{00000000-0005-0000-0000-0000EB620000}"/>
    <cellStyle name="Normal 2 3 2 8 7" xfId="25321" xr:uid="{00000000-0005-0000-0000-0000EC620000}"/>
    <cellStyle name="Normal 2 3 2 8 8" xfId="25322" xr:uid="{00000000-0005-0000-0000-0000ED620000}"/>
    <cellStyle name="Normal 2 3 2 8 9" xfId="25323" xr:uid="{00000000-0005-0000-0000-0000EE620000}"/>
    <cellStyle name="Normal 2 3 2 9" xfId="25324" xr:uid="{00000000-0005-0000-0000-0000EF620000}"/>
    <cellStyle name="Normal 2 3 2 9 10" xfId="25325" xr:uid="{00000000-0005-0000-0000-0000F0620000}"/>
    <cellStyle name="Normal 2 3 2 9 2" xfId="25326" xr:uid="{00000000-0005-0000-0000-0000F1620000}"/>
    <cellStyle name="Normal 2 3 2 9 2 2" xfId="25327" xr:uid="{00000000-0005-0000-0000-0000F2620000}"/>
    <cellStyle name="Normal 2 3 2 9 2 2 2" xfId="25328" xr:uid="{00000000-0005-0000-0000-0000F3620000}"/>
    <cellStyle name="Normal 2 3 2 9 2 2 3" xfId="25329" xr:uid="{00000000-0005-0000-0000-0000F4620000}"/>
    <cellStyle name="Normal 2 3 2 9 2 3" xfId="25330" xr:uid="{00000000-0005-0000-0000-0000F5620000}"/>
    <cellStyle name="Normal 2 3 2 9 2 4" xfId="25331" xr:uid="{00000000-0005-0000-0000-0000F6620000}"/>
    <cellStyle name="Normal 2 3 2 9 2 5" xfId="25332" xr:uid="{00000000-0005-0000-0000-0000F7620000}"/>
    <cellStyle name="Normal 2 3 2 9 2 6" xfId="25333" xr:uid="{00000000-0005-0000-0000-0000F8620000}"/>
    <cellStyle name="Normal 2 3 2 9 3" xfId="25334" xr:uid="{00000000-0005-0000-0000-0000F9620000}"/>
    <cellStyle name="Normal 2 3 2 9 3 2" xfId="25335" xr:uid="{00000000-0005-0000-0000-0000FA620000}"/>
    <cellStyle name="Normal 2 3 2 9 3 2 2" xfId="25336" xr:uid="{00000000-0005-0000-0000-0000FB620000}"/>
    <cellStyle name="Normal 2 3 2 9 3 2 3" xfId="25337" xr:uid="{00000000-0005-0000-0000-0000FC620000}"/>
    <cellStyle name="Normal 2 3 2 9 3 3" xfId="25338" xr:uid="{00000000-0005-0000-0000-0000FD620000}"/>
    <cellStyle name="Normal 2 3 2 9 3 4" xfId="25339" xr:uid="{00000000-0005-0000-0000-0000FE620000}"/>
    <cellStyle name="Normal 2 3 2 9 3 5" xfId="25340" xr:uid="{00000000-0005-0000-0000-0000FF620000}"/>
    <cellStyle name="Normal 2 3 2 9 3 6" xfId="25341" xr:uid="{00000000-0005-0000-0000-000000630000}"/>
    <cellStyle name="Normal 2 3 2 9 4" xfId="25342" xr:uid="{00000000-0005-0000-0000-000001630000}"/>
    <cellStyle name="Normal 2 3 2 9 4 2" xfId="25343" xr:uid="{00000000-0005-0000-0000-000002630000}"/>
    <cellStyle name="Normal 2 3 2 9 4 2 2" xfId="25344" xr:uid="{00000000-0005-0000-0000-000003630000}"/>
    <cellStyle name="Normal 2 3 2 9 4 3" xfId="25345" xr:uid="{00000000-0005-0000-0000-000004630000}"/>
    <cellStyle name="Normal 2 3 2 9 4 4" xfId="25346" xr:uid="{00000000-0005-0000-0000-000005630000}"/>
    <cellStyle name="Normal 2 3 2 9 4 5" xfId="25347" xr:uid="{00000000-0005-0000-0000-000006630000}"/>
    <cellStyle name="Normal 2 3 2 9 5" xfId="25348" xr:uid="{00000000-0005-0000-0000-000007630000}"/>
    <cellStyle name="Normal 2 3 2 9 5 2" xfId="25349" xr:uid="{00000000-0005-0000-0000-000008630000}"/>
    <cellStyle name="Normal 2 3 2 9 5 3" xfId="25350" xr:uid="{00000000-0005-0000-0000-000009630000}"/>
    <cellStyle name="Normal 2 3 2 9 5 4" xfId="25351" xr:uid="{00000000-0005-0000-0000-00000A630000}"/>
    <cellStyle name="Normal 2 3 2 9 6" xfId="25352" xr:uid="{00000000-0005-0000-0000-00000B630000}"/>
    <cellStyle name="Normal 2 3 2 9 6 2" xfId="25353" xr:uid="{00000000-0005-0000-0000-00000C630000}"/>
    <cellStyle name="Normal 2 3 2 9 7" xfId="25354" xr:uid="{00000000-0005-0000-0000-00000D630000}"/>
    <cellStyle name="Normal 2 3 2 9 8" xfId="25355" xr:uid="{00000000-0005-0000-0000-00000E630000}"/>
    <cellStyle name="Normal 2 3 2 9 9" xfId="25356" xr:uid="{00000000-0005-0000-0000-00000F630000}"/>
    <cellStyle name="Normal 2 3 3" xfId="25357" xr:uid="{00000000-0005-0000-0000-000010630000}"/>
    <cellStyle name="Normal 2 3 3 2" xfId="25358" xr:uid="{00000000-0005-0000-0000-000011630000}"/>
    <cellStyle name="Normal 2 3 4" xfId="25359" xr:uid="{00000000-0005-0000-0000-000012630000}"/>
    <cellStyle name="Normal 2 3 4 2" xfId="25360" xr:uid="{00000000-0005-0000-0000-000013630000}"/>
    <cellStyle name="Normal 2 3 5" xfId="25361" xr:uid="{00000000-0005-0000-0000-000014630000}"/>
    <cellStyle name="Normal 2 3 6" xfId="25362" xr:uid="{00000000-0005-0000-0000-000015630000}"/>
    <cellStyle name="Normal 2 3 7" xfId="25363" xr:uid="{00000000-0005-0000-0000-000016630000}"/>
    <cellStyle name="Normal 2 3 8" xfId="25364" xr:uid="{00000000-0005-0000-0000-000017630000}"/>
    <cellStyle name="Normal 2 3 9" xfId="25365" xr:uid="{00000000-0005-0000-0000-000018630000}"/>
    <cellStyle name="Normal 2 30" xfId="25366" xr:uid="{00000000-0005-0000-0000-000019630000}"/>
    <cellStyle name="Normal 2 30 2" xfId="25367" xr:uid="{00000000-0005-0000-0000-00001A630000}"/>
    <cellStyle name="Normal 2 30 2 2" xfId="25368" xr:uid="{00000000-0005-0000-0000-00001B630000}"/>
    <cellStyle name="Normal 2 30 2 2 2" xfId="25369" xr:uid="{00000000-0005-0000-0000-00001C630000}"/>
    <cellStyle name="Normal 2 30 2 3" xfId="25370" xr:uid="{00000000-0005-0000-0000-00001D630000}"/>
    <cellStyle name="Normal 2 30 3" xfId="25371" xr:uid="{00000000-0005-0000-0000-00001E630000}"/>
    <cellStyle name="Normal 2 30 3 2" xfId="25372" xr:uid="{00000000-0005-0000-0000-00001F630000}"/>
    <cellStyle name="Normal 2 30 3 2 2" xfId="25373" xr:uid="{00000000-0005-0000-0000-000020630000}"/>
    <cellStyle name="Normal 2 30 3 2 2 2" xfId="25374" xr:uid="{00000000-0005-0000-0000-000021630000}"/>
    <cellStyle name="Normal 2 30 3 2 2 3" xfId="25375" xr:uid="{00000000-0005-0000-0000-000022630000}"/>
    <cellStyle name="Normal 2 30 3 2 3" xfId="25376" xr:uid="{00000000-0005-0000-0000-000023630000}"/>
    <cellStyle name="Normal 2 30 3 2 4" xfId="25377" xr:uid="{00000000-0005-0000-0000-000024630000}"/>
    <cellStyle name="Normal 2 30 3 2 5" xfId="25378" xr:uid="{00000000-0005-0000-0000-000025630000}"/>
    <cellStyle name="Normal 2 30 3 2 6" xfId="25379" xr:uid="{00000000-0005-0000-0000-000026630000}"/>
    <cellStyle name="Normal 2 30 3 3" xfId="25380" xr:uid="{00000000-0005-0000-0000-000027630000}"/>
    <cellStyle name="Normal 2 30 3 3 2" xfId="25381" xr:uid="{00000000-0005-0000-0000-000028630000}"/>
    <cellStyle name="Normal 2 30 3 3 2 2" xfId="25382" xr:uid="{00000000-0005-0000-0000-000029630000}"/>
    <cellStyle name="Normal 2 30 3 3 3" xfId="25383" xr:uid="{00000000-0005-0000-0000-00002A630000}"/>
    <cellStyle name="Normal 2 30 3 3 4" xfId="25384" xr:uid="{00000000-0005-0000-0000-00002B630000}"/>
    <cellStyle name="Normal 2 30 3 3 5" xfId="25385" xr:uid="{00000000-0005-0000-0000-00002C630000}"/>
    <cellStyle name="Normal 2 30 3 4" xfId="25386" xr:uid="{00000000-0005-0000-0000-00002D630000}"/>
    <cellStyle name="Normal 2 30 3 4 2" xfId="25387" xr:uid="{00000000-0005-0000-0000-00002E630000}"/>
    <cellStyle name="Normal 2 30 3 4 3" xfId="25388" xr:uid="{00000000-0005-0000-0000-00002F630000}"/>
    <cellStyle name="Normal 2 30 3 4 4" xfId="25389" xr:uid="{00000000-0005-0000-0000-000030630000}"/>
    <cellStyle name="Normal 2 30 3 5" xfId="25390" xr:uid="{00000000-0005-0000-0000-000031630000}"/>
    <cellStyle name="Normal 2 30 3 5 2" xfId="25391" xr:uid="{00000000-0005-0000-0000-000032630000}"/>
    <cellStyle name="Normal 2 30 3 6" xfId="25392" xr:uid="{00000000-0005-0000-0000-000033630000}"/>
    <cellStyle name="Normal 2 30 3 7" xfId="25393" xr:uid="{00000000-0005-0000-0000-000034630000}"/>
    <cellStyle name="Normal 2 30 3 8" xfId="25394" xr:uid="{00000000-0005-0000-0000-000035630000}"/>
    <cellStyle name="Normal 2 30 3 9" xfId="25395" xr:uid="{00000000-0005-0000-0000-000036630000}"/>
    <cellStyle name="Normal 2 30 4" xfId="25396" xr:uid="{00000000-0005-0000-0000-000037630000}"/>
    <cellStyle name="Normal 2 30 4 2" xfId="25397" xr:uid="{00000000-0005-0000-0000-000038630000}"/>
    <cellStyle name="Normal 2 30 4 2 2" xfId="25398" xr:uid="{00000000-0005-0000-0000-000039630000}"/>
    <cellStyle name="Normal 2 30 4 3" xfId="25399" xr:uid="{00000000-0005-0000-0000-00003A630000}"/>
    <cellStyle name="Normal 2 30 4 4" xfId="25400" xr:uid="{00000000-0005-0000-0000-00003B630000}"/>
    <cellStyle name="Normal 2 30 4 5" xfId="25401" xr:uid="{00000000-0005-0000-0000-00003C630000}"/>
    <cellStyle name="Normal 2 30 4 6" xfId="25402" xr:uid="{00000000-0005-0000-0000-00003D630000}"/>
    <cellStyle name="Normal 2 30 5" xfId="25403" xr:uid="{00000000-0005-0000-0000-00003E630000}"/>
    <cellStyle name="Normal 2 30 5 2" xfId="25404" xr:uid="{00000000-0005-0000-0000-00003F630000}"/>
    <cellStyle name="Normal 2 30 5 3" xfId="25405" xr:uid="{00000000-0005-0000-0000-000040630000}"/>
    <cellStyle name="Normal 2 30 6" xfId="25406" xr:uid="{00000000-0005-0000-0000-000041630000}"/>
    <cellStyle name="Normal 2 30 6 2" xfId="25407" xr:uid="{00000000-0005-0000-0000-000042630000}"/>
    <cellStyle name="Normal 2 30 7" xfId="25408" xr:uid="{00000000-0005-0000-0000-000043630000}"/>
    <cellStyle name="Normal 2 30 8" xfId="25409" xr:uid="{00000000-0005-0000-0000-000044630000}"/>
    <cellStyle name="Normal 2 31" xfId="25410" xr:uid="{00000000-0005-0000-0000-000045630000}"/>
    <cellStyle name="Normal 2 31 2" xfId="25411" xr:uid="{00000000-0005-0000-0000-000046630000}"/>
    <cellStyle name="Normal 2 31 2 2" xfId="25412" xr:uid="{00000000-0005-0000-0000-000047630000}"/>
    <cellStyle name="Normal 2 31 2 2 2" xfId="25413" xr:uid="{00000000-0005-0000-0000-000048630000}"/>
    <cellStyle name="Normal 2 31 2 3" xfId="25414" xr:uid="{00000000-0005-0000-0000-000049630000}"/>
    <cellStyle name="Normal 2 31 3" xfId="25415" xr:uid="{00000000-0005-0000-0000-00004A630000}"/>
    <cellStyle name="Normal 2 31 3 2" xfId="25416" xr:uid="{00000000-0005-0000-0000-00004B630000}"/>
    <cellStyle name="Normal 2 31 3 2 2" xfId="25417" xr:uid="{00000000-0005-0000-0000-00004C630000}"/>
    <cellStyle name="Normal 2 31 3 2 2 2" xfId="25418" xr:uid="{00000000-0005-0000-0000-00004D630000}"/>
    <cellStyle name="Normal 2 31 3 2 2 3" xfId="25419" xr:uid="{00000000-0005-0000-0000-00004E630000}"/>
    <cellStyle name="Normal 2 31 3 2 3" xfId="25420" xr:uid="{00000000-0005-0000-0000-00004F630000}"/>
    <cellStyle name="Normal 2 31 3 2 4" xfId="25421" xr:uid="{00000000-0005-0000-0000-000050630000}"/>
    <cellStyle name="Normal 2 31 3 2 5" xfId="25422" xr:uid="{00000000-0005-0000-0000-000051630000}"/>
    <cellStyle name="Normal 2 31 3 2 6" xfId="25423" xr:uid="{00000000-0005-0000-0000-000052630000}"/>
    <cellStyle name="Normal 2 31 3 3" xfId="25424" xr:uid="{00000000-0005-0000-0000-000053630000}"/>
    <cellStyle name="Normal 2 31 3 3 2" xfId="25425" xr:uid="{00000000-0005-0000-0000-000054630000}"/>
    <cellStyle name="Normal 2 31 3 3 2 2" xfId="25426" xr:uid="{00000000-0005-0000-0000-000055630000}"/>
    <cellStyle name="Normal 2 31 3 3 3" xfId="25427" xr:uid="{00000000-0005-0000-0000-000056630000}"/>
    <cellStyle name="Normal 2 31 3 3 4" xfId="25428" xr:uid="{00000000-0005-0000-0000-000057630000}"/>
    <cellStyle name="Normal 2 31 3 3 5" xfId="25429" xr:uid="{00000000-0005-0000-0000-000058630000}"/>
    <cellStyle name="Normal 2 31 3 4" xfId="25430" xr:uid="{00000000-0005-0000-0000-000059630000}"/>
    <cellStyle name="Normal 2 31 3 4 2" xfId="25431" xr:uid="{00000000-0005-0000-0000-00005A630000}"/>
    <cellStyle name="Normal 2 31 3 4 3" xfId="25432" xr:uid="{00000000-0005-0000-0000-00005B630000}"/>
    <cellStyle name="Normal 2 31 3 4 4" xfId="25433" xr:uid="{00000000-0005-0000-0000-00005C630000}"/>
    <cellStyle name="Normal 2 31 3 5" xfId="25434" xr:uid="{00000000-0005-0000-0000-00005D630000}"/>
    <cellStyle name="Normal 2 31 3 5 2" xfId="25435" xr:uid="{00000000-0005-0000-0000-00005E630000}"/>
    <cellStyle name="Normal 2 31 3 6" xfId="25436" xr:uid="{00000000-0005-0000-0000-00005F630000}"/>
    <cellStyle name="Normal 2 31 3 7" xfId="25437" xr:uid="{00000000-0005-0000-0000-000060630000}"/>
    <cellStyle name="Normal 2 31 3 8" xfId="25438" xr:uid="{00000000-0005-0000-0000-000061630000}"/>
    <cellStyle name="Normal 2 31 3 9" xfId="25439" xr:uid="{00000000-0005-0000-0000-000062630000}"/>
    <cellStyle name="Normal 2 31 4" xfId="25440" xr:uid="{00000000-0005-0000-0000-000063630000}"/>
    <cellStyle name="Normal 2 31 4 2" xfId="25441" xr:uid="{00000000-0005-0000-0000-000064630000}"/>
    <cellStyle name="Normal 2 31 4 2 2" xfId="25442" xr:uid="{00000000-0005-0000-0000-000065630000}"/>
    <cellStyle name="Normal 2 31 4 3" xfId="25443" xr:uid="{00000000-0005-0000-0000-000066630000}"/>
    <cellStyle name="Normal 2 31 4 4" xfId="25444" xr:uid="{00000000-0005-0000-0000-000067630000}"/>
    <cellStyle name="Normal 2 31 4 5" xfId="25445" xr:uid="{00000000-0005-0000-0000-000068630000}"/>
    <cellStyle name="Normal 2 31 4 6" xfId="25446" xr:uid="{00000000-0005-0000-0000-000069630000}"/>
    <cellStyle name="Normal 2 31 5" xfId="25447" xr:uid="{00000000-0005-0000-0000-00006A630000}"/>
    <cellStyle name="Normal 2 31 5 2" xfId="25448" xr:uid="{00000000-0005-0000-0000-00006B630000}"/>
    <cellStyle name="Normal 2 31 5 3" xfId="25449" xr:uid="{00000000-0005-0000-0000-00006C630000}"/>
    <cellStyle name="Normal 2 31 6" xfId="25450" xr:uid="{00000000-0005-0000-0000-00006D630000}"/>
    <cellStyle name="Normal 2 31 6 2" xfId="25451" xr:uid="{00000000-0005-0000-0000-00006E630000}"/>
    <cellStyle name="Normal 2 31 7" xfId="25452" xr:uid="{00000000-0005-0000-0000-00006F630000}"/>
    <cellStyle name="Normal 2 31 8" xfId="25453" xr:uid="{00000000-0005-0000-0000-000070630000}"/>
    <cellStyle name="Normal 2 32" xfId="25454" xr:uid="{00000000-0005-0000-0000-000071630000}"/>
    <cellStyle name="Normal 2 32 2" xfId="25455" xr:uid="{00000000-0005-0000-0000-000072630000}"/>
    <cellStyle name="Normal 2 32 2 2" xfId="25456" xr:uid="{00000000-0005-0000-0000-000073630000}"/>
    <cellStyle name="Normal 2 32 2 2 2" xfId="25457" xr:uid="{00000000-0005-0000-0000-000074630000}"/>
    <cellStyle name="Normal 2 32 2 3" xfId="25458" xr:uid="{00000000-0005-0000-0000-000075630000}"/>
    <cellStyle name="Normal 2 32 3" xfId="25459" xr:uid="{00000000-0005-0000-0000-000076630000}"/>
    <cellStyle name="Normal 2 32 3 2" xfId="25460" xr:uid="{00000000-0005-0000-0000-000077630000}"/>
    <cellStyle name="Normal 2 32 3 2 2" xfId="25461" xr:uid="{00000000-0005-0000-0000-000078630000}"/>
    <cellStyle name="Normal 2 32 3 2 2 2" xfId="25462" xr:uid="{00000000-0005-0000-0000-000079630000}"/>
    <cellStyle name="Normal 2 32 3 2 2 3" xfId="25463" xr:uid="{00000000-0005-0000-0000-00007A630000}"/>
    <cellStyle name="Normal 2 32 3 2 3" xfId="25464" xr:uid="{00000000-0005-0000-0000-00007B630000}"/>
    <cellStyle name="Normal 2 32 3 2 4" xfId="25465" xr:uid="{00000000-0005-0000-0000-00007C630000}"/>
    <cellStyle name="Normal 2 32 3 2 5" xfId="25466" xr:uid="{00000000-0005-0000-0000-00007D630000}"/>
    <cellStyle name="Normal 2 32 3 2 6" xfId="25467" xr:uid="{00000000-0005-0000-0000-00007E630000}"/>
    <cellStyle name="Normal 2 32 3 3" xfId="25468" xr:uid="{00000000-0005-0000-0000-00007F630000}"/>
    <cellStyle name="Normal 2 32 3 3 2" xfId="25469" xr:uid="{00000000-0005-0000-0000-000080630000}"/>
    <cellStyle name="Normal 2 32 3 3 2 2" xfId="25470" xr:uid="{00000000-0005-0000-0000-000081630000}"/>
    <cellStyle name="Normal 2 32 3 3 3" xfId="25471" xr:uid="{00000000-0005-0000-0000-000082630000}"/>
    <cellStyle name="Normal 2 32 3 3 4" xfId="25472" xr:uid="{00000000-0005-0000-0000-000083630000}"/>
    <cellStyle name="Normal 2 32 3 3 5" xfId="25473" xr:uid="{00000000-0005-0000-0000-000084630000}"/>
    <cellStyle name="Normal 2 32 3 4" xfId="25474" xr:uid="{00000000-0005-0000-0000-000085630000}"/>
    <cellStyle name="Normal 2 32 3 4 2" xfId="25475" xr:uid="{00000000-0005-0000-0000-000086630000}"/>
    <cellStyle name="Normal 2 32 3 4 3" xfId="25476" xr:uid="{00000000-0005-0000-0000-000087630000}"/>
    <cellStyle name="Normal 2 32 3 4 4" xfId="25477" xr:uid="{00000000-0005-0000-0000-000088630000}"/>
    <cellStyle name="Normal 2 32 3 5" xfId="25478" xr:uid="{00000000-0005-0000-0000-000089630000}"/>
    <cellStyle name="Normal 2 32 3 5 2" xfId="25479" xr:uid="{00000000-0005-0000-0000-00008A630000}"/>
    <cellStyle name="Normal 2 32 3 6" xfId="25480" xr:uid="{00000000-0005-0000-0000-00008B630000}"/>
    <cellStyle name="Normal 2 32 3 7" xfId="25481" xr:uid="{00000000-0005-0000-0000-00008C630000}"/>
    <cellStyle name="Normal 2 32 3 8" xfId="25482" xr:uid="{00000000-0005-0000-0000-00008D630000}"/>
    <cellStyle name="Normal 2 32 3 9" xfId="25483" xr:uid="{00000000-0005-0000-0000-00008E630000}"/>
    <cellStyle name="Normal 2 32 4" xfId="25484" xr:uid="{00000000-0005-0000-0000-00008F630000}"/>
    <cellStyle name="Normal 2 32 4 2" xfId="25485" xr:uid="{00000000-0005-0000-0000-000090630000}"/>
    <cellStyle name="Normal 2 32 4 2 2" xfId="25486" xr:uid="{00000000-0005-0000-0000-000091630000}"/>
    <cellStyle name="Normal 2 32 4 3" xfId="25487" xr:uid="{00000000-0005-0000-0000-000092630000}"/>
    <cellStyle name="Normal 2 32 4 4" xfId="25488" xr:uid="{00000000-0005-0000-0000-000093630000}"/>
    <cellStyle name="Normal 2 32 4 5" xfId="25489" xr:uid="{00000000-0005-0000-0000-000094630000}"/>
    <cellStyle name="Normal 2 32 4 6" xfId="25490" xr:uid="{00000000-0005-0000-0000-000095630000}"/>
    <cellStyle name="Normal 2 32 5" xfId="25491" xr:uid="{00000000-0005-0000-0000-000096630000}"/>
    <cellStyle name="Normal 2 32 5 2" xfId="25492" xr:uid="{00000000-0005-0000-0000-000097630000}"/>
    <cellStyle name="Normal 2 32 5 3" xfId="25493" xr:uid="{00000000-0005-0000-0000-000098630000}"/>
    <cellStyle name="Normal 2 32 6" xfId="25494" xr:uid="{00000000-0005-0000-0000-000099630000}"/>
    <cellStyle name="Normal 2 32 6 2" xfId="25495" xr:uid="{00000000-0005-0000-0000-00009A630000}"/>
    <cellStyle name="Normal 2 32 7" xfId="25496" xr:uid="{00000000-0005-0000-0000-00009B630000}"/>
    <cellStyle name="Normal 2 32 8" xfId="25497" xr:uid="{00000000-0005-0000-0000-00009C630000}"/>
    <cellStyle name="Normal 2 33" xfId="25498" xr:uid="{00000000-0005-0000-0000-00009D630000}"/>
    <cellStyle name="Normal 2 33 2" xfId="25499" xr:uid="{00000000-0005-0000-0000-00009E630000}"/>
    <cellStyle name="Normal 2 33 2 2" xfId="25500" xr:uid="{00000000-0005-0000-0000-00009F630000}"/>
    <cellStyle name="Normal 2 33 2 2 2" xfId="25501" xr:uid="{00000000-0005-0000-0000-0000A0630000}"/>
    <cellStyle name="Normal 2 33 2 3" xfId="25502" xr:uid="{00000000-0005-0000-0000-0000A1630000}"/>
    <cellStyle name="Normal 2 33 3" xfId="25503" xr:uid="{00000000-0005-0000-0000-0000A2630000}"/>
    <cellStyle name="Normal 2 33 3 2" xfId="25504" xr:uid="{00000000-0005-0000-0000-0000A3630000}"/>
    <cellStyle name="Normal 2 33 3 2 2" xfId="25505" xr:uid="{00000000-0005-0000-0000-0000A4630000}"/>
    <cellStyle name="Normal 2 33 3 2 2 2" xfId="25506" xr:uid="{00000000-0005-0000-0000-0000A5630000}"/>
    <cellStyle name="Normal 2 33 3 2 2 3" xfId="25507" xr:uid="{00000000-0005-0000-0000-0000A6630000}"/>
    <cellStyle name="Normal 2 33 3 2 3" xfId="25508" xr:uid="{00000000-0005-0000-0000-0000A7630000}"/>
    <cellStyle name="Normal 2 33 3 2 4" xfId="25509" xr:uid="{00000000-0005-0000-0000-0000A8630000}"/>
    <cellStyle name="Normal 2 33 3 2 5" xfId="25510" xr:uid="{00000000-0005-0000-0000-0000A9630000}"/>
    <cellStyle name="Normal 2 33 3 2 6" xfId="25511" xr:uid="{00000000-0005-0000-0000-0000AA630000}"/>
    <cellStyle name="Normal 2 33 3 3" xfId="25512" xr:uid="{00000000-0005-0000-0000-0000AB630000}"/>
    <cellStyle name="Normal 2 33 3 3 2" xfId="25513" xr:uid="{00000000-0005-0000-0000-0000AC630000}"/>
    <cellStyle name="Normal 2 33 3 3 2 2" xfId="25514" xr:uid="{00000000-0005-0000-0000-0000AD630000}"/>
    <cellStyle name="Normal 2 33 3 3 3" xfId="25515" xr:uid="{00000000-0005-0000-0000-0000AE630000}"/>
    <cellStyle name="Normal 2 33 3 3 4" xfId="25516" xr:uid="{00000000-0005-0000-0000-0000AF630000}"/>
    <cellStyle name="Normal 2 33 3 3 5" xfId="25517" xr:uid="{00000000-0005-0000-0000-0000B0630000}"/>
    <cellStyle name="Normal 2 33 3 4" xfId="25518" xr:uid="{00000000-0005-0000-0000-0000B1630000}"/>
    <cellStyle name="Normal 2 33 3 4 2" xfId="25519" xr:uid="{00000000-0005-0000-0000-0000B2630000}"/>
    <cellStyle name="Normal 2 33 3 4 3" xfId="25520" xr:uid="{00000000-0005-0000-0000-0000B3630000}"/>
    <cellStyle name="Normal 2 33 3 4 4" xfId="25521" xr:uid="{00000000-0005-0000-0000-0000B4630000}"/>
    <cellStyle name="Normal 2 33 3 5" xfId="25522" xr:uid="{00000000-0005-0000-0000-0000B5630000}"/>
    <cellStyle name="Normal 2 33 3 5 2" xfId="25523" xr:uid="{00000000-0005-0000-0000-0000B6630000}"/>
    <cellStyle name="Normal 2 33 3 6" xfId="25524" xr:uid="{00000000-0005-0000-0000-0000B7630000}"/>
    <cellStyle name="Normal 2 33 3 7" xfId="25525" xr:uid="{00000000-0005-0000-0000-0000B8630000}"/>
    <cellStyle name="Normal 2 33 3 8" xfId="25526" xr:uid="{00000000-0005-0000-0000-0000B9630000}"/>
    <cellStyle name="Normal 2 33 3 9" xfId="25527" xr:uid="{00000000-0005-0000-0000-0000BA630000}"/>
    <cellStyle name="Normal 2 33 4" xfId="25528" xr:uid="{00000000-0005-0000-0000-0000BB630000}"/>
    <cellStyle name="Normal 2 33 4 2" xfId="25529" xr:uid="{00000000-0005-0000-0000-0000BC630000}"/>
    <cellStyle name="Normal 2 33 4 2 2" xfId="25530" xr:uid="{00000000-0005-0000-0000-0000BD630000}"/>
    <cellStyle name="Normal 2 33 4 3" xfId="25531" xr:uid="{00000000-0005-0000-0000-0000BE630000}"/>
    <cellStyle name="Normal 2 33 4 4" xfId="25532" xr:uid="{00000000-0005-0000-0000-0000BF630000}"/>
    <cellStyle name="Normal 2 33 4 5" xfId="25533" xr:uid="{00000000-0005-0000-0000-0000C0630000}"/>
    <cellStyle name="Normal 2 33 4 6" xfId="25534" xr:uid="{00000000-0005-0000-0000-0000C1630000}"/>
    <cellStyle name="Normal 2 33 5" xfId="25535" xr:uid="{00000000-0005-0000-0000-0000C2630000}"/>
    <cellStyle name="Normal 2 33 5 2" xfId="25536" xr:uid="{00000000-0005-0000-0000-0000C3630000}"/>
    <cellStyle name="Normal 2 33 5 3" xfId="25537" xr:uid="{00000000-0005-0000-0000-0000C4630000}"/>
    <cellStyle name="Normal 2 33 6" xfId="25538" xr:uid="{00000000-0005-0000-0000-0000C5630000}"/>
    <cellStyle name="Normal 2 33 6 2" xfId="25539" xr:uid="{00000000-0005-0000-0000-0000C6630000}"/>
    <cellStyle name="Normal 2 33 7" xfId="25540" xr:uid="{00000000-0005-0000-0000-0000C7630000}"/>
    <cellStyle name="Normal 2 33 8" xfId="25541" xr:uid="{00000000-0005-0000-0000-0000C8630000}"/>
    <cellStyle name="Normal 2 34" xfId="25542" xr:uid="{00000000-0005-0000-0000-0000C9630000}"/>
    <cellStyle name="Normal 2 34 2" xfId="25543" xr:uid="{00000000-0005-0000-0000-0000CA630000}"/>
    <cellStyle name="Normal 2 34 2 2" xfId="25544" xr:uid="{00000000-0005-0000-0000-0000CB630000}"/>
    <cellStyle name="Normal 2 34 2 2 2" xfId="25545" xr:uid="{00000000-0005-0000-0000-0000CC630000}"/>
    <cellStyle name="Normal 2 34 2 3" xfId="25546" xr:uid="{00000000-0005-0000-0000-0000CD630000}"/>
    <cellStyle name="Normal 2 34 3" xfId="25547" xr:uid="{00000000-0005-0000-0000-0000CE630000}"/>
    <cellStyle name="Normal 2 34 3 2" xfId="25548" xr:uid="{00000000-0005-0000-0000-0000CF630000}"/>
    <cellStyle name="Normal 2 34 3 2 2" xfId="25549" xr:uid="{00000000-0005-0000-0000-0000D0630000}"/>
    <cellStyle name="Normal 2 34 3 2 2 2" xfId="25550" xr:uid="{00000000-0005-0000-0000-0000D1630000}"/>
    <cellStyle name="Normal 2 34 3 2 2 3" xfId="25551" xr:uid="{00000000-0005-0000-0000-0000D2630000}"/>
    <cellStyle name="Normal 2 34 3 2 3" xfId="25552" xr:uid="{00000000-0005-0000-0000-0000D3630000}"/>
    <cellStyle name="Normal 2 34 3 2 4" xfId="25553" xr:uid="{00000000-0005-0000-0000-0000D4630000}"/>
    <cellStyle name="Normal 2 34 3 2 5" xfId="25554" xr:uid="{00000000-0005-0000-0000-0000D5630000}"/>
    <cellStyle name="Normal 2 34 3 2 6" xfId="25555" xr:uid="{00000000-0005-0000-0000-0000D6630000}"/>
    <cellStyle name="Normal 2 34 3 3" xfId="25556" xr:uid="{00000000-0005-0000-0000-0000D7630000}"/>
    <cellStyle name="Normal 2 34 3 3 2" xfId="25557" xr:uid="{00000000-0005-0000-0000-0000D8630000}"/>
    <cellStyle name="Normal 2 34 3 3 2 2" xfId="25558" xr:uid="{00000000-0005-0000-0000-0000D9630000}"/>
    <cellStyle name="Normal 2 34 3 3 3" xfId="25559" xr:uid="{00000000-0005-0000-0000-0000DA630000}"/>
    <cellStyle name="Normal 2 34 3 3 4" xfId="25560" xr:uid="{00000000-0005-0000-0000-0000DB630000}"/>
    <cellStyle name="Normal 2 34 3 3 5" xfId="25561" xr:uid="{00000000-0005-0000-0000-0000DC630000}"/>
    <cellStyle name="Normal 2 34 3 4" xfId="25562" xr:uid="{00000000-0005-0000-0000-0000DD630000}"/>
    <cellStyle name="Normal 2 34 3 4 2" xfId="25563" xr:uid="{00000000-0005-0000-0000-0000DE630000}"/>
    <cellStyle name="Normal 2 34 3 4 3" xfId="25564" xr:uid="{00000000-0005-0000-0000-0000DF630000}"/>
    <cellStyle name="Normal 2 34 3 4 4" xfId="25565" xr:uid="{00000000-0005-0000-0000-0000E0630000}"/>
    <cellStyle name="Normal 2 34 3 5" xfId="25566" xr:uid="{00000000-0005-0000-0000-0000E1630000}"/>
    <cellStyle name="Normal 2 34 3 5 2" xfId="25567" xr:uid="{00000000-0005-0000-0000-0000E2630000}"/>
    <cellStyle name="Normal 2 34 3 6" xfId="25568" xr:uid="{00000000-0005-0000-0000-0000E3630000}"/>
    <cellStyle name="Normal 2 34 3 7" xfId="25569" xr:uid="{00000000-0005-0000-0000-0000E4630000}"/>
    <cellStyle name="Normal 2 34 3 8" xfId="25570" xr:uid="{00000000-0005-0000-0000-0000E5630000}"/>
    <cellStyle name="Normal 2 34 3 9" xfId="25571" xr:uid="{00000000-0005-0000-0000-0000E6630000}"/>
    <cellStyle name="Normal 2 34 4" xfId="25572" xr:uid="{00000000-0005-0000-0000-0000E7630000}"/>
    <cellStyle name="Normal 2 34 4 2" xfId="25573" xr:uid="{00000000-0005-0000-0000-0000E8630000}"/>
    <cellStyle name="Normal 2 34 4 2 2" xfId="25574" xr:uid="{00000000-0005-0000-0000-0000E9630000}"/>
    <cellStyle name="Normal 2 34 4 3" xfId="25575" xr:uid="{00000000-0005-0000-0000-0000EA630000}"/>
    <cellStyle name="Normal 2 34 4 4" xfId="25576" xr:uid="{00000000-0005-0000-0000-0000EB630000}"/>
    <cellStyle name="Normal 2 34 4 5" xfId="25577" xr:uid="{00000000-0005-0000-0000-0000EC630000}"/>
    <cellStyle name="Normal 2 34 4 6" xfId="25578" xr:uid="{00000000-0005-0000-0000-0000ED630000}"/>
    <cellStyle name="Normal 2 34 5" xfId="25579" xr:uid="{00000000-0005-0000-0000-0000EE630000}"/>
    <cellStyle name="Normal 2 34 5 2" xfId="25580" xr:uid="{00000000-0005-0000-0000-0000EF630000}"/>
    <cellStyle name="Normal 2 34 5 3" xfId="25581" xr:uid="{00000000-0005-0000-0000-0000F0630000}"/>
    <cellStyle name="Normal 2 34 6" xfId="25582" xr:uid="{00000000-0005-0000-0000-0000F1630000}"/>
    <cellStyle name="Normal 2 34 6 2" xfId="25583" xr:uid="{00000000-0005-0000-0000-0000F2630000}"/>
    <cellStyle name="Normal 2 34 7" xfId="25584" xr:uid="{00000000-0005-0000-0000-0000F3630000}"/>
    <cellStyle name="Normal 2 34 8" xfId="25585" xr:uid="{00000000-0005-0000-0000-0000F4630000}"/>
    <cellStyle name="Normal 2 35" xfId="25586" xr:uid="{00000000-0005-0000-0000-0000F5630000}"/>
    <cellStyle name="Normal 2 35 2" xfId="25587" xr:uid="{00000000-0005-0000-0000-0000F6630000}"/>
    <cellStyle name="Normal 2 35 2 2" xfId="25588" xr:uid="{00000000-0005-0000-0000-0000F7630000}"/>
    <cellStyle name="Normal 2 35 2 2 2" xfId="25589" xr:uid="{00000000-0005-0000-0000-0000F8630000}"/>
    <cellStyle name="Normal 2 35 2 3" xfId="25590" xr:uid="{00000000-0005-0000-0000-0000F9630000}"/>
    <cellStyle name="Normal 2 35 3" xfId="25591" xr:uid="{00000000-0005-0000-0000-0000FA630000}"/>
    <cellStyle name="Normal 2 35 3 2" xfId="25592" xr:uid="{00000000-0005-0000-0000-0000FB630000}"/>
    <cellStyle name="Normal 2 35 3 2 2" xfId="25593" xr:uid="{00000000-0005-0000-0000-0000FC630000}"/>
    <cellStyle name="Normal 2 35 3 2 2 2" xfId="25594" xr:uid="{00000000-0005-0000-0000-0000FD630000}"/>
    <cellStyle name="Normal 2 35 3 2 2 3" xfId="25595" xr:uid="{00000000-0005-0000-0000-0000FE630000}"/>
    <cellStyle name="Normal 2 35 3 2 3" xfId="25596" xr:uid="{00000000-0005-0000-0000-0000FF630000}"/>
    <cellStyle name="Normal 2 35 3 2 4" xfId="25597" xr:uid="{00000000-0005-0000-0000-000000640000}"/>
    <cellStyle name="Normal 2 35 3 2 5" xfId="25598" xr:uid="{00000000-0005-0000-0000-000001640000}"/>
    <cellStyle name="Normal 2 35 3 2 6" xfId="25599" xr:uid="{00000000-0005-0000-0000-000002640000}"/>
    <cellStyle name="Normal 2 35 3 3" xfId="25600" xr:uid="{00000000-0005-0000-0000-000003640000}"/>
    <cellStyle name="Normal 2 35 3 3 2" xfId="25601" xr:uid="{00000000-0005-0000-0000-000004640000}"/>
    <cellStyle name="Normal 2 35 3 3 2 2" xfId="25602" xr:uid="{00000000-0005-0000-0000-000005640000}"/>
    <cellStyle name="Normal 2 35 3 3 3" xfId="25603" xr:uid="{00000000-0005-0000-0000-000006640000}"/>
    <cellStyle name="Normal 2 35 3 3 4" xfId="25604" xr:uid="{00000000-0005-0000-0000-000007640000}"/>
    <cellStyle name="Normal 2 35 3 3 5" xfId="25605" xr:uid="{00000000-0005-0000-0000-000008640000}"/>
    <cellStyle name="Normal 2 35 3 4" xfId="25606" xr:uid="{00000000-0005-0000-0000-000009640000}"/>
    <cellStyle name="Normal 2 35 3 4 2" xfId="25607" xr:uid="{00000000-0005-0000-0000-00000A640000}"/>
    <cellStyle name="Normal 2 35 3 4 3" xfId="25608" xr:uid="{00000000-0005-0000-0000-00000B640000}"/>
    <cellStyle name="Normal 2 35 3 4 4" xfId="25609" xr:uid="{00000000-0005-0000-0000-00000C640000}"/>
    <cellStyle name="Normal 2 35 3 5" xfId="25610" xr:uid="{00000000-0005-0000-0000-00000D640000}"/>
    <cellStyle name="Normal 2 35 3 5 2" xfId="25611" xr:uid="{00000000-0005-0000-0000-00000E640000}"/>
    <cellStyle name="Normal 2 35 3 6" xfId="25612" xr:uid="{00000000-0005-0000-0000-00000F640000}"/>
    <cellStyle name="Normal 2 35 3 7" xfId="25613" xr:uid="{00000000-0005-0000-0000-000010640000}"/>
    <cellStyle name="Normal 2 35 3 8" xfId="25614" xr:uid="{00000000-0005-0000-0000-000011640000}"/>
    <cellStyle name="Normal 2 35 3 9" xfId="25615" xr:uid="{00000000-0005-0000-0000-000012640000}"/>
    <cellStyle name="Normal 2 35 4" xfId="25616" xr:uid="{00000000-0005-0000-0000-000013640000}"/>
    <cellStyle name="Normal 2 35 4 2" xfId="25617" xr:uid="{00000000-0005-0000-0000-000014640000}"/>
    <cellStyle name="Normal 2 35 4 2 2" xfId="25618" xr:uid="{00000000-0005-0000-0000-000015640000}"/>
    <cellStyle name="Normal 2 35 4 3" xfId="25619" xr:uid="{00000000-0005-0000-0000-000016640000}"/>
    <cellStyle name="Normal 2 35 4 4" xfId="25620" xr:uid="{00000000-0005-0000-0000-000017640000}"/>
    <cellStyle name="Normal 2 35 4 5" xfId="25621" xr:uid="{00000000-0005-0000-0000-000018640000}"/>
    <cellStyle name="Normal 2 35 4 6" xfId="25622" xr:uid="{00000000-0005-0000-0000-000019640000}"/>
    <cellStyle name="Normal 2 35 5" xfId="25623" xr:uid="{00000000-0005-0000-0000-00001A640000}"/>
    <cellStyle name="Normal 2 35 5 2" xfId="25624" xr:uid="{00000000-0005-0000-0000-00001B640000}"/>
    <cellStyle name="Normal 2 35 5 3" xfId="25625" xr:uid="{00000000-0005-0000-0000-00001C640000}"/>
    <cellStyle name="Normal 2 35 6" xfId="25626" xr:uid="{00000000-0005-0000-0000-00001D640000}"/>
    <cellStyle name="Normal 2 35 6 2" xfId="25627" xr:uid="{00000000-0005-0000-0000-00001E640000}"/>
    <cellStyle name="Normal 2 35 7" xfId="25628" xr:uid="{00000000-0005-0000-0000-00001F640000}"/>
    <cellStyle name="Normal 2 35 8" xfId="25629" xr:uid="{00000000-0005-0000-0000-000020640000}"/>
    <cellStyle name="Normal 2 36" xfId="25630" xr:uid="{00000000-0005-0000-0000-000021640000}"/>
    <cellStyle name="Normal 2 36 2" xfId="25631" xr:uid="{00000000-0005-0000-0000-000022640000}"/>
    <cellStyle name="Normal 2 36 2 2" xfId="25632" xr:uid="{00000000-0005-0000-0000-000023640000}"/>
    <cellStyle name="Normal 2 36 2 2 2" xfId="25633" xr:uid="{00000000-0005-0000-0000-000024640000}"/>
    <cellStyle name="Normal 2 36 2 3" xfId="25634" xr:uid="{00000000-0005-0000-0000-000025640000}"/>
    <cellStyle name="Normal 2 36 3" xfId="25635" xr:uid="{00000000-0005-0000-0000-000026640000}"/>
    <cellStyle name="Normal 2 36 3 2" xfId="25636" xr:uid="{00000000-0005-0000-0000-000027640000}"/>
    <cellStyle name="Normal 2 36 3 2 2" xfId="25637" xr:uid="{00000000-0005-0000-0000-000028640000}"/>
    <cellStyle name="Normal 2 36 3 2 2 2" xfId="25638" xr:uid="{00000000-0005-0000-0000-000029640000}"/>
    <cellStyle name="Normal 2 36 3 2 2 3" xfId="25639" xr:uid="{00000000-0005-0000-0000-00002A640000}"/>
    <cellStyle name="Normal 2 36 3 2 3" xfId="25640" xr:uid="{00000000-0005-0000-0000-00002B640000}"/>
    <cellStyle name="Normal 2 36 3 2 4" xfId="25641" xr:uid="{00000000-0005-0000-0000-00002C640000}"/>
    <cellStyle name="Normal 2 36 3 2 5" xfId="25642" xr:uid="{00000000-0005-0000-0000-00002D640000}"/>
    <cellStyle name="Normal 2 36 3 2 6" xfId="25643" xr:uid="{00000000-0005-0000-0000-00002E640000}"/>
    <cellStyle name="Normal 2 36 3 3" xfId="25644" xr:uid="{00000000-0005-0000-0000-00002F640000}"/>
    <cellStyle name="Normal 2 36 3 3 2" xfId="25645" xr:uid="{00000000-0005-0000-0000-000030640000}"/>
    <cellStyle name="Normal 2 36 3 3 2 2" xfId="25646" xr:uid="{00000000-0005-0000-0000-000031640000}"/>
    <cellStyle name="Normal 2 36 3 3 3" xfId="25647" xr:uid="{00000000-0005-0000-0000-000032640000}"/>
    <cellStyle name="Normal 2 36 3 3 4" xfId="25648" xr:uid="{00000000-0005-0000-0000-000033640000}"/>
    <cellStyle name="Normal 2 36 3 3 5" xfId="25649" xr:uid="{00000000-0005-0000-0000-000034640000}"/>
    <cellStyle name="Normal 2 36 3 4" xfId="25650" xr:uid="{00000000-0005-0000-0000-000035640000}"/>
    <cellStyle name="Normal 2 36 3 4 2" xfId="25651" xr:uid="{00000000-0005-0000-0000-000036640000}"/>
    <cellStyle name="Normal 2 36 3 4 3" xfId="25652" xr:uid="{00000000-0005-0000-0000-000037640000}"/>
    <cellStyle name="Normal 2 36 3 4 4" xfId="25653" xr:uid="{00000000-0005-0000-0000-000038640000}"/>
    <cellStyle name="Normal 2 36 3 5" xfId="25654" xr:uid="{00000000-0005-0000-0000-000039640000}"/>
    <cellStyle name="Normal 2 36 3 5 2" xfId="25655" xr:uid="{00000000-0005-0000-0000-00003A640000}"/>
    <cellStyle name="Normal 2 36 3 6" xfId="25656" xr:uid="{00000000-0005-0000-0000-00003B640000}"/>
    <cellStyle name="Normal 2 36 3 7" xfId="25657" xr:uid="{00000000-0005-0000-0000-00003C640000}"/>
    <cellStyle name="Normal 2 36 3 8" xfId="25658" xr:uid="{00000000-0005-0000-0000-00003D640000}"/>
    <cellStyle name="Normal 2 36 3 9" xfId="25659" xr:uid="{00000000-0005-0000-0000-00003E640000}"/>
    <cellStyle name="Normal 2 36 4" xfId="25660" xr:uid="{00000000-0005-0000-0000-00003F640000}"/>
    <cellStyle name="Normal 2 36 4 2" xfId="25661" xr:uid="{00000000-0005-0000-0000-000040640000}"/>
    <cellStyle name="Normal 2 36 4 2 2" xfId="25662" xr:uid="{00000000-0005-0000-0000-000041640000}"/>
    <cellStyle name="Normal 2 36 4 3" xfId="25663" xr:uid="{00000000-0005-0000-0000-000042640000}"/>
    <cellStyle name="Normal 2 36 4 4" xfId="25664" xr:uid="{00000000-0005-0000-0000-000043640000}"/>
    <cellStyle name="Normal 2 36 4 5" xfId="25665" xr:uid="{00000000-0005-0000-0000-000044640000}"/>
    <cellStyle name="Normal 2 36 4 6" xfId="25666" xr:uid="{00000000-0005-0000-0000-000045640000}"/>
    <cellStyle name="Normal 2 36 5" xfId="25667" xr:uid="{00000000-0005-0000-0000-000046640000}"/>
    <cellStyle name="Normal 2 36 5 2" xfId="25668" xr:uid="{00000000-0005-0000-0000-000047640000}"/>
    <cellStyle name="Normal 2 36 5 3" xfId="25669" xr:uid="{00000000-0005-0000-0000-000048640000}"/>
    <cellStyle name="Normal 2 36 6" xfId="25670" xr:uid="{00000000-0005-0000-0000-000049640000}"/>
    <cellStyle name="Normal 2 36 6 2" xfId="25671" xr:uid="{00000000-0005-0000-0000-00004A640000}"/>
    <cellStyle name="Normal 2 36 7" xfId="25672" xr:uid="{00000000-0005-0000-0000-00004B640000}"/>
    <cellStyle name="Normal 2 36 8" xfId="25673" xr:uid="{00000000-0005-0000-0000-00004C640000}"/>
    <cellStyle name="Normal 2 37" xfId="25674" xr:uid="{00000000-0005-0000-0000-00004D640000}"/>
    <cellStyle name="Normal 2 37 2" xfId="25675" xr:uid="{00000000-0005-0000-0000-00004E640000}"/>
    <cellStyle name="Normal 2 37 2 2" xfId="25676" xr:uid="{00000000-0005-0000-0000-00004F640000}"/>
    <cellStyle name="Normal 2 37 2 2 2" xfId="25677" xr:uid="{00000000-0005-0000-0000-000050640000}"/>
    <cellStyle name="Normal 2 37 2 3" xfId="25678" xr:uid="{00000000-0005-0000-0000-000051640000}"/>
    <cellStyle name="Normal 2 37 3" xfId="25679" xr:uid="{00000000-0005-0000-0000-000052640000}"/>
    <cellStyle name="Normal 2 37 3 2" xfId="25680" xr:uid="{00000000-0005-0000-0000-000053640000}"/>
    <cellStyle name="Normal 2 37 3 2 2" xfId="25681" xr:uid="{00000000-0005-0000-0000-000054640000}"/>
    <cellStyle name="Normal 2 37 3 2 2 2" xfId="25682" xr:uid="{00000000-0005-0000-0000-000055640000}"/>
    <cellStyle name="Normal 2 37 3 2 2 3" xfId="25683" xr:uid="{00000000-0005-0000-0000-000056640000}"/>
    <cellStyle name="Normal 2 37 3 2 3" xfId="25684" xr:uid="{00000000-0005-0000-0000-000057640000}"/>
    <cellStyle name="Normal 2 37 3 2 4" xfId="25685" xr:uid="{00000000-0005-0000-0000-000058640000}"/>
    <cellStyle name="Normal 2 37 3 2 5" xfId="25686" xr:uid="{00000000-0005-0000-0000-000059640000}"/>
    <cellStyle name="Normal 2 37 3 2 6" xfId="25687" xr:uid="{00000000-0005-0000-0000-00005A640000}"/>
    <cellStyle name="Normal 2 37 3 3" xfId="25688" xr:uid="{00000000-0005-0000-0000-00005B640000}"/>
    <cellStyle name="Normal 2 37 3 3 2" xfId="25689" xr:uid="{00000000-0005-0000-0000-00005C640000}"/>
    <cellStyle name="Normal 2 37 3 3 2 2" xfId="25690" xr:uid="{00000000-0005-0000-0000-00005D640000}"/>
    <cellStyle name="Normal 2 37 3 3 3" xfId="25691" xr:uid="{00000000-0005-0000-0000-00005E640000}"/>
    <cellStyle name="Normal 2 37 3 3 4" xfId="25692" xr:uid="{00000000-0005-0000-0000-00005F640000}"/>
    <cellStyle name="Normal 2 37 3 3 5" xfId="25693" xr:uid="{00000000-0005-0000-0000-000060640000}"/>
    <cellStyle name="Normal 2 37 3 4" xfId="25694" xr:uid="{00000000-0005-0000-0000-000061640000}"/>
    <cellStyle name="Normal 2 37 3 4 2" xfId="25695" xr:uid="{00000000-0005-0000-0000-000062640000}"/>
    <cellStyle name="Normal 2 37 3 4 3" xfId="25696" xr:uid="{00000000-0005-0000-0000-000063640000}"/>
    <cellStyle name="Normal 2 37 3 4 4" xfId="25697" xr:uid="{00000000-0005-0000-0000-000064640000}"/>
    <cellStyle name="Normal 2 37 3 5" xfId="25698" xr:uid="{00000000-0005-0000-0000-000065640000}"/>
    <cellStyle name="Normal 2 37 3 5 2" xfId="25699" xr:uid="{00000000-0005-0000-0000-000066640000}"/>
    <cellStyle name="Normal 2 37 3 6" xfId="25700" xr:uid="{00000000-0005-0000-0000-000067640000}"/>
    <cellStyle name="Normal 2 37 3 7" xfId="25701" xr:uid="{00000000-0005-0000-0000-000068640000}"/>
    <cellStyle name="Normal 2 37 3 8" xfId="25702" xr:uid="{00000000-0005-0000-0000-000069640000}"/>
    <cellStyle name="Normal 2 37 3 9" xfId="25703" xr:uid="{00000000-0005-0000-0000-00006A640000}"/>
    <cellStyle name="Normal 2 37 4" xfId="25704" xr:uid="{00000000-0005-0000-0000-00006B640000}"/>
    <cellStyle name="Normal 2 37 4 2" xfId="25705" xr:uid="{00000000-0005-0000-0000-00006C640000}"/>
    <cellStyle name="Normal 2 37 4 2 2" xfId="25706" xr:uid="{00000000-0005-0000-0000-00006D640000}"/>
    <cellStyle name="Normal 2 37 4 3" xfId="25707" xr:uid="{00000000-0005-0000-0000-00006E640000}"/>
    <cellStyle name="Normal 2 37 4 4" xfId="25708" xr:uid="{00000000-0005-0000-0000-00006F640000}"/>
    <cellStyle name="Normal 2 37 4 5" xfId="25709" xr:uid="{00000000-0005-0000-0000-000070640000}"/>
    <cellStyle name="Normal 2 37 4 6" xfId="25710" xr:uid="{00000000-0005-0000-0000-000071640000}"/>
    <cellStyle name="Normal 2 37 5" xfId="25711" xr:uid="{00000000-0005-0000-0000-000072640000}"/>
    <cellStyle name="Normal 2 37 5 2" xfId="25712" xr:uid="{00000000-0005-0000-0000-000073640000}"/>
    <cellStyle name="Normal 2 37 5 3" xfId="25713" xr:uid="{00000000-0005-0000-0000-000074640000}"/>
    <cellStyle name="Normal 2 37 6" xfId="25714" xr:uid="{00000000-0005-0000-0000-000075640000}"/>
    <cellStyle name="Normal 2 37 6 2" xfId="25715" xr:uid="{00000000-0005-0000-0000-000076640000}"/>
    <cellStyle name="Normal 2 37 7" xfId="25716" xr:uid="{00000000-0005-0000-0000-000077640000}"/>
    <cellStyle name="Normal 2 37 8" xfId="25717" xr:uid="{00000000-0005-0000-0000-000078640000}"/>
    <cellStyle name="Normal 2 38" xfId="25718" xr:uid="{00000000-0005-0000-0000-000079640000}"/>
    <cellStyle name="Normal 2 38 10" xfId="25719" xr:uid="{00000000-0005-0000-0000-00007A640000}"/>
    <cellStyle name="Normal 2 38 11" xfId="25720" xr:uid="{00000000-0005-0000-0000-00007B640000}"/>
    <cellStyle name="Normal 2 38 2" xfId="25721" xr:uid="{00000000-0005-0000-0000-00007C640000}"/>
    <cellStyle name="Normal 2 38 2 2" xfId="25722" xr:uid="{00000000-0005-0000-0000-00007D640000}"/>
    <cellStyle name="Normal 2 38 2 2 2" xfId="25723" xr:uid="{00000000-0005-0000-0000-00007E640000}"/>
    <cellStyle name="Normal 2 38 2 2 2 2" xfId="25724" xr:uid="{00000000-0005-0000-0000-00007F640000}"/>
    <cellStyle name="Normal 2 38 2 2 2 3" xfId="25725" xr:uid="{00000000-0005-0000-0000-000080640000}"/>
    <cellStyle name="Normal 2 38 2 2 3" xfId="25726" xr:uid="{00000000-0005-0000-0000-000081640000}"/>
    <cellStyle name="Normal 2 38 2 2 4" xfId="25727" xr:uid="{00000000-0005-0000-0000-000082640000}"/>
    <cellStyle name="Normal 2 38 2 2 5" xfId="25728" xr:uid="{00000000-0005-0000-0000-000083640000}"/>
    <cellStyle name="Normal 2 38 2 2 6" xfId="25729" xr:uid="{00000000-0005-0000-0000-000084640000}"/>
    <cellStyle name="Normal 2 38 2 3" xfId="25730" xr:uid="{00000000-0005-0000-0000-000085640000}"/>
    <cellStyle name="Normal 2 38 2 3 2" xfId="25731" xr:uid="{00000000-0005-0000-0000-000086640000}"/>
    <cellStyle name="Normal 2 38 2 3 2 2" xfId="25732" xr:uid="{00000000-0005-0000-0000-000087640000}"/>
    <cellStyle name="Normal 2 38 2 3 3" xfId="25733" xr:uid="{00000000-0005-0000-0000-000088640000}"/>
    <cellStyle name="Normal 2 38 2 3 4" xfId="25734" xr:uid="{00000000-0005-0000-0000-000089640000}"/>
    <cellStyle name="Normal 2 38 2 3 5" xfId="25735" xr:uid="{00000000-0005-0000-0000-00008A640000}"/>
    <cellStyle name="Normal 2 38 2 4" xfId="25736" xr:uid="{00000000-0005-0000-0000-00008B640000}"/>
    <cellStyle name="Normal 2 38 2 4 2" xfId="25737" xr:uid="{00000000-0005-0000-0000-00008C640000}"/>
    <cellStyle name="Normal 2 38 2 4 3" xfId="25738" xr:uid="{00000000-0005-0000-0000-00008D640000}"/>
    <cellStyle name="Normal 2 38 2 4 4" xfId="25739" xr:uid="{00000000-0005-0000-0000-00008E640000}"/>
    <cellStyle name="Normal 2 38 2 5" xfId="25740" xr:uid="{00000000-0005-0000-0000-00008F640000}"/>
    <cellStyle name="Normal 2 38 2 5 2" xfId="25741" xr:uid="{00000000-0005-0000-0000-000090640000}"/>
    <cellStyle name="Normal 2 38 2 6" xfId="25742" xr:uid="{00000000-0005-0000-0000-000091640000}"/>
    <cellStyle name="Normal 2 38 2 7" xfId="25743" xr:uid="{00000000-0005-0000-0000-000092640000}"/>
    <cellStyle name="Normal 2 38 2 8" xfId="25744" xr:uid="{00000000-0005-0000-0000-000093640000}"/>
    <cellStyle name="Normal 2 38 2 9" xfId="25745" xr:uid="{00000000-0005-0000-0000-000094640000}"/>
    <cellStyle name="Normal 2 38 3" xfId="25746" xr:uid="{00000000-0005-0000-0000-000095640000}"/>
    <cellStyle name="Normal 2 38 3 2" xfId="25747" xr:uid="{00000000-0005-0000-0000-000096640000}"/>
    <cellStyle name="Normal 2 38 3 2 2" xfId="25748" xr:uid="{00000000-0005-0000-0000-000097640000}"/>
    <cellStyle name="Normal 2 38 3 2 2 2" xfId="25749" xr:uid="{00000000-0005-0000-0000-000098640000}"/>
    <cellStyle name="Normal 2 38 3 2 2 3" xfId="25750" xr:uid="{00000000-0005-0000-0000-000099640000}"/>
    <cellStyle name="Normal 2 38 3 2 3" xfId="25751" xr:uid="{00000000-0005-0000-0000-00009A640000}"/>
    <cellStyle name="Normal 2 38 3 2 4" xfId="25752" xr:uid="{00000000-0005-0000-0000-00009B640000}"/>
    <cellStyle name="Normal 2 38 3 2 5" xfId="25753" xr:uid="{00000000-0005-0000-0000-00009C640000}"/>
    <cellStyle name="Normal 2 38 3 2 6" xfId="25754" xr:uid="{00000000-0005-0000-0000-00009D640000}"/>
    <cellStyle name="Normal 2 38 3 3" xfId="25755" xr:uid="{00000000-0005-0000-0000-00009E640000}"/>
    <cellStyle name="Normal 2 38 3 3 2" xfId="25756" xr:uid="{00000000-0005-0000-0000-00009F640000}"/>
    <cellStyle name="Normal 2 38 3 3 2 2" xfId="25757" xr:uid="{00000000-0005-0000-0000-0000A0640000}"/>
    <cellStyle name="Normal 2 38 3 3 3" xfId="25758" xr:uid="{00000000-0005-0000-0000-0000A1640000}"/>
    <cellStyle name="Normal 2 38 3 3 4" xfId="25759" xr:uid="{00000000-0005-0000-0000-0000A2640000}"/>
    <cellStyle name="Normal 2 38 3 3 5" xfId="25760" xr:uid="{00000000-0005-0000-0000-0000A3640000}"/>
    <cellStyle name="Normal 2 38 3 4" xfId="25761" xr:uid="{00000000-0005-0000-0000-0000A4640000}"/>
    <cellStyle name="Normal 2 38 3 4 2" xfId="25762" xr:uid="{00000000-0005-0000-0000-0000A5640000}"/>
    <cellStyle name="Normal 2 38 3 4 3" xfId="25763" xr:uid="{00000000-0005-0000-0000-0000A6640000}"/>
    <cellStyle name="Normal 2 38 3 4 4" xfId="25764" xr:uid="{00000000-0005-0000-0000-0000A7640000}"/>
    <cellStyle name="Normal 2 38 3 5" xfId="25765" xr:uid="{00000000-0005-0000-0000-0000A8640000}"/>
    <cellStyle name="Normal 2 38 3 5 2" xfId="25766" xr:uid="{00000000-0005-0000-0000-0000A9640000}"/>
    <cellStyle name="Normal 2 38 3 6" xfId="25767" xr:uid="{00000000-0005-0000-0000-0000AA640000}"/>
    <cellStyle name="Normal 2 38 3 7" xfId="25768" xr:uid="{00000000-0005-0000-0000-0000AB640000}"/>
    <cellStyle name="Normal 2 38 3 8" xfId="25769" xr:uid="{00000000-0005-0000-0000-0000AC640000}"/>
    <cellStyle name="Normal 2 38 3 9" xfId="25770" xr:uid="{00000000-0005-0000-0000-0000AD640000}"/>
    <cellStyle name="Normal 2 38 4" xfId="25771" xr:uid="{00000000-0005-0000-0000-0000AE640000}"/>
    <cellStyle name="Normal 2 38 4 2" xfId="25772" xr:uid="{00000000-0005-0000-0000-0000AF640000}"/>
    <cellStyle name="Normal 2 38 4 2 2" xfId="25773" xr:uid="{00000000-0005-0000-0000-0000B0640000}"/>
    <cellStyle name="Normal 2 38 4 2 3" xfId="25774" xr:uid="{00000000-0005-0000-0000-0000B1640000}"/>
    <cellStyle name="Normal 2 38 4 3" xfId="25775" xr:uid="{00000000-0005-0000-0000-0000B2640000}"/>
    <cellStyle name="Normal 2 38 4 4" xfId="25776" xr:uid="{00000000-0005-0000-0000-0000B3640000}"/>
    <cellStyle name="Normal 2 38 4 5" xfId="25777" xr:uid="{00000000-0005-0000-0000-0000B4640000}"/>
    <cellStyle name="Normal 2 38 4 6" xfId="25778" xr:uid="{00000000-0005-0000-0000-0000B5640000}"/>
    <cellStyle name="Normal 2 38 5" xfId="25779" xr:uid="{00000000-0005-0000-0000-0000B6640000}"/>
    <cellStyle name="Normal 2 38 5 2" xfId="25780" xr:uid="{00000000-0005-0000-0000-0000B7640000}"/>
    <cellStyle name="Normal 2 38 5 2 2" xfId="25781" xr:uid="{00000000-0005-0000-0000-0000B8640000}"/>
    <cellStyle name="Normal 2 38 5 3" xfId="25782" xr:uid="{00000000-0005-0000-0000-0000B9640000}"/>
    <cellStyle name="Normal 2 38 5 4" xfId="25783" xr:uid="{00000000-0005-0000-0000-0000BA640000}"/>
    <cellStyle name="Normal 2 38 5 5" xfId="25784" xr:uid="{00000000-0005-0000-0000-0000BB640000}"/>
    <cellStyle name="Normal 2 38 5 6" xfId="25785" xr:uid="{00000000-0005-0000-0000-0000BC640000}"/>
    <cellStyle name="Normal 2 38 6" xfId="25786" xr:uid="{00000000-0005-0000-0000-0000BD640000}"/>
    <cellStyle name="Normal 2 38 6 2" xfId="25787" xr:uid="{00000000-0005-0000-0000-0000BE640000}"/>
    <cellStyle name="Normal 2 38 6 3" xfId="25788" xr:uid="{00000000-0005-0000-0000-0000BF640000}"/>
    <cellStyle name="Normal 2 38 6 4" xfId="25789" xr:uid="{00000000-0005-0000-0000-0000C0640000}"/>
    <cellStyle name="Normal 2 38 6 5" xfId="25790" xr:uid="{00000000-0005-0000-0000-0000C1640000}"/>
    <cellStyle name="Normal 2 38 7" xfId="25791" xr:uid="{00000000-0005-0000-0000-0000C2640000}"/>
    <cellStyle name="Normal 2 38 7 2" xfId="25792" xr:uid="{00000000-0005-0000-0000-0000C3640000}"/>
    <cellStyle name="Normal 2 38 7 3" xfId="25793" xr:uid="{00000000-0005-0000-0000-0000C4640000}"/>
    <cellStyle name="Normal 2 38 8" xfId="25794" xr:uid="{00000000-0005-0000-0000-0000C5640000}"/>
    <cellStyle name="Normal 2 38 9" xfId="25795" xr:uid="{00000000-0005-0000-0000-0000C6640000}"/>
    <cellStyle name="Normal 2 39" xfId="25796" xr:uid="{00000000-0005-0000-0000-0000C7640000}"/>
    <cellStyle name="Normal 2 39 10" xfId="25797" xr:uid="{00000000-0005-0000-0000-0000C8640000}"/>
    <cellStyle name="Normal 2 39 2" xfId="25798" xr:uid="{00000000-0005-0000-0000-0000C9640000}"/>
    <cellStyle name="Normal 2 39 2 2" xfId="25799" xr:uid="{00000000-0005-0000-0000-0000CA640000}"/>
    <cellStyle name="Normal 2 39 2 2 2" xfId="25800" xr:uid="{00000000-0005-0000-0000-0000CB640000}"/>
    <cellStyle name="Normal 2 39 2 2 3" xfId="25801" xr:uid="{00000000-0005-0000-0000-0000CC640000}"/>
    <cellStyle name="Normal 2 39 2 3" xfId="25802" xr:uid="{00000000-0005-0000-0000-0000CD640000}"/>
    <cellStyle name="Normal 2 39 2 4" xfId="25803" xr:uid="{00000000-0005-0000-0000-0000CE640000}"/>
    <cellStyle name="Normal 2 39 2 5" xfId="25804" xr:uid="{00000000-0005-0000-0000-0000CF640000}"/>
    <cellStyle name="Normal 2 39 2 6" xfId="25805" xr:uid="{00000000-0005-0000-0000-0000D0640000}"/>
    <cellStyle name="Normal 2 39 3" xfId="25806" xr:uid="{00000000-0005-0000-0000-0000D1640000}"/>
    <cellStyle name="Normal 2 39 3 2" xfId="25807" xr:uid="{00000000-0005-0000-0000-0000D2640000}"/>
    <cellStyle name="Normal 2 39 3 2 2" xfId="25808" xr:uid="{00000000-0005-0000-0000-0000D3640000}"/>
    <cellStyle name="Normal 2 39 3 2 3" xfId="25809" xr:uid="{00000000-0005-0000-0000-0000D4640000}"/>
    <cellStyle name="Normal 2 39 3 3" xfId="25810" xr:uid="{00000000-0005-0000-0000-0000D5640000}"/>
    <cellStyle name="Normal 2 39 3 4" xfId="25811" xr:uid="{00000000-0005-0000-0000-0000D6640000}"/>
    <cellStyle name="Normal 2 39 3 5" xfId="25812" xr:uid="{00000000-0005-0000-0000-0000D7640000}"/>
    <cellStyle name="Normal 2 39 3 6" xfId="25813" xr:uid="{00000000-0005-0000-0000-0000D8640000}"/>
    <cellStyle name="Normal 2 39 4" xfId="25814" xr:uid="{00000000-0005-0000-0000-0000D9640000}"/>
    <cellStyle name="Normal 2 39 4 2" xfId="25815" xr:uid="{00000000-0005-0000-0000-0000DA640000}"/>
    <cellStyle name="Normal 2 39 4 2 2" xfId="25816" xr:uid="{00000000-0005-0000-0000-0000DB640000}"/>
    <cellStyle name="Normal 2 39 4 3" xfId="25817" xr:uid="{00000000-0005-0000-0000-0000DC640000}"/>
    <cellStyle name="Normal 2 39 4 4" xfId="25818" xr:uid="{00000000-0005-0000-0000-0000DD640000}"/>
    <cellStyle name="Normal 2 39 4 5" xfId="25819" xr:uid="{00000000-0005-0000-0000-0000DE640000}"/>
    <cellStyle name="Normal 2 39 4 6" xfId="25820" xr:uid="{00000000-0005-0000-0000-0000DF640000}"/>
    <cellStyle name="Normal 2 39 5" xfId="25821" xr:uid="{00000000-0005-0000-0000-0000E0640000}"/>
    <cellStyle name="Normal 2 39 5 2" xfId="25822" xr:uid="{00000000-0005-0000-0000-0000E1640000}"/>
    <cellStyle name="Normal 2 39 5 3" xfId="25823" xr:uid="{00000000-0005-0000-0000-0000E2640000}"/>
    <cellStyle name="Normal 2 39 5 4" xfId="25824" xr:uid="{00000000-0005-0000-0000-0000E3640000}"/>
    <cellStyle name="Normal 2 39 5 5" xfId="25825" xr:uid="{00000000-0005-0000-0000-0000E4640000}"/>
    <cellStyle name="Normal 2 39 6" xfId="25826" xr:uid="{00000000-0005-0000-0000-0000E5640000}"/>
    <cellStyle name="Normal 2 39 6 2" xfId="25827" xr:uid="{00000000-0005-0000-0000-0000E6640000}"/>
    <cellStyle name="Normal 2 39 6 3" xfId="25828" xr:uid="{00000000-0005-0000-0000-0000E7640000}"/>
    <cellStyle name="Normal 2 39 7" xfId="25829" xr:uid="{00000000-0005-0000-0000-0000E8640000}"/>
    <cellStyle name="Normal 2 39 7 2" xfId="25830" xr:uid="{00000000-0005-0000-0000-0000E9640000}"/>
    <cellStyle name="Normal 2 39 8" xfId="25831" xr:uid="{00000000-0005-0000-0000-0000EA640000}"/>
    <cellStyle name="Normal 2 39 9" xfId="25832" xr:uid="{00000000-0005-0000-0000-0000EB640000}"/>
    <cellStyle name="Normal 2 4" xfId="25833" xr:uid="{00000000-0005-0000-0000-0000EC640000}"/>
    <cellStyle name="Normal 2 4 2" xfId="25834" xr:uid="{00000000-0005-0000-0000-0000ED640000}"/>
    <cellStyle name="Normal 2 4 2 10" xfId="25835" xr:uid="{00000000-0005-0000-0000-0000EE640000}"/>
    <cellStyle name="Normal 2 4 2 10 10" xfId="25836" xr:uid="{00000000-0005-0000-0000-0000EF640000}"/>
    <cellStyle name="Normal 2 4 2 10 2" xfId="25837" xr:uid="{00000000-0005-0000-0000-0000F0640000}"/>
    <cellStyle name="Normal 2 4 2 10 2 2" xfId="25838" xr:uid="{00000000-0005-0000-0000-0000F1640000}"/>
    <cellStyle name="Normal 2 4 2 10 2 2 2" xfId="25839" xr:uid="{00000000-0005-0000-0000-0000F2640000}"/>
    <cellStyle name="Normal 2 4 2 10 2 2 3" xfId="25840" xr:uid="{00000000-0005-0000-0000-0000F3640000}"/>
    <cellStyle name="Normal 2 4 2 10 2 3" xfId="25841" xr:uid="{00000000-0005-0000-0000-0000F4640000}"/>
    <cellStyle name="Normal 2 4 2 10 2 4" xfId="25842" xr:uid="{00000000-0005-0000-0000-0000F5640000}"/>
    <cellStyle name="Normal 2 4 2 10 2 5" xfId="25843" xr:uid="{00000000-0005-0000-0000-0000F6640000}"/>
    <cellStyle name="Normal 2 4 2 10 2 6" xfId="25844" xr:uid="{00000000-0005-0000-0000-0000F7640000}"/>
    <cellStyle name="Normal 2 4 2 10 3" xfId="25845" xr:uid="{00000000-0005-0000-0000-0000F8640000}"/>
    <cellStyle name="Normal 2 4 2 10 3 2" xfId="25846" xr:uid="{00000000-0005-0000-0000-0000F9640000}"/>
    <cellStyle name="Normal 2 4 2 10 3 2 2" xfId="25847" xr:uid="{00000000-0005-0000-0000-0000FA640000}"/>
    <cellStyle name="Normal 2 4 2 10 3 2 3" xfId="25848" xr:uid="{00000000-0005-0000-0000-0000FB640000}"/>
    <cellStyle name="Normal 2 4 2 10 3 3" xfId="25849" xr:uid="{00000000-0005-0000-0000-0000FC640000}"/>
    <cellStyle name="Normal 2 4 2 10 3 4" xfId="25850" xr:uid="{00000000-0005-0000-0000-0000FD640000}"/>
    <cellStyle name="Normal 2 4 2 10 3 5" xfId="25851" xr:uid="{00000000-0005-0000-0000-0000FE640000}"/>
    <cellStyle name="Normal 2 4 2 10 3 6" xfId="25852" xr:uid="{00000000-0005-0000-0000-0000FF640000}"/>
    <cellStyle name="Normal 2 4 2 10 4" xfId="25853" xr:uid="{00000000-0005-0000-0000-000000650000}"/>
    <cellStyle name="Normal 2 4 2 10 4 2" xfId="25854" xr:uid="{00000000-0005-0000-0000-000001650000}"/>
    <cellStyle name="Normal 2 4 2 10 4 2 2" xfId="25855" xr:uid="{00000000-0005-0000-0000-000002650000}"/>
    <cellStyle name="Normal 2 4 2 10 4 3" xfId="25856" xr:uid="{00000000-0005-0000-0000-000003650000}"/>
    <cellStyle name="Normal 2 4 2 10 4 4" xfId="25857" xr:uid="{00000000-0005-0000-0000-000004650000}"/>
    <cellStyle name="Normal 2 4 2 10 4 5" xfId="25858" xr:uid="{00000000-0005-0000-0000-000005650000}"/>
    <cellStyle name="Normal 2 4 2 10 5" xfId="25859" xr:uid="{00000000-0005-0000-0000-000006650000}"/>
    <cellStyle name="Normal 2 4 2 10 5 2" xfId="25860" xr:uid="{00000000-0005-0000-0000-000007650000}"/>
    <cellStyle name="Normal 2 4 2 10 5 3" xfId="25861" xr:uid="{00000000-0005-0000-0000-000008650000}"/>
    <cellStyle name="Normal 2 4 2 10 5 4" xfId="25862" xr:uid="{00000000-0005-0000-0000-000009650000}"/>
    <cellStyle name="Normal 2 4 2 10 6" xfId="25863" xr:uid="{00000000-0005-0000-0000-00000A650000}"/>
    <cellStyle name="Normal 2 4 2 10 6 2" xfId="25864" xr:uid="{00000000-0005-0000-0000-00000B650000}"/>
    <cellStyle name="Normal 2 4 2 10 7" xfId="25865" xr:uid="{00000000-0005-0000-0000-00000C650000}"/>
    <cellStyle name="Normal 2 4 2 10 8" xfId="25866" xr:uid="{00000000-0005-0000-0000-00000D650000}"/>
    <cellStyle name="Normal 2 4 2 10 9" xfId="25867" xr:uid="{00000000-0005-0000-0000-00000E650000}"/>
    <cellStyle name="Normal 2 4 2 11" xfId="25868" xr:uid="{00000000-0005-0000-0000-00000F650000}"/>
    <cellStyle name="Normal 2 4 2 11 10" xfId="25869" xr:uid="{00000000-0005-0000-0000-000010650000}"/>
    <cellStyle name="Normal 2 4 2 11 2" xfId="25870" xr:uid="{00000000-0005-0000-0000-000011650000}"/>
    <cellStyle name="Normal 2 4 2 11 2 2" xfId="25871" xr:uid="{00000000-0005-0000-0000-000012650000}"/>
    <cellStyle name="Normal 2 4 2 11 2 2 2" xfId="25872" xr:uid="{00000000-0005-0000-0000-000013650000}"/>
    <cellStyle name="Normal 2 4 2 11 2 2 3" xfId="25873" xr:uid="{00000000-0005-0000-0000-000014650000}"/>
    <cellStyle name="Normal 2 4 2 11 2 3" xfId="25874" xr:uid="{00000000-0005-0000-0000-000015650000}"/>
    <cellStyle name="Normal 2 4 2 11 2 4" xfId="25875" xr:uid="{00000000-0005-0000-0000-000016650000}"/>
    <cellStyle name="Normal 2 4 2 11 2 5" xfId="25876" xr:uid="{00000000-0005-0000-0000-000017650000}"/>
    <cellStyle name="Normal 2 4 2 11 2 6" xfId="25877" xr:uid="{00000000-0005-0000-0000-000018650000}"/>
    <cellStyle name="Normal 2 4 2 11 3" xfId="25878" xr:uid="{00000000-0005-0000-0000-000019650000}"/>
    <cellStyle name="Normal 2 4 2 11 3 2" xfId="25879" xr:uid="{00000000-0005-0000-0000-00001A650000}"/>
    <cellStyle name="Normal 2 4 2 11 3 2 2" xfId="25880" xr:uid="{00000000-0005-0000-0000-00001B650000}"/>
    <cellStyle name="Normal 2 4 2 11 3 2 3" xfId="25881" xr:uid="{00000000-0005-0000-0000-00001C650000}"/>
    <cellStyle name="Normal 2 4 2 11 3 3" xfId="25882" xr:uid="{00000000-0005-0000-0000-00001D650000}"/>
    <cellStyle name="Normal 2 4 2 11 3 4" xfId="25883" xr:uid="{00000000-0005-0000-0000-00001E650000}"/>
    <cellStyle name="Normal 2 4 2 11 3 5" xfId="25884" xr:uid="{00000000-0005-0000-0000-00001F650000}"/>
    <cellStyle name="Normal 2 4 2 11 3 6" xfId="25885" xr:uid="{00000000-0005-0000-0000-000020650000}"/>
    <cellStyle name="Normal 2 4 2 11 4" xfId="25886" xr:uid="{00000000-0005-0000-0000-000021650000}"/>
    <cellStyle name="Normal 2 4 2 11 4 2" xfId="25887" xr:uid="{00000000-0005-0000-0000-000022650000}"/>
    <cellStyle name="Normal 2 4 2 11 4 2 2" xfId="25888" xr:uid="{00000000-0005-0000-0000-000023650000}"/>
    <cellStyle name="Normal 2 4 2 11 4 3" xfId="25889" xr:uid="{00000000-0005-0000-0000-000024650000}"/>
    <cellStyle name="Normal 2 4 2 11 4 4" xfId="25890" xr:uid="{00000000-0005-0000-0000-000025650000}"/>
    <cellStyle name="Normal 2 4 2 11 4 5" xfId="25891" xr:uid="{00000000-0005-0000-0000-000026650000}"/>
    <cellStyle name="Normal 2 4 2 11 5" xfId="25892" xr:uid="{00000000-0005-0000-0000-000027650000}"/>
    <cellStyle name="Normal 2 4 2 11 5 2" xfId="25893" xr:uid="{00000000-0005-0000-0000-000028650000}"/>
    <cellStyle name="Normal 2 4 2 11 5 3" xfId="25894" xr:uid="{00000000-0005-0000-0000-000029650000}"/>
    <cellStyle name="Normal 2 4 2 11 5 4" xfId="25895" xr:uid="{00000000-0005-0000-0000-00002A650000}"/>
    <cellStyle name="Normal 2 4 2 11 6" xfId="25896" xr:uid="{00000000-0005-0000-0000-00002B650000}"/>
    <cellStyle name="Normal 2 4 2 11 6 2" xfId="25897" xr:uid="{00000000-0005-0000-0000-00002C650000}"/>
    <cellStyle name="Normal 2 4 2 11 7" xfId="25898" xr:uid="{00000000-0005-0000-0000-00002D650000}"/>
    <cellStyle name="Normal 2 4 2 11 8" xfId="25899" xr:uid="{00000000-0005-0000-0000-00002E650000}"/>
    <cellStyle name="Normal 2 4 2 11 9" xfId="25900" xr:uid="{00000000-0005-0000-0000-00002F650000}"/>
    <cellStyle name="Normal 2 4 2 12" xfId="25901" xr:uid="{00000000-0005-0000-0000-000030650000}"/>
    <cellStyle name="Normal 2 4 2 12 10" xfId="25902" xr:uid="{00000000-0005-0000-0000-000031650000}"/>
    <cellStyle name="Normal 2 4 2 12 2" xfId="25903" xr:uid="{00000000-0005-0000-0000-000032650000}"/>
    <cellStyle name="Normal 2 4 2 12 2 2" xfId="25904" xr:uid="{00000000-0005-0000-0000-000033650000}"/>
    <cellStyle name="Normal 2 4 2 12 2 2 2" xfId="25905" xr:uid="{00000000-0005-0000-0000-000034650000}"/>
    <cellStyle name="Normal 2 4 2 12 2 2 3" xfId="25906" xr:uid="{00000000-0005-0000-0000-000035650000}"/>
    <cellStyle name="Normal 2 4 2 12 2 3" xfId="25907" xr:uid="{00000000-0005-0000-0000-000036650000}"/>
    <cellStyle name="Normal 2 4 2 12 2 4" xfId="25908" xr:uid="{00000000-0005-0000-0000-000037650000}"/>
    <cellStyle name="Normal 2 4 2 12 2 5" xfId="25909" xr:uid="{00000000-0005-0000-0000-000038650000}"/>
    <cellStyle name="Normal 2 4 2 12 2 6" xfId="25910" xr:uid="{00000000-0005-0000-0000-000039650000}"/>
    <cellStyle name="Normal 2 4 2 12 3" xfId="25911" xr:uid="{00000000-0005-0000-0000-00003A650000}"/>
    <cellStyle name="Normal 2 4 2 12 3 2" xfId="25912" xr:uid="{00000000-0005-0000-0000-00003B650000}"/>
    <cellStyle name="Normal 2 4 2 12 3 2 2" xfId="25913" xr:uid="{00000000-0005-0000-0000-00003C650000}"/>
    <cellStyle name="Normal 2 4 2 12 3 2 3" xfId="25914" xr:uid="{00000000-0005-0000-0000-00003D650000}"/>
    <cellStyle name="Normal 2 4 2 12 3 3" xfId="25915" xr:uid="{00000000-0005-0000-0000-00003E650000}"/>
    <cellStyle name="Normal 2 4 2 12 3 4" xfId="25916" xr:uid="{00000000-0005-0000-0000-00003F650000}"/>
    <cellStyle name="Normal 2 4 2 12 3 5" xfId="25917" xr:uid="{00000000-0005-0000-0000-000040650000}"/>
    <cellStyle name="Normal 2 4 2 12 3 6" xfId="25918" xr:uid="{00000000-0005-0000-0000-000041650000}"/>
    <cellStyle name="Normal 2 4 2 12 4" xfId="25919" xr:uid="{00000000-0005-0000-0000-000042650000}"/>
    <cellStyle name="Normal 2 4 2 12 4 2" xfId="25920" xr:uid="{00000000-0005-0000-0000-000043650000}"/>
    <cellStyle name="Normal 2 4 2 12 4 2 2" xfId="25921" xr:uid="{00000000-0005-0000-0000-000044650000}"/>
    <cellStyle name="Normal 2 4 2 12 4 3" xfId="25922" xr:uid="{00000000-0005-0000-0000-000045650000}"/>
    <cellStyle name="Normal 2 4 2 12 4 4" xfId="25923" xr:uid="{00000000-0005-0000-0000-000046650000}"/>
    <cellStyle name="Normal 2 4 2 12 4 5" xfId="25924" xr:uid="{00000000-0005-0000-0000-000047650000}"/>
    <cellStyle name="Normal 2 4 2 12 5" xfId="25925" xr:uid="{00000000-0005-0000-0000-000048650000}"/>
    <cellStyle name="Normal 2 4 2 12 5 2" xfId="25926" xr:uid="{00000000-0005-0000-0000-000049650000}"/>
    <cellStyle name="Normal 2 4 2 12 5 3" xfId="25927" xr:uid="{00000000-0005-0000-0000-00004A650000}"/>
    <cellStyle name="Normal 2 4 2 12 5 4" xfId="25928" xr:uid="{00000000-0005-0000-0000-00004B650000}"/>
    <cellStyle name="Normal 2 4 2 12 6" xfId="25929" xr:uid="{00000000-0005-0000-0000-00004C650000}"/>
    <cellStyle name="Normal 2 4 2 12 6 2" xfId="25930" xr:uid="{00000000-0005-0000-0000-00004D650000}"/>
    <cellStyle name="Normal 2 4 2 12 7" xfId="25931" xr:uid="{00000000-0005-0000-0000-00004E650000}"/>
    <cellStyle name="Normal 2 4 2 12 8" xfId="25932" xr:uid="{00000000-0005-0000-0000-00004F650000}"/>
    <cellStyle name="Normal 2 4 2 12 9" xfId="25933" xr:uid="{00000000-0005-0000-0000-000050650000}"/>
    <cellStyle name="Normal 2 4 2 13" xfId="25934" xr:uid="{00000000-0005-0000-0000-000051650000}"/>
    <cellStyle name="Normal 2 4 2 13 2" xfId="25935" xr:uid="{00000000-0005-0000-0000-000052650000}"/>
    <cellStyle name="Normal 2 4 2 13 2 2" xfId="25936" xr:uid="{00000000-0005-0000-0000-000053650000}"/>
    <cellStyle name="Normal 2 4 2 13 2 2 2" xfId="25937" xr:uid="{00000000-0005-0000-0000-000054650000}"/>
    <cellStyle name="Normal 2 4 2 13 2 2 3" xfId="25938" xr:uid="{00000000-0005-0000-0000-000055650000}"/>
    <cellStyle name="Normal 2 4 2 13 2 3" xfId="25939" xr:uid="{00000000-0005-0000-0000-000056650000}"/>
    <cellStyle name="Normal 2 4 2 13 2 4" xfId="25940" xr:uid="{00000000-0005-0000-0000-000057650000}"/>
    <cellStyle name="Normal 2 4 2 13 2 5" xfId="25941" xr:uid="{00000000-0005-0000-0000-000058650000}"/>
    <cellStyle name="Normal 2 4 2 13 2 6" xfId="25942" xr:uid="{00000000-0005-0000-0000-000059650000}"/>
    <cellStyle name="Normal 2 4 2 13 3" xfId="25943" xr:uid="{00000000-0005-0000-0000-00005A650000}"/>
    <cellStyle name="Normal 2 4 2 13 3 2" xfId="25944" xr:uid="{00000000-0005-0000-0000-00005B650000}"/>
    <cellStyle name="Normal 2 4 2 13 3 2 2" xfId="25945" xr:uid="{00000000-0005-0000-0000-00005C650000}"/>
    <cellStyle name="Normal 2 4 2 13 3 3" xfId="25946" xr:uid="{00000000-0005-0000-0000-00005D650000}"/>
    <cellStyle name="Normal 2 4 2 13 3 4" xfId="25947" xr:uid="{00000000-0005-0000-0000-00005E650000}"/>
    <cellStyle name="Normal 2 4 2 13 3 5" xfId="25948" xr:uid="{00000000-0005-0000-0000-00005F650000}"/>
    <cellStyle name="Normal 2 4 2 13 4" xfId="25949" xr:uid="{00000000-0005-0000-0000-000060650000}"/>
    <cellStyle name="Normal 2 4 2 13 4 2" xfId="25950" xr:uid="{00000000-0005-0000-0000-000061650000}"/>
    <cellStyle name="Normal 2 4 2 13 4 3" xfId="25951" xr:uid="{00000000-0005-0000-0000-000062650000}"/>
    <cellStyle name="Normal 2 4 2 13 4 4" xfId="25952" xr:uid="{00000000-0005-0000-0000-000063650000}"/>
    <cellStyle name="Normal 2 4 2 13 5" xfId="25953" xr:uid="{00000000-0005-0000-0000-000064650000}"/>
    <cellStyle name="Normal 2 4 2 13 5 2" xfId="25954" xr:uid="{00000000-0005-0000-0000-000065650000}"/>
    <cellStyle name="Normal 2 4 2 13 6" xfId="25955" xr:uid="{00000000-0005-0000-0000-000066650000}"/>
    <cellStyle name="Normal 2 4 2 13 7" xfId="25956" xr:uid="{00000000-0005-0000-0000-000067650000}"/>
    <cellStyle name="Normal 2 4 2 13 8" xfId="25957" xr:uid="{00000000-0005-0000-0000-000068650000}"/>
    <cellStyle name="Normal 2 4 2 13 9" xfId="25958" xr:uid="{00000000-0005-0000-0000-000069650000}"/>
    <cellStyle name="Normal 2 4 2 14" xfId="25959" xr:uid="{00000000-0005-0000-0000-00006A650000}"/>
    <cellStyle name="Normal 2 4 2 14 2" xfId="25960" xr:uid="{00000000-0005-0000-0000-00006B650000}"/>
    <cellStyle name="Normal 2 4 2 14 2 2" xfId="25961" xr:uid="{00000000-0005-0000-0000-00006C650000}"/>
    <cellStyle name="Normal 2 4 2 14 2 2 2" xfId="25962" xr:uid="{00000000-0005-0000-0000-00006D650000}"/>
    <cellStyle name="Normal 2 4 2 14 2 2 3" xfId="25963" xr:uid="{00000000-0005-0000-0000-00006E650000}"/>
    <cellStyle name="Normal 2 4 2 14 2 3" xfId="25964" xr:uid="{00000000-0005-0000-0000-00006F650000}"/>
    <cellStyle name="Normal 2 4 2 14 2 4" xfId="25965" xr:uid="{00000000-0005-0000-0000-000070650000}"/>
    <cellStyle name="Normal 2 4 2 14 2 5" xfId="25966" xr:uid="{00000000-0005-0000-0000-000071650000}"/>
    <cellStyle name="Normal 2 4 2 14 2 6" xfId="25967" xr:uid="{00000000-0005-0000-0000-000072650000}"/>
    <cellStyle name="Normal 2 4 2 14 3" xfId="25968" xr:uid="{00000000-0005-0000-0000-000073650000}"/>
    <cellStyle name="Normal 2 4 2 14 3 2" xfId="25969" xr:uid="{00000000-0005-0000-0000-000074650000}"/>
    <cellStyle name="Normal 2 4 2 14 3 2 2" xfId="25970" xr:uid="{00000000-0005-0000-0000-000075650000}"/>
    <cellStyle name="Normal 2 4 2 14 3 3" xfId="25971" xr:uid="{00000000-0005-0000-0000-000076650000}"/>
    <cellStyle name="Normal 2 4 2 14 3 4" xfId="25972" xr:uid="{00000000-0005-0000-0000-000077650000}"/>
    <cellStyle name="Normal 2 4 2 14 3 5" xfId="25973" xr:uid="{00000000-0005-0000-0000-000078650000}"/>
    <cellStyle name="Normal 2 4 2 14 4" xfId="25974" xr:uid="{00000000-0005-0000-0000-000079650000}"/>
    <cellStyle name="Normal 2 4 2 14 4 2" xfId="25975" xr:uid="{00000000-0005-0000-0000-00007A650000}"/>
    <cellStyle name="Normal 2 4 2 14 4 3" xfId="25976" xr:uid="{00000000-0005-0000-0000-00007B650000}"/>
    <cellStyle name="Normal 2 4 2 14 4 4" xfId="25977" xr:uid="{00000000-0005-0000-0000-00007C650000}"/>
    <cellStyle name="Normal 2 4 2 14 5" xfId="25978" xr:uid="{00000000-0005-0000-0000-00007D650000}"/>
    <cellStyle name="Normal 2 4 2 14 5 2" xfId="25979" xr:uid="{00000000-0005-0000-0000-00007E650000}"/>
    <cellStyle name="Normal 2 4 2 14 6" xfId="25980" xr:uid="{00000000-0005-0000-0000-00007F650000}"/>
    <cellStyle name="Normal 2 4 2 14 7" xfId="25981" xr:uid="{00000000-0005-0000-0000-000080650000}"/>
    <cellStyle name="Normal 2 4 2 14 8" xfId="25982" xr:uid="{00000000-0005-0000-0000-000081650000}"/>
    <cellStyle name="Normal 2 4 2 14 9" xfId="25983" xr:uid="{00000000-0005-0000-0000-000082650000}"/>
    <cellStyle name="Normal 2 4 2 15" xfId="25984" xr:uid="{00000000-0005-0000-0000-000083650000}"/>
    <cellStyle name="Normal 2 4 2 15 2" xfId="25985" xr:uid="{00000000-0005-0000-0000-000084650000}"/>
    <cellStyle name="Normal 2 4 2 15 2 2" xfId="25986" xr:uid="{00000000-0005-0000-0000-000085650000}"/>
    <cellStyle name="Normal 2 4 2 15 2 3" xfId="25987" xr:uid="{00000000-0005-0000-0000-000086650000}"/>
    <cellStyle name="Normal 2 4 2 15 3" xfId="25988" xr:uid="{00000000-0005-0000-0000-000087650000}"/>
    <cellStyle name="Normal 2 4 2 15 4" xfId="25989" xr:uid="{00000000-0005-0000-0000-000088650000}"/>
    <cellStyle name="Normal 2 4 2 15 5" xfId="25990" xr:uid="{00000000-0005-0000-0000-000089650000}"/>
    <cellStyle name="Normal 2 4 2 15 6" xfId="25991" xr:uid="{00000000-0005-0000-0000-00008A650000}"/>
    <cellStyle name="Normal 2 4 2 16" xfId="25992" xr:uid="{00000000-0005-0000-0000-00008B650000}"/>
    <cellStyle name="Normal 2 4 2 16 2" xfId="25993" xr:uid="{00000000-0005-0000-0000-00008C650000}"/>
    <cellStyle name="Normal 2 4 2 16 2 2" xfId="25994" xr:uid="{00000000-0005-0000-0000-00008D650000}"/>
    <cellStyle name="Normal 2 4 2 16 3" xfId="25995" xr:uid="{00000000-0005-0000-0000-00008E650000}"/>
    <cellStyle name="Normal 2 4 2 16 4" xfId="25996" xr:uid="{00000000-0005-0000-0000-00008F650000}"/>
    <cellStyle name="Normal 2 4 2 16 5" xfId="25997" xr:uid="{00000000-0005-0000-0000-000090650000}"/>
    <cellStyle name="Normal 2 4 2 17" xfId="25998" xr:uid="{00000000-0005-0000-0000-000091650000}"/>
    <cellStyle name="Normal 2 4 2 17 2" xfId="25999" xr:uid="{00000000-0005-0000-0000-000092650000}"/>
    <cellStyle name="Normal 2 4 2 17 2 2" xfId="26000" xr:uid="{00000000-0005-0000-0000-000093650000}"/>
    <cellStyle name="Normal 2 4 2 17 3" xfId="26001" xr:uid="{00000000-0005-0000-0000-000094650000}"/>
    <cellStyle name="Normal 2 4 2 17 4" xfId="26002" xr:uid="{00000000-0005-0000-0000-000095650000}"/>
    <cellStyle name="Normal 2 4 2 17 5" xfId="26003" xr:uid="{00000000-0005-0000-0000-000096650000}"/>
    <cellStyle name="Normal 2 4 2 18" xfId="26004" xr:uid="{00000000-0005-0000-0000-000097650000}"/>
    <cellStyle name="Normal 2 4 2 18 2" xfId="26005" xr:uid="{00000000-0005-0000-0000-000098650000}"/>
    <cellStyle name="Normal 2 4 2 19" xfId="26006" xr:uid="{00000000-0005-0000-0000-000099650000}"/>
    <cellStyle name="Normal 2 4 2 2" xfId="26007" xr:uid="{00000000-0005-0000-0000-00009A650000}"/>
    <cellStyle name="Normal 2 4 2 2 10" xfId="26008" xr:uid="{00000000-0005-0000-0000-00009B650000}"/>
    <cellStyle name="Normal 2 4 2 2 11" xfId="26009" xr:uid="{00000000-0005-0000-0000-00009C650000}"/>
    <cellStyle name="Normal 2 4 2 2 2" xfId="26010" xr:uid="{00000000-0005-0000-0000-00009D650000}"/>
    <cellStyle name="Normal 2 4 2 2 2 2" xfId="26011" xr:uid="{00000000-0005-0000-0000-00009E650000}"/>
    <cellStyle name="Normal 2 4 2 2 2 2 2" xfId="26012" xr:uid="{00000000-0005-0000-0000-00009F650000}"/>
    <cellStyle name="Normal 2 4 2 2 2 2 2 2" xfId="26013" xr:uid="{00000000-0005-0000-0000-0000A0650000}"/>
    <cellStyle name="Normal 2 4 2 2 2 2 2 3" xfId="26014" xr:uid="{00000000-0005-0000-0000-0000A1650000}"/>
    <cellStyle name="Normal 2 4 2 2 2 2 3" xfId="26015" xr:uid="{00000000-0005-0000-0000-0000A2650000}"/>
    <cellStyle name="Normal 2 4 2 2 2 2 4" xfId="26016" xr:uid="{00000000-0005-0000-0000-0000A3650000}"/>
    <cellStyle name="Normal 2 4 2 2 2 2 5" xfId="26017" xr:uid="{00000000-0005-0000-0000-0000A4650000}"/>
    <cellStyle name="Normal 2 4 2 2 2 2 6" xfId="26018" xr:uid="{00000000-0005-0000-0000-0000A5650000}"/>
    <cellStyle name="Normal 2 4 2 2 2 3" xfId="26019" xr:uid="{00000000-0005-0000-0000-0000A6650000}"/>
    <cellStyle name="Normal 2 4 2 2 2 3 2" xfId="26020" xr:uid="{00000000-0005-0000-0000-0000A7650000}"/>
    <cellStyle name="Normal 2 4 2 2 2 3 2 2" xfId="26021" xr:uid="{00000000-0005-0000-0000-0000A8650000}"/>
    <cellStyle name="Normal 2 4 2 2 2 3 3" xfId="26022" xr:uid="{00000000-0005-0000-0000-0000A9650000}"/>
    <cellStyle name="Normal 2 4 2 2 2 3 4" xfId="26023" xr:uid="{00000000-0005-0000-0000-0000AA650000}"/>
    <cellStyle name="Normal 2 4 2 2 2 3 5" xfId="26024" xr:uid="{00000000-0005-0000-0000-0000AB650000}"/>
    <cellStyle name="Normal 2 4 2 2 2 4" xfId="26025" xr:uid="{00000000-0005-0000-0000-0000AC650000}"/>
    <cellStyle name="Normal 2 4 2 2 2 4 2" xfId="26026" xr:uid="{00000000-0005-0000-0000-0000AD650000}"/>
    <cellStyle name="Normal 2 4 2 2 2 4 3" xfId="26027" xr:uid="{00000000-0005-0000-0000-0000AE650000}"/>
    <cellStyle name="Normal 2 4 2 2 2 4 4" xfId="26028" xr:uid="{00000000-0005-0000-0000-0000AF650000}"/>
    <cellStyle name="Normal 2 4 2 2 2 5" xfId="26029" xr:uid="{00000000-0005-0000-0000-0000B0650000}"/>
    <cellStyle name="Normal 2 4 2 2 2 5 2" xfId="26030" xr:uid="{00000000-0005-0000-0000-0000B1650000}"/>
    <cellStyle name="Normal 2 4 2 2 2 6" xfId="26031" xr:uid="{00000000-0005-0000-0000-0000B2650000}"/>
    <cellStyle name="Normal 2 4 2 2 2 7" xfId="26032" xr:uid="{00000000-0005-0000-0000-0000B3650000}"/>
    <cellStyle name="Normal 2 4 2 2 2 8" xfId="26033" xr:uid="{00000000-0005-0000-0000-0000B4650000}"/>
    <cellStyle name="Normal 2 4 2 2 2 9" xfId="26034" xr:uid="{00000000-0005-0000-0000-0000B5650000}"/>
    <cellStyle name="Normal 2 4 2 2 3" xfId="26035" xr:uid="{00000000-0005-0000-0000-0000B6650000}"/>
    <cellStyle name="Normal 2 4 2 2 3 2" xfId="26036" xr:uid="{00000000-0005-0000-0000-0000B7650000}"/>
    <cellStyle name="Normal 2 4 2 2 3 2 2" xfId="26037" xr:uid="{00000000-0005-0000-0000-0000B8650000}"/>
    <cellStyle name="Normal 2 4 2 2 3 2 2 2" xfId="26038" xr:uid="{00000000-0005-0000-0000-0000B9650000}"/>
    <cellStyle name="Normal 2 4 2 2 3 2 2 3" xfId="26039" xr:uid="{00000000-0005-0000-0000-0000BA650000}"/>
    <cellStyle name="Normal 2 4 2 2 3 2 3" xfId="26040" xr:uid="{00000000-0005-0000-0000-0000BB650000}"/>
    <cellStyle name="Normal 2 4 2 2 3 2 4" xfId="26041" xr:uid="{00000000-0005-0000-0000-0000BC650000}"/>
    <cellStyle name="Normal 2 4 2 2 3 2 5" xfId="26042" xr:uid="{00000000-0005-0000-0000-0000BD650000}"/>
    <cellStyle name="Normal 2 4 2 2 3 2 6" xfId="26043" xr:uid="{00000000-0005-0000-0000-0000BE650000}"/>
    <cellStyle name="Normal 2 4 2 2 3 3" xfId="26044" xr:uid="{00000000-0005-0000-0000-0000BF650000}"/>
    <cellStyle name="Normal 2 4 2 2 3 3 2" xfId="26045" xr:uid="{00000000-0005-0000-0000-0000C0650000}"/>
    <cellStyle name="Normal 2 4 2 2 3 3 2 2" xfId="26046" xr:uid="{00000000-0005-0000-0000-0000C1650000}"/>
    <cellStyle name="Normal 2 4 2 2 3 3 3" xfId="26047" xr:uid="{00000000-0005-0000-0000-0000C2650000}"/>
    <cellStyle name="Normal 2 4 2 2 3 3 4" xfId="26048" xr:uid="{00000000-0005-0000-0000-0000C3650000}"/>
    <cellStyle name="Normal 2 4 2 2 3 3 5" xfId="26049" xr:uid="{00000000-0005-0000-0000-0000C4650000}"/>
    <cellStyle name="Normal 2 4 2 2 3 4" xfId="26050" xr:uid="{00000000-0005-0000-0000-0000C5650000}"/>
    <cellStyle name="Normal 2 4 2 2 3 4 2" xfId="26051" xr:uid="{00000000-0005-0000-0000-0000C6650000}"/>
    <cellStyle name="Normal 2 4 2 2 3 4 3" xfId="26052" xr:uid="{00000000-0005-0000-0000-0000C7650000}"/>
    <cellStyle name="Normal 2 4 2 2 3 4 4" xfId="26053" xr:uid="{00000000-0005-0000-0000-0000C8650000}"/>
    <cellStyle name="Normal 2 4 2 2 3 5" xfId="26054" xr:uid="{00000000-0005-0000-0000-0000C9650000}"/>
    <cellStyle name="Normal 2 4 2 2 3 5 2" xfId="26055" xr:uid="{00000000-0005-0000-0000-0000CA650000}"/>
    <cellStyle name="Normal 2 4 2 2 3 6" xfId="26056" xr:uid="{00000000-0005-0000-0000-0000CB650000}"/>
    <cellStyle name="Normal 2 4 2 2 3 7" xfId="26057" xr:uid="{00000000-0005-0000-0000-0000CC650000}"/>
    <cellStyle name="Normal 2 4 2 2 3 8" xfId="26058" xr:uid="{00000000-0005-0000-0000-0000CD650000}"/>
    <cellStyle name="Normal 2 4 2 2 3 9" xfId="26059" xr:uid="{00000000-0005-0000-0000-0000CE650000}"/>
    <cellStyle name="Normal 2 4 2 2 4" xfId="26060" xr:uid="{00000000-0005-0000-0000-0000CF650000}"/>
    <cellStyle name="Normal 2 4 2 2 4 2" xfId="26061" xr:uid="{00000000-0005-0000-0000-0000D0650000}"/>
    <cellStyle name="Normal 2 4 2 2 4 2 2" xfId="26062" xr:uid="{00000000-0005-0000-0000-0000D1650000}"/>
    <cellStyle name="Normal 2 4 2 2 4 2 3" xfId="26063" xr:uid="{00000000-0005-0000-0000-0000D2650000}"/>
    <cellStyle name="Normal 2 4 2 2 4 3" xfId="26064" xr:uid="{00000000-0005-0000-0000-0000D3650000}"/>
    <cellStyle name="Normal 2 4 2 2 4 4" xfId="26065" xr:uid="{00000000-0005-0000-0000-0000D4650000}"/>
    <cellStyle name="Normal 2 4 2 2 4 5" xfId="26066" xr:uid="{00000000-0005-0000-0000-0000D5650000}"/>
    <cellStyle name="Normal 2 4 2 2 4 6" xfId="26067" xr:uid="{00000000-0005-0000-0000-0000D6650000}"/>
    <cellStyle name="Normal 2 4 2 2 5" xfId="26068" xr:uid="{00000000-0005-0000-0000-0000D7650000}"/>
    <cellStyle name="Normal 2 4 2 2 5 2" xfId="26069" xr:uid="{00000000-0005-0000-0000-0000D8650000}"/>
    <cellStyle name="Normal 2 4 2 2 5 2 2" xfId="26070" xr:uid="{00000000-0005-0000-0000-0000D9650000}"/>
    <cellStyle name="Normal 2 4 2 2 5 3" xfId="26071" xr:uid="{00000000-0005-0000-0000-0000DA650000}"/>
    <cellStyle name="Normal 2 4 2 2 5 4" xfId="26072" xr:uid="{00000000-0005-0000-0000-0000DB650000}"/>
    <cellStyle name="Normal 2 4 2 2 5 5" xfId="26073" xr:uid="{00000000-0005-0000-0000-0000DC650000}"/>
    <cellStyle name="Normal 2 4 2 2 6" xfId="26074" xr:uid="{00000000-0005-0000-0000-0000DD650000}"/>
    <cellStyle name="Normal 2 4 2 2 6 2" xfId="26075" xr:uid="{00000000-0005-0000-0000-0000DE650000}"/>
    <cellStyle name="Normal 2 4 2 2 6 3" xfId="26076" xr:uid="{00000000-0005-0000-0000-0000DF650000}"/>
    <cellStyle name="Normal 2 4 2 2 6 4" xfId="26077" xr:uid="{00000000-0005-0000-0000-0000E0650000}"/>
    <cellStyle name="Normal 2 4 2 2 7" xfId="26078" xr:uid="{00000000-0005-0000-0000-0000E1650000}"/>
    <cellStyle name="Normal 2 4 2 2 7 2" xfId="26079" xr:uid="{00000000-0005-0000-0000-0000E2650000}"/>
    <cellStyle name="Normal 2 4 2 2 8" xfId="26080" xr:uid="{00000000-0005-0000-0000-0000E3650000}"/>
    <cellStyle name="Normal 2 4 2 2 9" xfId="26081" xr:uid="{00000000-0005-0000-0000-0000E4650000}"/>
    <cellStyle name="Normal 2 4 2 20" xfId="26082" xr:uid="{00000000-0005-0000-0000-0000E5650000}"/>
    <cellStyle name="Normal 2 4 2 21" xfId="26083" xr:uid="{00000000-0005-0000-0000-0000E6650000}"/>
    <cellStyle name="Normal 2 4 2 22" xfId="26084" xr:uid="{00000000-0005-0000-0000-0000E7650000}"/>
    <cellStyle name="Normal 2 4 2 3" xfId="26085" xr:uid="{00000000-0005-0000-0000-0000E8650000}"/>
    <cellStyle name="Normal 2 4 2 3 10" xfId="26086" xr:uid="{00000000-0005-0000-0000-0000E9650000}"/>
    <cellStyle name="Normal 2 4 2 3 11" xfId="26087" xr:uid="{00000000-0005-0000-0000-0000EA650000}"/>
    <cellStyle name="Normal 2 4 2 3 2" xfId="26088" xr:uid="{00000000-0005-0000-0000-0000EB650000}"/>
    <cellStyle name="Normal 2 4 2 3 2 2" xfId="26089" xr:uid="{00000000-0005-0000-0000-0000EC650000}"/>
    <cellStyle name="Normal 2 4 2 3 2 2 2" xfId="26090" xr:uid="{00000000-0005-0000-0000-0000ED650000}"/>
    <cellStyle name="Normal 2 4 2 3 2 2 2 2" xfId="26091" xr:uid="{00000000-0005-0000-0000-0000EE650000}"/>
    <cellStyle name="Normal 2 4 2 3 2 2 2 3" xfId="26092" xr:uid="{00000000-0005-0000-0000-0000EF650000}"/>
    <cellStyle name="Normal 2 4 2 3 2 2 3" xfId="26093" xr:uid="{00000000-0005-0000-0000-0000F0650000}"/>
    <cellStyle name="Normal 2 4 2 3 2 2 4" xfId="26094" xr:uid="{00000000-0005-0000-0000-0000F1650000}"/>
    <cellStyle name="Normal 2 4 2 3 2 2 5" xfId="26095" xr:uid="{00000000-0005-0000-0000-0000F2650000}"/>
    <cellStyle name="Normal 2 4 2 3 2 2 6" xfId="26096" xr:uid="{00000000-0005-0000-0000-0000F3650000}"/>
    <cellStyle name="Normal 2 4 2 3 2 3" xfId="26097" xr:uid="{00000000-0005-0000-0000-0000F4650000}"/>
    <cellStyle name="Normal 2 4 2 3 2 3 2" xfId="26098" xr:uid="{00000000-0005-0000-0000-0000F5650000}"/>
    <cellStyle name="Normal 2 4 2 3 2 3 2 2" xfId="26099" xr:uid="{00000000-0005-0000-0000-0000F6650000}"/>
    <cellStyle name="Normal 2 4 2 3 2 3 3" xfId="26100" xr:uid="{00000000-0005-0000-0000-0000F7650000}"/>
    <cellStyle name="Normal 2 4 2 3 2 3 4" xfId="26101" xr:uid="{00000000-0005-0000-0000-0000F8650000}"/>
    <cellStyle name="Normal 2 4 2 3 2 3 5" xfId="26102" xr:uid="{00000000-0005-0000-0000-0000F9650000}"/>
    <cellStyle name="Normal 2 4 2 3 2 4" xfId="26103" xr:uid="{00000000-0005-0000-0000-0000FA650000}"/>
    <cellStyle name="Normal 2 4 2 3 2 4 2" xfId="26104" xr:uid="{00000000-0005-0000-0000-0000FB650000}"/>
    <cellStyle name="Normal 2 4 2 3 2 4 3" xfId="26105" xr:uid="{00000000-0005-0000-0000-0000FC650000}"/>
    <cellStyle name="Normal 2 4 2 3 2 4 4" xfId="26106" xr:uid="{00000000-0005-0000-0000-0000FD650000}"/>
    <cellStyle name="Normal 2 4 2 3 2 5" xfId="26107" xr:uid="{00000000-0005-0000-0000-0000FE650000}"/>
    <cellStyle name="Normal 2 4 2 3 2 5 2" xfId="26108" xr:uid="{00000000-0005-0000-0000-0000FF650000}"/>
    <cellStyle name="Normal 2 4 2 3 2 6" xfId="26109" xr:uid="{00000000-0005-0000-0000-000000660000}"/>
    <cellStyle name="Normal 2 4 2 3 2 7" xfId="26110" xr:uid="{00000000-0005-0000-0000-000001660000}"/>
    <cellStyle name="Normal 2 4 2 3 2 8" xfId="26111" xr:uid="{00000000-0005-0000-0000-000002660000}"/>
    <cellStyle name="Normal 2 4 2 3 2 9" xfId="26112" xr:uid="{00000000-0005-0000-0000-000003660000}"/>
    <cellStyle name="Normal 2 4 2 3 3" xfId="26113" xr:uid="{00000000-0005-0000-0000-000004660000}"/>
    <cellStyle name="Normal 2 4 2 3 3 2" xfId="26114" xr:uid="{00000000-0005-0000-0000-000005660000}"/>
    <cellStyle name="Normal 2 4 2 3 3 2 2" xfId="26115" xr:uid="{00000000-0005-0000-0000-000006660000}"/>
    <cellStyle name="Normal 2 4 2 3 3 2 2 2" xfId="26116" xr:uid="{00000000-0005-0000-0000-000007660000}"/>
    <cellStyle name="Normal 2 4 2 3 3 2 2 3" xfId="26117" xr:uid="{00000000-0005-0000-0000-000008660000}"/>
    <cellStyle name="Normal 2 4 2 3 3 2 3" xfId="26118" xr:uid="{00000000-0005-0000-0000-000009660000}"/>
    <cellStyle name="Normal 2 4 2 3 3 2 4" xfId="26119" xr:uid="{00000000-0005-0000-0000-00000A660000}"/>
    <cellStyle name="Normal 2 4 2 3 3 2 5" xfId="26120" xr:uid="{00000000-0005-0000-0000-00000B660000}"/>
    <cellStyle name="Normal 2 4 2 3 3 2 6" xfId="26121" xr:uid="{00000000-0005-0000-0000-00000C660000}"/>
    <cellStyle name="Normal 2 4 2 3 3 3" xfId="26122" xr:uid="{00000000-0005-0000-0000-00000D660000}"/>
    <cellStyle name="Normal 2 4 2 3 3 3 2" xfId="26123" xr:uid="{00000000-0005-0000-0000-00000E660000}"/>
    <cellStyle name="Normal 2 4 2 3 3 3 2 2" xfId="26124" xr:uid="{00000000-0005-0000-0000-00000F660000}"/>
    <cellStyle name="Normal 2 4 2 3 3 3 3" xfId="26125" xr:uid="{00000000-0005-0000-0000-000010660000}"/>
    <cellStyle name="Normal 2 4 2 3 3 3 4" xfId="26126" xr:uid="{00000000-0005-0000-0000-000011660000}"/>
    <cellStyle name="Normal 2 4 2 3 3 3 5" xfId="26127" xr:uid="{00000000-0005-0000-0000-000012660000}"/>
    <cellStyle name="Normal 2 4 2 3 3 4" xfId="26128" xr:uid="{00000000-0005-0000-0000-000013660000}"/>
    <cellStyle name="Normal 2 4 2 3 3 4 2" xfId="26129" xr:uid="{00000000-0005-0000-0000-000014660000}"/>
    <cellStyle name="Normal 2 4 2 3 3 4 3" xfId="26130" xr:uid="{00000000-0005-0000-0000-000015660000}"/>
    <cellStyle name="Normal 2 4 2 3 3 4 4" xfId="26131" xr:uid="{00000000-0005-0000-0000-000016660000}"/>
    <cellStyle name="Normal 2 4 2 3 3 5" xfId="26132" xr:uid="{00000000-0005-0000-0000-000017660000}"/>
    <cellStyle name="Normal 2 4 2 3 3 5 2" xfId="26133" xr:uid="{00000000-0005-0000-0000-000018660000}"/>
    <cellStyle name="Normal 2 4 2 3 3 6" xfId="26134" xr:uid="{00000000-0005-0000-0000-000019660000}"/>
    <cellStyle name="Normal 2 4 2 3 3 7" xfId="26135" xr:uid="{00000000-0005-0000-0000-00001A660000}"/>
    <cellStyle name="Normal 2 4 2 3 3 8" xfId="26136" xr:uid="{00000000-0005-0000-0000-00001B660000}"/>
    <cellStyle name="Normal 2 4 2 3 3 9" xfId="26137" xr:uid="{00000000-0005-0000-0000-00001C660000}"/>
    <cellStyle name="Normal 2 4 2 3 4" xfId="26138" xr:uid="{00000000-0005-0000-0000-00001D660000}"/>
    <cellStyle name="Normal 2 4 2 3 4 2" xfId="26139" xr:uid="{00000000-0005-0000-0000-00001E660000}"/>
    <cellStyle name="Normal 2 4 2 3 4 2 2" xfId="26140" xr:uid="{00000000-0005-0000-0000-00001F660000}"/>
    <cellStyle name="Normal 2 4 2 3 4 2 3" xfId="26141" xr:uid="{00000000-0005-0000-0000-000020660000}"/>
    <cellStyle name="Normal 2 4 2 3 4 3" xfId="26142" xr:uid="{00000000-0005-0000-0000-000021660000}"/>
    <cellStyle name="Normal 2 4 2 3 4 4" xfId="26143" xr:uid="{00000000-0005-0000-0000-000022660000}"/>
    <cellStyle name="Normal 2 4 2 3 4 5" xfId="26144" xr:uid="{00000000-0005-0000-0000-000023660000}"/>
    <cellStyle name="Normal 2 4 2 3 4 6" xfId="26145" xr:uid="{00000000-0005-0000-0000-000024660000}"/>
    <cellStyle name="Normal 2 4 2 3 5" xfId="26146" xr:uid="{00000000-0005-0000-0000-000025660000}"/>
    <cellStyle name="Normal 2 4 2 3 5 2" xfId="26147" xr:uid="{00000000-0005-0000-0000-000026660000}"/>
    <cellStyle name="Normal 2 4 2 3 5 2 2" xfId="26148" xr:uid="{00000000-0005-0000-0000-000027660000}"/>
    <cellStyle name="Normal 2 4 2 3 5 3" xfId="26149" xr:uid="{00000000-0005-0000-0000-000028660000}"/>
    <cellStyle name="Normal 2 4 2 3 5 4" xfId="26150" xr:uid="{00000000-0005-0000-0000-000029660000}"/>
    <cellStyle name="Normal 2 4 2 3 5 5" xfId="26151" xr:uid="{00000000-0005-0000-0000-00002A660000}"/>
    <cellStyle name="Normal 2 4 2 3 6" xfId="26152" xr:uid="{00000000-0005-0000-0000-00002B660000}"/>
    <cellStyle name="Normal 2 4 2 3 6 2" xfId="26153" xr:uid="{00000000-0005-0000-0000-00002C660000}"/>
    <cellStyle name="Normal 2 4 2 3 6 3" xfId="26154" xr:uid="{00000000-0005-0000-0000-00002D660000}"/>
    <cellStyle name="Normal 2 4 2 3 6 4" xfId="26155" xr:uid="{00000000-0005-0000-0000-00002E660000}"/>
    <cellStyle name="Normal 2 4 2 3 7" xfId="26156" xr:uid="{00000000-0005-0000-0000-00002F660000}"/>
    <cellStyle name="Normal 2 4 2 3 7 2" xfId="26157" xr:uid="{00000000-0005-0000-0000-000030660000}"/>
    <cellStyle name="Normal 2 4 2 3 8" xfId="26158" xr:uid="{00000000-0005-0000-0000-000031660000}"/>
    <cellStyle name="Normal 2 4 2 3 9" xfId="26159" xr:uid="{00000000-0005-0000-0000-000032660000}"/>
    <cellStyle name="Normal 2 4 2 4" xfId="26160" xr:uid="{00000000-0005-0000-0000-000033660000}"/>
    <cellStyle name="Normal 2 4 2 4 10" xfId="26161" xr:uid="{00000000-0005-0000-0000-000034660000}"/>
    <cellStyle name="Normal 2 4 2 4 11" xfId="26162" xr:uid="{00000000-0005-0000-0000-000035660000}"/>
    <cellStyle name="Normal 2 4 2 4 2" xfId="26163" xr:uid="{00000000-0005-0000-0000-000036660000}"/>
    <cellStyle name="Normal 2 4 2 4 2 2" xfId="26164" xr:uid="{00000000-0005-0000-0000-000037660000}"/>
    <cellStyle name="Normal 2 4 2 4 2 2 2" xfId="26165" xr:uid="{00000000-0005-0000-0000-000038660000}"/>
    <cellStyle name="Normal 2 4 2 4 2 2 2 2" xfId="26166" xr:uid="{00000000-0005-0000-0000-000039660000}"/>
    <cellStyle name="Normal 2 4 2 4 2 2 2 3" xfId="26167" xr:uid="{00000000-0005-0000-0000-00003A660000}"/>
    <cellStyle name="Normal 2 4 2 4 2 2 3" xfId="26168" xr:uid="{00000000-0005-0000-0000-00003B660000}"/>
    <cellStyle name="Normal 2 4 2 4 2 2 4" xfId="26169" xr:uid="{00000000-0005-0000-0000-00003C660000}"/>
    <cellStyle name="Normal 2 4 2 4 2 2 5" xfId="26170" xr:uid="{00000000-0005-0000-0000-00003D660000}"/>
    <cellStyle name="Normal 2 4 2 4 2 2 6" xfId="26171" xr:uid="{00000000-0005-0000-0000-00003E660000}"/>
    <cellStyle name="Normal 2 4 2 4 2 3" xfId="26172" xr:uid="{00000000-0005-0000-0000-00003F660000}"/>
    <cellStyle name="Normal 2 4 2 4 2 3 2" xfId="26173" xr:uid="{00000000-0005-0000-0000-000040660000}"/>
    <cellStyle name="Normal 2 4 2 4 2 3 2 2" xfId="26174" xr:uid="{00000000-0005-0000-0000-000041660000}"/>
    <cellStyle name="Normal 2 4 2 4 2 3 3" xfId="26175" xr:uid="{00000000-0005-0000-0000-000042660000}"/>
    <cellStyle name="Normal 2 4 2 4 2 3 4" xfId="26176" xr:uid="{00000000-0005-0000-0000-000043660000}"/>
    <cellStyle name="Normal 2 4 2 4 2 3 5" xfId="26177" xr:uid="{00000000-0005-0000-0000-000044660000}"/>
    <cellStyle name="Normal 2 4 2 4 2 4" xfId="26178" xr:uid="{00000000-0005-0000-0000-000045660000}"/>
    <cellStyle name="Normal 2 4 2 4 2 4 2" xfId="26179" xr:uid="{00000000-0005-0000-0000-000046660000}"/>
    <cellStyle name="Normal 2 4 2 4 2 4 3" xfId="26180" xr:uid="{00000000-0005-0000-0000-000047660000}"/>
    <cellStyle name="Normal 2 4 2 4 2 4 4" xfId="26181" xr:uid="{00000000-0005-0000-0000-000048660000}"/>
    <cellStyle name="Normal 2 4 2 4 2 5" xfId="26182" xr:uid="{00000000-0005-0000-0000-000049660000}"/>
    <cellStyle name="Normal 2 4 2 4 2 5 2" xfId="26183" xr:uid="{00000000-0005-0000-0000-00004A660000}"/>
    <cellStyle name="Normal 2 4 2 4 2 6" xfId="26184" xr:uid="{00000000-0005-0000-0000-00004B660000}"/>
    <cellStyle name="Normal 2 4 2 4 2 7" xfId="26185" xr:uid="{00000000-0005-0000-0000-00004C660000}"/>
    <cellStyle name="Normal 2 4 2 4 2 8" xfId="26186" xr:uid="{00000000-0005-0000-0000-00004D660000}"/>
    <cellStyle name="Normal 2 4 2 4 2 9" xfId="26187" xr:uid="{00000000-0005-0000-0000-00004E660000}"/>
    <cellStyle name="Normal 2 4 2 4 3" xfId="26188" xr:uid="{00000000-0005-0000-0000-00004F660000}"/>
    <cellStyle name="Normal 2 4 2 4 3 2" xfId="26189" xr:uid="{00000000-0005-0000-0000-000050660000}"/>
    <cellStyle name="Normal 2 4 2 4 3 2 2" xfId="26190" xr:uid="{00000000-0005-0000-0000-000051660000}"/>
    <cellStyle name="Normal 2 4 2 4 3 2 2 2" xfId="26191" xr:uid="{00000000-0005-0000-0000-000052660000}"/>
    <cellStyle name="Normal 2 4 2 4 3 2 2 3" xfId="26192" xr:uid="{00000000-0005-0000-0000-000053660000}"/>
    <cellStyle name="Normal 2 4 2 4 3 2 3" xfId="26193" xr:uid="{00000000-0005-0000-0000-000054660000}"/>
    <cellStyle name="Normal 2 4 2 4 3 2 4" xfId="26194" xr:uid="{00000000-0005-0000-0000-000055660000}"/>
    <cellStyle name="Normal 2 4 2 4 3 2 5" xfId="26195" xr:uid="{00000000-0005-0000-0000-000056660000}"/>
    <cellStyle name="Normal 2 4 2 4 3 2 6" xfId="26196" xr:uid="{00000000-0005-0000-0000-000057660000}"/>
    <cellStyle name="Normal 2 4 2 4 3 3" xfId="26197" xr:uid="{00000000-0005-0000-0000-000058660000}"/>
    <cellStyle name="Normal 2 4 2 4 3 3 2" xfId="26198" xr:uid="{00000000-0005-0000-0000-000059660000}"/>
    <cellStyle name="Normal 2 4 2 4 3 3 2 2" xfId="26199" xr:uid="{00000000-0005-0000-0000-00005A660000}"/>
    <cellStyle name="Normal 2 4 2 4 3 3 3" xfId="26200" xr:uid="{00000000-0005-0000-0000-00005B660000}"/>
    <cellStyle name="Normal 2 4 2 4 3 3 4" xfId="26201" xr:uid="{00000000-0005-0000-0000-00005C660000}"/>
    <cellStyle name="Normal 2 4 2 4 3 3 5" xfId="26202" xr:uid="{00000000-0005-0000-0000-00005D660000}"/>
    <cellStyle name="Normal 2 4 2 4 3 4" xfId="26203" xr:uid="{00000000-0005-0000-0000-00005E660000}"/>
    <cellStyle name="Normal 2 4 2 4 3 4 2" xfId="26204" xr:uid="{00000000-0005-0000-0000-00005F660000}"/>
    <cellStyle name="Normal 2 4 2 4 3 4 3" xfId="26205" xr:uid="{00000000-0005-0000-0000-000060660000}"/>
    <cellStyle name="Normal 2 4 2 4 3 4 4" xfId="26206" xr:uid="{00000000-0005-0000-0000-000061660000}"/>
    <cellStyle name="Normal 2 4 2 4 3 5" xfId="26207" xr:uid="{00000000-0005-0000-0000-000062660000}"/>
    <cellStyle name="Normal 2 4 2 4 3 5 2" xfId="26208" xr:uid="{00000000-0005-0000-0000-000063660000}"/>
    <cellStyle name="Normal 2 4 2 4 3 6" xfId="26209" xr:uid="{00000000-0005-0000-0000-000064660000}"/>
    <cellStyle name="Normal 2 4 2 4 3 7" xfId="26210" xr:uid="{00000000-0005-0000-0000-000065660000}"/>
    <cellStyle name="Normal 2 4 2 4 3 8" xfId="26211" xr:uid="{00000000-0005-0000-0000-000066660000}"/>
    <cellStyle name="Normal 2 4 2 4 3 9" xfId="26212" xr:uid="{00000000-0005-0000-0000-000067660000}"/>
    <cellStyle name="Normal 2 4 2 4 4" xfId="26213" xr:uid="{00000000-0005-0000-0000-000068660000}"/>
    <cellStyle name="Normal 2 4 2 4 4 2" xfId="26214" xr:uid="{00000000-0005-0000-0000-000069660000}"/>
    <cellStyle name="Normal 2 4 2 4 4 2 2" xfId="26215" xr:uid="{00000000-0005-0000-0000-00006A660000}"/>
    <cellStyle name="Normal 2 4 2 4 4 2 3" xfId="26216" xr:uid="{00000000-0005-0000-0000-00006B660000}"/>
    <cellStyle name="Normal 2 4 2 4 4 3" xfId="26217" xr:uid="{00000000-0005-0000-0000-00006C660000}"/>
    <cellStyle name="Normal 2 4 2 4 4 4" xfId="26218" xr:uid="{00000000-0005-0000-0000-00006D660000}"/>
    <cellStyle name="Normal 2 4 2 4 4 5" xfId="26219" xr:uid="{00000000-0005-0000-0000-00006E660000}"/>
    <cellStyle name="Normal 2 4 2 4 4 6" xfId="26220" xr:uid="{00000000-0005-0000-0000-00006F660000}"/>
    <cellStyle name="Normal 2 4 2 4 5" xfId="26221" xr:uid="{00000000-0005-0000-0000-000070660000}"/>
    <cellStyle name="Normal 2 4 2 4 5 2" xfId="26222" xr:uid="{00000000-0005-0000-0000-000071660000}"/>
    <cellStyle name="Normal 2 4 2 4 5 2 2" xfId="26223" xr:uid="{00000000-0005-0000-0000-000072660000}"/>
    <cellStyle name="Normal 2 4 2 4 5 3" xfId="26224" xr:uid="{00000000-0005-0000-0000-000073660000}"/>
    <cellStyle name="Normal 2 4 2 4 5 4" xfId="26225" xr:uid="{00000000-0005-0000-0000-000074660000}"/>
    <cellStyle name="Normal 2 4 2 4 5 5" xfId="26226" xr:uid="{00000000-0005-0000-0000-000075660000}"/>
    <cellStyle name="Normal 2 4 2 4 6" xfId="26227" xr:uid="{00000000-0005-0000-0000-000076660000}"/>
    <cellStyle name="Normal 2 4 2 4 6 2" xfId="26228" xr:uid="{00000000-0005-0000-0000-000077660000}"/>
    <cellStyle name="Normal 2 4 2 4 6 3" xfId="26229" xr:uid="{00000000-0005-0000-0000-000078660000}"/>
    <cellStyle name="Normal 2 4 2 4 6 4" xfId="26230" xr:uid="{00000000-0005-0000-0000-000079660000}"/>
    <cellStyle name="Normal 2 4 2 4 7" xfId="26231" xr:uid="{00000000-0005-0000-0000-00007A660000}"/>
    <cellStyle name="Normal 2 4 2 4 7 2" xfId="26232" xr:uid="{00000000-0005-0000-0000-00007B660000}"/>
    <cellStyle name="Normal 2 4 2 4 8" xfId="26233" xr:uid="{00000000-0005-0000-0000-00007C660000}"/>
    <cellStyle name="Normal 2 4 2 4 9" xfId="26234" xr:uid="{00000000-0005-0000-0000-00007D660000}"/>
    <cellStyle name="Normal 2 4 2 5" xfId="26235" xr:uid="{00000000-0005-0000-0000-00007E660000}"/>
    <cellStyle name="Normal 2 4 2 5 10" xfId="26236" xr:uid="{00000000-0005-0000-0000-00007F660000}"/>
    <cellStyle name="Normal 2 4 2 5 11" xfId="26237" xr:uid="{00000000-0005-0000-0000-000080660000}"/>
    <cellStyle name="Normal 2 4 2 5 2" xfId="26238" xr:uid="{00000000-0005-0000-0000-000081660000}"/>
    <cellStyle name="Normal 2 4 2 5 2 2" xfId="26239" xr:uid="{00000000-0005-0000-0000-000082660000}"/>
    <cellStyle name="Normal 2 4 2 5 2 2 2" xfId="26240" xr:uid="{00000000-0005-0000-0000-000083660000}"/>
    <cellStyle name="Normal 2 4 2 5 2 2 2 2" xfId="26241" xr:uid="{00000000-0005-0000-0000-000084660000}"/>
    <cellStyle name="Normal 2 4 2 5 2 2 2 3" xfId="26242" xr:uid="{00000000-0005-0000-0000-000085660000}"/>
    <cellStyle name="Normal 2 4 2 5 2 2 3" xfId="26243" xr:uid="{00000000-0005-0000-0000-000086660000}"/>
    <cellStyle name="Normal 2 4 2 5 2 2 4" xfId="26244" xr:uid="{00000000-0005-0000-0000-000087660000}"/>
    <cellStyle name="Normal 2 4 2 5 2 2 5" xfId="26245" xr:uid="{00000000-0005-0000-0000-000088660000}"/>
    <cellStyle name="Normal 2 4 2 5 2 2 6" xfId="26246" xr:uid="{00000000-0005-0000-0000-000089660000}"/>
    <cellStyle name="Normal 2 4 2 5 2 3" xfId="26247" xr:uid="{00000000-0005-0000-0000-00008A660000}"/>
    <cellStyle name="Normal 2 4 2 5 2 3 2" xfId="26248" xr:uid="{00000000-0005-0000-0000-00008B660000}"/>
    <cellStyle name="Normal 2 4 2 5 2 3 2 2" xfId="26249" xr:uid="{00000000-0005-0000-0000-00008C660000}"/>
    <cellStyle name="Normal 2 4 2 5 2 3 3" xfId="26250" xr:uid="{00000000-0005-0000-0000-00008D660000}"/>
    <cellStyle name="Normal 2 4 2 5 2 3 4" xfId="26251" xr:uid="{00000000-0005-0000-0000-00008E660000}"/>
    <cellStyle name="Normal 2 4 2 5 2 3 5" xfId="26252" xr:uid="{00000000-0005-0000-0000-00008F660000}"/>
    <cellStyle name="Normal 2 4 2 5 2 4" xfId="26253" xr:uid="{00000000-0005-0000-0000-000090660000}"/>
    <cellStyle name="Normal 2 4 2 5 2 4 2" xfId="26254" xr:uid="{00000000-0005-0000-0000-000091660000}"/>
    <cellStyle name="Normal 2 4 2 5 2 4 3" xfId="26255" xr:uid="{00000000-0005-0000-0000-000092660000}"/>
    <cellStyle name="Normal 2 4 2 5 2 4 4" xfId="26256" xr:uid="{00000000-0005-0000-0000-000093660000}"/>
    <cellStyle name="Normal 2 4 2 5 2 5" xfId="26257" xr:uid="{00000000-0005-0000-0000-000094660000}"/>
    <cellStyle name="Normal 2 4 2 5 2 5 2" xfId="26258" xr:uid="{00000000-0005-0000-0000-000095660000}"/>
    <cellStyle name="Normal 2 4 2 5 2 6" xfId="26259" xr:uid="{00000000-0005-0000-0000-000096660000}"/>
    <cellStyle name="Normal 2 4 2 5 2 7" xfId="26260" xr:uid="{00000000-0005-0000-0000-000097660000}"/>
    <cellStyle name="Normal 2 4 2 5 2 8" xfId="26261" xr:uid="{00000000-0005-0000-0000-000098660000}"/>
    <cellStyle name="Normal 2 4 2 5 2 9" xfId="26262" xr:uid="{00000000-0005-0000-0000-000099660000}"/>
    <cellStyle name="Normal 2 4 2 5 3" xfId="26263" xr:uid="{00000000-0005-0000-0000-00009A660000}"/>
    <cellStyle name="Normal 2 4 2 5 3 2" xfId="26264" xr:uid="{00000000-0005-0000-0000-00009B660000}"/>
    <cellStyle name="Normal 2 4 2 5 3 2 2" xfId="26265" xr:uid="{00000000-0005-0000-0000-00009C660000}"/>
    <cellStyle name="Normal 2 4 2 5 3 2 2 2" xfId="26266" xr:uid="{00000000-0005-0000-0000-00009D660000}"/>
    <cellStyle name="Normal 2 4 2 5 3 2 2 3" xfId="26267" xr:uid="{00000000-0005-0000-0000-00009E660000}"/>
    <cellStyle name="Normal 2 4 2 5 3 2 3" xfId="26268" xr:uid="{00000000-0005-0000-0000-00009F660000}"/>
    <cellStyle name="Normal 2 4 2 5 3 2 4" xfId="26269" xr:uid="{00000000-0005-0000-0000-0000A0660000}"/>
    <cellStyle name="Normal 2 4 2 5 3 2 5" xfId="26270" xr:uid="{00000000-0005-0000-0000-0000A1660000}"/>
    <cellStyle name="Normal 2 4 2 5 3 2 6" xfId="26271" xr:uid="{00000000-0005-0000-0000-0000A2660000}"/>
    <cellStyle name="Normal 2 4 2 5 3 3" xfId="26272" xr:uid="{00000000-0005-0000-0000-0000A3660000}"/>
    <cellStyle name="Normal 2 4 2 5 3 3 2" xfId="26273" xr:uid="{00000000-0005-0000-0000-0000A4660000}"/>
    <cellStyle name="Normal 2 4 2 5 3 3 2 2" xfId="26274" xr:uid="{00000000-0005-0000-0000-0000A5660000}"/>
    <cellStyle name="Normal 2 4 2 5 3 3 3" xfId="26275" xr:uid="{00000000-0005-0000-0000-0000A6660000}"/>
    <cellStyle name="Normal 2 4 2 5 3 3 4" xfId="26276" xr:uid="{00000000-0005-0000-0000-0000A7660000}"/>
    <cellStyle name="Normal 2 4 2 5 3 3 5" xfId="26277" xr:uid="{00000000-0005-0000-0000-0000A8660000}"/>
    <cellStyle name="Normal 2 4 2 5 3 4" xfId="26278" xr:uid="{00000000-0005-0000-0000-0000A9660000}"/>
    <cellStyle name="Normal 2 4 2 5 3 4 2" xfId="26279" xr:uid="{00000000-0005-0000-0000-0000AA660000}"/>
    <cellStyle name="Normal 2 4 2 5 3 4 3" xfId="26280" xr:uid="{00000000-0005-0000-0000-0000AB660000}"/>
    <cellStyle name="Normal 2 4 2 5 3 4 4" xfId="26281" xr:uid="{00000000-0005-0000-0000-0000AC660000}"/>
    <cellStyle name="Normal 2 4 2 5 3 5" xfId="26282" xr:uid="{00000000-0005-0000-0000-0000AD660000}"/>
    <cellStyle name="Normal 2 4 2 5 3 5 2" xfId="26283" xr:uid="{00000000-0005-0000-0000-0000AE660000}"/>
    <cellStyle name="Normal 2 4 2 5 3 6" xfId="26284" xr:uid="{00000000-0005-0000-0000-0000AF660000}"/>
    <cellStyle name="Normal 2 4 2 5 3 7" xfId="26285" xr:uid="{00000000-0005-0000-0000-0000B0660000}"/>
    <cellStyle name="Normal 2 4 2 5 3 8" xfId="26286" xr:uid="{00000000-0005-0000-0000-0000B1660000}"/>
    <cellStyle name="Normal 2 4 2 5 3 9" xfId="26287" xr:uid="{00000000-0005-0000-0000-0000B2660000}"/>
    <cellStyle name="Normal 2 4 2 5 4" xfId="26288" xr:uid="{00000000-0005-0000-0000-0000B3660000}"/>
    <cellStyle name="Normal 2 4 2 5 4 2" xfId="26289" xr:uid="{00000000-0005-0000-0000-0000B4660000}"/>
    <cellStyle name="Normal 2 4 2 5 4 2 2" xfId="26290" xr:uid="{00000000-0005-0000-0000-0000B5660000}"/>
    <cellStyle name="Normal 2 4 2 5 4 2 3" xfId="26291" xr:uid="{00000000-0005-0000-0000-0000B6660000}"/>
    <cellStyle name="Normal 2 4 2 5 4 3" xfId="26292" xr:uid="{00000000-0005-0000-0000-0000B7660000}"/>
    <cellStyle name="Normal 2 4 2 5 4 4" xfId="26293" xr:uid="{00000000-0005-0000-0000-0000B8660000}"/>
    <cellStyle name="Normal 2 4 2 5 4 5" xfId="26294" xr:uid="{00000000-0005-0000-0000-0000B9660000}"/>
    <cellStyle name="Normal 2 4 2 5 4 6" xfId="26295" xr:uid="{00000000-0005-0000-0000-0000BA660000}"/>
    <cellStyle name="Normal 2 4 2 5 5" xfId="26296" xr:uid="{00000000-0005-0000-0000-0000BB660000}"/>
    <cellStyle name="Normal 2 4 2 5 5 2" xfId="26297" xr:uid="{00000000-0005-0000-0000-0000BC660000}"/>
    <cellStyle name="Normal 2 4 2 5 5 2 2" xfId="26298" xr:uid="{00000000-0005-0000-0000-0000BD660000}"/>
    <cellStyle name="Normal 2 4 2 5 5 3" xfId="26299" xr:uid="{00000000-0005-0000-0000-0000BE660000}"/>
    <cellStyle name="Normal 2 4 2 5 5 4" xfId="26300" xr:uid="{00000000-0005-0000-0000-0000BF660000}"/>
    <cellStyle name="Normal 2 4 2 5 5 5" xfId="26301" xr:uid="{00000000-0005-0000-0000-0000C0660000}"/>
    <cellStyle name="Normal 2 4 2 5 6" xfId="26302" xr:uid="{00000000-0005-0000-0000-0000C1660000}"/>
    <cellStyle name="Normal 2 4 2 5 6 2" xfId="26303" xr:uid="{00000000-0005-0000-0000-0000C2660000}"/>
    <cellStyle name="Normal 2 4 2 5 6 3" xfId="26304" xr:uid="{00000000-0005-0000-0000-0000C3660000}"/>
    <cellStyle name="Normal 2 4 2 5 6 4" xfId="26305" xr:uid="{00000000-0005-0000-0000-0000C4660000}"/>
    <cellStyle name="Normal 2 4 2 5 7" xfId="26306" xr:uid="{00000000-0005-0000-0000-0000C5660000}"/>
    <cellStyle name="Normal 2 4 2 5 7 2" xfId="26307" xr:uid="{00000000-0005-0000-0000-0000C6660000}"/>
    <cellStyle name="Normal 2 4 2 5 8" xfId="26308" xr:uid="{00000000-0005-0000-0000-0000C7660000}"/>
    <cellStyle name="Normal 2 4 2 5 9" xfId="26309" xr:uid="{00000000-0005-0000-0000-0000C8660000}"/>
    <cellStyle name="Normal 2 4 2 6" xfId="26310" xr:uid="{00000000-0005-0000-0000-0000C9660000}"/>
    <cellStyle name="Normal 2 4 2 6 10" xfId="26311" xr:uid="{00000000-0005-0000-0000-0000CA660000}"/>
    <cellStyle name="Normal 2 4 2 6 11" xfId="26312" xr:uid="{00000000-0005-0000-0000-0000CB660000}"/>
    <cellStyle name="Normal 2 4 2 6 2" xfId="26313" xr:uid="{00000000-0005-0000-0000-0000CC660000}"/>
    <cellStyle name="Normal 2 4 2 6 2 2" xfId="26314" xr:uid="{00000000-0005-0000-0000-0000CD660000}"/>
    <cellStyle name="Normal 2 4 2 6 2 2 2" xfId="26315" xr:uid="{00000000-0005-0000-0000-0000CE660000}"/>
    <cellStyle name="Normal 2 4 2 6 2 2 2 2" xfId="26316" xr:uid="{00000000-0005-0000-0000-0000CF660000}"/>
    <cellStyle name="Normal 2 4 2 6 2 2 2 3" xfId="26317" xr:uid="{00000000-0005-0000-0000-0000D0660000}"/>
    <cellStyle name="Normal 2 4 2 6 2 2 3" xfId="26318" xr:uid="{00000000-0005-0000-0000-0000D1660000}"/>
    <cellStyle name="Normal 2 4 2 6 2 2 4" xfId="26319" xr:uid="{00000000-0005-0000-0000-0000D2660000}"/>
    <cellStyle name="Normal 2 4 2 6 2 2 5" xfId="26320" xr:uid="{00000000-0005-0000-0000-0000D3660000}"/>
    <cellStyle name="Normal 2 4 2 6 2 2 6" xfId="26321" xr:uid="{00000000-0005-0000-0000-0000D4660000}"/>
    <cellStyle name="Normal 2 4 2 6 2 3" xfId="26322" xr:uid="{00000000-0005-0000-0000-0000D5660000}"/>
    <cellStyle name="Normal 2 4 2 6 2 3 2" xfId="26323" xr:uid="{00000000-0005-0000-0000-0000D6660000}"/>
    <cellStyle name="Normal 2 4 2 6 2 3 2 2" xfId="26324" xr:uid="{00000000-0005-0000-0000-0000D7660000}"/>
    <cellStyle name="Normal 2 4 2 6 2 3 3" xfId="26325" xr:uid="{00000000-0005-0000-0000-0000D8660000}"/>
    <cellStyle name="Normal 2 4 2 6 2 3 4" xfId="26326" xr:uid="{00000000-0005-0000-0000-0000D9660000}"/>
    <cellStyle name="Normal 2 4 2 6 2 3 5" xfId="26327" xr:uid="{00000000-0005-0000-0000-0000DA660000}"/>
    <cellStyle name="Normal 2 4 2 6 2 4" xfId="26328" xr:uid="{00000000-0005-0000-0000-0000DB660000}"/>
    <cellStyle name="Normal 2 4 2 6 2 4 2" xfId="26329" xr:uid="{00000000-0005-0000-0000-0000DC660000}"/>
    <cellStyle name="Normal 2 4 2 6 2 4 3" xfId="26330" xr:uid="{00000000-0005-0000-0000-0000DD660000}"/>
    <cellStyle name="Normal 2 4 2 6 2 4 4" xfId="26331" xr:uid="{00000000-0005-0000-0000-0000DE660000}"/>
    <cellStyle name="Normal 2 4 2 6 2 5" xfId="26332" xr:uid="{00000000-0005-0000-0000-0000DF660000}"/>
    <cellStyle name="Normal 2 4 2 6 2 5 2" xfId="26333" xr:uid="{00000000-0005-0000-0000-0000E0660000}"/>
    <cellStyle name="Normal 2 4 2 6 2 6" xfId="26334" xr:uid="{00000000-0005-0000-0000-0000E1660000}"/>
    <cellStyle name="Normal 2 4 2 6 2 7" xfId="26335" xr:uid="{00000000-0005-0000-0000-0000E2660000}"/>
    <cellStyle name="Normal 2 4 2 6 2 8" xfId="26336" xr:uid="{00000000-0005-0000-0000-0000E3660000}"/>
    <cellStyle name="Normal 2 4 2 6 2 9" xfId="26337" xr:uid="{00000000-0005-0000-0000-0000E4660000}"/>
    <cellStyle name="Normal 2 4 2 6 3" xfId="26338" xr:uid="{00000000-0005-0000-0000-0000E5660000}"/>
    <cellStyle name="Normal 2 4 2 6 3 2" xfId="26339" xr:uid="{00000000-0005-0000-0000-0000E6660000}"/>
    <cellStyle name="Normal 2 4 2 6 3 2 2" xfId="26340" xr:uid="{00000000-0005-0000-0000-0000E7660000}"/>
    <cellStyle name="Normal 2 4 2 6 3 2 2 2" xfId="26341" xr:uid="{00000000-0005-0000-0000-0000E8660000}"/>
    <cellStyle name="Normal 2 4 2 6 3 2 2 3" xfId="26342" xr:uid="{00000000-0005-0000-0000-0000E9660000}"/>
    <cellStyle name="Normal 2 4 2 6 3 2 3" xfId="26343" xr:uid="{00000000-0005-0000-0000-0000EA660000}"/>
    <cellStyle name="Normal 2 4 2 6 3 2 4" xfId="26344" xr:uid="{00000000-0005-0000-0000-0000EB660000}"/>
    <cellStyle name="Normal 2 4 2 6 3 2 5" xfId="26345" xr:uid="{00000000-0005-0000-0000-0000EC660000}"/>
    <cellStyle name="Normal 2 4 2 6 3 2 6" xfId="26346" xr:uid="{00000000-0005-0000-0000-0000ED660000}"/>
    <cellStyle name="Normal 2 4 2 6 3 3" xfId="26347" xr:uid="{00000000-0005-0000-0000-0000EE660000}"/>
    <cellStyle name="Normal 2 4 2 6 3 3 2" xfId="26348" xr:uid="{00000000-0005-0000-0000-0000EF660000}"/>
    <cellStyle name="Normal 2 4 2 6 3 3 2 2" xfId="26349" xr:uid="{00000000-0005-0000-0000-0000F0660000}"/>
    <cellStyle name="Normal 2 4 2 6 3 3 3" xfId="26350" xr:uid="{00000000-0005-0000-0000-0000F1660000}"/>
    <cellStyle name="Normal 2 4 2 6 3 3 4" xfId="26351" xr:uid="{00000000-0005-0000-0000-0000F2660000}"/>
    <cellStyle name="Normal 2 4 2 6 3 3 5" xfId="26352" xr:uid="{00000000-0005-0000-0000-0000F3660000}"/>
    <cellStyle name="Normal 2 4 2 6 3 4" xfId="26353" xr:uid="{00000000-0005-0000-0000-0000F4660000}"/>
    <cellStyle name="Normal 2 4 2 6 3 4 2" xfId="26354" xr:uid="{00000000-0005-0000-0000-0000F5660000}"/>
    <cellStyle name="Normal 2 4 2 6 3 4 3" xfId="26355" xr:uid="{00000000-0005-0000-0000-0000F6660000}"/>
    <cellStyle name="Normal 2 4 2 6 3 4 4" xfId="26356" xr:uid="{00000000-0005-0000-0000-0000F7660000}"/>
    <cellStyle name="Normal 2 4 2 6 3 5" xfId="26357" xr:uid="{00000000-0005-0000-0000-0000F8660000}"/>
    <cellStyle name="Normal 2 4 2 6 3 5 2" xfId="26358" xr:uid="{00000000-0005-0000-0000-0000F9660000}"/>
    <cellStyle name="Normal 2 4 2 6 3 6" xfId="26359" xr:uid="{00000000-0005-0000-0000-0000FA660000}"/>
    <cellStyle name="Normal 2 4 2 6 3 7" xfId="26360" xr:uid="{00000000-0005-0000-0000-0000FB660000}"/>
    <cellStyle name="Normal 2 4 2 6 3 8" xfId="26361" xr:uid="{00000000-0005-0000-0000-0000FC660000}"/>
    <cellStyle name="Normal 2 4 2 6 3 9" xfId="26362" xr:uid="{00000000-0005-0000-0000-0000FD660000}"/>
    <cellStyle name="Normal 2 4 2 6 4" xfId="26363" xr:uid="{00000000-0005-0000-0000-0000FE660000}"/>
    <cellStyle name="Normal 2 4 2 6 4 2" xfId="26364" xr:uid="{00000000-0005-0000-0000-0000FF660000}"/>
    <cellStyle name="Normal 2 4 2 6 4 2 2" xfId="26365" xr:uid="{00000000-0005-0000-0000-000000670000}"/>
    <cellStyle name="Normal 2 4 2 6 4 2 3" xfId="26366" xr:uid="{00000000-0005-0000-0000-000001670000}"/>
    <cellStyle name="Normal 2 4 2 6 4 3" xfId="26367" xr:uid="{00000000-0005-0000-0000-000002670000}"/>
    <cellStyle name="Normal 2 4 2 6 4 4" xfId="26368" xr:uid="{00000000-0005-0000-0000-000003670000}"/>
    <cellStyle name="Normal 2 4 2 6 4 5" xfId="26369" xr:uid="{00000000-0005-0000-0000-000004670000}"/>
    <cellStyle name="Normal 2 4 2 6 4 6" xfId="26370" xr:uid="{00000000-0005-0000-0000-000005670000}"/>
    <cellStyle name="Normal 2 4 2 6 5" xfId="26371" xr:uid="{00000000-0005-0000-0000-000006670000}"/>
    <cellStyle name="Normal 2 4 2 6 5 2" xfId="26372" xr:uid="{00000000-0005-0000-0000-000007670000}"/>
    <cellStyle name="Normal 2 4 2 6 5 2 2" xfId="26373" xr:uid="{00000000-0005-0000-0000-000008670000}"/>
    <cellStyle name="Normal 2 4 2 6 5 3" xfId="26374" xr:uid="{00000000-0005-0000-0000-000009670000}"/>
    <cellStyle name="Normal 2 4 2 6 5 4" xfId="26375" xr:uid="{00000000-0005-0000-0000-00000A670000}"/>
    <cellStyle name="Normal 2 4 2 6 5 5" xfId="26376" xr:uid="{00000000-0005-0000-0000-00000B670000}"/>
    <cellStyle name="Normal 2 4 2 6 6" xfId="26377" xr:uid="{00000000-0005-0000-0000-00000C670000}"/>
    <cellStyle name="Normal 2 4 2 6 6 2" xfId="26378" xr:uid="{00000000-0005-0000-0000-00000D670000}"/>
    <cellStyle name="Normal 2 4 2 6 6 3" xfId="26379" xr:uid="{00000000-0005-0000-0000-00000E670000}"/>
    <cellStyle name="Normal 2 4 2 6 6 4" xfId="26380" xr:uid="{00000000-0005-0000-0000-00000F670000}"/>
    <cellStyle name="Normal 2 4 2 6 7" xfId="26381" xr:uid="{00000000-0005-0000-0000-000010670000}"/>
    <cellStyle name="Normal 2 4 2 6 7 2" xfId="26382" xr:uid="{00000000-0005-0000-0000-000011670000}"/>
    <cellStyle name="Normal 2 4 2 6 8" xfId="26383" xr:uid="{00000000-0005-0000-0000-000012670000}"/>
    <cellStyle name="Normal 2 4 2 6 9" xfId="26384" xr:uid="{00000000-0005-0000-0000-000013670000}"/>
    <cellStyle name="Normal 2 4 2 7" xfId="26385" xr:uid="{00000000-0005-0000-0000-000014670000}"/>
    <cellStyle name="Normal 2 4 2 7 10" xfId="26386" xr:uid="{00000000-0005-0000-0000-000015670000}"/>
    <cellStyle name="Normal 2 4 2 7 11" xfId="26387" xr:uid="{00000000-0005-0000-0000-000016670000}"/>
    <cellStyle name="Normal 2 4 2 7 2" xfId="26388" xr:uid="{00000000-0005-0000-0000-000017670000}"/>
    <cellStyle name="Normal 2 4 2 7 2 2" xfId="26389" xr:uid="{00000000-0005-0000-0000-000018670000}"/>
    <cellStyle name="Normal 2 4 2 7 2 2 2" xfId="26390" xr:uid="{00000000-0005-0000-0000-000019670000}"/>
    <cellStyle name="Normal 2 4 2 7 2 2 2 2" xfId="26391" xr:uid="{00000000-0005-0000-0000-00001A670000}"/>
    <cellStyle name="Normal 2 4 2 7 2 2 2 3" xfId="26392" xr:uid="{00000000-0005-0000-0000-00001B670000}"/>
    <cellStyle name="Normal 2 4 2 7 2 2 3" xfId="26393" xr:uid="{00000000-0005-0000-0000-00001C670000}"/>
    <cellStyle name="Normal 2 4 2 7 2 2 4" xfId="26394" xr:uid="{00000000-0005-0000-0000-00001D670000}"/>
    <cellStyle name="Normal 2 4 2 7 2 2 5" xfId="26395" xr:uid="{00000000-0005-0000-0000-00001E670000}"/>
    <cellStyle name="Normal 2 4 2 7 2 2 6" xfId="26396" xr:uid="{00000000-0005-0000-0000-00001F670000}"/>
    <cellStyle name="Normal 2 4 2 7 2 3" xfId="26397" xr:uid="{00000000-0005-0000-0000-000020670000}"/>
    <cellStyle name="Normal 2 4 2 7 2 3 2" xfId="26398" xr:uid="{00000000-0005-0000-0000-000021670000}"/>
    <cellStyle name="Normal 2 4 2 7 2 3 2 2" xfId="26399" xr:uid="{00000000-0005-0000-0000-000022670000}"/>
    <cellStyle name="Normal 2 4 2 7 2 3 3" xfId="26400" xr:uid="{00000000-0005-0000-0000-000023670000}"/>
    <cellStyle name="Normal 2 4 2 7 2 3 4" xfId="26401" xr:uid="{00000000-0005-0000-0000-000024670000}"/>
    <cellStyle name="Normal 2 4 2 7 2 3 5" xfId="26402" xr:uid="{00000000-0005-0000-0000-000025670000}"/>
    <cellStyle name="Normal 2 4 2 7 2 4" xfId="26403" xr:uid="{00000000-0005-0000-0000-000026670000}"/>
    <cellStyle name="Normal 2 4 2 7 2 4 2" xfId="26404" xr:uid="{00000000-0005-0000-0000-000027670000}"/>
    <cellStyle name="Normal 2 4 2 7 2 4 3" xfId="26405" xr:uid="{00000000-0005-0000-0000-000028670000}"/>
    <cellStyle name="Normal 2 4 2 7 2 4 4" xfId="26406" xr:uid="{00000000-0005-0000-0000-000029670000}"/>
    <cellStyle name="Normal 2 4 2 7 2 5" xfId="26407" xr:uid="{00000000-0005-0000-0000-00002A670000}"/>
    <cellStyle name="Normal 2 4 2 7 2 5 2" xfId="26408" xr:uid="{00000000-0005-0000-0000-00002B670000}"/>
    <cellStyle name="Normal 2 4 2 7 2 6" xfId="26409" xr:uid="{00000000-0005-0000-0000-00002C670000}"/>
    <cellStyle name="Normal 2 4 2 7 2 7" xfId="26410" xr:uid="{00000000-0005-0000-0000-00002D670000}"/>
    <cellStyle name="Normal 2 4 2 7 2 8" xfId="26411" xr:uid="{00000000-0005-0000-0000-00002E670000}"/>
    <cellStyle name="Normal 2 4 2 7 2 9" xfId="26412" xr:uid="{00000000-0005-0000-0000-00002F670000}"/>
    <cellStyle name="Normal 2 4 2 7 3" xfId="26413" xr:uid="{00000000-0005-0000-0000-000030670000}"/>
    <cellStyle name="Normal 2 4 2 7 3 2" xfId="26414" xr:uid="{00000000-0005-0000-0000-000031670000}"/>
    <cellStyle name="Normal 2 4 2 7 3 2 2" xfId="26415" xr:uid="{00000000-0005-0000-0000-000032670000}"/>
    <cellStyle name="Normal 2 4 2 7 3 2 2 2" xfId="26416" xr:uid="{00000000-0005-0000-0000-000033670000}"/>
    <cellStyle name="Normal 2 4 2 7 3 2 2 3" xfId="26417" xr:uid="{00000000-0005-0000-0000-000034670000}"/>
    <cellStyle name="Normal 2 4 2 7 3 2 3" xfId="26418" xr:uid="{00000000-0005-0000-0000-000035670000}"/>
    <cellStyle name="Normal 2 4 2 7 3 2 4" xfId="26419" xr:uid="{00000000-0005-0000-0000-000036670000}"/>
    <cellStyle name="Normal 2 4 2 7 3 2 5" xfId="26420" xr:uid="{00000000-0005-0000-0000-000037670000}"/>
    <cellStyle name="Normal 2 4 2 7 3 2 6" xfId="26421" xr:uid="{00000000-0005-0000-0000-000038670000}"/>
    <cellStyle name="Normal 2 4 2 7 3 3" xfId="26422" xr:uid="{00000000-0005-0000-0000-000039670000}"/>
    <cellStyle name="Normal 2 4 2 7 3 3 2" xfId="26423" xr:uid="{00000000-0005-0000-0000-00003A670000}"/>
    <cellStyle name="Normal 2 4 2 7 3 3 2 2" xfId="26424" xr:uid="{00000000-0005-0000-0000-00003B670000}"/>
    <cellStyle name="Normal 2 4 2 7 3 3 3" xfId="26425" xr:uid="{00000000-0005-0000-0000-00003C670000}"/>
    <cellStyle name="Normal 2 4 2 7 3 3 4" xfId="26426" xr:uid="{00000000-0005-0000-0000-00003D670000}"/>
    <cellStyle name="Normal 2 4 2 7 3 3 5" xfId="26427" xr:uid="{00000000-0005-0000-0000-00003E670000}"/>
    <cellStyle name="Normal 2 4 2 7 3 4" xfId="26428" xr:uid="{00000000-0005-0000-0000-00003F670000}"/>
    <cellStyle name="Normal 2 4 2 7 3 4 2" xfId="26429" xr:uid="{00000000-0005-0000-0000-000040670000}"/>
    <cellStyle name="Normal 2 4 2 7 3 4 3" xfId="26430" xr:uid="{00000000-0005-0000-0000-000041670000}"/>
    <cellStyle name="Normal 2 4 2 7 3 4 4" xfId="26431" xr:uid="{00000000-0005-0000-0000-000042670000}"/>
    <cellStyle name="Normal 2 4 2 7 3 5" xfId="26432" xr:uid="{00000000-0005-0000-0000-000043670000}"/>
    <cellStyle name="Normal 2 4 2 7 3 5 2" xfId="26433" xr:uid="{00000000-0005-0000-0000-000044670000}"/>
    <cellStyle name="Normal 2 4 2 7 3 6" xfId="26434" xr:uid="{00000000-0005-0000-0000-000045670000}"/>
    <cellStyle name="Normal 2 4 2 7 3 7" xfId="26435" xr:uid="{00000000-0005-0000-0000-000046670000}"/>
    <cellStyle name="Normal 2 4 2 7 3 8" xfId="26436" xr:uid="{00000000-0005-0000-0000-000047670000}"/>
    <cellStyle name="Normal 2 4 2 7 3 9" xfId="26437" xr:uid="{00000000-0005-0000-0000-000048670000}"/>
    <cellStyle name="Normal 2 4 2 7 4" xfId="26438" xr:uid="{00000000-0005-0000-0000-000049670000}"/>
    <cellStyle name="Normal 2 4 2 7 4 2" xfId="26439" xr:uid="{00000000-0005-0000-0000-00004A670000}"/>
    <cellStyle name="Normal 2 4 2 7 4 2 2" xfId="26440" xr:uid="{00000000-0005-0000-0000-00004B670000}"/>
    <cellStyle name="Normal 2 4 2 7 4 2 3" xfId="26441" xr:uid="{00000000-0005-0000-0000-00004C670000}"/>
    <cellStyle name="Normal 2 4 2 7 4 3" xfId="26442" xr:uid="{00000000-0005-0000-0000-00004D670000}"/>
    <cellStyle name="Normal 2 4 2 7 4 4" xfId="26443" xr:uid="{00000000-0005-0000-0000-00004E670000}"/>
    <cellStyle name="Normal 2 4 2 7 4 5" xfId="26444" xr:uid="{00000000-0005-0000-0000-00004F670000}"/>
    <cellStyle name="Normal 2 4 2 7 4 6" xfId="26445" xr:uid="{00000000-0005-0000-0000-000050670000}"/>
    <cellStyle name="Normal 2 4 2 7 5" xfId="26446" xr:uid="{00000000-0005-0000-0000-000051670000}"/>
    <cellStyle name="Normal 2 4 2 7 5 2" xfId="26447" xr:uid="{00000000-0005-0000-0000-000052670000}"/>
    <cellStyle name="Normal 2 4 2 7 5 2 2" xfId="26448" xr:uid="{00000000-0005-0000-0000-000053670000}"/>
    <cellStyle name="Normal 2 4 2 7 5 3" xfId="26449" xr:uid="{00000000-0005-0000-0000-000054670000}"/>
    <cellStyle name="Normal 2 4 2 7 5 4" xfId="26450" xr:uid="{00000000-0005-0000-0000-000055670000}"/>
    <cellStyle name="Normal 2 4 2 7 5 5" xfId="26451" xr:uid="{00000000-0005-0000-0000-000056670000}"/>
    <cellStyle name="Normal 2 4 2 7 6" xfId="26452" xr:uid="{00000000-0005-0000-0000-000057670000}"/>
    <cellStyle name="Normal 2 4 2 7 6 2" xfId="26453" xr:uid="{00000000-0005-0000-0000-000058670000}"/>
    <cellStyle name="Normal 2 4 2 7 6 3" xfId="26454" xr:uid="{00000000-0005-0000-0000-000059670000}"/>
    <cellStyle name="Normal 2 4 2 7 6 4" xfId="26455" xr:uid="{00000000-0005-0000-0000-00005A670000}"/>
    <cellStyle name="Normal 2 4 2 7 7" xfId="26456" xr:uid="{00000000-0005-0000-0000-00005B670000}"/>
    <cellStyle name="Normal 2 4 2 7 7 2" xfId="26457" xr:uid="{00000000-0005-0000-0000-00005C670000}"/>
    <cellStyle name="Normal 2 4 2 7 8" xfId="26458" xr:uid="{00000000-0005-0000-0000-00005D670000}"/>
    <cellStyle name="Normal 2 4 2 7 9" xfId="26459" xr:uid="{00000000-0005-0000-0000-00005E670000}"/>
    <cellStyle name="Normal 2 4 2 8" xfId="26460" xr:uid="{00000000-0005-0000-0000-00005F670000}"/>
    <cellStyle name="Normal 2 4 2 8 10" xfId="26461" xr:uid="{00000000-0005-0000-0000-000060670000}"/>
    <cellStyle name="Normal 2 4 2 8 2" xfId="26462" xr:uid="{00000000-0005-0000-0000-000061670000}"/>
    <cellStyle name="Normal 2 4 2 8 2 2" xfId="26463" xr:uid="{00000000-0005-0000-0000-000062670000}"/>
    <cellStyle name="Normal 2 4 2 8 2 2 2" xfId="26464" xr:uid="{00000000-0005-0000-0000-000063670000}"/>
    <cellStyle name="Normal 2 4 2 8 2 2 3" xfId="26465" xr:uid="{00000000-0005-0000-0000-000064670000}"/>
    <cellStyle name="Normal 2 4 2 8 2 3" xfId="26466" xr:uid="{00000000-0005-0000-0000-000065670000}"/>
    <cellStyle name="Normal 2 4 2 8 2 4" xfId="26467" xr:uid="{00000000-0005-0000-0000-000066670000}"/>
    <cellStyle name="Normal 2 4 2 8 2 5" xfId="26468" xr:uid="{00000000-0005-0000-0000-000067670000}"/>
    <cellStyle name="Normal 2 4 2 8 2 6" xfId="26469" xr:uid="{00000000-0005-0000-0000-000068670000}"/>
    <cellStyle name="Normal 2 4 2 8 3" xfId="26470" xr:uid="{00000000-0005-0000-0000-000069670000}"/>
    <cellStyle name="Normal 2 4 2 8 3 2" xfId="26471" xr:uid="{00000000-0005-0000-0000-00006A670000}"/>
    <cellStyle name="Normal 2 4 2 8 3 2 2" xfId="26472" xr:uid="{00000000-0005-0000-0000-00006B670000}"/>
    <cellStyle name="Normal 2 4 2 8 3 2 3" xfId="26473" xr:uid="{00000000-0005-0000-0000-00006C670000}"/>
    <cellStyle name="Normal 2 4 2 8 3 3" xfId="26474" xr:uid="{00000000-0005-0000-0000-00006D670000}"/>
    <cellStyle name="Normal 2 4 2 8 3 4" xfId="26475" xr:uid="{00000000-0005-0000-0000-00006E670000}"/>
    <cellStyle name="Normal 2 4 2 8 3 5" xfId="26476" xr:uid="{00000000-0005-0000-0000-00006F670000}"/>
    <cellStyle name="Normal 2 4 2 8 3 6" xfId="26477" xr:uid="{00000000-0005-0000-0000-000070670000}"/>
    <cellStyle name="Normal 2 4 2 8 4" xfId="26478" xr:uid="{00000000-0005-0000-0000-000071670000}"/>
    <cellStyle name="Normal 2 4 2 8 4 2" xfId="26479" xr:uid="{00000000-0005-0000-0000-000072670000}"/>
    <cellStyle name="Normal 2 4 2 8 4 2 2" xfId="26480" xr:uid="{00000000-0005-0000-0000-000073670000}"/>
    <cellStyle name="Normal 2 4 2 8 4 3" xfId="26481" xr:uid="{00000000-0005-0000-0000-000074670000}"/>
    <cellStyle name="Normal 2 4 2 8 4 4" xfId="26482" xr:uid="{00000000-0005-0000-0000-000075670000}"/>
    <cellStyle name="Normal 2 4 2 8 4 5" xfId="26483" xr:uid="{00000000-0005-0000-0000-000076670000}"/>
    <cellStyle name="Normal 2 4 2 8 5" xfId="26484" xr:uid="{00000000-0005-0000-0000-000077670000}"/>
    <cellStyle name="Normal 2 4 2 8 5 2" xfId="26485" xr:uid="{00000000-0005-0000-0000-000078670000}"/>
    <cellStyle name="Normal 2 4 2 8 5 3" xfId="26486" xr:uid="{00000000-0005-0000-0000-000079670000}"/>
    <cellStyle name="Normal 2 4 2 8 5 4" xfId="26487" xr:uid="{00000000-0005-0000-0000-00007A670000}"/>
    <cellStyle name="Normal 2 4 2 8 6" xfId="26488" xr:uid="{00000000-0005-0000-0000-00007B670000}"/>
    <cellStyle name="Normal 2 4 2 8 6 2" xfId="26489" xr:uid="{00000000-0005-0000-0000-00007C670000}"/>
    <cellStyle name="Normal 2 4 2 8 7" xfId="26490" xr:uid="{00000000-0005-0000-0000-00007D670000}"/>
    <cellStyle name="Normal 2 4 2 8 8" xfId="26491" xr:uid="{00000000-0005-0000-0000-00007E670000}"/>
    <cellStyle name="Normal 2 4 2 8 9" xfId="26492" xr:uid="{00000000-0005-0000-0000-00007F670000}"/>
    <cellStyle name="Normal 2 4 2 9" xfId="26493" xr:uid="{00000000-0005-0000-0000-000080670000}"/>
    <cellStyle name="Normal 2 4 2 9 10" xfId="26494" xr:uid="{00000000-0005-0000-0000-000081670000}"/>
    <cellStyle name="Normal 2 4 2 9 2" xfId="26495" xr:uid="{00000000-0005-0000-0000-000082670000}"/>
    <cellStyle name="Normal 2 4 2 9 2 2" xfId="26496" xr:uid="{00000000-0005-0000-0000-000083670000}"/>
    <cellStyle name="Normal 2 4 2 9 2 2 2" xfId="26497" xr:uid="{00000000-0005-0000-0000-000084670000}"/>
    <cellStyle name="Normal 2 4 2 9 2 2 3" xfId="26498" xr:uid="{00000000-0005-0000-0000-000085670000}"/>
    <cellStyle name="Normal 2 4 2 9 2 3" xfId="26499" xr:uid="{00000000-0005-0000-0000-000086670000}"/>
    <cellStyle name="Normal 2 4 2 9 2 4" xfId="26500" xr:uid="{00000000-0005-0000-0000-000087670000}"/>
    <cellStyle name="Normal 2 4 2 9 2 5" xfId="26501" xr:uid="{00000000-0005-0000-0000-000088670000}"/>
    <cellStyle name="Normal 2 4 2 9 2 6" xfId="26502" xr:uid="{00000000-0005-0000-0000-000089670000}"/>
    <cellStyle name="Normal 2 4 2 9 3" xfId="26503" xr:uid="{00000000-0005-0000-0000-00008A670000}"/>
    <cellStyle name="Normal 2 4 2 9 3 2" xfId="26504" xr:uid="{00000000-0005-0000-0000-00008B670000}"/>
    <cellStyle name="Normal 2 4 2 9 3 2 2" xfId="26505" xr:uid="{00000000-0005-0000-0000-00008C670000}"/>
    <cellStyle name="Normal 2 4 2 9 3 2 3" xfId="26506" xr:uid="{00000000-0005-0000-0000-00008D670000}"/>
    <cellStyle name="Normal 2 4 2 9 3 3" xfId="26507" xr:uid="{00000000-0005-0000-0000-00008E670000}"/>
    <cellStyle name="Normal 2 4 2 9 3 4" xfId="26508" xr:uid="{00000000-0005-0000-0000-00008F670000}"/>
    <cellStyle name="Normal 2 4 2 9 3 5" xfId="26509" xr:uid="{00000000-0005-0000-0000-000090670000}"/>
    <cellStyle name="Normal 2 4 2 9 3 6" xfId="26510" xr:uid="{00000000-0005-0000-0000-000091670000}"/>
    <cellStyle name="Normal 2 4 2 9 4" xfId="26511" xr:uid="{00000000-0005-0000-0000-000092670000}"/>
    <cellStyle name="Normal 2 4 2 9 4 2" xfId="26512" xr:uid="{00000000-0005-0000-0000-000093670000}"/>
    <cellStyle name="Normal 2 4 2 9 4 2 2" xfId="26513" xr:uid="{00000000-0005-0000-0000-000094670000}"/>
    <cellStyle name="Normal 2 4 2 9 4 3" xfId="26514" xr:uid="{00000000-0005-0000-0000-000095670000}"/>
    <cellStyle name="Normal 2 4 2 9 4 4" xfId="26515" xr:uid="{00000000-0005-0000-0000-000096670000}"/>
    <cellStyle name="Normal 2 4 2 9 4 5" xfId="26516" xr:uid="{00000000-0005-0000-0000-000097670000}"/>
    <cellStyle name="Normal 2 4 2 9 5" xfId="26517" xr:uid="{00000000-0005-0000-0000-000098670000}"/>
    <cellStyle name="Normal 2 4 2 9 5 2" xfId="26518" xr:uid="{00000000-0005-0000-0000-000099670000}"/>
    <cellStyle name="Normal 2 4 2 9 5 3" xfId="26519" xr:uid="{00000000-0005-0000-0000-00009A670000}"/>
    <cellStyle name="Normal 2 4 2 9 5 4" xfId="26520" xr:uid="{00000000-0005-0000-0000-00009B670000}"/>
    <cellStyle name="Normal 2 4 2 9 6" xfId="26521" xr:uid="{00000000-0005-0000-0000-00009C670000}"/>
    <cellStyle name="Normal 2 4 2 9 6 2" xfId="26522" xr:uid="{00000000-0005-0000-0000-00009D670000}"/>
    <cellStyle name="Normal 2 4 2 9 7" xfId="26523" xr:uid="{00000000-0005-0000-0000-00009E670000}"/>
    <cellStyle name="Normal 2 4 2 9 8" xfId="26524" xr:uid="{00000000-0005-0000-0000-00009F670000}"/>
    <cellStyle name="Normal 2 4 2 9 9" xfId="26525" xr:uid="{00000000-0005-0000-0000-0000A0670000}"/>
    <cellStyle name="Normal 2 4 3" xfId="26526" xr:uid="{00000000-0005-0000-0000-0000A1670000}"/>
    <cellStyle name="Normal 2 4 3 2" xfId="26527" xr:uid="{00000000-0005-0000-0000-0000A2670000}"/>
    <cellStyle name="Normal 2 4 4" xfId="26528" xr:uid="{00000000-0005-0000-0000-0000A3670000}"/>
    <cellStyle name="Normal 2 4 4 2" xfId="26529" xr:uid="{00000000-0005-0000-0000-0000A4670000}"/>
    <cellStyle name="Normal 2 4 5" xfId="26530" xr:uid="{00000000-0005-0000-0000-0000A5670000}"/>
    <cellStyle name="Normal 2 4 6" xfId="26531" xr:uid="{00000000-0005-0000-0000-0000A6670000}"/>
    <cellStyle name="Normal 2 4 7" xfId="26532" xr:uid="{00000000-0005-0000-0000-0000A7670000}"/>
    <cellStyle name="Normal 2 4 8" xfId="26533" xr:uid="{00000000-0005-0000-0000-0000A8670000}"/>
    <cellStyle name="Normal 2 4 9" xfId="26534" xr:uid="{00000000-0005-0000-0000-0000A9670000}"/>
    <cellStyle name="Normal 2 40" xfId="26535" xr:uid="{00000000-0005-0000-0000-0000AA670000}"/>
    <cellStyle name="Normal 2 40 10" xfId="26536" xr:uid="{00000000-0005-0000-0000-0000AB670000}"/>
    <cellStyle name="Normal 2 40 2" xfId="26537" xr:uid="{00000000-0005-0000-0000-0000AC670000}"/>
    <cellStyle name="Normal 2 40 2 2" xfId="26538" xr:uid="{00000000-0005-0000-0000-0000AD670000}"/>
    <cellStyle name="Normal 2 40 2 2 2" xfId="26539" xr:uid="{00000000-0005-0000-0000-0000AE670000}"/>
    <cellStyle name="Normal 2 40 2 2 3" xfId="26540" xr:uid="{00000000-0005-0000-0000-0000AF670000}"/>
    <cellStyle name="Normal 2 40 2 3" xfId="26541" xr:uid="{00000000-0005-0000-0000-0000B0670000}"/>
    <cellStyle name="Normal 2 40 2 4" xfId="26542" xr:uid="{00000000-0005-0000-0000-0000B1670000}"/>
    <cellStyle name="Normal 2 40 2 5" xfId="26543" xr:uid="{00000000-0005-0000-0000-0000B2670000}"/>
    <cellStyle name="Normal 2 40 2 6" xfId="26544" xr:uid="{00000000-0005-0000-0000-0000B3670000}"/>
    <cellStyle name="Normal 2 40 3" xfId="26545" xr:uid="{00000000-0005-0000-0000-0000B4670000}"/>
    <cellStyle name="Normal 2 40 3 2" xfId="26546" xr:uid="{00000000-0005-0000-0000-0000B5670000}"/>
    <cellStyle name="Normal 2 40 3 2 2" xfId="26547" xr:uid="{00000000-0005-0000-0000-0000B6670000}"/>
    <cellStyle name="Normal 2 40 3 2 3" xfId="26548" xr:uid="{00000000-0005-0000-0000-0000B7670000}"/>
    <cellStyle name="Normal 2 40 3 3" xfId="26549" xr:uid="{00000000-0005-0000-0000-0000B8670000}"/>
    <cellStyle name="Normal 2 40 3 4" xfId="26550" xr:uid="{00000000-0005-0000-0000-0000B9670000}"/>
    <cellStyle name="Normal 2 40 3 5" xfId="26551" xr:uid="{00000000-0005-0000-0000-0000BA670000}"/>
    <cellStyle name="Normal 2 40 3 6" xfId="26552" xr:uid="{00000000-0005-0000-0000-0000BB670000}"/>
    <cellStyle name="Normal 2 40 4" xfId="26553" xr:uid="{00000000-0005-0000-0000-0000BC670000}"/>
    <cellStyle name="Normal 2 40 4 2" xfId="26554" xr:uid="{00000000-0005-0000-0000-0000BD670000}"/>
    <cellStyle name="Normal 2 40 4 2 2" xfId="26555" xr:uid="{00000000-0005-0000-0000-0000BE670000}"/>
    <cellStyle name="Normal 2 40 4 3" xfId="26556" xr:uid="{00000000-0005-0000-0000-0000BF670000}"/>
    <cellStyle name="Normal 2 40 4 4" xfId="26557" xr:uid="{00000000-0005-0000-0000-0000C0670000}"/>
    <cellStyle name="Normal 2 40 4 5" xfId="26558" xr:uid="{00000000-0005-0000-0000-0000C1670000}"/>
    <cellStyle name="Normal 2 40 4 6" xfId="26559" xr:uid="{00000000-0005-0000-0000-0000C2670000}"/>
    <cellStyle name="Normal 2 40 5" xfId="26560" xr:uid="{00000000-0005-0000-0000-0000C3670000}"/>
    <cellStyle name="Normal 2 40 5 2" xfId="26561" xr:uid="{00000000-0005-0000-0000-0000C4670000}"/>
    <cellStyle name="Normal 2 40 5 3" xfId="26562" xr:uid="{00000000-0005-0000-0000-0000C5670000}"/>
    <cellStyle name="Normal 2 40 5 4" xfId="26563" xr:uid="{00000000-0005-0000-0000-0000C6670000}"/>
    <cellStyle name="Normal 2 40 5 5" xfId="26564" xr:uid="{00000000-0005-0000-0000-0000C7670000}"/>
    <cellStyle name="Normal 2 40 6" xfId="26565" xr:uid="{00000000-0005-0000-0000-0000C8670000}"/>
    <cellStyle name="Normal 2 40 6 2" xfId="26566" xr:uid="{00000000-0005-0000-0000-0000C9670000}"/>
    <cellStyle name="Normal 2 40 6 3" xfId="26567" xr:uid="{00000000-0005-0000-0000-0000CA670000}"/>
    <cellStyle name="Normal 2 40 7" xfId="26568" xr:uid="{00000000-0005-0000-0000-0000CB670000}"/>
    <cellStyle name="Normal 2 40 7 2" xfId="26569" xr:uid="{00000000-0005-0000-0000-0000CC670000}"/>
    <cellStyle name="Normal 2 40 8" xfId="26570" xr:uid="{00000000-0005-0000-0000-0000CD670000}"/>
    <cellStyle name="Normal 2 40 9" xfId="26571" xr:uid="{00000000-0005-0000-0000-0000CE670000}"/>
    <cellStyle name="Normal 2 41" xfId="26572" xr:uid="{00000000-0005-0000-0000-0000CF670000}"/>
    <cellStyle name="Normal 2 41 10" xfId="26573" xr:uid="{00000000-0005-0000-0000-0000D0670000}"/>
    <cellStyle name="Normal 2 41 2" xfId="26574" xr:uid="{00000000-0005-0000-0000-0000D1670000}"/>
    <cellStyle name="Normal 2 41 2 2" xfId="26575" xr:uid="{00000000-0005-0000-0000-0000D2670000}"/>
    <cellStyle name="Normal 2 41 2 2 2" xfId="26576" xr:uid="{00000000-0005-0000-0000-0000D3670000}"/>
    <cellStyle name="Normal 2 41 2 2 3" xfId="26577" xr:uid="{00000000-0005-0000-0000-0000D4670000}"/>
    <cellStyle name="Normal 2 41 2 3" xfId="26578" xr:uid="{00000000-0005-0000-0000-0000D5670000}"/>
    <cellStyle name="Normal 2 41 2 4" xfId="26579" xr:uid="{00000000-0005-0000-0000-0000D6670000}"/>
    <cellStyle name="Normal 2 41 2 5" xfId="26580" xr:uid="{00000000-0005-0000-0000-0000D7670000}"/>
    <cellStyle name="Normal 2 41 2 6" xfId="26581" xr:uid="{00000000-0005-0000-0000-0000D8670000}"/>
    <cellStyle name="Normal 2 41 3" xfId="26582" xr:uid="{00000000-0005-0000-0000-0000D9670000}"/>
    <cellStyle name="Normal 2 41 3 2" xfId="26583" xr:uid="{00000000-0005-0000-0000-0000DA670000}"/>
    <cellStyle name="Normal 2 41 3 2 2" xfId="26584" xr:uid="{00000000-0005-0000-0000-0000DB670000}"/>
    <cellStyle name="Normal 2 41 3 2 3" xfId="26585" xr:uid="{00000000-0005-0000-0000-0000DC670000}"/>
    <cellStyle name="Normal 2 41 3 3" xfId="26586" xr:uid="{00000000-0005-0000-0000-0000DD670000}"/>
    <cellStyle name="Normal 2 41 3 4" xfId="26587" xr:uid="{00000000-0005-0000-0000-0000DE670000}"/>
    <cellStyle name="Normal 2 41 3 5" xfId="26588" xr:uid="{00000000-0005-0000-0000-0000DF670000}"/>
    <cellStyle name="Normal 2 41 3 6" xfId="26589" xr:uid="{00000000-0005-0000-0000-0000E0670000}"/>
    <cellStyle name="Normal 2 41 4" xfId="26590" xr:uid="{00000000-0005-0000-0000-0000E1670000}"/>
    <cellStyle name="Normal 2 41 4 2" xfId="26591" xr:uid="{00000000-0005-0000-0000-0000E2670000}"/>
    <cellStyle name="Normal 2 41 4 2 2" xfId="26592" xr:uid="{00000000-0005-0000-0000-0000E3670000}"/>
    <cellStyle name="Normal 2 41 4 3" xfId="26593" xr:uid="{00000000-0005-0000-0000-0000E4670000}"/>
    <cellStyle name="Normal 2 41 4 4" xfId="26594" xr:uid="{00000000-0005-0000-0000-0000E5670000}"/>
    <cellStyle name="Normal 2 41 4 5" xfId="26595" xr:uid="{00000000-0005-0000-0000-0000E6670000}"/>
    <cellStyle name="Normal 2 41 4 6" xfId="26596" xr:uid="{00000000-0005-0000-0000-0000E7670000}"/>
    <cellStyle name="Normal 2 41 5" xfId="26597" xr:uid="{00000000-0005-0000-0000-0000E8670000}"/>
    <cellStyle name="Normal 2 41 5 2" xfId="26598" xr:uid="{00000000-0005-0000-0000-0000E9670000}"/>
    <cellStyle name="Normal 2 41 5 3" xfId="26599" xr:uid="{00000000-0005-0000-0000-0000EA670000}"/>
    <cellStyle name="Normal 2 41 5 4" xfId="26600" xr:uid="{00000000-0005-0000-0000-0000EB670000}"/>
    <cellStyle name="Normal 2 41 5 5" xfId="26601" xr:uid="{00000000-0005-0000-0000-0000EC670000}"/>
    <cellStyle name="Normal 2 41 6" xfId="26602" xr:uid="{00000000-0005-0000-0000-0000ED670000}"/>
    <cellStyle name="Normal 2 41 6 2" xfId="26603" xr:uid="{00000000-0005-0000-0000-0000EE670000}"/>
    <cellStyle name="Normal 2 41 6 3" xfId="26604" xr:uid="{00000000-0005-0000-0000-0000EF670000}"/>
    <cellStyle name="Normal 2 41 7" xfId="26605" xr:uid="{00000000-0005-0000-0000-0000F0670000}"/>
    <cellStyle name="Normal 2 41 7 2" xfId="26606" xr:uid="{00000000-0005-0000-0000-0000F1670000}"/>
    <cellStyle name="Normal 2 41 8" xfId="26607" xr:uid="{00000000-0005-0000-0000-0000F2670000}"/>
    <cellStyle name="Normal 2 41 9" xfId="26608" xr:uid="{00000000-0005-0000-0000-0000F3670000}"/>
    <cellStyle name="Normal 2 42" xfId="26609" xr:uid="{00000000-0005-0000-0000-0000F4670000}"/>
    <cellStyle name="Normal 2 42 10" xfId="26610" xr:uid="{00000000-0005-0000-0000-0000F5670000}"/>
    <cellStyle name="Normal 2 42 2" xfId="26611" xr:uid="{00000000-0005-0000-0000-0000F6670000}"/>
    <cellStyle name="Normal 2 42 2 2" xfId="26612" xr:uid="{00000000-0005-0000-0000-0000F7670000}"/>
    <cellStyle name="Normal 2 42 2 2 2" xfId="26613" xr:uid="{00000000-0005-0000-0000-0000F8670000}"/>
    <cellStyle name="Normal 2 42 2 2 3" xfId="26614" xr:uid="{00000000-0005-0000-0000-0000F9670000}"/>
    <cellStyle name="Normal 2 42 2 3" xfId="26615" xr:uid="{00000000-0005-0000-0000-0000FA670000}"/>
    <cellStyle name="Normal 2 42 2 4" xfId="26616" xr:uid="{00000000-0005-0000-0000-0000FB670000}"/>
    <cellStyle name="Normal 2 42 2 5" xfId="26617" xr:uid="{00000000-0005-0000-0000-0000FC670000}"/>
    <cellStyle name="Normal 2 42 2 6" xfId="26618" xr:uid="{00000000-0005-0000-0000-0000FD670000}"/>
    <cellStyle name="Normal 2 42 3" xfId="26619" xr:uid="{00000000-0005-0000-0000-0000FE670000}"/>
    <cellStyle name="Normal 2 42 3 2" xfId="26620" xr:uid="{00000000-0005-0000-0000-0000FF670000}"/>
    <cellStyle name="Normal 2 42 3 2 2" xfId="26621" xr:uid="{00000000-0005-0000-0000-000000680000}"/>
    <cellStyle name="Normal 2 42 3 2 3" xfId="26622" xr:uid="{00000000-0005-0000-0000-000001680000}"/>
    <cellStyle name="Normal 2 42 3 3" xfId="26623" xr:uid="{00000000-0005-0000-0000-000002680000}"/>
    <cellStyle name="Normal 2 42 3 4" xfId="26624" xr:uid="{00000000-0005-0000-0000-000003680000}"/>
    <cellStyle name="Normal 2 42 3 5" xfId="26625" xr:uid="{00000000-0005-0000-0000-000004680000}"/>
    <cellStyle name="Normal 2 42 3 6" xfId="26626" xr:uid="{00000000-0005-0000-0000-000005680000}"/>
    <cellStyle name="Normal 2 42 4" xfId="26627" xr:uid="{00000000-0005-0000-0000-000006680000}"/>
    <cellStyle name="Normal 2 42 4 2" xfId="26628" xr:uid="{00000000-0005-0000-0000-000007680000}"/>
    <cellStyle name="Normal 2 42 4 2 2" xfId="26629" xr:uid="{00000000-0005-0000-0000-000008680000}"/>
    <cellStyle name="Normal 2 42 4 3" xfId="26630" xr:uid="{00000000-0005-0000-0000-000009680000}"/>
    <cellStyle name="Normal 2 42 4 4" xfId="26631" xr:uid="{00000000-0005-0000-0000-00000A680000}"/>
    <cellStyle name="Normal 2 42 4 5" xfId="26632" xr:uid="{00000000-0005-0000-0000-00000B680000}"/>
    <cellStyle name="Normal 2 42 4 6" xfId="26633" xr:uid="{00000000-0005-0000-0000-00000C680000}"/>
    <cellStyle name="Normal 2 42 5" xfId="26634" xr:uid="{00000000-0005-0000-0000-00000D680000}"/>
    <cellStyle name="Normal 2 42 5 2" xfId="26635" xr:uid="{00000000-0005-0000-0000-00000E680000}"/>
    <cellStyle name="Normal 2 42 5 3" xfId="26636" xr:uid="{00000000-0005-0000-0000-00000F680000}"/>
    <cellStyle name="Normal 2 42 5 4" xfId="26637" xr:uid="{00000000-0005-0000-0000-000010680000}"/>
    <cellStyle name="Normal 2 42 5 5" xfId="26638" xr:uid="{00000000-0005-0000-0000-000011680000}"/>
    <cellStyle name="Normal 2 42 6" xfId="26639" xr:uid="{00000000-0005-0000-0000-000012680000}"/>
    <cellStyle name="Normal 2 42 6 2" xfId="26640" xr:uid="{00000000-0005-0000-0000-000013680000}"/>
    <cellStyle name="Normal 2 42 6 3" xfId="26641" xr:uid="{00000000-0005-0000-0000-000014680000}"/>
    <cellStyle name="Normal 2 42 7" xfId="26642" xr:uid="{00000000-0005-0000-0000-000015680000}"/>
    <cellStyle name="Normal 2 42 7 2" xfId="26643" xr:uid="{00000000-0005-0000-0000-000016680000}"/>
    <cellStyle name="Normal 2 42 8" xfId="26644" xr:uid="{00000000-0005-0000-0000-000017680000}"/>
    <cellStyle name="Normal 2 42 9" xfId="26645" xr:uid="{00000000-0005-0000-0000-000018680000}"/>
    <cellStyle name="Normal 2 43" xfId="26646" xr:uid="{00000000-0005-0000-0000-000019680000}"/>
    <cellStyle name="Normal 2 43 10" xfId="26647" xr:uid="{00000000-0005-0000-0000-00001A680000}"/>
    <cellStyle name="Normal 2 43 2" xfId="26648" xr:uid="{00000000-0005-0000-0000-00001B680000}"/>
    <cellStyle name="Normal 2 43 2 2" xfId="26649" xr:uid="{00000000-0005-0000-0000-00001C680000}"/>
    <cellStyle name="Normal 2 43 2 2 2" xfId="26650" xr:uid="{00000000-0005-0000-0000-00001D680000}"/>
    <cellStyle name="Normal 2 43 2 2 3" xfId="26651" xr:uid="{00000000-0005-0000-0000-00001E680000}"/>
    <cellStyle name="Normal 2 43 2 3" xfId="26652" xr:uid="{00000000-0005-0000-0000-00001F680000}"/>
    <cellStyle name="Normal 2 43 2 4" xfId="26653" xr:uid="{00000000-0005-0000-0000-000020680000}"/>
    <cellStyle name="Normal 2 43 2 5" xfId="26654" xr:uid="{00000000-0005-0000-0000-000021680000}"/>
    <cellStyle name="Normal 2 43 2 6" xfId="26655" xr:uid="{00000000-0005-0000-0000-000022680000}"/>
    <cellStyle name="Normal 2 43 3" xfId="26656" xr:uid="{00000000-0005-0000-0000-000023680000}"/>
    <cellStyle name="Normal 2 43 3 2" xfId="26657" xr:uid="{00000000-0005-0000-0000-000024680000}"/>
    <cellStyle name="Normal 2 43 3 2 2" xfId="26658" xr:uid="{00000000-0005-0000-0000-000025680000}"/>
    <cellStyle name="Normal 2 43 3 2 3" xfId="26659" xr:uid="{00000000-0005-0000-0000-000026680000}"/>
    <cellStyle name="Normal 2 43 3 3" xfId="26660" xr:uid="{00000000-0005-0000-0000-000027680000}"/>
    <cellStyle name="Normal 2 43 3 4" xfId="26661" xr:uid="{00000000-0005-0000-0000-000028680000}"/>
    <cellStyle name="Normal 2 43 3 5" xfId="26662" xr:uid="{00000000-0005-0000-0000-000029680000}"/>
    <cellStyle name="Normal 2 43 3 6" xfId="26663" xr:uid="{00000000-0005-0000-0000-00002A680000}"/>
    <cellStyle name="Normal 2 43 4" xfId="26664" xr:uid="{00000000-0005-0000-0000-00002B680000}"/>
    <cellStyle name="Normal 2 43 4 2" xfId="26665" xr:uid="{00000000-0005-0000-0000-00002C680000}"/>
    <cellStyle name="Normal 2 43 4 2 2" xfId="26666" xr:uid="{00000000-0005-0000-0000-00002D680000}"/>
    <cellStyle name="Normal 2 43 4 3" xfId="26667" xr:uid="{00000000-0005-0000-0000-00002E680000}"/>
    <cellStyle name="Normal 2 43 4 4" xfId="26668" xr:uid="{00000000-0005-0000-0000-00002F680000}"/>
    <cellStyle name="Normal 2 43 4 5" xfId="26669" xr:uid="{00000000-0005-0000-0000-000030680000}"/>
    <cellStyle name="Normal 2 43 4 6" xfId="26670" xr:uid="{00000000-0005-0000-0000-000031680000}"/>
    <cellStyle name="Normal 2 43 5" xfId="26671" xr:uid="{00000000-0005-0000-0000-000032680000}"/>
    <cellStyle name="Normal 2 43 5 2" xfId="26672" xr:uid="{00000000-0005-0000-0000-000033680000}"/>
    <cellStyle name="Normal 2 43 5 3" xfId="26673" xr:uid="{00000000-0005-0000-0000-000034680000}"/>
    <cellStyle name="Normal 2 43 5 4" xfId="26674" xr:uid="{00000000-0005-0000-0000-000035680000}"/>
    <cellStyle name="Normal 2 43 5 5" xfId="26675" xr:uid="{00000000-0005-0000-0000-000036680000}"/>
    <cellStyle name="Normal 2 43 6" xfId="26676" xr:uid="{00000000-0005-0000-0000-000037680000}"/>
    <cellStyle name="Normal 2 43 6 2" xfId="26677" xr:uid="{00000000-0005-0000-0000-000038680000}"/>
    <cellStyle name="Normal 2 43 6 3" xfId="26678" xr:uid="{00000000-0005-0000-0000-000039680000}"/>
    <cellStyle name="Normal 2 43 7" xfId="26679" xr:uid="{00000000-0005-0000-0000-00003A680000}"/>
    <cellStyle name="Normal 2 43 7 2" xfId="26680" xr:uid="{00000000-0005-0000-0000-00003B680000}"/>
    <cellStyle name="Normal 2 43 8" xfId="26681" xr:uid="{00000000-0005-0000-0000-00003C680000}"/>
    <cellStyle name="Normal 2 43 9" xfId="26682" xr:uid="{00000000-0005-0000-0000-00003D680000}"/>
    <cellStyle name="Normal 2 44" xfId="26683" xr:uid="{00000000-0005-0000-0000-00003E680000}"/>
    <cellStyle name="Normal 2 44 10" xfId="26684" xr:uid="{00000000-0005-0000-0000-00003F680000}"/>
    <cellStyle name="Normal 2 44 2" xfId="26685" xr:uid="{00000000-0005-0000-0000-000040680000}"/>
    <cellStyle name="Normal 2 44 2 2" xfId="26686" xr:uid="{00000000-0005-0000-0000-000041680000}"/>
    <cellStyle name="Normal 2 44 2 2 2" xfId="26687" xr:uid="{00000000-0005-0000-0000-000042680000}"/>
    <cellStyle name="Normal 2 44 2 2 3" xfId="26688" xr:uid="{00000000-0005-0000-0000-000043680000}"/>
    <cellStyle name="Normal 2 44 2 3" xfId="26689" xr:uid="{00000000-0005-0000-0000-000044680000}"/>
    <cellStyle name="Normal 2 44 2 4" xfId="26690" xr:uid="{00000000-0005-0000-0000-000045680000}"/>
    <cellStyle name="Normal 2 44 2 5" xfId="26691" xr:uid="{00000000-0005-0000-0000-000046680000}"/>
    <cellStyle name="Normal 2 44 2 6" xfId="26692" xr:uid="{00000000-0005-0000-0000-000047680000}"/>
    <cellStyle name="Normal 2 44 3" xfId="26693" xr:uid="{00000000-0005-0000-0000-000048680000}"/>
    <cellStyle name="Normal 2 44 3 2" xfId="26694" xr:uid="{00000000-0005-0000-0000-000049680000}"/>
    <cellStyle name="Normal 2 44 3 2 2" xfId="26695" xr:uid="{00000000-0005-0000-0000-00004A680000}"/>
    <cellStyle name="Normal 2 44 3 2 3" xfId="26696" xr:uid="{00000000-0005-0000-0000-00004B680000}"/>
    <cellStyle name="Normal 2 44 3 3" xfId="26697" xr:uid="{00000000-0005-0000-0000-00004C680000}"/>
    <cellStyle name="Normal 2 44 3 4" xfId="26698" xr:uid="{00000000-0005-0000-0000-00004D680000}"/>
    <cellStyle name="Normal 2 44 3 5" xfId="26699" xr:uid="{00000000-0005-0000-0000-00004E680000}"/>
    <cellStyle name="Normal 2 44 3 6" xfId="26700" xr:uid="{00000000-0005-0000-0000-00004F680000}"/>
    <cellStyle name="Normal 2 44 4" xfId="26701" xr:uid="{00000000-0005-0000-0000-000050680000}"/>
    <cellStyle name="Normal 2 44 4 2" xfId="26702" xr:uid="{00000000-0005-0000-0000-000051680000}"/>
    <cellStyle name="Normal 2 44 4 2 2" xfId="26703" xr:uid="{00000000-0005-0000-0000-000052680000}"/>
    <cellStyle name="Normal 2 44 4 3" xfId="26704" xr:uid="{00000000-0005-0000-0000-000053680000}"/>
    <cellStyle name="Normal 2 44 4 4" xfId="26705" xr:uid="{00000000-0005-0000-0000-000054680000}"/>
    <cellStyle name="Normal 2 44 4 5" xfId="26706" xr:uid="{00000000-0005-0000-0000-000055680000}"/>
    <cellStyle name="Normal 2 44 4 6" xfId="26707" xr:uid="{00000000-0005-0000-0000-000056680000}"/>
    <cellStyle name="Normal 2 44 5" xfId="26708" xr:uid="{00000000-0005-0000-0000-000057680000}"/>
    <cellStyle name="Normal 2 44 5 2" xfId="26709" xr:uid="{00000000-0005-0000-0000-000058680000}"/>
    <cellStyle name="Normal 2 44 5 3" xfId="26710" xr:uid="{00000000-0005-0000-0000-000059680000}"/>
    <cellStyle name="Normal 2 44 5 4" xfId="26711" xr:uid="{00000000-0005-0000-0000-00005A680000}"/>
    <cellStyle name="Normal 2 44 5 5" xfId="26712" xr:uid="{00000000-0005-0000-0000-00005B680000}"/>
    <cellStyle name="Normal 2 44 6" xfId="26713" xr:uid="{00000000-0005-0000-0000-00005C680000}"/>
    <cellStyle name="Normal 2 44 6 2" xfId="26714" xr:uid="{00000000-0005-0000-0000-00005D680000}"/>
    <cellStyle name="Normal 2 44 6 3" xfId="26715" xr:uid="{00000000-0005-0000-0000-00005E680000}"/>
    <cellStyle name="Normal 2 44 7" xfId="26716" xr:uid="{00000000-0005-0000-0000-00005F680000}"/>
    <cellStyle name="Normal 2 44 7 2" xfId="26717" xr:uid="{00000000-0005-0000-0000-000060680000}"/>
    <cellStyle name="Normal 2 44 8" xfId="26718" xr:uid="{00000000-0005-0000-0000-000061680000}"/>
    <cellStyle name="Normal 2 44 9" xfId="26719" xr:uid="{00000000-0005-0000-0000-000062680000}"/>
    <cellStyle name="Normal 2 45" xfId="26720" xr:uid="{00000000-0005-0000-0000-000063680000}"/>
    <cellStyle name="Normal 2 45 10" xfId="26721" xr:uid="{00000000-0005-0000-0000-000064680000}"/>
    <cellStyle name="Normal 2 45 2" xfId="26722" xr:uid="{00000000-0005-0000-0000-000065680000}"/>
    <cellStyle name="Normal 2 45 2 2" xfId="26723" xr:uid="{00000000-0005-0000-0000-000066680000}"/>
    <cellStyle name="Normal 2 45 2 2 2" xfId="26724" xr:uid="{00000000-0005-0000-0000-000067680000}"/>
    <cellStyle name="Normal 2 45 2 2 3" xfId="26725" xr:uid="{00000000-0005-0000-0000-000068680000}"/>
    <cellStyle name="Normal 2 45 2 3" xfId="26726" xr:uid="{00000000-0005-0000-0000-000069680000}"/>
    <cellStyle name="Normal 2 45 2 4" xfId="26727" xr:uid="{00000000-0005-0000-0000-00006A680000}"/>
    <cellStyle name="Normal 2 45 2 5" xfId="26728" xr:uid="{00000000-0005-0000-0000-00006B680000}"/>
    <cellStyle name="Normal 2 45 2 6" xfId="26729" xr:uid="{00000000-0005-0000-0000-00006C680000}"/>
    <cellStyle name="Normal 2 45 3" xfId="26730" xr:uid="{00000000-0005-0000-0000-00006D680000}"/>
    <cellStyle name="Normal 2 45 3 2" xfId="26731" xr:uid="{00000000-0005-0000-0000-00006E680000}"/>
    <cellStyle name="Normal 2 45 3 2 2" xfId="26732" xr:uid="{00000000-0005-0000-0000-00006F680000}"/>
    <cellStyle name="Normal 2 45 3 2 3" xfId="26733" xr:uid="{00000000-0005-0000-0000-000070680000}"/>
    <cellStyle name="Normal 2 45 3 3" xfId="26734" xr:uid="{00000000-0005-0000-0000-000071680000}"/>
    <cellStyle name="Normal 2 45 3 4" xfId="26735" xr:uid="{00000000-0005-0000-0000-000072680000}"/>
    <cellStyle name="Normal 2 45 3 5" xfId="26736" xr:uid="{00000000-0005-0000-0000-000073680000}"/>
    <cellStyle name="Normal 2 45 3 6" xfId="26737" xr:uid="{00000000-0005-0000-0000-000074680000}"/>
    <cellStyle name="Normal 2 45 4" xfId="26738" xr:uid="{00000000-0005-0000-0000-000075680000}"/>
    <cellStyle name="Normal 2 45 4 2" xfId="26739" xr:uid="{00000000-0005-0000-0000-000076680000}"/>
    <cellStyle name="Normal 2 45 4 2 2" xfId="26740" xr:uid="{00000000-0005-0000-0000-000077680000}"/>
    <cellStyle name="Normal 2 45 4 3" xfId="26741" xr:uid="{00000000-0005-0000-0000-000078680000}"/>
    <cellStyle name="Normal 2 45 4 4" xfId="26742" xr:uid="{00000000-0005-0000-0000-000079680000}"/>
    <cellStyle name="Normal 2 45 4 5" xfId="26743" xr:uid="{00000000-0005-0000-0000-00007A680000}"/>
    <cellStyle name="Normal 2 45 4 6" xfId="26744" xr:uid="{00000000-0005-0000-0000-00007B680000}"/>
    <cellStyle name="Normal 2 45 5" xfId="26745" xr:uid="{00000000-0005-0000-0000-00007C680000}"/>
    <cellStyle name="Normal 2 45 5 2" xfId="26746" xr:uid="{00000000-0005-0000-0000-00007D680000}"/>
    <cellStyle name="Normal 2 45 5 3" xfId="26747" xr:uid="{00000000-0005-0000-0000-00007E680000}"/>
    <cellStyle name="Normal 2 45 5 4" xfId="26748" xr:uid="{00000000-0005-0000-0000-00007F680000}"/>
    <cellStyle name="Normal 2 45 5 5" xfId="26749" xr:uid="{00000000-0005-0000-0000-000080680000}"/>
    <cellStyle name="Normal 2 45 6" xfId="26750" xr:uid="{00000000-0005-0000-0000-000081680000}"/>
    <cellStyle name="Normal 2 45 6 2" xfId="26751" xr:uid="{00000000-0005-0000-0000-000082680000}"/>
    <cellStyle name="Normal 2 45 6 3" xfId="26752" xr:uid="{00000000-0005-0000-0000-000083680000}"/>
    <cellStyle name="Normal 2 45 7" xfId="26753" xr:uid="{00000000-0005-0000-0000-000084680000}"/>
    <cellStyle name="Normal 2 45 7 2" xfId="26754" xr:uid="{00000000-0005-0000-0000-000085680000}"/>
    <cellStyle name="Normal 2 45 8" xfId="26755" xr:uid="{00000000-0005-0000-0000-000086680000}"/>
    <cellStyle name="Normal 2 45 9" xfId="26756" xr:uid="{00000000-0005-0000-0000-000087680000}"/>
    <cellStyle name="Normal 2 46" xfId="26757" xr:uid="{00000000-0005-0000-0000-000088680000}"/>
    <cellStyle name="Normal 2 46 10" xfId="26758" xr:uid="{00000000-0005-0000-0000-000089680000}"/>
    <cellStyle name="Normal 2 46 2" xfId="26759" xr:uid="{00000000-0005-0000-0000-00008A680000}"/>
    <cellStyle name="Normal 2 46 2 2" xfId="26760" xr:uid="{00000000-0005-0000-0000-00008B680000}"/>
    <cellStyle name="Normal 2 46 2 2 2" xfId="26761" xr:uid="{00000000-0005-0000-0000-00008C680000}"/>
    <cellStyle name="Normal 2 46 2 2 3" xfId="26762" xr:uid="{00000000-0005-0000-0000-00008D680000}"/>
    <cellStyle name="Normal 2 46 2 3" xfId="26763" xr:uid="{00000000-0005-0000-0000-00008E680000}"/>
    <cellStyle name="Normal 2 46 2 4" xfId="26764" xr:uid="{00000000-0005-0000-0000-00008F680000}"/>
    <cellStyle name="Normal 2 46 2 5" xfId="26765" xr:uid="{00000000-0005-0000-0000-000090680000}"/>
    <cellStyle name="Normal 2 46 2 6" xfId="26766" xr:uid="{00000000-0005-0000-0000-000091680000}"/>
    <cellStyle name="Normal 2 46 3" xfId="26767" xr:uid="{00000000-0005-0000-0000-000092680000}"/>
    <cellStyle name="Normal 2 46 3 2" xfId="26768" xr:uid="{00000000-0005-0000-0000-000093680000}"/>
    <cellStyle name="Normal 2 46 3 2 2" xfId="26769" xr:uid="{00000000-0005-0000-0000-000094680000}"/>
    <cellStyle name="Normal 2 46 3 2 3" xfId="26770" xr:uid="{00000000-0005-0000-0000-000095680000}"/>
    <cellStyle name="Normal 2 46 3 3" xfId="26771" xr:uid="{00000000-0005-0000-0000-000096680000}"/>
    <cellStyle name="Normal 2 46 3 4" xfId="26772" xr:uid="{00000000-0005-0000-0000-000097680000}"/>
    <cellStyle name="Normal 2 46 3 5" xfId="26773" xr:uid="{00000000-0005-0000-0000-000098680000}"/>
    <cellStyle name="Normal 2 46 3 6" xfId="26774" xr:uid="{00000000-0005-0000-0000-000099680000}"/>
    <cellStyle name="Normal 2 46 4" xfId="26775" xr:uid="{00000000-0005-0000-0000-00009A680000}"/>
    <cellStyle name="Normal 2 46 4 2" xfId="26776" xr:uid="{00000000-0005-0000-0000-00009B680000}"/>
    <cellStyle name="Normal 2 46 4 2 2" xfId="26777" xr:uid="{00000000-0005-0000-0000-00009C680000}"/>
    <cellStyle name="Normal 2 46 4 3" xfId="26778" xr:uid="{00000000-0005-0000-0000-00009D680000}"/>
    <cellStyle name="Normal 2 46 4 4" xfId="26779" xr:uid="{00000000-0005-0000-0000-00009E680000}"/>
    <cellStyle name="Normal 2 46 4 5" xfId="26780" xr:uid="{00000000-0005-0000-0000-00009F680000}"/>
    <cellStyle name="Normal 2 46 4 6" xfId="26781" xr:uid="{00000000-0005-0000-0000-0000A0680000}"/>
    <cellStyle name="Normal 2 46 5" xfId="26782" xr:uid="{00000000-0005-0000-0000-0000A1680000}"/>
    <cellStyle name="Normal 2 46 5 2" xfId="26783" xr:uid="{00000000-0005-0000-0000-0000A2680000}"/>
    <cellStyle name="Normal 2 46 5 3" xfId="26784" xr:uid="{00000000-0005-0000-0000-0000A3680000}"/>
    <cellStyle name="Normal 2 46 5 4" xfId="26785" xr:uid="{00000000-0005-0000-0000-0000A4680000}"/>
    <cellStyle name="Normal 2 46 5 5" xfId="26786" xr:uid="{00000000-0005-0000-0000-0000A5680000}"/>
    <cellStyle name="Normal 2 46 6" xfId="26787" xr:uid="{00000000-0005-0000-0000-0000A6680000}"/>
    <cellStyle name="Normal 2 46 6 2" xfId="26788" xr:uid="{00000000-0005-0000-0000-0000A7680000}"/>
    <cellStyle name="Normal 2 46 6 3" xfId="26789" xr:uid="{00000000-0005-0000-0000-0000A8680000}"/>
    <cellStyle name="Normal 2 46 7" xfId="26790" xr:uid="{00000000-0005-0000-0000-0000A9680000}"/>
    <cellStyle name="Normal 2 46 7 2" xfId="26791" xr:uid="{00000000-0005-0000-0000-0000AA680000}"/>
    <cellStyle name="Normal 2 46 8" xfId="26792" xr:uid="{00000000-0005-0000-0000-0000AB680000}"/>
    <cellStyle name="Normal 2 46 9" xfId="26793" xr:uid="{00000000-0005-0000-0000-0000AC680000}"/>
    <cellStyle name="Normal 2 47" xfId="26794" xr:uid="{00000000-0005-0000-0000-0000AD680000}"/>
    <cellStyle name="Normal 2 47 10" xfId="26795" xr:uid="{00000000-0005-0000-0000-0000AE680000}"/>
    <cellStyle name="Normal 2 47 2" xfId="26796" xr:uid="{00000000-0005-0000-0000-0000AF680000}"/>
    <cellStyle name="Normal 2 47 2 2" xfId="26797" xr:uid="{00000000-0005-0000-0000-0000B0680000}"/>
    <cellStyle name="Normal 2 47 2 2 2" xfId="26798" xr:uid="{00000000-0005-0000-0000-0000B1680000}"/>
    <cellStyle name="Normal 2 47 2 2 3" xfId="26799" xr:uid="{00000000-0005-0000-0000-0000B2680000}"/>
    <cellStyle name="Normal 2 47 2 3" xfId="26800" xr:uid="{00000000-0005-0000-0000-0000B3680000}"/>
    <cellStyle name="Normal 2 47 2 4" xfId="26801" xr:uid="{00000000-0005-0000-0000-0000B4680000}"/>
    <cellStyle name="Normal 2 47 2 5" xfId="26802" xr:uid="{00000000-0005-0000-0000-0000B5680000}"/>
    <cellStyle name="Normal 2 47 2 6" xfId="26803" xr:uid="{00000000-0005-0000-0000-0000B6680000}"/>
    <cellStyle name="Normal 2 47 3" xfId="26804" xr:uid="{00000000-0005-0000-0000-0000B7680000}"/>
    <cellStyle name="Normal 2 47 3 2" xfId="26805" xr:uid="{00000000-0005-0000-0000-0000B8680000}"/>
    <cellStyle name="Normal 2 47 3 2 2" xfId="26806" xr:uid="{00000000-0005-0000-0000-0000B9680000}"/>
    <cellStyle name="Normal 2 47 3 2 3" xfId="26807" xr:uid="{00000000-0005-0000-0000-0000BA680000}"/>
    <cellStyle name="Normal 2 47 3 3" xfId="26808" xr:uid="{00000000-0005-0000-0000-0000BB680000}"/>
    <cellStyle name="Normal 2 47 3 4" xfId="26809" xr:uid="{00000000-0005-0000-0000-0000BC680000}"/>
    <cellStyle name="Normal 2 47 3 5" xfId="26810" xr:uid="{00000000-0005-0000-0000-0000BD680000}"/>
    <cellStyle name="Normal 2 47 3 6" xfId="26811" xr:uid="{00000000-0005-0000-0000-0000BE680000}"/>
    <cellStyle name="Normal 2 47 4" xfId="26812" xr:uid="{00000000-0005-0000-0000-0000BF680000}"/>
    <cellStyle name="Normal 2 47 4 2" xfId="26813" xr:uid="{00000000-0005-0000-0000-0000C0680000}"/>
    <cellStyle name="Normal 2 47 4 2 2" xfId="26814" xr:uid="{00000000-0005-0000-0000-0000C1680000}"/>
    <cellStyle name="Normal 2 47 4 3" xfId="26815" xr:uid="{00000000-0005-0000-0000-0000C2680000}"/>
    <cellStyle name="Normal 2 47 4 4" xfId="26816" xr:uid="{00000000-0005-0000-0000-0000C3680000}"/>
    <cellStyle name="Normal 2 47 4 5" xfId="26817" xr:uid="{00000000-0005-0000-0000-0000C4680000}"/>
    <cellStyle name="Normal 2 47 4 6" xfId="26818" xr:uid="{00000000-0005-0000-0000-0000C5680000}"/>
    <cellStyle name="Normal 2 47 5" xfId="26819" xr:uid="{00000000-0005-0000-0000-0000C6680000}"/>
    <cellStyle name="Normal 2 47 5 2" xfId="26820" xr:uid="{00000000-0005-0000-0000-0000C7680000}"/>
    <cellStyle name="Normal 2 47 5 3" xfId="26821" xr:uid="{00000000-0005-0000-0000-0000C8680000}"/>
    <cellStyle name="Normal 2 47 5 4" xfId="26822" xr:uid="{00000000-0005-0000-0000-0000C9680000}"/>
    <cellStyle name="Normal 2 47 5 5" xfId="26823" xr:uid="{00000000-0005-0000-0000-0000CA680000}"/>
    <cellStyle name="Normal 2 47 6" xfId="26824" xr:uid="{00000000-0005-0000-0000-0000CB680000}"/>
    <cellStyle name="Normal 2 47 6 2" xfId="26825" xr:uid="{00000000-0005-0000-0000-0000CC680000}"/>
    <cellStyle name="Normal 2 47 6 3" xfId="26826" xr:uid="{00000000-0005-0000-0000-0000CD680000}"/>
    <cellStyle name="Normal 2 47 7" xfId="26827" xr:uid="{00000000-0005-0000-0000-0000CE680000}"/>
    <cellStyle name="Normal 2 47 7 2" xfId="26828" xr:uid="{00000000-0005-0000-0000-0000CF680000}"/>
    <cellStyle name="Normal 2 47 8" xfId="26829" xr:uid="{00000000-0005-0000-0000-0000D0680000}"/>
    <cellStyle name="Normal 2 47 9" xfId="26830" xr:uid="{00000000-0005-0000-0000-0000D1680000}"/>
    <cellStyle name="Normal 2 48" xfId="26831" xr:uid="{00000000-0005-0000-0000-0000D2680000}"/>
    <cellStyle name="Normal 2 48 10" xfId="26832" xr:uid="{00000000-0005-0000-0000-0000D3680000}"/>
    <cellStyle name="Normal 2 48 2" xfId="26833" xr:uid="{00000000-0005-0000-0000-0000D4680000}"/>
    <cellStyle name="Normal 2 48 2 2" xfId="26834" xr:uid="{00000000-0005-0000-0000-0000D5680000}"/>
    <cellStyle name="Normal 2 48 2 2 2" xfId="26835" xr:uid="{00000000-0005-0000-0000-0000D6680000}"/>
    <cellStyle name="Normal 2 48 2 2 3" xfId="26836" xr:uid="{00000000-0005-0000-0000-0000D7680000}"/>
    <cellStyle name="Normal 2 48 2 3" xfId="26837" xr:uid="{00000000-0005-0000-0000-0000D8680000}"/>
    <cellStyle name="Normal 2 48 2 4" xfId="26838" xr:uid="{00000000-0005-0000-0000-0000D9680000}"/>
    <cellStyle name="Normal 2 48 2 5" xfId="26839" xr:uid="{00000000-0005-0000-0000-0000DA680000}"/>
    <cellStyle name="Normal 2 48 2 6" xfId="26840" xr:uid="{00000000-0005-0000-0000-0000DB680000}"/>
    <cellStyle name="Normal 2 48 3" xfId="26841" xr:uid="{00000000-0005-0000-0000-0000DC680000}"/>
    <cellStyle name="Normal 2 48 3 2" xfId="26842" xr:uid="{00000000-0005-0000-0000-0000DD680000}"/>
    <cellStyle name="Normal 2 48 3 2 2" xfId="26843" xr:uid="{00000000-0005-0000-0000-0000DE680000}"/>
    <cellStyle name="Normal 2 48 3 2 3" xfId="26844" xr:uid="{00000000-0005-0000-0000-0000DF680000}"/>
    <cellStyle name="Normal 2 48 3 3" xfId="26845" xr:uid="{00000000-0005-0000-0000-0000E0680000}"/>
    <cellStyle name="Normal 2 48 3 4" xfId="26846" xr:uid="{00000000-0005-0000-0000-0000E1680000}"/>
    <cellStyle name="Normal 2 48 3 5" xfId="26847" xr:uid="{00000000-0005-0000-0000-0000E2680000}"/>
    <cellStyle name="Normal 2 48 3 6" xfId="26848" xr:uid="{00000000-0005-0000-0000-0000E3680000}"/>
    <cellStyle name="Normal 2 48 4" xfId="26849" xr:uid="{00000000-0005-0000-0000-0000E4680000}"/>
    <cellStyle name="Normal 2 48 4 2" xfId="26850" xr:uid="{00000000-0005-0000-0000-0000E5680000}"/>
    <cellStyle name="Normal 2 48 4 2 2" xfId="26851" xr:uid="{00000000-0005-0000-0000-0000E6680000}"/>
    <cellStyle name="Normal 2 48 4 3" xfId="26852" xr:uid="{00000000-0005-0000-0000-0000E7680000}"/>
    <cellStyle name="Normal 2 48 4 4" xfId="26853" xr:uid="{00000000-0005-0000-0000-0000E8680000}"/>
    <cellStyle name="Normal 2 48 4 5" xfId="26854" xr:uid="{00000000-0005-0000-0000-0000E9680000}"/>
    <cellStyle name="Normal 2 48 4 6" xfId="26855" xr:uid="{00000000-0005-0000-0000-0000EA680000}"/>
    <cellStyle name="Normal 2 48 5" xfId="26856" xr:uid="{00000000-0005-0000-0000-0000EB680000}"/>
    <cellStyle name="Normal 2 48 5 2" xfId="26857" xr:uid="{00000000-0005-0000-0000-0000EC680000}"/>
    <cellStyle name="Normal 2 48 5 3" xfId="26858" xr:uid="{00000000-0005-0000-0000-0000ED680000}"/>
    <cellStyle name="Normal 2 48 5 4" xfId="26859" xr:uid="{00000000-0005-0000-0000-0000EE680000}"/>
    <cellStyle name="Normal 2 48 5 5" xfId="26860" xr:uid="{00000000-0005-0000-0000-0000EF680000}"/>
    <cellStyle name="Normal 2 48 6" xfId="26861" xr:uid="{00000000-0005-0000-0000-0000F0680000}"/>
    <cellStyle name="Normal 2 48 6 2" xfId="26862" xr:uid="{00000000-0005-0000-0000-0000F1680000}"/>
    <cellStyle name="Normal 2 48 6 3" xfId="26863" xr:uid="{00000000-0005-0000-0000-0000F2680000}"/>
    <cellStyle name="Normal 2 48 7" xfId="26864" xr:uid="{00000000-0005-0000-0000-0000F3680000}"/>
    <cellStyle name="Normal 2 48 7 2" xfId="26865" xr:uid="{00000000-0005-0000-0000-0000F4680000}"/>
    <cellStyle name="Normal 2 48 8" xfId="26866" xr:uid="{00000000-0005-0000-0000-0000F5680000}"/>
    <cellStyle name="Normal 2 48 9" xfId="26867" xr:uid="{00000000-0005-0000-0000-0000F6680000}"/>
    <cellStyle name="Normal 2 49" xfId="26868" xr:uid="{00000000-0005-0000-0000-0000F7680000}"/>
    <cellStyle name="Normal 2 49 10" xfId="26869" xr:uid="{00000000-0005-0000-0000-0000F8680000}"/>
    <cellStyle name="Normal 2 49 2" xfId="26870" xr:uid="{00000000-0005-0000-0000-0000F9680000}"/>
    <cellStyle name="Normal 2 49 2 2" xfId="26871" xr:uid="{00000000-0005-0000-0000-0000FA680000}"/>
    <cellStyle name="Normal 2 49 2 2 2" xfId="26872" xr:uid="{00000000-0005-0000-0000-0000FB680000}"/>
    <cellStyle name="Normal 2 49 2 2 3" xfId="26873" xr:uid="{00000000-0005-0000-0000-0000FC680000}"/>
    <cellStyle name="Normal 2 49 2 3" xfId="26874" xr:uid="{00000000-0005-0000-0000-0000FD680000}"/>
    <cellStyle name="Normal 2 49 2 4" xfId="26875" xr:uid="{00000000-0005-0000-0000-0000FE680000}"/>
    <cellStyle name="Normal 2 49 2 5" xfId="26876" xr:uid="{00000000-0005-0000-0000-0000FF680000}"/>
    <cellStyle name="Normal 2 49 2 6" xfId="26877" xr:uid="{00000000-0005-0000-0000-000000690000}"/>
    <cellStyle name="Normal 2 49 3" xfId="26878" xr:uid="{00000000-0005-0000-0000-000001690000}"/>
    <cellStyle name="Normal 2 49 3 2" xfId="26879" xr:uid="{00000000-0005-0000-0000-000002690000}"/>
    <cellStyle name="Normal 2 49 3 2 2" xfId="26880" xr:uid="{00000000-0005-0000-0000-000003690000}"/>
    <cellStyle name="Normal 2 49 3 2 3" xfId="26881" xr:uid="{00000000-0005-0000-0000-000004690000}"/>
    <cellStyle name="Normal 2 49 3 3" xfId="26882" xr:uid="{00000000-0005-0000-0000-000005690000}"/>
    <cellStyle name="Normal 2 49 3 4" xfId="26883" xr:uid="{00000000-0005-0000-0000-000006690000}"/>
    <cellStyle name="Normal 2 49 3 5" xfId="26884" xr:uid="{00000000-0005-0000-0000-000007690000}"/>
    <cellStyle name="Normal 2 49 3 6" xfId="26885" xr:uid="{00000000-0005-0000-0000-000008690000}"/>
    <cellStyle name="Normal 2 49 4" xfId="26886" xr:uid="{00000000-0005-0000-0000-000009690000}"/>
    <cellStyle name="Normal 2 49 4 2" xfId="26887" xr:uid="{00000000-0005-0000-0000-00000A690000}"/>
    <cellStyle name="Normal 2 49 4 2 2" xfId="26888" xr:uid="{00000000-0005-0000-0000-00000B690000}"/>
    <cellStyle name="Normal 2 49 4 3" xfId="26889" xr:uid="{00000000-0005-0000-0000-00000C690000}"/>
    <cellStyle name="Normal 2 49 4 4" xfId="26890" xr:uid="{00000000-0005-0000-0000-00000D690000}"/>
    <cellStyle name="Normal 2 49 4 5" xfId="26891" xr:uid="{00000000-0005-0000-0000-00000E690000}"/>
    <cellStyle name="Normal 2 49 4 6" xfId="26892" xr:uid="{00000000-0005-0000-0000-00000F690000}"/>
    <cellStyle name="Normal 2 49 5" xfId="26893" xr:uid="{00000000-0005-0000-0000-000010690000}"/>
    <cellStyle name="Normal 2 49 5 2" xfId="26894" xr:uid="{00000000-0005-0000-0000-000011690000}"/>
    <cellStyle name="Normal 2 49 5 3" xfId="26895" xr:uid="{00000000-0005-0000-0000-000012690000}"/>
    <cellStyle name="Normal 2 49 5 4" xfId="26896" xr:uid="{00000000-0005-0000-0000-000013690000}"/>
    <cellStyle name="Normal 2 49 5 5" xfId="26897" xr:uid="{00000000-0005-0000-0000-000014690000}"/>
    <cellStyle name="Normal 2 49 6" xfId="26898" xr:uid="{00000000-0005-0000-0000-000015690000}"/>
    <cellStyle name="Normal 2 49 6 2" xfId="26899" xr:uid="{00000000-0005-0000-0000-000016690000}"/>
    <cellStyle name="Normal 2 49 6 3" xfId="26900" xr:uid="{00000000-0005-0000-0000-000017690000}"/>
    <cellStyle name="Normal 2 49 7" xfId="26901" xr:uid="{00000000-0005-0000-0000-000018690000}"/>
    <cellStyle name="Normal 2 49 7 2" xfId="26902" xr:uid="{00000000-0005-0000-0000-000019690000}"/>
    <cellStyle name="Normal 2 49 8" xfId="26903" xr:uid="{00000000-0005-0000-0000-00001A690000}"/>
    <cellStyle name="Normal 2 49 9" xfId="26904" xr:uid="{00000000-0005-0000-0000-00001B690000}"/>
    <cellStyle name="Normal 2 5" xfId="26905" xr:uid="{00000000-0005-0000-0000-00001C690000}"/>
    <cellStyle name="Normal 2 5 2" xfId="26906" xr:uid="{00000000-0005-0000-0000-00001D690000}"/>
    <cellStyle name="Normal 2 5 2 10" xfId="26907" xr:uid="{00000000-0005-0000-0000-00001E690000}"/>
    <cellStyle name="Normal 2 5 2 10 10" xfId="26908" xr:uid="{00000000-0005-0000-0000-00001F690000}"/>
    <cellStyle name="Normal 2 5 2 10 2" xfId="26909" xr:uid="{00000000-0005-0000-0000-000020690000}"/>
    <cellStyle name="Normal 2 5 2 10 2 2" xfId="26910" xr:uid="{00000000-0005-0000-0000-000021690000}"/>
    <cellStyle name="Normal 2 5 2 10 2 2 2" xfId="26911" xr:uid="{00000000-0005-0000-0000-000022690000}"/>
    <cellStyle name="Normal 2 5 2 10 2 2 3" xfId="26912" xr:uid="{00000000-0005-0000-0000-000023690000}"/>
    <cellStyle name="Normal 2 5 2 10 2 3" xfId="26913" xr:uid="{00000000-0005-0000-0000-000024690000}"/>
    <cellStyle name="Normal 2 5 2 10 2 4" xfId="26914" xr:uid="{00000000-0005-0000-0000-000025690000}"/>
    <cellStyle name="Normal 2 5 2 10 2 5" xfId="26915" xr:uid="{00000000-0005-0000-0000-000026690000}"/>
    <cellStyle name="Normal 2 5 2 10 2 6" xfId="26916" xr:uid="{00000000-0005-0000-0000-000027690000}"/>
    <cellStyle name="Normal 2 5 2 10 3" xfId="26917" xr:uid="{00000000-0005-0000-0000-000028690000}"/>
    <cellStyle name="Normal 2 5 2 10 3 2" xfId="26918" xr:uid="{00000000-0005-0000-0000-000029690000}"/>
    <cellStyle name="Normal 2 5 2 10 3 2 2" xfId="26919" xr:uid="{00000000-0005-0000-0000-00002A690000}"/>
    <cellStyle name="Normal 2 5 2 10 3 2 3" xfId="26920" xr:uid="{00000000-0005-0000-0000-00002B690000}"/>
    <cellStyle name="Normal 2 5 2 10 3 3" xfId="26921" xr:uid="{00000000-0005-0000-0000-00002C690000}"/>
    <cellStyle name="Normal 2 5 2 10 3 4" xfId="26922" xr:uid="{00000000-0005-0000-0000-00002D690000}"/>
    <cellStyle name="Normal 2 5 2 10 3 5" xfId="26923" xr:uid="{00000000-0005-0000-0000-00002E690000}"/>
    <cellStyle name="Normal 2 5 2 10 3 6" xfId="26924" xr:uid="{00000000-0005-0000-0000-00002F690000}"/>
    <cellStyle name="Normal 2 5 2 10 4" xfId="26925" xr:uid="{00000000-0005-0000-0000-000030690000}"/>
    <cellStyle name="Normal 2 5 2 10 4 2" xfId="26926" xr:uid="{00000000-0005-0000-0000-000031690000}"/>
    <cellStyle name="Normal 2 5 2 10 4 2 2" xfId="26927" xr:uid="{00000000-0005-0000-0000-000032690000}"/>
    <cellStyle name="Normal 2 5 2 10 4 3" xfId="26928" xr:uid="{00000000-0005-0000-0000-000033690000}"/>
    <cellStyle name="Normal 2 5 2 10 4 4" xfId="26929" xr:uid="{00000000-0005-0000-0000-000034690000}"/>
    <cellStyle name="Normal 2 5 2 10 4 5" xfId="26930" xr:uid="{00000000-0005-0000-0000-000035690000}"/>
    <cellStyle name="Normal 2 5 2 10 5" xfId="26931" xr:uid="{00000000-0005-0000-0000-000036690000}"/>
    <cellStyle name="Normal 2 5 2 10 5 2" xfId="26932" xr:uid="{00000000-0005-0000-0000-000037690000}"/>
    <cellStyle name="Normal 2 5 2 10 5 3" xfId="26933" xr:uid="{00000000-0005-0000-0000-000038690000}"/>
    <cellStyle name="Normal 2 5 2 10 5 4" xfId="26934" xr:uid="{00000000-0005-0000-0000-000039690000}"/>
    <cellStyle name="Normal 2 5 2 10 6" xfId="26935" xr:uid="{00000000-0005-0000-0000-00003A690000}"/>
    <cellStyle name="Normal 2 5 2 10 6 2" xfId="26936" xr:uid="{00000000-0005-0000-0000-00003B690000}"/>
    <cellStyle name="Normal 2 5 2 10 7" xfId="26937" xr:uid="{00000000-0005-0000-0000-00003C690000}"/>
    <cellStyle name="Normal 2 5 2 10 8" xfId="26938" xr:uid="{00000000-0005-0000-0000-00003D690000}"/>
    <cellStyle name="Normal 2 5 2 10 9" xfId="26939" xr:uid="{00000000-0005-0000-0000-00003E690000}"/>
    <cellStyle name="Normal 2 5 2 11" xfId="26940" xr:uid="{00000000-0005-0000-0000-00003F690000}"/>
    <cellStyle name="Normal 2 5 2 11 10" xfId="26941" xr:uid="{00000000-0005-0000-0000-000040690000}"/>
    <cellStyle name="Normal 2 5 2 11 2" xfId="26942" xr:uid="{00000000-0005-0000-0000-000041690000}"/>
    <cellStyle name="Normal 2 5 2 11 2 2" xfId="26943" xr:uid="{00000000-0005-0000-0000-000042690000}"/>
    <cellStyle name="Normal 2 5 2 11 2 2 2" xfId="26944" xr:uid="{00000000-0005-0000-0000-000043690000}"/>
    <cellStyle name="Normal 2 5 2 11 2 2 3" xfId="26945" xr:uid="{00000000-0005-0000-0000-000044690000}"/>
    <cellStyle name="Normal 2 5 2 11 2 3" xfId="26946" xr:uid="{00000000-0005-0000-0000-000045690000}"/>
    <cellStyle name="Normal 2 5 2 11 2 4" xfId="26947" xr:uid="{00000000-0005-0000-0000-000046690000}"/>
    <cellStyle name="Normal 2 5 2 11 2 5" xfId="26948" xr:uid="{00000000-0005-0000-0000-000047690000}"/>
    <cellStyle name="Normal 2 5 2 11 2 6" xfId="26949" xr:uid="{00000000-0005-0000-0000-000048690000}"/>
    <cellStyle name="Normal 2 5 2 11 3" xfId="26950" xr:uid="{00000000-0005-0000-0000-000049690000}"/>
    <cellStyle name="Normal 2 5 2 11 3 2" xfId="26951" xr:uid="{00000000-0005-0000-0000-00004A690000}"/>
    <cellStyle name="Normal 2 5 2 11 3 2 2" xfId="26952" xr:uid="{00000000-0005-0000-0000-00004B690000}"/>
    <cellStyle name="Normal 2 5 2 11 3 2 3" xfId="26953" xr:uid="{00000000-0005-0000-0000-00004C690000}"/>
    <cellStyle name="Normal 2 5 2 11 3 3" xfId="26954" xr:uid="{00000000-0005-0000-0000-00004D690000}"/>
    <cellStyle name="Normal 2 5 2 11 3 4" xfId="26955" xr:uid="{00000000-0005-0000-0000-00004E690000}"/>
    <cellStyle name="Normal 2 5 2 11 3 5" xfId="26956" xr:uid="{00000000-0005-0000-0000-00004F690000}"/>
    <cellStyle name="Normal 2 5 2 11 3 6" xfId="26957" xr:uid="{00000000-0005-0000-0000-000050690000}"/>
    <cellStyle name="Normal 2 5 2 11 4" xfId="26958" xr:uid="{00000000-0005-0000-0000-000051690000}"/>
    <cellStyle name="Normal 2 5 2 11 4 2" xfId="26959" xr:uid="{00000000-0005-0000-0000-000052690000}"/>
    <cellStyle name="Normal 2 5 2 11 4 2 2" xfId="26960" xr:uid="{00000000-0005-0000-0000-000053690000}"/>
    <cellStyle name="Normal 2 5 2 11 4 3" xfId="26961" xr:uid="{00000000-0005-0000-0000-000054690000}"/>
    <cellStyle name="Normal 2 5 2 11 4 4" xfId="26962" xr:uid="{00000000-0005-0000-0000-000055690000}"/>
    <cellStyle name="Normal 2 5 2 11 4 5" xfId="26963" xr:uid="{00000000-0005-0000-0000-000056690000}"/>
    <cellStyle name="Normal 2 5 2 11 5" xfId="26964" xr:uid="{00000000-0005-0000-0000-000057690000}"/>
    <cellStyle name="Normal 2 5 2 11 5 2" xfId="26965" xr:uid="{00000000-0005-0000-0000-000058690000}"/>
    <cellStyle name="Normal 2 5 2 11 5 3" xfId="26966" xr:uid="{00000000-0005-0000-0000-000059690000}"/>
    <cellStyle name="Normal 2 5 2 11 5 4" xfId="26967" xr:uid="{00000000-0005-0000-0000-00005A690000}"/>
    <cellStyle name="Normal 2 5 2 11 6" xfId="26968" xr:uid="{00000000-0005-0000-0000-00005B690000}"/>
    <cellStyle name="Normal 2 5 2 11 6 2" xfId="26969" xr:uid="{00000000-0005-0000-0000-00005C690000}"/>
    <cellStyle name="Normal 2 5 2 11 7" xfId="26970" xr:uid="{00000000-0005-0000-0000-00005D690000}"/>
    <cellStyle name="Normal 2 5 2 11 8" xfId="26971" xr:uid="{00000000-0005-0000-0000-00005E690000}"/>
    <cellStyle name="Normal 2 5 2 11 9" xfId="26972" xr:uid="{00000000-0005-0000-0000-00005F690000}"/>
    <cellStyle name="Normal 2 5 2 12" xfId="26973" xr:uid="{00000000-0005-0000-0000-000060690000}"/>
    <cellStyle name="Normal 2 5 2 12 10" xfId="26974" xr:uid="{00000000-0005-0000-0000-000061690000}"/>
    <cellStyle name="Normal 2 5 2 12 2" xfId="26975" xr:uid="{00000000-0005-0000-0000-000062690000}"/>
    <cellStyle name="Normal 2 5 2 12 2 2" xfId="26976" xr:uid="{00000000-0005-0000-0000-000063690000}"/>
    <cellStyle name="Normal 2 5 2 12 2 2 2" xfId="26977" xr:uid="{00000000-0005-0000-0000-000064690000}"/>
    <cellStyle name="Normal 2 5 2 12 2 2 3" xfId="26978" xr:uid="{00000000-0005-0000-0000-000065690000}"/>
    <cellStyle name="Normal 2 5 2 12 2 3" xfId="26979" xr:uid="{00000000-0005-0000-0000-000066690000}"/>
    <cellStyle name="Normal 2 5 2 12 2 4" xfId="26980" xr:uid="{00000000-0005-0000-0000-000067690000}"/>
    <cellStyle name="Normal 2 5 2 12 2 5" xfId="26981" xr:uid="{00000000-0005-0000-0000-000068690000}"/>
    <cellStyle name="Normal 2 5 2 12 2 6" xfId="26982" xr:uid="{00000000-0005-0000-0000-000069690000}"/>
    <cellStyle name="Normal 2 5 2 12 3" xfId="26983" xr:uid="{00000000-0005-0000-0000-00006A690000}"/>
    <cellStyle name="Normal 2 5 2 12 3 2" xfId="26984" xr:uid="{00000000-0005-0000-0000-00006B690000}"/>
    <cellStyle name="Normal 2 5 2 12 3 2 2" xfId="26985" xr:uid="{00000000-0005-0000-0000-00006C690000}"/>
    <cellStyle name="Normal 2 5 2 12 3 2 3" xfId="26986" xr:uid="{00000000-0005-0000-0000-00006D690000}"/>
    <cellStyle name="Normal 2 5 2 12 3 3" xfId="26987" xr:uid="{00000000-0005-0000-0000-00006E690000}"/>
    <cellStyle name="Normal 2 5 2 12 3 4" xfId="26988" xr:uid="{00000000-0005-0000-0000-00006F690000}"/>
    <cellStyle name="Normal 2 5 2 12 3 5" xfId="26989" xr:uid="{00000000-0005-0000-0000-000070690000}"/>
    <cellStyle name="Normal 2 5 2 12 3 6" xfId="26990" xr:uid="{00000000-0005-0000-0000-000071690000}"/>
    <cellStyle name="Normal 2 5 2 12 4" xfId="26991" xr:uid="{00000000-0005-0000-0000-000072690000}"/>
    <cellStyle name="Normal 2 5 2 12 4 2" xfId="26992" xr:uid="{00000000-0005-0000-0000-000073690000}"/>
    <cellStyle name="Normal 2 5 2 12 4 2 2" xfId="26993" xr:uid="{00000000-0005-0000-0000-000074690000}"/>
    <cellStyle name="Normal 2 5 2 12 4 3" xfId="26994" xr:uid="{00000000-0005-0000-0000-000075690000}"/>
    <cellStyle name="Normal 2 5 2 12 4 4" xfId="26995" xr:uid="{00000000-0005-0000-0000-000076690000}"/>
    <cellStyle name="Normal 2 5 2 12 4 5" xfId="26996" xr:uid="{00000000-0005-0000-0000-000077690000}"/>
    <cellStyle name="Normal 2 5 2 12 5" xfId="26997" xr:uid="{00000000-0005-0000-0000-000078690000}"/>
    <cellStyle name="Normal 2 5 2 12 5 2" xfId="26998" xr:uid="{00000000-0005-0000-0000-000079690000}"/>
    <cellStyle name="Normal 2 5 2 12 5 3" xfId="26999" xr:uid="{00000000-0005-0000-0000-00007A690000}"/>
    <cellStyle name="Normal 2 5 2 12 5 4" xfId="27000" xr:uid="{00000000-0005-0000-0000-00007B690000}"/>
    <cellStyle name="Normal 2 5 2 12 6" xfId="27001" xr:uid="{00000000-0005-0000-0000-00007C690000}"/>
    <cellStyle name="Normal 2 5 2 12 6 2" xfId="27002" xr:uid="{00000000-0005-0000-0000-00007D690000}"/>
    <cellStyle name="Normal 2 5 2 12 7" xfId="27003" xr:uid="{00000000-0005-0000-0000-00007E690000}"/>
    <cellStyle name="Normal 2 5 2 12 8" xfId="27004" xr:uid="{00000000-0005-0000-0000-00007F690000}"/>
    <cellStyle name="Normal 2 5 2 12 9" xfId="27005" xr:uid="{00000000-0005-0000-0000-000080690000}"/>
    <cellStyle name="Normal 2 5 2 13" xfId="27006" xr:uid="{00000000-0005-0000-0000-000081690000}"/>
    <cellStyle name="Normal 2 5 2 13 2" xfId="27007" xr:uid="{00000000-0005-0000-0000-000082690000}"/>
    <cellStyle name="Normal 2 5 2 13 2 2" xfId="27008" xr:uid="{00000000-0005-0000-0000-000083690000}"/>
    <cellStyle name="Normal 2 5 2 13 2 2 2" xfId="27009" xr:uid="{00000000-0005-0000-0000-000084690000}"/>
    <cellStyle name="Normal 2 5 2 13 2 2 3" xfId="27010" xr:uid="{00000000-0005-0000-0000-000085690000}"/>
    <cellStyle name="Normal 2 5 2 13 2 3" xfId="27011" xr:uid="{00000000-0005-0000-0000-000086690000}"/>
    <cellStyle name="Normal 2 5 2 13 2 4" xfId="27012" xr:uid="{00000000-0005-0000-0000-000087690000}"/>
    <cellStyle name="Normal 2 5 2 13 2 5" xfId="27013" xr:uid="{00000000-0005-0000-0000-000088690000}"/>
    <cellStyle name="Normal 2 5 2 13 2 6" xfId="27014" xr:uid="{00000000-0005-0000-0000-000089690000}"/>
    <cellStyle name="Normal 2 5 2 13 3" xfId="27015" xr:uid="{00000000-0005-0000-0000-00008A690000}"/>
    <cellStyle name="Normal 2 5 2 13 3 2" xfId="27016" xr:uid="{00000000-0005-0000-0000-00008B690000}"/>
    <cellStyle name="Normal 2 5 2 13 3 2 2" xfId="27017" xr:uid="{00000000-0005-0000-0000-00008C690000}"/>
    <cellStyle name="Normal 2 5 2 13 3 3" xfId="27018" xr:uid="{00000000-0005-0000-0000-00008D690000}"/>
    <cellStyle name="Normal 2 5 2 13 3 4" xfId="27019" xr:uid="{00000000-0005-0000-0000-00008E690000}"/>
    <cellStyle name="Normal 2 5 2 13 3 5" xfId="27020" xr:uid="{00000000-0005-0000-0000-00008F690000}"/>
    <cellStyle name="Normal 2 5 2 13 4" xfId="27021" xr:uid="{00000000-0005-0000-0000-000090690000}"/>
    <cellStyle name="Normal 2 5 2 13 4 2" xfId="27022" xr:uid="{00000000-0005-0000-0000-000091690000}"/>
    <cellStyle name="Normal 2 5 2 13 4 3" xfId="27023" xr:uid="{00000000-0005-0000-0000-000092690000}"/>
    <cellStyle name="Normal 2 5 2 13 4 4" xfId="27024" xr:uid="{00000000-0005-0000-0000-000093690000}"/>
    <cellStyle name="Normal 2 5 2 13 5" xfId="27025" xr:uid="{00000000-0005-0000-0000-000094690000}"/>
    <cellStyle name="Normal 2 5 2 13 5 2" xfId="27026" xr:uid="{00000000-0005-0000-0000-000095690000}"/>
    <cellStyle name="Normal 2 5 2 13 6" xfId="27027" xr:uid="{00000000-0005-0000-0000-000096690000}"/>
    <cellStyle name="Normal 2 5 2 13 7" xfId="27028" xr:uid="{00000000-0005-0000-0000-000097690000}"/>
    <cellStyle name="Normal 2 5 2 13 8" xfId="27029" xr:uid="{00000000-0005-0000-0000-000098690000}"/>
    <cellStyle name="Normal 2 5 2 13 9" xfId="27030" xr:uid="{00000000-0005-0000-0000-000099690000}"/>
    <cellStyle name="Normal 2 5 2 14" xfId="27031" xr:uid="{00000000-0005-0000-0000-00009A690000}"/>
    <cellStyle name="Normal 2 5 2 14 2" xfId="27032" xr:uid="{00000000-0005-0000-0000-00009B690000}"/>
    <cellStyle name="Normal 2 5 2 14 2 2" xfId="27033" xr:uid="{00000000-0005-0000-0000-00009C690000}"/>
    <cellStyle name="Normal 2 5 2 14 2 2 2" xfId="27034" xr:uid="{00000000-0005-0000-0000-00009D690000}"/>
    <cellStyle name="Normal 2 5 2 14 2 2 3" xfId="27035" xr:uid="{00000000-0005-0000-0000-00009E690000}"/>
    <cellStyle name="Normal 2 5 2 14 2 3" xfId="27036" xr:uid="{00000000-0005-0000-0000-00009F690000}"/>
    <cellStyle name="Normal 2 5 2 14 2 4" xfId="27037" xr:uid="{00000000-0005-0000-0000-0000A0690000}"/>
    <cellStyle name="Normal 2 5 2 14 2 5" xfId="27038" xr:uid="{00000000-0005-0000-0000-0000A1690000}"/>
    <cellStyle name="Normal 2 5 2 14 2 6" xfId="27039" xr:uid="{00000000-0005-0000-0000-0000A2690000}"/>
    <cellStyle name="Normal 2 5 2 14 3" xfId="27040" xr:uid="{00000000-0005-0000-0000-0000A3690000}"/>
    <cellStyle name="Normal 2 5 2 14 3 2" xfId="27041" xr:uid="{00000000-0005-0000-0000-0000A4690000}"/>
    <cellStyle name="Normal 2 5 2 14 3 2 2" xfId="27042" xr:uid="{00000000-0005-0000-0000-0000A5690000}"/>
    <cellStyle name="Normal 2 5 2 14 3 3" xfId="27043" xr:uid="{00000000-0005-0000-0000-0000A6690000}"/>
    <cellStyle name="Normal 2 5 2 14 3 4" xfId="27044" xr:uid="{00000000-0005-0000-0000-0000A7690000}"/>
    <cellStyle name="Normal 2 5 2 14 3 5" xfId="27045" xr:uid="{00000000-0005-0000-0000-0000A8690000}"/>
    <cellStyle name="Normal 2 5 2 14 4" xfId="27046" xr:uid="{00000000-0005-0000-0000-0000A9690000}"/>
    <cellStyle name="Normal 2 5 2 14 4 2" xfId="27047" xr:uid="{00000000-0005-0000-0000-0000AA690000}"/>
    <cellStyle name="Normal 2 5 2 14 4 3" xfId="27048" xr:uid="{00000000-0005-0000-0000-0000AB690000}"/>
    <cellStyle name="Normal 2 5 2 14 4 4" xfId="27049" xr:uid="{00000000-0005-0000-0000-0000AC690000}"/>
    <cellStyle name="Normal 2 5 2 14 5" xfId="27050" xr:uid="{00000000-0005-0000-0000-0000AD690000}"/>
    <cellStyle name="Normal 2 5 2 14 5 2" xfId="27051" xr:uid="{00000000-0005-0000-0000-0000AE690000}"/>
    <cellStyle name="Normal 2 5 2 14 6" xfId="27052" xr:uid="{00000000-0005-0000-0000-0000AF690000}"/>
    <cellStyle name="Normal 2 5 2 14 7" xfId="27053" xr:uid="{00000000-0005-0000-0000-0000B0690000}"/>
    <cellStyle name="Normal 2 5 2 14 8" xfId="27054" xr:uid="{00000000-0005-0000-0000-0000B1690000}"/>
    <cellStyle name="Normal 2 5 2 14 9" xfId="27055" xr:uid="{00000000-0005-0000-0000-0000B2690000}"/>
    <cellStyle name="Normal 2 5 2 15" xfId="27056" xr:uid="{00000000-0005-0000-0000-0000B3690000}"/>
    <cellStyle name="Normal 2 5 2 15 2" xfId="27057" xr:uid="{00000000-0005-0000-0000-0000B4690000}"/>
    <cellStyle name="Normal 2 5 2 15 2 2" xfId="27058" xr:uid="{00000000-0005-0000-0000-0000B5690000}"/>
    <cellStyle name="Normal 2 5 2 15 2 3" xfId="27059" xr:uid="{00000000-0005-0000-0000-0000B6690000}"/>
    <cellStyle name="Normal 2 5 2 15 3" xfId="27060" xr:uid="{00000000-0005-0000-0000-0000B7690000}"/>
    <cellStyle name="Normal 2 5 2 15 4" xfId="27061" xr:uid="{00000000-0005-0000-0000-0000B8690000}"/>
    <cellStyle name="Normal 2 5 2 15 5" xfId="27062" xr:uid="{00000000-0005-0000-0000-0000B9690000}"/>
    <cellStyle name="Normal 2 5 2 15 6" xfId="27063" xr:uid="{00000000-0005-0000-0000-0000BA690000}"/>
    <cellStyle name="Normal 2 5 2 16" xfId="27064" xr:uid="{00000000-0005-0000-0000-0000BB690000}"/>
    <cellStyle name="Normal 2 5 2 16 2" xfId="27065" xr:uid="{00000000-0005-0000-0000-0000BC690000}"/>
    <cellStyle name="Normal 2 5 2 16 2 2" xfId="27066" xr:uid="{00000000-0005-0000-0000-0000BD690000}"/>
    <cellStyle name="Normal 2 5 2 16 3" xfId="27067" xr:uid="{00000000-0005-0000-0000-0000BE690000}"/>
    <cellStyle name="Normal 2 5 2 16 4" xfId="27068" xr:uid="{00000000-0005-0000-0000-0000BF690000}"/>
    <cellStyle name="Normal 2 5 2 16 5" xfId="27069" xr:uid="{00000000-0005-0000-0000-0000C0690000}"/>
    <cellStyle name="Normal 2 5 2 17" xfId="27070" xr:uid="{00000000-0005-0000-0000-0000C1690000}"/>
    <cellStyle name="Normal 2 5 2 17 2" xfId="27071" xr:uid="{00000000-0005-0000-0000-0000C2690000}"/>
    <cellStyle name="Normal 2 5 2 17 2 2" xfId="27072" xr:uid="{00000000-0005-0000-0000-0000C3690000}"/>
    <cellStyle name="Normal 2 5 2 17 3" xfId="27073" xr:uid="{00000000-0005-0000-0000-0000C4690000}"/>
    <cellStyle name="Normal 2 5 2 17 4" xfId="27074" xr:uid="{00000000-0005-0000-0000-0000C5690000}"/>
    <cellStyle name="Normal 2 5 2 17 5" xfId="27075" xr:uid="{00000000-0005-0000-0000-0000C6690000}"/>
    <cellStyle name="Normal 2 5 2 18" xfId="27076" xr:uid="{00000000-0005-0000-0000-0000C7690000}"/>
    <cellStyle name="Normal 2 5 2 18 2" xfId="27077" xr:uid="{00000000-0005-0000-0000-0000C8690000}"/>
    <cellStyle name="Normal 2 5 2 19" xfId="27078" xr:uid="{00000000-0005-0000-0000-0000C9690000}"/>
    <cellStyle name="Normal 2 5 2 2" xfId="27079" xr:uid="{00000000-0005-0000-0000-0000CA690000}"/>
    <cellStyle name="Normal 2 5 2 2 10" xfId="27080" xr:uid="{00000000-0005-0000-0000-0000CB690000}"/>
    <cellStyle name="Normal 2 5 2 2 11" xfId="27081" xr:uid="{00000000-0005-0000-0000-0000CC690000}"/>
    <cellStyle name="Normal 2 5 2 2 2" xfId="27082" xr:uid="{00000000-0005-0000-0000-0000CD690000}"/>
    <cellStyle name="Normal 2 5 2 2 2 2" xfId="27083" xr:uid="{00000000-0005-0000-0000-0000CE690000}"/>
    <cellStyle name="Normal 2 5 2 2 2 2 2" xfId="27084" xr:uid="{00000000-0005-0000-0000-0000CF690000}"/>
    <cellStyle name="Normal 2 5 2 2 2 2 2 2" xfId="27085" xr:uid="{00000000-0005-0000-0000-0000D0690000}"/>
    <cellStyle name="Normal 2 5 2 2 2 2 2 3" xfId="27086" xr:uid="{00000000-0005-0000-0000-0000D1690000}"/>
    <cellStyle name="Normal 2 5 2 2 2 2 3" xfId="27087" xr:uid="{00000000-0005-0000-0000-0000D2690000}"/>
    <cellStyle name="Normal 2 5 2 2 2 2 4" xfId="27088" xr:uid="{00000000-0005-0000-0000-0000D3690000}"/>
    <cellStyle name="Normal 2 5 2 2 2 2 5" xfId="27089" xr:uid="{00000000-0005-0000-0000-0000D4690000}"/>
    <cellStyle name="Normal 2 5 2 2 2 2 6" xfId="27090" xr:uid="{00000000-0005-0000-0000-0000D5690000}"/>
    <cellStyle name="Normal 2 5 2 2 2 3" xfId="27091" xr:uid="{00000000-0005-0000-0000-0000D6690000}"/>
    <cellStyle name="Normal 2 5 2 2 2 3 2" xfId="27092" xr:uid="{00000000-0005-0000-0000-0000D7690000}"/>
    <cellStyle name="Normal 2 5 2 2 2 3 2 2" xfId="27093" xr:uid="{00000000-0005-0000-0000-0000D8690000}"/>
    <cellStyle name="Normal 2 5 2 2 2 3 3" xfId="27094" xr:uid="{00000000-0005-0000-0000-0000D9690000}"/>
    <cellStyle name="Normal 2 5 2 2 2 3 4" xfId="27095" xr:uid="{00000000-0005-0000-0000-0000DA690000}"/>
    <cellStyle name="Normal 2 5 2 2 2 3 5" xfId="27096" xr:uid="{00000000-0005-0000-0000-0000DB690000}"/>
    <cellStyle name="Normal 2 5 2 2 2 4" xfId="27097" xr:uid="{00000000-0005-0000-0000-0000DC690000}"/>
    <cellStyle name="Normal 2 5 2 2 2 4 2" xfId="27098" xr:uid="{00000000-0005-0000-0000-0000DD690000}"/>
    <cellStyle name="Normal 2 5 2 2 2 4 3" xfId="27099" xr:uid="{00000000-0005-0000-0000-0000DE690000}"/>
    <cellStyle name="Normal 2 5 2 2 2 4 4" xfId="27100" xr:uid="{00000000-0005-0000-0000-0000DF690000}"/>
    <cellStyle name="Normal 2 5 2 2 2 5" xfId="27101" xr:uid="{00000000-0005-0000-0000-0000E0690000}"/>
    <cellStyle name="Normal 2 5 2 2 2 5 2" xfId="27102" xr:uid="{00000000-0005-0000-0000-0000E1690000}"/>
    <cellStyle name="Normal 2 5 2 2 2 6" xfId="27103" xr:uid="{00000000-0005-0000-0000-0000E2690000}"/>
    <cellStyle name="Normal 2 5 2 2 2 7" xfId="27104" xr:uid="{00000000-0005-0000-0000-0000E3690000}"/>
    <cellStyle name="Normal 2 5 2 2 2 8" xfId="27105" xr:uid="{00000000-0005-0000-0000-0000E4690000}"/>
    <cellStyle name="Normal 2 5 2 2 2 9" xfId="27106" xr:uid="{00000000-0005-0000-0000-0000E5690000}"/>
    <cellStyle name="Normal 2 5 2 2 3" xfId="27107" xr:uid="{00000000-0005-0000-0000-0000E6690000}"/>
    <cellStyle name="Normal 2 5 2 2 3 2" xfId="27108" xr:uid="{00000000-0005-0000-0000-0000E7690000}"/>
    <cellStyle name="Normal 2 5 2 2 3 2 2" xfId="27109" xr:uid="{00000000-0005-0000-0000-0000E8690000}"/>
    <cellStyle name="Normal 2 5 2 2 3 2 2 2" xfId="27110" xr:uid="{00000000-0005-0000-0000-0000E9690000}"/>
    <cellStyle name="Normal 2 5 2 2 3 2 2 3" xfId="27111" xr:uid="{00000000-0005-0000-0000-0000EA690000}"/>
    <cellStyle name="Normal 2 5 2 2 3 2 3" xfId="27112" xr:uid="{00000000-0005-0000-0000-0000EB690000}"/>
    <cellStyle name="Normal 2 5 2 2 3 2 4" xfId="27113" xr:uid="{00000000-0005-0000-0000-0000EC690000}"/>
    <cellStyle name="Normal 2 5 2 2 3 2 5" xfId="27114" xr:uid="{00000000-0005-0000-0000-0000ED690000}"/>
    <cellStyle name="Normal 2 5 2 2 3 2 6" xfId="27115" xr:uid="{00000000-0005-0000-0000-0000EE690000}"/>
    <cellStyle name="Normal 2 5 2 2 3 3" xfId="27116" xr:uid="{00000000-0005-0000-0000-0000EF690000}"/>
    <cellStyle name="Normal 2 5 2 2 3 3 2" xfId="27117" xr:uid="{00000000-0005-0000-0000-0000F0690000}"/>
    <cellStyle name="Normal 2 5 2 2 3 3 2 2" xfId="27118" xr:uid="{00000000-0005-0000-0000-0000F1690000}"/>
    <cellStyle name="Normal 2 5 2 2 3 3 3" xfId="27119" xr:uid="{00000000-0005-0000-0000-0000F2690000}"/>
    <cellStyle name="Normal 2 5 2 2 3 3 4" xfId="27120" xr:uid="{00000000-0005-0000-0000-0000F3690000}"/>
    <cellStyle name="Normal 2 5 2 2 3 3 5" xfId="27121" xr:uid="{00000000-0005-0000-0000-0000F4690000}"/>
    <cellStyle name="Normal 2 5 2 2 3 4" xfId="27122" xr:uid="{00000000-0005-0000-0000-0000F5690000}"/>
    <cellStyle name="Normal 2 5 2 2 3 4 2" xfId="27123" xr:uid="{00000000-0005-0000-0000-0000F6690000}"/>
    <cellStyle name="Normal 2 5 2 2 3 4 3" xfId="27124" xr:uid="{00000000-0005-0000-0000-0000F7690000}"/>
    <cellStyle name="Normal 2 5 2 2 3 4 4" xfId="27125" xr:uid="{00000000-0005-0000-0000-0000F8690000}"/>
    <cellStyle name="Normal 2 5 2 2 3 5" xfId="27126" xr:uid="{00000000-0005-0000-0000-0000F9690000}"/>
    <cellStyle name="Normal 2 5 2 2 3 5 2" xfId="27127" xr:uid="{00000000-0005-0000-0000-0000FA690000}"/>
    <cellStyle name="Normal 2 5 2 2 3 6" xfId="27128" xr:uid="{00000000-0005-0000-0000-0000FB690000}"/>
    <cellStyle name="Normal 2 5 2 2 3 7" xfId="27129" xr:uid="{00000000-0005-0000-0000-0000FC690000}"/>
    <cellStyle name="Normal 2 5 2 2 3 8" xfId="27130" xr:uid="{00000000-0005-0000-0000-0000FD690000}"/>
    <cellStyle name="Normal 2 5 2 2 3 9" xfId="27131" xr:uid="{00000000-0005-0000-0000-0000FE690000}"/>
    <cellStyle name="Normal 2 5 2 2 4" xfId="27132" xr:uid="{00000000-0005-0000-0000-0000FF690000}"/>
    <cellStyle name="Normal 2 5 2 2 4 2" xfId="27133" xr:uid="{00000000-0005-0000-0000-0000006A0000}"/>
    <cellStyle name="Normal 2 5 2 2 4 2 2" xfId="27134" xr:uid="{00000000-0005-0000-0000-0000016A0000}"/>
    <cellStyle name="Normal 2 5 2 2 4 2 3" xfId="27135" xr:uid="{00000000-0005-0000-0000-0000026A0000}"/>
    <cellStyle name="Normal 2 5 2 2 4 3" xfId="27136" xr:uid="{00000000-0005-0000-0000-0000036A0000}"/>
    <cellStyle name="Normal 2 5 2 2 4 4" xfId="27137" xr:uid="{00000000-0005-0000-0000-0000046A0000}"/>
    <cellStyle name="Normal 2 5 2 2 4 5" xfId="27138" xr:uid="{00000000-0005-0000-0000-0000056A0000}"/>
    <cellStyle name="Normal 2 5 2 2 4 6" xfId="27139" xr:uid="{00000000-0005-0000-0000-0000066A0000}"/>
    <cellStyle name="Normal 2 5 2 2 5" xfId="27140" xr:uid="{00000000-0005-0000-0000-0000076A0000}"/>
    <cellStyle name="Normal 2 5 2 2 5 2" xfId="27141" xr:uid="{00000000-0005-0000-0000-0000086A0000}"/>
    <cellStyle name="Normal 2 5 2 2 5 2 2" xfId="27142" xr:uid="{00000000-0005-0000-0000-0000096A0000}"/>
    <cellStyle name="Normal 2 5 2 2 5 3" xfId="27143" xr:uid="{00000000-0005-0000-0000-00000A6A0000}"/>
    <cellStyle name="Normal 2 5 2 2 5 4" xfId="27144" xr:uid="{00000000-0005-0000-0000-00000B6A0000}"/>
    <cellStyle name="Normal 2 5 2 2 5 5" xfId="27145" xr:uid="{00000000-0005-0000-0000-00000C6A0000}"/>
    <cellStyle name="Normal 2 5 2 2 6" xfId="27146" xr:uid="{00000000-0005-0000-0000-00000D6A0000}"/>
    <cellStyle name="Normal 2 5 2 2 6 2" xfId="27147" xr:uid="{00000000-0005-0000-0000-00000E6A0000}"/>
    <cellStyle name="Normal 2 5 2 2 6 3" xfId="27148" xr:uid="{00000000-0005-0000-0000-00000F6A0000}"/>
    <cellStyle name="Normal 2 5 2 2 6 4" xfId="27149" xr:uid="{00000000-0005-0000-0000-0000106A0000}"/>
    <cellStyle name="Normal 2 5 2 2 7" xfId="27150" xr:uid="{00000000-0005-0000-0000-0000116A0000}"/>
    <cellStyle name="Normal 2 5 2 2 7 2" xfId="27151" xr:uid="{00000000-0005-0000-0000-0000126A0000}"/>
    <cellStyle name="Normal 2 5 2 2 8" xfId="27152" xr:uid="{00000000-0005-0000-0000-0000136A0000}"/>
    <cellStyle name="Normal 2 5 2 2 9" xfId="27153" xr:uid="{00000000-0005-0000-0000-0000146A0000}"/>
    <cellStyle name="Normal 2 5 2 20" xfId="27154" xr:uid="{00000000-0005-0000-0000-0000156A0000}"/>
    <cellStyle name="Normal 2 5 2 21" xfId="27155" xr:uid="{00000000-0005-0000-0000-0000166A0000}"/>
    <cellStyle name="Normal 2 5 2 22" xfId="27156" xr:uid="{00000000-0005-0000-0000-0000176A0000}"/>
    <cellStyle name="Normal 2 5 2 3" xfId="27157" xr:uid="{00000000-0005-0000-0000-0000186A0000}"/>
    <cellStyle name="Normal 2 5 2 3 10" xfId="27158" xr:uid="{00000000-0005-0000-0000-0000196A0000}"/>
    <cellStyle name="Normal 2 5 2 3 11" xfId="27159" xr:uid="{00000000-0005-0000-0000-00001A6A0000}"/>
    <cellStyle name="Normal 2 5 2 3 2" xfId="27160" xr:uid="{00000000-0005-0000-0000-00001B6A0000}"/>
    <cellStyle name="Normal 2 5 2 3 2 2" xfId="27161" xr:uid="{00000000-0005-0000-0000-00001C6A0000}"/>
    <cellStyle name="Normal 2 5 2 3 2 2 2" xfId="27162" xr:uid="{00000000-0005-0000-0000-00001D6A0000}"/>
    <cellStyle name="Normal 2 5 2 3 2 2 2 2" xfId="27163" xr:uid="{00000000-0005-0000-0000-00001E6A0000}"/>
    <cellStyle name="Normal 2 5 2 3 2 2 2 3" xfId="27164" xr:uid="{00000000-0005-0000-0000-00001F6A0000}"/>
    <cellStyle name="Normal 2 5 2 3 2 2 3" xfId="27165" xr:uid="{00000000-0005-0000-0000-0000206A0000}"/>
    <cellStyle name="Normal 2 5 2 3 2 2 4" xfId="27166" xr:uid="{00000000-0005-0000-0000-0000216A0000}"/>
    <cellStyle name="Normal 2 5 2 3 2 2 5" xfId="27167" xr:uid="{00000000-0005-0000-0000-0000226A0000}"/>
    <cellStyle name="Normal 2 5 2 3 2 2 6" xfId="27168" xr:uid="{00000000-0005-0000-0000-0000236A0000}"/>
    <cellStyle name="Normal 2 5 2 3 2 3" xfId="27169" xr:uid="{00000000-0005-0000-0000-0000246A0000}"/>
    <cellStyle name="Normal 2 5 2 3 2 3 2" xfId="27170" xr:uid="{00000000-0005-0000-0000-0000256A0000}"/>
    <cellStyle name="Normal 2 5 2 3 2 3 2 2" xfId="27171" xr:uid="{00000000-0005-0000-0000-0000266A0000}"/>
    <cellStyle name="Normal 2 5 2 3 2 3 3" xfId="27172" xr:uid="{00000000-0005-0000-0000-0000276A0000}"/>
    <cellStyle name="Normal 2 5 2 3 2 3 4" xfId="27173" xr:uid="{00000000-0005-0000-0000-0000286A0000}"/>
    <cellStyle name="Normal 2 5 2 3 2 3 5" xfId="27174" xr:uid="{00000000-0005-0000-0000-0000296A0000}"/>
    <cellStyle name="Normal 2 5 2 3 2 4" xfId="27175" xr:uid="{00000000-0005-0000-0000-00002A6A0000}"/>
    <cellStyle name="Normal 2 5 2 3 2 4 2" xfId="27176" xr:uid="{00000000-0005-0000-0000-00002B6A0000}"/>
    <cellStyle name="Normal 2 5 2 3 2 4 3" xfId="27177" xr:uid="{00000000-0005-0000-0000-00002C6A0000}"/>
    <cellStyle name="Normal 2 5 2 3 2 4 4" xfId="27178" xr:uid="{00000000-0005-0000-0000-00002D6A0000}"/>
    <cellStyle name="Normal 2 5 2 3 2 5" xfId="27179" xr:uid="{00000000-0005-0000-0000-00002E6A0000}"/>
    <cellStyle name="Normal 2 5 2 3 2 5 2" xfId="27180" xr:uid="{00000000-0005-0000-0000-00002F6A0000}"/>
    <cellStyle name="Normal 2 5 2 3 2 6" xfId="27181" xr:uid="{00000000-0005-0000-0000-0000306A0000}"/>
    <cellStyle name="Normal 2 5 2 3 2 7" xfId="27182" xr:uid="{00000000-0005-0000-0000-0000316A0000}"/>
    <cellStyle name="Normal 2 5 2 3 2 8" xfId="27183" xr:uid="{00000000-0005-0000-0000-0000326A0000}"/>
    <cellStyle name="Normal 2 5 2 3 2 9" xfId="27184" xr:uid="{00000000-0005-0000-0000-0000336A0000}"/>
    <cellStyle name="Normal 2 5 2 3 3" xfId="27185" xr:uid="{00000000-0005-0000-0000-0000346A0000}"/>
    <cellStyle name="Normal 2 5 2 3 3 2" xfId="27186" xr:uid="{00000000-0005-0000-0000-0000356A0000}"/>
    <cellStyle name="Normal 2 5 2 3 3 2 2" xfId="27187" xr:uid="{00000000-0005-0000-0000-0000366A0000}"/>
    <cellStyle name="Normal 2 5 2 3 3 2 2 2" xfId="27188" xr:uid="{00000000-0005-0000-0000-0000376A0000}"/>
    <cellStyle name="Normal 2 5 2 3 3 2 2 3" xfId="27189" xr:uid="{00000000-0005-0000-0000-0000386A0000}"/>
    <cellStyle name="Normal 2 5 2 3 3 2 3" xfId="27190" xr:uid="{00000000-0005-0000-0000-0000396A0000}"/>
    <cellStyle name="Normal 2 5 2 3 3 2 4" xfId="27191" xr:uid="{00000000-0005-0000-0000-00003A6A0000}"/>
    <cellStyle name="Normal 2 5 2 3 3 2 5" xfId="27192" xr:uid="{00000000-0005-0000-0000-00003B6A0000}"/>
    <cellStyle name="Normal 2 5 2 3 3 2 6" xfId="27193" xr:uid="{00000000-0005-0000-0000-00003C6A0000}"/>
    <cellStyle name="Normal 2 5 2 3 3 3" xfId="27194" xr:uid="{00000000-0005-0000-0000-00003D6A0000}"/>
    <cellStyle name="Normal 2 5 2 3 3 3 2" xfId="27195" xr:uid="{00000000-0005-0000-0000-00003E6A0000}"/>
    <cellStyle name="Normal 2 5 2 3 3 3 2 2" xfId="27196" xr:uid="{00000000-0005-0000-0000-00003F6A0000}"/>
    <cellStyle name="Normal 2 5 2 3 3 3 3" xfId="27197" xr:uid="{00000000-0005-0000-0000-0000406A0000}"/>
    <cellStyle name="Normal 2 5 2 3 3 3 4" xfId="27198" xr:uid="{00000000-0005-0000-0000-0000416A0000}"/>
    <cellStyle name="Normal 2 5 2 3 3 3 5" xfId="27199" xr:uid="{00000000-0005-0000-0000-0000426A0000}"/>
    <cellStyle name="Normal 2 5 2 3 3 4" xfId="27200" xr:uid="{00000000-0005-0000-0000-0000436A0000}"/>
    <cellStyle name="Normal 2 5 2 3 3 4 2" xfId="27201" xr:uid="{00000000-0005-0000-0000-0000446A0000}"/>
    <cellStyle name="Normal 2 5 2 3 3 4 3" xfId="27202" xr:uid="{00000000-0005-0000-0000-0000456A0000}"/>
    <cellStyle name="Normal 2 5 2 3 3 4 4" xfId="27203" xr:uid="{00000000-0005-0000-0000-0000466A0000}"/>
    <cellStyle name="Normal 2 5 2 3 3 5" xfId="27204" xr:uid="{00000000-0005-0000-0000-0000476A0000}"/>
    <cellStyle name="Normal 2 5 2 3 3 5 2" xfId="27205" xr:uid="{00000000-0005-0000-0000-0000486A0000}"/>
    <cellStyle name="Normal 2 5 2 3 3 6" xfId="27206" xr:uid="{00000000-0005-0000-0000-0000496A0000}"/>
    <cellStyle name="Normal 2 5 2 3 3 7" xfId="27207" xr:uid="{00000000-0005-0000-0000-00004A6A0000}"/>
    <cellStyle name="Normal 2 5 2 3 3 8" xfId="27208" xr:uid="{00000000-0005-0000-0000-00004B6A0000}"/>
    <cellStyle name="Normal 2 5 2 3 3 9" xfId="27209" xr:uid="{00000000-0005-0000-0000-00004C6A0000}"/>
    <cellStyle name="Normal 2 5 2 3 4" xfId="27210" xr:uid="{00000000-0005-0000-0000-00004D6A0000}"/>
    <cellStyle name="Normal 2 5 2 3 4 2" xfId="27211" xr:uid="{00000000-0005-0000-0000-00004E6A0000}"/>
    <cellStyle name="Normal 2 5 2 3 4 2 2" xfId="27212" xr:uid="{00000000-0005-0000-0000-00004F6A0000}"/>
    <cellStyle name="Normal 2 5 2 3 4 2 3" xfId="27213" xr:uid="{00000000-0005-0000-0000-0000506A0000}"/>
    <cellStyle name="Normal 2 5 2 3 4 3" xfId="27214" xr:uid="{00000000-0005-0000-0000-0000516A0000}"/>
    <cellStyle name="Normal 2 5 2 3 4 4" xfId="27215" xr:uid="{00000000-0005-0000-0000-0000526A0000}"/>
    <cellStyle name="Normal 2 5 2 3 4 5" xfId="27216" xr:uid="{00000000-0005-0000-0000-0000536A0000}"/>
    <cellStyle name="Normal 2 5 2 3 4 6" xfId="27217" xr:uid="{00000000-0005-0000-0000-0000546A0000}"/>
    <cellStyle name="Normal 2 5 2 3 5" xfId="27218" xr:uid="{00000000-0005-0000-0000-0000556A0000}"/>
    <cellStyle name="Normal 2 5 2 3 5 2" xfId="27219" xr:uid="{00000000-0005-0000-0000-0000566A0000}"/>
    <cellStyle name="Normal 2 5 2 3 5 2 2" xfId="27220" xr:uid="{00000000-0005-0000-0000-0000576A0000}"/>
    <cellStyle name="Normal 2 5 2 3 5 3" xfId="27221" xr:uid="{00000000-0005-0000-0000-0000586A0000}"/>
    <cellStyle name="Normal 2 5 2 3 5 4" xfId="27222" xr:uid="{00000000-0005-0000-0000-0000596A0000}"/>
    <cellStyle name="Normal 2 5 2 3 5 5" xfId="27223" xr:uid="{00000000-0005-0000-0000-00005A6A0000}"/>
    <cellStyle name="Normal 2 5 2 3 6" xfId="27224" xr:uid="{00000000-0005-0000-0000-00005B6A0000}"/>
    <cellStyle name="Normal 2 5 2 3 6 2" xfId="27225" xr:uid="{00000000-0005-0000-0000-00005C6A0000}"/>
    <cellStyle name="Normal 2 5 2 3 6 3" xfId="27226" xr:uid="{00000000-0005-0000-0000-00005D6A0000}"/>
    <cellStyle name="Normal 2 5 2 3 6 4" xfId="27227" xr:uid="{00000000-0005-0000-0000-00005E6A0000}"/>
    <cellStyle name="Normal 2 5 2 3 7" xfId="27228" xr:uid="{00000000-0005-0000-0000-00005F6A0000}"/>
    <cellStyle name="Normal 2 5 2 3 7 2" xfId="27229" xr:uid="{00000000-0005-0000-0000-0000606A0000}"/>
    <cellStyle name="Normal 2 5 2 3 8" xfId="27230" xr:uid="{00000000-0005-0000-0000-0000616A0000}"/>
    <cellStyle name="Normal 2 5 2 3 9" xfId="27231" xr:uid="{00000000-0005-0000-0000-0000626A0000}"/>
    <cellStyle name="Normal 2 5 2 4" xfId="27232" xr:uid="{00000000-0005-0000-0000-0000636A0000}"/>
    <cellStyle name="Normal 2 5 2 4 10" xfId="27233" xr:uid="{00000000-0005-0000-0000-0000646A0000}"/>
    <cellStyle name="Normal 2 5 2 4 11" xfId="27234" xr:uid="{00000000-0005-0000-0000-0000656A0000}"/>
    <cellStyle name="Normal 2 5 2 4 2" xfId="27235" xr:uid="{00000000-0005-0000-0000-0000666A0000}"/>
    <cellStyle name="Normal 2 5 2 4 2 2" xfId="27236" xr:uid="{00000000-0005-0000-0000-0000676A0000}"/>
    <cellStyle name="Normal 2 5 2 4 2 2 2" xfId="27237" xr:uid="{00000000-0005-0000-0000-0000686A0000}"/>
    <cellStyle name="Normal 2 5 2 4 2 2 2 2" xfId="27238" xr:uid="{00000000-0005-0000-0000-0000696A0000}"/>
    <cellStyle name="Normal 2 5 2 4 2 2 2 3" xfId="27239" xr:uid="{00000000-0005-0000-0000-00006A6A0000}"/>
    <cellStyle name="Normal 2 5 2 4 2 2 3" xfId="27240" xr:uid="{00000000-0005-0000-0000-00006B6A0000}"/>
    <cellStyle name="Normal 2 5 2 4 2 2 4" xfId="27241" xr:uid="{00000000-0005-0000-0000-00006C6A0000}"/>
    <cellStyle name="Normal 2 5 2 4 2 2 5" xfId="27242" xr:uid="{00000000-0005-0000-0000-00006D6A0000}"/>
    <cellStyle name="Normal 2 5 2 4 2 2 6" xfId="27243" xr:uid="{00000000-0005-0000-0000-00006E6A0000}"/>
    <cellStyle name="Normal 2 5 2 4 2 3" xfId="27244" xr:uid="{00000000-0005-0000-0000-00006F6A0000}"/>
    <cellStyle name="Normal 2 5 2 4 2 3 2" xfId="27245" xr:uid="{00000000-0005-0000-0000-0000706A0000}"/>
    <cellStyle name="Normal 2 5 2 4 2 3 2 2" xfId="27246" xr:uid="{00000000-0005-0000-0000-0000716A0000}"/>
    <cellStyle name="Normal 2 5 2 4 2 3 3" xfId="27247" xr:uid="{00000000-0005-0000-0000-0000726A0000}"/>
    <cellStyle name="Normal 2 5 2 4 2 3 4" xfId="27248" xr:uid="{00000000-0005-0000-0000-0000736A0000}"/>
    <cellStyle name="Normal 2 5 2 4 2 3 5" xfId="27249" xr:uid="{00000000-0005-0000-0000-0000746A0000}"/>
    <cellStyle name="Normal 2 5 2 4 2 4" xfId="27250" xr:uid="{00000000-0005-0000-0000-0000756A0000}"/>
    <cellStyle name="Normal 2 5 2 4 2 4 2" xfId="27251" xr:uid="{00000000-0005-0000-0000-0000766A0000}"/>
    <cellStyle name="Normal 2 5 2 4 2 4 3" xfId="27252" xr:uid="{00000000-0005-0000-0000-0000776A0000}"/>
    <cellStyle name="Normal 2 5 2 4 2 4 4" xfId="27253" xr:uid="{00000000-0005-0000-0000-0000786A0000}"/>
    <cellStyle name="Normal 2 5 2 4 2 5" xfId="27254" xr:uid="{00000000-0005-0000-0000-0000796A0000}"/>
    <cellStyle name="Normal 2 5 2 4 2 5 2" xfId="27255" xr:uid="{00000000-0005-0000-0000-00007A6A0000}"/>
    <cellStyle name="Normal 2 5 2 4 2 6" xfId="27256" xr:uid="{00000000-0005-0000-0000-00007B6A0000}"/>
    <cellStyle name="Normal 2 5 2 4 2 7" xfId="27257" xr:uid="{00000000-0005-0000-0000-00007C6A0000}"/>
    <cellStyle name="Normal 2 5 2 4 2 8" xfId="27258" xr:uid="{00000000-0005-0000-0000-00007D6A0000}"/>
    <cellStyle name="Normal 2 5 2 4 2 9" xfId="27259" xr:uid="{00000000-0005-0000-0000-00007E6A0000}"/>
    <cellStyle name="Normal 2 5 2 4 3" xfId="27260" xr:uid="{00000000-0005-0000-0000-00007F6A0000}"/>
    <cellStyle name="Normal 2 5 2 4 3 2" xfId="27261" xr:uid="{00000000-0005-0000-0000-0000806A0000}"/>
    <cellStyle name="Normal 2 5 2 4 3 2 2" xfId="27262" xr:uid="{00000000-0005-0000-0000-0000816A0000}"/>
    <cellStyle name="Normal 2 5 2 4 3 2 2 2" xfId="27263" xr:uid="{00000000-0005-0000-0000-0000826A0000}"/>
    <cellStyle name="Normal 2 5 2 4 3 2 2 3" xfId="27264" xr:uid="{00000000-0005-0000-0000-0000836A0000}"/>
    <cellStyle name="Normal 2 5 2 4 3 2 3" xfId="27265" xr:uid="{00000000-0005-0000-0000-0000846A0000}"/>
    <cellStyle name="Normal 2 5 2 4 3 2 4" xfId="27266" xr:uid="{00000000-0005-0000-0000-0000856A0000}"/>
    <cellStyle name="Normal 2 5 2 4 3 2 5" xfId="27267" xr:uid="{00000000-0005-0000-0000-0000866A0000}"/>
    <cellStyle name="Normal 2 5 2 4 3 2 6" xfId="27268" xr:uid="{00000000-0005-0000-0000-0000876A0000}"/>
    <cellStyle name="Normal 2 5 2 4 3 3" xfId="27269" xr:uid="{00000000-0005-0000-0000-0000886A0000}"/>
    <cellStyle name="Normal 2 5 2 4 3 3 2" xfId="27270" xr:uid="{00000000-0005-0000-0000-0000896A0000}"/>
    <cellStyle name="Normal 2 5 2 4 3 3 2 2" xfId="27271" xr:uid="{00000000-0005-0000-0000-00008A6A0000}"/>
    <cellStyle name="Normal 2 5 2 4 3 3 3" xfId="27272" xr:uid="{00000000-0005-0000-0000-00008B6A0000}"/>
    <cellStyle name="Normal 2 5 2 4 3 3 4" xfId="27273" xr:uid="{00000000-0005-0000-0000-00008C6A0000}"/>
    <cellStyle name="Normal 2 5 2 4 3 3 5" xfId="27274" xr:uid="{00000000-0005-0000-0000-00008D6A0000}"/>
    <cellStyle name="Normal 2 5 2 4 3 4" xfId="27275" xr:uid="{00000000-0005-0000-0000-00008E6A0000}"/>
    <cellStyle name="Normal 2 5 2 4 3 4 2" xfId="27276" xr:uid="{00000000-0005-0000-0000-00008F6A0000}"/>
    <cellStyle name="Normal 2 5 2 4 3 4 3" xfId="27277" xr:uid="{00000000-0005-0000-0000-0000906A0000}"/>
    <cellStyle name="Normal 2 5 2 4 3 4 4" xfId="27278" xr:uid="{00000000-0005-0000-0000-0000916A0000}"/>
    <cellStyle name="Normal 2 5 2 4 3 5" xfId="27279" xr:uid="{00000000-0005-0000-0000-0000926A0000}"/>
    <cellStyle name="Normal 2 5 2 4 3 5 2" xfId="27280" xr:uid="{00000000-0005-0000-0000-0000936A0000}"/>
    <cellStyle name="Normal 2 5 2 4 3 6" xfId="27281" xr:uid="{00000000-0005-0000-0000-0000946A0000}"/>
    <cellStyle name="Normal 2 5 2 4 3 7" xfId="27282" xr:uid="{00000000-0005-0000-0000-0000956A0000}"/>
    <cellStyle name="Normal 2 5 2 4 3 8" xfId="27283" xr:uid="{00000000-0005-0000-0000-0000966A0000}"/>
    <cellStyle name="Normal 2 5 2 4 3 9" xfId="27284" xr:uid="{00000000-0005-0000-0000-0000976A0000}"/>
    <cellStyle name="Normal 2 5 2 4 4" xfId="27285" xr:uid="{00000000-0005-0000-0000-0000986A0000}"/>
    <cellStyle name="Normal 2 5 2 4 4 2" xfId="27286" xr:uid="{00000000-0005-0000-0000-0000996A0000}"/>
    <cellStyle name="Normal 2 5 2 4 4 2 2" xfId="27287" xr:uid="{00000000-0005-0000-0000-00009A6A0000}"/>
    <cellStyle name="Normal 2 5 2 4 4 2 3" xfId="27288" xr:uid="{00000000-0005-0000-0000-00009B6A0000}"/>
    <cellStyle name="Normal 2 5 2 4 4 3" xfId="27289" xr:uid="{00000000-0005-0000-0000-00009C6A0000}"/>
    <cellStyle name="Normal 2 5 2 4 4 4" xfId="27290" xr:uid="{00000000-0005-0000-0000-00009D6A0000}"/>
    <cellStyle name="Normal 2 5 2 4 4 5" xfId="27291" xr:uid="{00000000-0005-0000-0000-00009E6A0000}"/>
    <cellStyle name="Normal 2 5 2 4 4 6" xfId="27292" xr:uid="{00000000-0005-0000-0000-00009F6A0000}"/>
    <cellStyle name="Normal 2 5 2 4 5" xfId="27293" xr:uid="{00000000-0005-0000-0000-0000A06A0000}"/>
    <cellStyle name="Normal 2 5 2 4 5 2" xfId="27294" xr:uid="{00000000-0005-0000-0000-0000A16A0000}"/>
    <cellStyle name="Normal 2 5 2 4 5 2 2" xfId="27295" xr:uid="{00000000-0005-0000-0000-0000A26A0000}"/>
    <cellStyle name="Normal 2 5 2 4 5 3" xfId="27296" xr:uid="{00000000-0005-0000-0000-0000A36A0000}"/>
    <cellStyle name="Normal 2 5 2 4 5 4" xfId="27297" xr:uid="{00000000-0005-0000-0000-0000A46A0000}"/>
    <cellStyle name="Normal 2 5 2 4 5 5" xfId="27298" xr:uid="{00000000-0005-0000-0000-0000A56A0000}"/>
    <cellStyle name="Normal 2 5 2 4 6" xfId="27299" xr:uid="{00000000-0005-0000-0000-0000A66A0000}"/>
    <cellStyle name="Normal 2 5 2 4 6 2" xfId="27300" xr:uid="{00000000-0005-0000-0000-0000A76A0000}"/>
    <cellStyle name="Normal 2 5 2 4 6 3" xfId="27301" xr:uid="{00000000-0005-0000-0000-0000A86A0000}"/>
    <cellStyle name="Normal 2 5 2 4 6 4" xfId="27302" xr:uid="{00000000-0005-0000-0000-0000A96A0000}"/>
    <cellStyle name="Normal 2 5 2 4 7" xfId="27303" xr:uid="{00000000-0005-0000-0000-0000AA6A0000}"/>
    <cellStyle name="Normal 2 5 2 4 7 2" xfId="27304" xr:uid="{00000000-0005-0000-0000-0000AB6A0000}"/>
    <cellStyle name="Normal 2 5 2 4 8" xfId="27305" xr:uid="{00000000-0005-0000-0000-0000AC6A0000}"/>
    <cellStyle name="Normal 2 5 2 4 9" xfId="27306" xr:uid="{00000000-0005-0000-0000-0000AD6A0000}"/>
    <cellStyle name="Normal 2 5 2 5" xfId="27307" xr:uid="{00000000-0005-0000-0000-0000AE6A0000}"/>
    <cellStyle name="Normal 2 5 2 5 10" xfId="27308" xr:uid="{00000000-0005-0000-0000-0000AF6A0000}"/>
    <cellStyle name="Normal 2 5 2 5 11" xfId="27309" xr:uid="{00000000-0005-0000-0000-0000B06A0000}"/>
    <cellStyle name="Normal 2 5 2 5 2" xfId="27310" xr:uid="{00000000-0005-0000-0000-0000B16A0000}"/>
    <cellStyle name="Normal 2 5 2 5 2 2" xfId="27311" xr:uid="{00000000-0005-0000-0000-0000B26A0000}"/>
    <cellStyle name="Normal 2 5 2 5 2 2 2" xfId="27312" xr:uid="{00000000-0005-0000-0000-0000B36A0000}"/>
    <cellStyle name="Normal 2 5 2 5 2 2 2 2" xfId="27313" xr:uid="{00000000-0005-0000-0000-0000B46A0000}"/>
    <cellStyle name="Normal 2 5 2 5 2 2 2 3" xfId="27314" xr:uid="{00000000-0005-0000-0000-0000B56A0000}"/>
    <cellStyle name="Normal 2 5 2 5 2 2 3" xfId="27315" xr:uid="{00000000-0005-0000-0000-0000B66A0000}"/>
    <cellStyle name="Normal 2 5 2 5 2 2 4" xfId="27316" xr:uid="{00000000-0005-0000-0000-0000B76A0000}"/>
    <cellStyle name="Normal 2 5 2 5 2 2 5" xfId="27317" xr:uid="{00000000-0005-0000-0000-0000B86A0000}"/>
    <cellStyle name="Normal 2 5 2 5 2 2 6" xfId="27318" xr:uid="{00000000-0005-0000-0000-0000B96A0000}"/>
    <cellStyle name="Normal 2 5 2 5 2 3" xfId="27319" xr:uid="{00000000-0005-0000-0000-0000BA6A0000}"/>
    <cellStyle name="Normal 2 5 2 5 2 3 2" xfId="27320" xr:uid="{00000000-0005-0000-0000-0000BB6A0000}"/>
    <cellStyle name="Normal 2 5 2 5 2 3 2 2" xfId="27321" xr:uid="{00000000-0005-0000-0000-0000BC6A0000}"/>
    <cellStyle name="Normal 2 5 2 5 2 3 3" xfId="27322" xr:uid="{00000000-0005-0000-0000-0000BD6A0000}"/>
    <cellStyle name="Normal 2 5 2 5 2 3 4" xfId="27323" xr:uid="{00000000-0005-0000-0000-0000BE6A0000}"/>
    <cellStyle name="Normal 2 5 2 5 2 3 5" xfId="27324" xr:uid="{00000000-0005-0000-0000-0000BF6A0000}"/>
    <cellStyle name="Normal 2 5 2 5 2 4" xfId="27325" xr:uid="{00000000-0005-0000-0000-0000C06A0000}"/>
    <cellStyle name="Normal 2 5 2 5 2 4 2" xfId="27326" xr:uid="{00000000-0005-0000-0000-0000C16A0000}"/>
    <cellStyle name="Normal 2 5 2 5 2 4 3" xfId="27327" xr:uid="{00000000-0005-0000-0000-0000C26A0000}"/>
    <cellStyle name="Normal 2 5 2 5 2 4 4" xfId="27328" xr:uid="{00000000-0005-0000-0000-0000C36A0000}"/>
    <cellStyle name="Normal 2 5 2 5 2 5" xfId="27329" xr:uid="{00000000-0005-0000-0000-0000C46A0000}"/>
    <cellStyle name="Normal 2 5 2 5 2 5 2" xfId="27330" xr:uid="{00000000-0005-0000-0000-0000C56A0000}"/>
    <cellStyle name="Normal 2 5 2 5 2 6" xfId="27331" xr:uid="{00000000-0005-0000-0000-0000C66A0000}"/>
    <cellStyle name="Normal 2 5 2 5 2 7" xfId="27332" xr:uid="{00000000-0005-0000-0000-0000C76A0000}"/>
    <cellStyle name="Normal 2 5 2 5 2 8" xfId="27333" xr:uid="{00000000-0005-0000-0000-0000C86A0000}"/>
    <cellStyle name="Normal 2 5 2 5 2 9" xfId="27334" xr:uid="{00000000-0005-0000-0000-0000C96A0000}"/>
    <cellStyle name="Normal 2 5 2 5 3" xfId="27335" xr:uid="{00000000-0005-0000-0000-0000CA6A0000}"/>
    <cellStyle name="Normal 2 5 2 5 3 2" xfId="27336" xr:uid="{00000000-0005-0000-0000-0000CB6A0000}"/>
    <cellStyle name="Normal 2 5 2 5 3 2 2" xfId="27337" xr:uid="{00000000-0005-0000-0000-0000CC6A0000}"/>
    <cellStyle name="Normal 2 5 2 5 3 2 2 2" xfId="27338" xr:uid="{00000000-0005-0000-0000-0000CD6A0000}"/>
    <cellStyle name="Normal 2 5 2 5 3 2 2 3" xfId="27339" xr:uid="{00000000-0005-0000-0000-0000CE6A0000}"/>
    <cellStyle name="Normal 2 5 2 5 3 2 3" xfId="27340" xr:uid="{00000000-0005-0000-0000-0000CF6A0000}"/>
    <cellStyle name="Normal 2 5 2 5 3 2 4" xfId="27341" xr:uid="{00000000-0005-0000-0000-0000D06A0000}"/>
    <cellStyle name="Normal 2 5 2 5 3 2 5" xfId="27342" xr:uid="{00000000-0005-0000-0000-0000D16A0000}"/>
    <cellStyle name="Normal 2 5 2 5 3 2 6" xfId="27343" xr:uid="{00000000-0005-0000-0000-0000D26A0000}"/>
    <cellStyle name="Normal 2 5 2 5 3 3" xfId="27344" xr:uid="{00000000-0005-0000-0000-0000D36A0000}"/>
    <cellStyle name="Normal 2 5 2 5 3 3 2" xfId="27345" xr:uid="{00000000-0005-0000-0000-0000D46A0000}"/>
    <cellStyle name="Normal 2 5 2 5 3 3 2 2" xfId="27346" xr:uid="{00000000-0005-0000-0000-0000D56A0000}"/>
    <cellStyle name="Normal 2 5 2 5 3 3 3" xfId="27347" xr:uid="{00000000-0005-0000-0000-0000D66A0000}"/>
    <cellStyle name="Normal 2 5 2 5 3 3 4" xfId="27348" xr:uid="{00000000-0005-0000-0000-0000D76A0000}"/>
    <cellStyle name="Normal 2 5 2 5 3 3 5" xfId="27349" xr:uid="{00000000-0005-0000-0000-0000D86A0000}"/>
    <cellStyle name="Normal 2 5 2 5 3 4" xfId="27350" xr:uid="{00000000-0005-0000-0000-0000D96A0000}"/>
    <cellStyle name="Normal 2 5 2 5 3 4 2" xfId="27351" xr:uid="{00000000-0005-0000-0000-0000DA6A0000}"/>
    <cellStyle name="Normal 2 5 2 5 3 4 3" xfId="27352" xr:uid="{00000000-0005-0000-0000-0000DB6A0000}"/>
    <cellStyle name="Normal 2 5 2 5 3 4 4" xfId="27353" xr:uid="{00000000-0005-0000-0000-0000DC6A0000}"/>
    <cellStyle name="Normal 2 5 2 5 3 5" xfId="27354" xr:uid="{00000000-0005-0000-0000-0000DD6A0000}"/>
    <cellStyle name="Normal 2 5 2 5 3 5 2" xfId="27355" xr:uid="{00000000-0005-0000-0000-0000DE6A0000}"/>
    <cellStyle name="Normal 2 5 2 5 3 6" xfId="27356" xr:uid="{00000000-0005-0000-0000-0000DF6A0000}"/>
    <cellStyle name="Normal 2 5 2 5 3 7" xfId="27357" xr:uid="{00000000-0005-0000-0000-0000E06A0000}"/>
    <cellStyle name="Normal 2 5 2 5 3 8" xfId="27358" xr:uid="{00000000-0005-0000-0000-0000E16A0000}"/>
    <cellStyle name="Normal 2 5 2 5 3 9" xfId="27359" xr:uid="{00000000-0005-0000-0000-0000E26A0000}"/>
    <cellStyle name="Normal 2 5 2 5 4" xfId="27360" xr:uid="{00000000-0005-0000-0000-0000E36A0000}"/>
    <cellStyle name="Normal 2 5 2 5 4 2" xfId="27361" xr:uid="{00000000-0005-0000-0000-0000E46A0000}"/>
    <cellStyle name="Normal 2 5 2 5 4 2 2" xfId="27362" xr:uid="{00000000-0005-0000-0000-0000E56A0000}"/>
    <cellStyle name="Normal 2 5 2 5 4 2 3" xfId="27363" xr:uid="{00000000-0005-0000-0000-0000E66A0000}"/>
    <cellStyle name="Normal 2 5 2 5 4 3" xfId="27364" xr:uid="{00000000-0005-0000-0000-0000E76A0000}"/>
    <cellStyle name="Normal 2 5 2 5 4 4" xfId="27365" xr:uid="{00000000-0005-0000-0000-0000E86A0000}"/>
    <cellStyle name="Normal 2 5 2 5 4 5" xfId="27366" xr:uid="{00000000-0005-0000-0000-0000E96A0000}"/>
    <cellStyle name="Normal 2 5 2 5 4 6" xfId="27367" xr:uid="{00000000-0005-0000-0000-0000EA6A0000}"/>
    <cellStyle name="Normal 2 5 2 5 5" xfId="27368" xr:uid="{00000000-0005-0000-0000-0000EB6A0000}"/>
    <cellStyle name="Normal 2 5 2 5 5 2" xfId="27369" xr:uid="{00000000-0005-0000-0000-0000EC6A0000}"/>
    <cellStyle name="Normal 2 5 2 5 5 2 2" xfId="27370" xr:uid="{00000000-0005-0000-0000-0000ED6A0000}"/>
    <cellStyle name="Normal 2 5 2 5 5 3" xfId="27371" xr:uid="{00000000-0005-0000-0000-0000EE6A0000}"/>
    <cellStyle name="Normal 2 5 2 5 5 4" xfId="27372" xr:uid="{00000000-0005-0000-0000-0000EF6A0000}"/>
    <cellStyle name="Normal 2 5 2 5 5 5" xfId="27373" xr:uid="{00000000-0005-0000-0000-0000F06A0000}"/>
    <cellStyle name="Normal 2 5 2 5 6" xfId="27374" xr:uid="{00000000-0005-0000-0000-0000F16A0000}"/>
    <cellStyle name="Normal 2 5 2 5 6 2" xfId="27375" xr:uid="{00000000-0005-0000-0000-0000F26A0000}"/>
    <cellStyle name="Normal 2 5 2 5 6 3" xfId="27376" xr:uid="{00000000-0005-0000-0000-0000F36A0000}"/>
    <cellStyle name="Normal 2 5 2 5 6 4" xfId="27377" xr:uid="{00000000-0005-0000-0000-0000F46A0000}"/>
    <cellStyle name="Normal 2 5 2 5 7" xfId="27378" xr:uid="{00000000-0005-0000-0000-0000F56A0000}"/>
    <cellStyle name="Normal 2 5 2 5 7 2" xfId="27379" xr:uid="{00000000-0005-0000-0000-0000F66A0000}"/>
    <cellStyle name="Normal 2 5 2 5 8" xfId="27380" xr:uid="{00000000-0005-0000-0000-0000F76A0000}"/>
    <cellStyle name="Normal 2 5 2 5 9" xfId="27381" xr:uid="{00000000-0005-0000-0000-0000F86A0000}"/>
    <cellStyle name="Normal 2 5 2 6" xfId="27382" xr:uid="{00000000-0005-0000-0000-0000F96A0000}"/>
    <cellStyle name="Normal 2 5 2 6 10" xfId="27383" xr:uid="{00000000-0005-0000-0000-0000FA6A0000}"/>
    <cellStyle name="Normal 2 5 2 6 11" xfId="27384" xr:uid="{00000000-0005-0000-0000-0000FB6A0000}"/>
    <cellStyle name="Normal 2 5 2 6 2" xfId="27385" xr:uid="{00000000-0005-0000-0000-0000FC6A0000}"/>
    <cellStyle name="Normal 2 5 2 6 2 2" xfId="27386" xr:uid="{00000000-0005-0000-0000-0000FD6A0000}"/>
    <cellStyle name="Normal 2 5 2 6 2 2 2" xfId="27387" xr:uid="{00000000-0005-0000-0000-0000FE6A0000}"/>
    <cellStyle name="Normal 2 5 2 6 2 2 2 2" xfId="27388" xr:uid="{00000000-0005-0000-0000-0000FF6A0000}"/>
    <cellStyle name="Normal 2 5 2 6 2 2 2 3" xfId="27389" xr:uid="{00000000-0005-0000-0000-0000006B0000}"/>
    <cellStyle name="Normal 2 5 2 6 2 2 3" xfId="27390" xr:uid="{00000000-0005-0000-0000-0000016B0000}"/>
    <cellStyle name="Normal 2 5 2 6 2 2 4" xfId="27391" xr:uid="{00000000-0005-0000-0000-0000026B0000}"/>
    <cellStyle name="Normal 2 5 2 6 2 2 5" xfId="27392" xr:uid="{00000000-0005-0000-0000-0000036B0000}"/>
    <cellStyle name="Normal 2 5 2 6 2 2 6" xfId="27393" xr:uid="{00000000-0005-0000-0000-0000046B0000}"/>
    <cellStyle name="Normal 2 5 2 6 2 3" xfId="27394" xr:uid="{00000000-0005-0000-0000-0000056B0000}"/>
    <cellStyle name="Normal 2 5 2 6 2 3 2" xfId="27395" xr:uid="{00000000-0005-0000-0000-0000066B0000}"/>
    <cellStyle name="Normal 2 5 2 6 2 3 2 2" xfId="27396" xr:uid="{00000000-0005-0000-0000-0000076B0000}"/>
    <cellStyle name="Normal 2 5 2 6 2 3 3" xfId="27397" xr:uid="{00000000-0005-0000-0000-0000086B0000}"/>
    <cellStyle name="Normal 2 5 2 6 2 3 4" xfId="27398" xr:uid="{00000000-0005-0000-0000-0000096B0000}"/>
    <cellStyle name="Normal 2 5 2 6 2 3 5" xfId="27399" xr:uid="{00000000-0005-0000-0000-00000A6B0000}"/>
    <cellStyle name="Normal 2 5 2 6 2 4" xfId="27400" xr:uid="{00000000-0005-0000-0000-00000B6B0000}"/>
    <cellStyle name="Normal 2 5 2 6 2 4 2" xfId="27401" xr:uid="{00000000-0005-0000-0000-00000C6B0000}"/>
    <cellStyle name="Normal 2 5 2 6 2 4 3" xfId="27402" xr:uid="{00000000-0005-0000-0000-00000D6B0000}"/>
    <cellStyle name="Normal 2 5 2 6 2 4 4" xfId="27403" xr:uid="{00000000-0005-0000-0000-00000E6B0000}"/>
    <cellStyle name="Normal 2 5 2 6 2 5" xfId="27404" xr:uid="{00000000-0005-0000-0000-00000F6B0000}"/>
    <cellStyle name="Normal 2 5 2 6 2 5 2" xfId="27405" xr:uid="{00000000-0005-0000-0000-0000106B0000}"/>
    <cellStyle name="Normal 2 5 2 6 2 6" xfId="27406" xr:uid="{00000000-0005-0000-0000-0000116B0000}"/>
    <cellStyle name="Normal 2 5 2 6 2 7" xfId="27407" xr:uid="{00000000-0005-0000-0000-0000126B0000}"/>
    <cellStyle name="Normal 2 5 2 6 2 8" xfId="27408" xr:uid="{00000000-0005-0000-0000-0000136B0000}"/>
    <cellStyle name="Normal 2 5 2 6 2 9" xfId="27409" xr:uid="{00000000-0005-0000-0000-0000146B0000}"/>
    <cellStyle name="Normal 2 5 2 6 3" xfId="27410" xr:uid="{00000000-0005-0000-0000-0000156B0000}"/>
    <cellStyle name="Normal 2 5 2 6 3 2" xfId="27411" xr:uid="{00000000-0005-0000-0000-0000166B0000}"/>
    <cellStyle name="Normal 2 5 2 6 3 2 2" xfId="27412" xr:uid="{00000000-0005-0000-0000-0000176B0000}"/>
    <cellStyle name="Normal 2 5 2 6 3 2 2 2" xfId="27413" xr:uid="{00000000-0005-0000-0000-0000186B0000}"/>
    <cellStyle name="Normal 2 5 2 6 3 2 2 3" xfId="27414" xr:uid="{00000000-0005-0000-0000-0000196B0000}"/>
    <cellStyle name="Normal 2 5 2 6 3 2 3" xfId="27415" xr:uid="{00000000-0005-0000-0000-00001A6B0000}"/>
    <cellStyle name="Normal 2 5 2 6 3 2 4" xfId="27416" xr:uid="{00000000-0005-0000-0000-00001B6B0000}"/>
    <cellStyle name="Normal 2 5 2 6 3 2 5" xfId="27417" xr:uid="{00000000-0005-0000-0000-00001C6B0000}"/>
    <cellStyle name="Normal 2 5 2 6 3 2 6" xfId="27418" xr:uid="{00000000-0005-0000-0000-00001D6B0000}"/>
    <cellStyle name="Normal 2 5 2 6 3 3" xfId="27419" xr:uid="{00000000-0005-0000-0000-00001E6B0000}"/>
    <cellStyle name="Normal 2 5 2 6 3 3 2" xfId="27420" xr:uid="{00000000-0005-0000-0000-00001F6B0000}"/>
    <cellStyle name="Normal 2 5 2 6 3 3 2 2" xfId="27421" xr:uid="{00000000-0005-0000-0000-0000206B0000}"/>
    <cellStyle name="Normal 2 5 2 6 3 3 3" xfId="27422" xr:uid="{00000000-0005-0000-0000-0000216B0000}"/>
    <cellStyle name="Normal 2 5 2 6 3 3 4" xfId="27423" xr:uid="{00000000-0005-0000-0000-0000226B0000}"/>
    <cellStyle name="Normal 2 5 2 6 3 3 5" xfId="27424" xr:uid="{00000000-0005-0000-0000-0000236B0000}"/>
    <cellStyle name="Normal 2 5 2 6 3 4" xfId="27425" xr:uid="{00000000-0005-0000-0000-0000246B0000}"/>
    <cellStyle name="Normal 2 5 2 6 3 4 2" xfId="27426" xr:uid="{00000000-0005-0000-0000-0000256B0000}"/>
    <cellStyle name="Normal 2 5 2 6 3 4 3" xfId="27427" xr:uid="{00000000-0005-0000-0000-0000266B0000}"/>
    <cellStyle name="Normal 2 5 2 6 3 4 4" xfId="27428" xr:uid="{00000000-0005-0000-0000-0000276B0000}"/>
    <cellStyle name="Normal 2 5 2 6 3 5" xfId="27429" xr:uid="{00000000-0005-0000-0000-0000286B0000}"/>
    <cellStyle name="Normal 2 5 2 6 3 5 2" xfId="27430" xr:uid="{00000000-0005-0000-0000-0000296B0000}"/>
    <cellStyle name="Normal 2 5 2 6 3 6" xfId="27431" xr:uid="{00000000-0005-0000-0000-00002A6B0000}"/>
    <cellStyle name="Normal 2 5 2 6 3 7" xfId="27432" xr:uid="{00000000-0005-0000-0000-00002B6B0000}"/>
    <cellStyle name="Normal 2 5 2 6 3 8" xfId="27433" xr:uid="{00000000-0005-0000-0000-00002C6B0000}"/>
    <cellStyle name="Normal 2 5 2 6 3 9" xfId="27434" xr:uid="{00000000-0005-0000-0000-00002D6B0000}"/>
    <cellStyle name="Normal 2 5 2 6 4" xfId="27435" xr:uid="{00000000-0005-0000-0000-00002E6B0000}"/>
    <cellStyle name="Normal 2 5 2 6 4 2" xfId="27436" xr:uid="{00000000-0005-0000-0000-00002F6B0000}"/>
    <cellStyle name="Normal 2 5 2 6 4 2 2" xfId="27437" xr:uid="{00000000-0005-0000-0000-0000306B0000}"/>
    <cellStyle name="Normal 2 5 2 6 4 2 3" xfId="27438" xr:uid="{00000000-0005-0000-0000-0000316B0000}"/>
    <cellStyle name="Normal 2 5 2 6 4 3" xfId="27439" xr:uid="{00000000-0005-0000-0000-0000326B0000}"/>
    <cellStyle name="Normal 2 5 2 6 4 4" xfId="27440" xr:uid="{00000000-0005-0000-0000-0000336B0000}"/>
    <cellStyle name="Normal 2 5 2 6 4 5" xfId="27441" xr:uid="{00000000-0005-0000-0000-0000346B0000}"/>
    <cellStyle name="Normal 2 5 2 6 4 6" xfId="27442" xr:uid="{00000000-0005-0000-0000-0000356B0000}"/>
    <cellStyle name="Normal 2 5 2 6 5" xfId="27443" xr:uid="{00000000-0005-0000-0000-0000366B0000}"/>
    <cellStyle name="Normal 2 5 2 6 5 2" xfId="27444" xr:uid="{00000000-0005-0000-0000-0000376B0000}"/>
    <cellStyle name="Normal 2 5 2 6 5 2 2" xfId="27445" xr:uid="{00000000-0005-0000-0000-0000386B0000}"/>
    <cellStyle name="Normal 2 5 2 6 5 3" xfId="27446" xr:uid="{00000000-0005-0000-0000-0000396B0000}"/>
    <cellStyle name="Normal 2 5 2 6 5 4" xfId="27447" xr:uid="{00000000-0005-0000-0000-00003A6B0000}"/>
    <cellStyle name="Normal 2 5 2 6 5 5" xfId="27448" xr:uid="{00000000-0005-0000-0000-00003B6B0000}"/>
    <cellStyle name="Normal 2 5 2 6 6" xfId="27449" xr:uid="{00000000-0005-0000-0000-00003C6B0000}"/>
    <cellStyle name="Normal 2 5 2 6 6 2" xfId="27450" xr:uid="{00000000-0005-0000-0000-00003D6B0000}"/>
    <cellStyle name="Normal 2 5 2 6 6 3" xfId="27451" xr:uid="{00000000-0005-0000-0000-00003E6B0000}"/>
    <cellStyle name="Normal 2 5 2 6 6 4" xfId="27452" xr:uid="{00000000-0005-0000-0000-00003F6B0000}"/>
    <cellStyle name="Normal 2 5 2 6 7" xfId="27453" xr:uid="{00000000-0005-0000-0000-0000406B0000}"/>
    <cellStyle name="Normal 2 5 2 6 7 2" xfId="27454" xr:uid="{00000000-0005-0000-0000-0000416B0000}"/>
    <cellStyle name="Normal 2 5 2 6 8" xfId="27455" xr:uid="{00000000-0005-0000-0000-0000426B0000}"/>
    <cellStyle name="Normal 2 5 2 6 9" xfId="27456" xr:uid="{00000000-0005-0000-0000-0000436B0000}"/>
    <cellStyle name="Normal 2 5 2 7" xfId="27457" xr:uid="{00000000-0005-0000-0000-0000446B0000}"/>
    <cellStyle name="Normal 2 5 2 7 10" xfId="27458" xr:uid="{00000000-0005-0000-0000-0000456B0000}"/>
    <cellStyle name="Normal 2 5 2 7 11" xfId="27459" xr:uid="{00000000-0005-0000-0000-0000466B0000}"/>
    <cellStyle name="Normal 2 5 2 7 2" xfId="27460" xr:uid="{00000000-0005-0000-0000-0000476B0000}"/>
    <cellStyle name="Normal 2 5 2 7 2 2" xfId="27461" xr:uid="{00000000-0005-0000-0000-0000486B0000}"/>
    <cellStyle name="Normal 2 5 2 7 2 2 2" xfId="27462" xr:uid="{00000000-0005-0000-0000-0000496B0000}"/>
    <cellStyle name="Normal 2 5 2 7 2 2 2 2" xfId="27463" xr:uid="{00000000-0005-0000-0000-00004A6B0000}"/>
    <cellStyle name="Normal 2 5 2 7 2 2 2 3" xfId="27464" xr:uid="{00000000-0005-0000-0000-00004B6B0000}"/>
    <cellStyle name="Normal 2 5 2 7 2 2 3" xfId="27465" xr:uid="{00000000-0005-0000-0000-00004C6B0000}"/>
    <cellStyle name="Normal 2 5 2 7 2 2 4" xfId="27466" xr:uid="{00000000-0005-0000-0000-00004D6B0000}"/>
    <cellStyle name="Normal 2 5 2 7 2 2 5" xfId="27467" xr:uid="{00000000-0005-0000-0000-00004E6B0000}"/>
    <cellStyle name="Normal 2 5 2 7 2 2 6" xfId="27468" xr:uid="{00000000-0005-0000-0000-00004F6B0000}"/>
    <cellStyle name="Normal 2 5 2 7 2 3" xfId="27469" xr:uid="{00000000-0005-0000-0000-0000506B0000}"/>
    <cellStyle name="Normal 2 5 2 7 2 3 2" xfId="27470" xr:uid="{00000000-0005-0000-0000-0000516B0000}"/>
    <cellStyle name="Normal 2 5 2 7 2 3 2 2" xfId="27471" xr:uid="{00000000-0005-0000-0000-0000526B0000}"/>
    <cellStyle name="Normal 2 5 2 7 2 3 3" xfId="27472" xr:uid="{00000000-0005-0000-0000-0000536B0000}"/>
    <cellStyle name="Normal 2 5 2 7 2 3 4" xfId="27473" xr:uid="{00000000-0005-0000-0000-0000546B0000}"/>
    <cellStyle name="Normal 2 5 2 7 2 3 5" xfId="27474" xr:uid="{00000000-0005-0000-0000-0000556B0000}"/>
    <cellStyle name="Normal 2 5 2 7 2 4" xfId="27475" xr:uid="{00000000-0005-0000-0000-0000566B0000}"/>
    <cellStyle name="Normal 2 5 2 7 2 4 2" xfId="27476" xr:uid="{00000000-0005-0000-0000-0000576B0000}"/>
    <cellStyle name="Normal 2 5 2 7 2 4 3" xfId="27477" xr:uid="{00000000-0005-0000-0000-0000586B0000}"/>
    <cellStyle name="Normal 2 5 2 7 2 4 4" xfId="27478" xr:uid="{00000000-0005-0000-0000-0000596B0000}"/>
    <cellStyle name="Normal 2 5 2 7 2 5" xfId="27479" xr:uid="{00000000-0005-0000-0000-00005A6B0000}"/>
    <cellStyle name="Normal 2 5 2 7 2 5 2" xfId="27480" xr:uid="{00000000-0005-0000-0000-00005B6B0000}"/>
    <cellStyle name="Normal 2 5 2 7 2 6" xfId="27481" xr:uid="{00000000-0005-0000-0000-00005C6B0000}"/>
    <cellStyle name="Normal 2 5 2 7 2 7" xfId="27482" xr:uid="{00000000-0005-0000-0000-00005D6B0000}"/>
    <cellStyle name="Normal 2 5 2 7 2 8" xfId="27483" xr:uid="{00000000-0005-0000-0000-00005E6B0000}"/>
    <cellStyle name="Normal 2 5 2 7 2 9" xfId="27484" xr:uid="{00000000-0005-0000-0000-00005F6B0000}"/>
    <cellStyle name="Normal 2 5 2 7 3" xfId="27485" xr:uid="{00000000-0005-0000-0000-0000606B0000}"/>
    <cellStyle name="Normal 2 5 2 7 3 2" xfId="27486" xr:uid="{00000000-0005-0000-0000-0000616B0000}"/>
    <cellStyle name="Normal 2 5 2 7 3 2 2" xfId="27487" xr:uid="{00000000-0005-0000-0000-0000626B0000}"/>
    <cellStyle name="Normal 2 5 2 7 3 2 2 2" xfId="27488" xr:uid="{00000000-0005-0000-0000-0000636B0000}"/>
    <cellStyle name="Normal 2 5 2 7 3 2 2 3" xfId="27489" xr:uid="{00000000-0005-0000-0000-0000646B0000}"/>
    <cellStyle name="Normal 2 5 2 7 3 2 3" xfId="27490" xr:uid="{00000000-0005-0000-0000-0000656B0000}"/>
    <cellStyle name="Normal 2 5 2 7 3 2 4" xfId="27491" xr:uid="{00000000-0005-0000-0000-0000666B0000}"/>
    <cellStyle name="Normal 2 5 2 7 3 2 5" xfId="27492" xr:uid="{00000000-0005-0000-0000-0000676B0000}"/>
    <cellStyle name="Normal 2 5 2 7 3 2 6" xfId="27493" xr:uid="{00000000-0005-0000-0000-0000686B0000}"/>
    <cellStyle name="Normal 2 5 2 7 3 3" xfId="27494" xr:uid="{00000000-0005-0000-0000-0000696B0000}"/>
    <cellStyle name="Normal 2 5 2 7 3 3 2" xfId="27495" xr:uid="{00000000-0005-0000-0000-00006A6B0000}"/>
    <cellStyle name="Normal 2 5 2 7 3 3 2 2" xfId="27496" xr:uid="{00000000-0005-0000-0000-00006B6B0000}"/>
    <cellStyle name="Normal 2 5 2 7 3 3 3" xfId="27497" xr:uid="{00000000-0005-0000-0000-00006C6B0000}"/>
    <cellStyle name="Normal 2 5 2 7 3 3 4" xfId="27498" xr:uid="{00000000-0005-0000-0000-00006D6B0000}"/>
    <cellStyle name="Normal 2 5 2 7 3 3 5" xfId="27499" xr:uid="{00000000-0005-0000-0000-00006E6B0000}"/>
    <cellStyle name="Normal 2 5 2 7 3 4" xfId="27500" xr:uid="{00000000-0005-0000-0000-00006F6B0000}"/>
    <cellStyle name="Normal 2 5 2 7 3 4 2" xfId="27501" xr:uid="{00000000-0005-0000-0000-0000706B0000}"/>
    <cellStyle name="Normal 2 5 2 7 3 4 3" xfId="27502" xr:uid="{00000000-0005-0000-0000-0000716B0000}"/>
    <cellStyle name="Normal 2 5 2 7 3 4 4" xfId="27503" xr:uid="{00000000-0005-0000-0000-0000726B0000}"/>
    <cellStyle name="Normal 2 5 2 7 3 5" xfId="27504" xr:uid="{00000000-0005-0000-0000-0000736B0000}"/>
    <cellStyle name="Normal 2 5 2 7 3 5 2" xfId="27505" xr:uid="{00000000-0005-0000-0000-0000746B0000}"/>
    <cellStyle name="Normal 2 5 2 7 3 6" xfId="27506" xr:uid="{00000000-0005-0000-0000-0000756B0000}"/>
    <cellStyle name="Normal 2 5 2 7 3 7" xfId="27507" xr:uid="{00000000-0005-0000-0000-0000766B0000}"/>
    <cellStyle name="Normal 2 5 2 7 3 8" xfId="27508" xr:uid="{00000000-0005-0000-0000-0000776B0000}"/>
    <cellStyle name="Normal 2 5 2 7 3 9" xfId="27509" xr:uid="{00000000-0005-0000-0000-0000786B0000}"/>
    <cellStyle name="Normal 2 5 2 7 4" xfId="27510" xr:uid="{00000000-0005-0000-0000-0000796B0000}"/>
    <cellStyle name="Normal 2 5 2 7 4 2" xfId="27511" xr:uid="{00000000-0005-0000-0000-00007A6B0000}"/>
    <cellStyle name="Normal 2 5 2 7 4 2 2" xfId="27512" xr:uid="{00000000-0005-0000-0000-00007B6B0000}"/>
    <cellStyle name="Normal 2 5 2 7 4 2 3" xfId="27513" xr:uid="{00000000-0005-0000-0000-00007C6B0000}"/>
    <cellStyle name="Normal 2 5 2 7 4 3" xfId="27514" xr:uid="{00000000-0005-0000-0000-00007D6B0000}"/>
    <cellStyle name="Normal 2 5 2 7 4 4" xfId="27515" xr:uid="{00000000-0005-0000-0000-00007E6B0000}"/>
    <cellStyle name="Normal 2 5 2 7 4 5" xfId="27516" xr:uid="{00000000-0005-0000-0000-00007F6B0000}"/>
    <cellStyle name="Normal 2 5 2 7 4 6" xfId="27517" xr:uid="{00000000-0005-0000-0000-0000806B0000}"/>
    <cellStyle name="Normal 2 5 2 7 5" xfId="27518" xr:uid="{00000000-0005-0000-0000-0000816B0000}"/>
    <cellStyle name="Normal 2 5 2 7 5 2" xfId="27519" xr:uid="{00000000-0005-0000-0000-0000826B0000}"/>
    <cellStyle name="Normal 2 5 2 7 5 2 2" xfId="27520" xr:uid="{00000000-0005-0000-0000-0000836B0000}"/>
    <cellStyle name="Normal 2 5 2 7 5 3" xfId="27521" xr:uid="{00000000-0005-0000-0000-0000846B0000}"/>
    <cellStyle name="Normal 2 5 2 7 5 4" xfId="27522" xr:uid="{00000000-0005-0000-0000-0000856B0000}"/>
    <cellStyle name="Normal 2 5 2 7 5 5" xfId="27523" xr:uid="{00000000-0005-0000-0000-0000866B0000}"/>
    <cellStyle name="Normal 2 5 2 7 6" xfId="27524" xr:uid="{00000000-0005-0000-0000-0000876B0000}"/>
    <cellStyle name="Normal 2 5 2 7 6 2" xfId="27525" xr:uid="{00000000-0005-0000-0000-0000886B0000}"/>
    <cellStyle name="Normal 2 5 2 7 6 3" xfId="27526" xr:uid="{00000000-0005-0000-0000-0000896B0000}"/>
    <cellStyle name="Normal 2 5 2 7 6 4" xfId="27527" xr:uid="{00000000-0005-0000-0000-00008A6B0000}"/>
    <cellStyle name="Normal 2 5 2 7 7" xfId="27528" xr:uid="{00000000-0005-0000-0000-00008B6B0000}"/>
    <cellStyle name="Normal 2 5 2 7 7 2" xfId="27529" xr:uid="{00000000-0005-0000-0000-00008C6B0000}"/>
    <cellStyle name="Normal 2 5 2 7 8" xfId="27530" xr:uid="{00000000-0005-0000-0000-00008D6B0000}"/>
    <cellStyle name="Normal 2 5 2 7 9" xfId="27531" xr:uid="{00000000-0005-0000-0000-00008E6B0000}"/>
    <cellStyle name="Normal 2 5 2 8" xfId="27532" xr:uid="{00000000-0005-0000-0000-00008F6B0000}"/>
    <cellStyle name="Normal 2 5 2 8 10" xfId="27533" xr:uid="{00000000-0005-0000-0000-0000906B0000}"/>
    <cellStyle name="Normal 2 5 2 8 2" xfId="27534" xr:uid="{00000000-0005-0000-0000-0000916B0000}"/>
    <cellStyle name="Normal 2 5 2 8 2 2" xfId="27535" xr:uid="{00000000-0005-0000-0000-0000926B0000}"/>
    <cellStyle name="Normal 2 5 2 8 2 2 2" xfId="27536" xr:uid="{00000000-0005-0000-0000-0000936B0000}"/>
    <cellStyle name="Normal 2 5 2 8 2 2 3" xfId="27537" xr:uid="{00000000-0005-0000-0000-0000946B0000}"/>
    <cellStyle name="Normal 2 5 2 8 2 3" xfId="27538" xr:uid="{00000000-0005-0000-0000-0000956B0000}"/>
    <cellStyle name="Normal 2 5 2 8 2 4" xfId="27539" xr:uid="{00000000-0005-0000-0000-0000966B0000}"/>
    <cellStyle name="Normal 2 5 2 8 2 5" xfId="27540" xr:uid="{00000000-0005-0000-0000-0000976B0000}"/>
    <cellStyle name="Normal 2 5 2 8 2 6" xfId="27541" xr:uid="{00000000-0005-0000-0000-0000986B0000}"/>
    <cellStyle name="Normal 2 5 2 8 3" xfId="27542" xr:uid="{00000000-0005-0000-0000-0000996B0000}"/>
    <cellStyle name="Normal 2 5 2 8 3 2" xfId="27543" xr:uid="{00000000-0005-0000-0000-00009A6B0000}"/>
    <cellStyle name="Normal 2 5 2 8 3 2 2" xfId="27544" xr:uid="{00000000-0005-0000-0000-00009B6B0000}"/>
    <cellStyle name="Normal 2 5 2 8 3 2 3" xfId="27545" xr:uid="{00000000-0005-0000-0000-00009C6B0000}"/>
    <cellStyle name="Normal 2 5 2 8 3 3" xfId="27546" xr:uid="{00000000-0005-0000-0000-00009D6B0000}"/>
    <cellStyle name="Normal 2 5 2 8 3 4" xfId="27547" xr:uid="{00000000-0005-0000-0000-00009E6B0000}"/>
    <cellStyle name="Normal 2 5 2 8 3 5" xfId="27548" xr:uid="{00000000-0005-0000-0000-00009F6B0000}"/>
    <cellStyle name="Normal 2 5 2 8 3 6" xfId="27549" xr:uid="{00000000-0005-0000-0000-0000A06B0000}"/>
    <cellStyle name="Normal 2 5 2 8 4" xfId="27550" xr:uid="{00000000-0005-0000-0000-0000A16B0000}"/>
    <cellStyle name="Normal 2 5 2 8 4 2" xfId="27551" xr:uid="{00000000-0005-0000-0000-0000A26B0000}"/>
    <cellStyle name="Normal 2 5 2 8 4 2 2" xfId="27552" xr:uid="{00000000-0005-0000-0000-0000A36B0000}"/>
    <cellStyle name="Normal 2 5 2 8 4 3" xfId="27553" xr:uid="{00000000-0005-0000-0000-0000A46B0000}"/>
    <cellStyle name="Normal 2 5 2 8 4 4" xfId="27554" xr:uid="{00000000-0005-0000-0000-0000A56B0000}"/>
    <cellStyle name="Normal 2 5 2 8 4 5" xfId="27555" xr:uid="{00000000-0005-0000-0000-0000A66B0000}"/>
    <cellStyle name="Normal 2 5 2 8 5" xfId="27556" xr:uid="{00000000-0005-0000-0000-0000A76B0000}"/>
    <cellStyle name="Normal 2 5 2 8 5 2" xfId="27557" xr:uid="{00000000-0005-0000-0000-0000A86B0000}"/>
    <cellStyle name="Normal 2 5 2 8 5 3" xfId="27558" xr:uid="{00000000-0005-0000-0000-0000A96B0000}"/>
    <cellStyle name="Normal 2 5 2 8 5 4" xfId="27559" xr:uid="{00000000-0005-0000-0000-0000AA6B0000}"/>
    <cellStyle name="Normal 2 5 2 8 6" xfId="27560" xr:uid="{00000000-0005-0000-0000-0000AB6B0000}"/>
    <cellStyle name="Normal 2 5 2 8 6 2" xfId="27561" xr:uid="{00000000-0005-0000-0000-0000AC6B0000}"/>
    <cellStyle name="Normal 2 5 2 8 7" xfId="27562" xr:uid="{00000000-0005-0000-0000-0000AD6B0000}"/>
    <cellStyle name="Normal 2 5 2 8 8" xfId="27563" xr:uid="{00000000-0005-0000-0000-0000AE6B0000}"/>
    <cellStyle name="Normal 2 5 2 8 9" xfId="27564" xr:uid="{00000000-0005-0000-0000-0000AF6B0000}"/>
    <cellStyle name="Normal 2 5 2 9" xfId="27565" xr:uid="{00000000-0005-0000-0000-0000B06B0000}"/>
    <cellStyle name="Normal 2 5 2 9 10" xfId="27566" xr:uid="{00000000-0005-0000-0000-0000B16B0000}"/>
    <cellStyle name="Normal 2 5 2 9 2" xfId="27567" xr:uid="{00000000-0005-0000-0000-0000B26B0000}"/>
    <cellStyle name="Normal 2 5 2 9 2 2" xfId="27568" xr:uid="{00000000-0005-0000-0000-0000B36B0000}"/>
    <cellStyle name="Normal 2 5 2 9 2 2 2" xfId="27569" xr:uid="{00000000-0005-0000-0000-0000B46B0000}"/>
    <cellStyle name="Normal 2 5 2 9 2 2 3" xfId="27570" xr:uid="{00000000-0005-0000-0000-0000B56B0000}"/>
    <cellStyle name="Normal 2 5 2 9 2 3" xfId="27571" xr:uid="{00000000-0005-0000-0000-0000B66B0000}"/>
    <cellStyle name="Normal 2 5 2 9 2 4" xfId="27572" xr:uid="{00000000-0005-0000-0000-0000B76B0000}"/>
    <cellStyle name="Normal 2 5 2 9 2 5" xfId="27573" xr:uid="{00000000-0005-0000-0000-0000B86B0000}"/>
    <cellStyle name="Normal 2 5 2 9 2 6" xfId="27574" xr:uid="{00000000-0005-0000-0000-0000B96B0000}"/>
    <cellStyle name="Normal 2 5 2 9 3" xfId="27575" xr:uid="{00000000-0005-0000-0000-0000BA6B0000}"/>
    <cellStyle name="Normal 2 5 2 9 3 2" xfId="27576" xr:uid="{00000000-0005-0000-0000-0000BB6B0000}"/>
    <cellStyle name="Normal 2 5 2 9 3 2 2" xfId="27577" xr:uid="{00000000-0005-0000-0000-0000BC6B0000}"/>
    <cellStyle name="Normal 2 5 2 9 3 2 3" xfId="27578" xr:uid="{00000000-0005-0000-0000-0000BD6B0000}"/>
    <cellStyle name="Normal 2 5 2 9 3 3" xfId="27579" xr:uid="{00000000-0005-0000-0000-0000BE6B0000}"/>
    <cellStyle name="Normal 2 5 2 9 3 4" xfId="27580" xr:uid="{00000000-0005-0000-0000-0000BF6B0000}"/>
    <cellStyle name="Normal 2 5 2 9 3 5" xfId="27581" xr:uid="{00000000-0005-0000-0000-0000C06B0000}"/>
    <cellStyle name="Normal 2 5 2 9 3 6" xfId="27582" xr:uid="{00000000-0005-0000-0000-0000C16B0000}"/>
    <cellStyle name="Normal 2 5 2 9 4" xfId="27583" xr:uid="{00000000-0005-0000-0000-0000C26B0000}"/>
    <cellStyle name="Normal 2 5 2 9 4 2" xfId="27584" xr:uid="{00000000-0005-0000-0000-0000C36B0000}"/>
    <cellStyle name="Normal 2 5 2 9 4 2 2" xfId="27585" xr:uid="{00000000-0005-0000-0000-0000C46B0000}"/>
    <cellStyle name="Normal 2 5 2 9 4 3" xfId="27586" xr:uid="{00000000-0005-0000-0000-0000C56B0000}"/>
    <cellStyle name="Normal 2 5 2 9 4 4" xfId="27587" xr:uid="{00000000-0005-0000-0000-0000C66B0000}"/>
    <cellStyle name="Normal 2 5 2 9 4 5" xfId="27588" xr:uid="{00000000-0005-0000-0000-0000C76B0000}"/>
    <cellStyle name="Normal 2 5 2 9 5" xfId="27589" xr:uid="{00000000-0005-0000-0000-0000C86B0000}"/>
    <cellStyle name="Normal 2 5 2 9 5 2" xfId="27590" xr:uid="{00000000-0005-0000-0000-0000C96B0000}"/>
    <cellStyle name="Normal 2 5 2 9 5 3" xfId="27591" xr:uid="{00000000-0005-0000-0000-0000CA6B0000}"/>
    <cellStyle name="Normal 2 5 2 9 5 4" xfId="27592" xr:uid="{00000000-0005-0000-0000-0000CB6B0000}"/>
    <cellStyle name="Normal 2 5 2 9 6" xfId="27593" xr:uid="{00000000-0005-0000-0000-0000CC6B0000}"/>
    <cellStyle name="Normal 2 5 2 9 6 2" xfId="27594" xr:uid="{00000000-0005-0000-0000-0000CD6B0000}"/>
    <cellStyle name="Normal 2 5 2 9 7" xfId="27595" xr:uid="{00000000-0005-0000-0000-0000CE6B0000}"/>
    <cellStyle name="Normal 2 5 2 9 8" xfId="27596" xr:uid="{00000000-0005-0000-0000-0000CF6B0000}"/>
    <cellStyle name="Normal 2 5 2 9 9" xfId="27597" xr:uid="{00000000-0005-0000-0000-0000D06B0000}"/>
    <cellStyle name="Normal 2 5 3" xfId="27598" xr:uid="{00000000-0005-0000-0000-0000D16B0000}"/>
    <cellStyle name="Normal 2 5 3 2" xfId="27599" xr:uid="{00000000-0005-0000-0000-0000D26B0000}"/>
    <cellStyle name="Normal 2 5 4" xfId="27600" xr:uid="{00000000-0005-0000-0000-0000D36B0000}"/>
    <cellStyle name="Normal 2 5 4 2" xfId="27601" xr:uid="{00000000-0005-0000-0000-0000D46B0000}"/>
    <cellStyle name="Normal 2 5 5" xfId="27602" xr:uid="{00000000-0005-0000-0000-0000D56B0000}"/>
    <cellStyle name="Normal 2 5 6" xfId="27603" xr:uid="{00000000-0005-0000-0000-0000D66B0000}"/>
    <cellStyle name="Normal 2 5 7" xfId="27604" xr:uid="{00000000-0005-0000-0000-0000D76B0000}"/>
    <cellStyle name="Normal 2 5 8" xfId="27605" xr:uid="{00000000-0005-0000-0000-0000D86B0000}"/>
    <cellStyle name="Normal 2 5 9" xfId="27606" xr:uid="{00000000-0005-0000-0000-0000D96B0000}"/>
    <cellStyle name="Normal 2 50" xfId="27607" xr:uid="{00000000-0005-0000-0000-0000DA6B0000}"/>
    <cellStyle name="Normal 2 50 10" xfId="27608" xr:uid="{00000000-0005-0000-0000-0000DB6B0000}"/>
    <cellStyle name="Normal 2 50 2" xfId="27609" xr:uid="{00000000-0005-0000-0000-0000DC6B0000}"/>
    <cellStyle name="Normal 2 50 2 2" xfId="27610" xr:uid="{00000000-0005-0000-0000-0000DD6B0000}"/>
    <cellStyle name="Normal 2 50 2 2 2" xfId="27611" xr:uid="{00000000-0005-0000-0000-0000DE6B0000}"/>
    <cellStyle name="Normal 2 50 2 2 3" xfId="27612" xr:uid="{00000000-0005-0000-0000-0000DF6B0000}"/>
    <cellStyle name="Normal 2 50 2 3" xfId="27613" xr:uid="{00000000-0005-0000-0000-0000E06B0000}"/>
    <cellStyle name="Normal 2 50 2 4" xfId="27614" xr:uid="{00000000-0005-0000-0000-0000E16B0000}"/>
    <cellStyle name="Normal 2 50 2 5" xfId="27615" xr:uid="{00000000-0005-0000-0000-0000E26B0000}"/>
    <cellStyle name="Normal 2 50 2 6" xfId="27616" xr:uid="{00000000-0005-0000-0000-0000E36B0000}"/>
    <cellStyle name="Normal 2 50 3" xfId="27617" xr:uid="{00000000-0005-0000-0000-0000E46B0000}"/>
    <cellStyle name="Normal 2 50 3 2" xfId="27618" xr:uid="{00000000-0005-0000-0000-0000E56B0000}"/>
    <cellStyle name="Normal 2 50 3 2 2" xfId="27619" xr:uid="{00000000-0005-0000-0000-0000E66B0000}"/>
    <cellStyle name="Normal 2 50 3 2 3" xfId="27620" xr:uid="{00000000-0005-0000-0000-0000E76B0000}"/>
    <cellStyle name="Normal 2 50 3 3" xfId="27621" xr:uid="{00000000-0005-0000-0000-0000E86B0000}"/>
    <cellStyle name="Normal 2 50 3 4" xfId="27622" xr:uid="{00000000-0005-0000-0000-0000E96B0000}"/>
    <cellStyle name="Normal 2 50 3 5" xfId="27623" xr:uid="{00000000-0005-0000-0000-0000EA6B0000}"/>
    <cellStyle name="Normal 2 50 3 6" xfId="27624" xr:uid="{00000000-0005-0000-0000-0000EB6B0000}"/>
    <cellStyle name="Normal 2 50 4" xfId="27625" xr:uid="{00000000-0005-0000-0000-0000EC6B0000}"/>
    <cellStyle name="Normal 2 50 4 2" xfId="27626" xr:uid="{00000000-0005-0000-0000-0000ED6B0000}"/>
    <cellStyle name="Normal 2 50 4 2 2" xfId="27627" xr:uid="{00000000-0005-0000-0000-0000EE6B0000}"/>
    <cellStyle name="Normal 2 50 4 3" xfId="27628" xr:uid="{00000000-0005-0000-0000-0000EF6B0000}"/>
    <cellStyle name="Normal 2 50 4 4" xfId="27629" xr:uid="{00000000-0005-0000-0000-0000F06B0000}"/>
    <cellStyle name="Normal 2 50 4 5" xfId="27630" xr:uid="{00000000-0005-0000-0000-0000F16B0000}"/>
    <cellStyle name="Normal 2 50 5" xfId="27631" xr:uid="{00000000-0005-0000-0000-0000F26B0000}"/>
    <cellStyle name="Normal 2 50 5 2" xfId="27632" xr:uid="{00000000-0005-0000-0000-0000F36B0000}"/>
    <cellStyle name="Normal 2 50 5 3" xfId="27633" xr:uid="{00000000-0005-0000-0000-0000F46B0000}"/>
    <cellStyle name="Normal 2 50 5 4" xfId="27634" xr:uid="{00000000-0005-0000-0000-0000F56B0000}"/>
    <cellStyle name="Normal 2 50 6" xfId="27635" xr:uid="{00000000-0005-0000-0000-0000F66B0000}"/>
    <cellStyle name="Normal 2 50 6 2" xfId="27636" xr:uid="{00000000-0005-0000-0000-0000F76B0000}"/>
    <cellStyle name="Normal 2 50 7" xfId="27637" xr:uid="{00000000-0005-0000-0000-0000F86B0000}"/>
    <cellStyle name="Normal 2 50 8" xfId="27638" xr:uid="{00000000-0005-0000-0000-0000F96B0000}"/>
    <cellStyle name="Normal 2 50 9" xfId="27639" xr:uid="{00000000-0005-0000-0000-0000FA6B0000}"/>
    <cellStyle name="Normal 2 51" xfId="27640" xr:uid="{00000000-0005-0000-0000-0000FB6B0000}"/>
    <cellStyle name="Normal 2 51 10" xfId="27641" xr:uid="{00000000-0005-0000-0000-0000FC6B0000}"/>
    <cellStyle name="Normal 2 51 2" xfId="27642" xr:uid="{00000000-0005-0000-0000-0000FD6B0000}"/>
    <cellStyle name="Normal 2 51 2 2" xfId="27643" xr:uid="{00000000-0005-0000-0000-0000FE6B0000}"/>
    <cellStyle name="Normal 2 51 2 2 2" xfId="27644" xr:uid="{00000000-0005-0000-0000-0000FF6B0000}"/>
    <cellStyle name="Normal 2 51 2 2 3" xfId="27645" xr:uid="{00000000-0005-0000-0000-0000006C0000}"/>
    <cellStyle name="Normal 2 51 2 3" xfId="27646" xr:uid="{00000000-0005-0000-0000-0000016C0000}"/>
    <cellStyle name="Normal 2 51 2 4" xfId="27647" xr:uid="{00000000-0005-0000-0000-0000026C0000}"/>
    <cellStyle name="Normal 2 51 2 5" xfId="27648" xr:uid="{00000000-0005-0000-0000-0000036C0000}"/>
    <cellStyle name="Normal 2 51 2 6" xfId="27649" xr:uid="{00000000-0005-0000-0000-0000046C0000}"/>
    <cellStyle name="Normal 2 51 3" xfId="27650" xr:uid="{00000000-0005-0000-0000-0000056C0000}"/>
    <cellStyle name="Normal 2 51 3 2" xfId="27651" xr:uid="{00000000-0005-0000-0000-0000066C0000}"/>
    <cellStyle name="Normal 2 51 3 2 2" xfId="27652" xr:uid="{00000000-0005-0000-0000-0000076C0000}"/>
    <cellStyle name="Normal 2 51 3 2 3" xfId="27653" xr:uid="{00000000-0005-0000-0000-0000086C0000}"/>
    <cellStyle name="Normal 2 51 3 3" xfId="27654" xr:uid="{00000000-0005-0000-0000-0000096C0000}"/>
    <cellStyle name="Normal 2 51 3 4" xfId="27655" xr:uid="{00000000-0005-0000-0000-00000A6C0000}"/>
    <cellStyle name="Normal 2 51 3 5" xfId="27656" xr:uid="{00000000-0005-0000-0000-00000B6C0000}"/>
    <cellStyle name="Normal 2 51 3 6" xfId="27657" xr:uid="{00000000-0005-0000-0000-00000C6C0000}"/>
    <cellStyle name="Normal 2 51 4" xfId="27658" xr:uid="{00000000-0005-0000-0000-00000D6C0000}"/>
    <cellStyle name="Normal 2 51 4 2" xfId="27659" xr:uid="{00000000-0005-0000-0000-00000E6C0000}"/>
    <cellStyle name="Normal 2 51 4 2 2" xfId="27660" xr:uid="{00000000-0005-0000-0000-00000F6C0000}"/>
    <cellStyle name="Normal 2 51 4 3" xfId="27661" xr:uid="{00000000-0005-0000-0000-0000106C0000}"/>
    <cellStyle name="Normal 2 51 4 4" xfId="27662" xr:uid="{00000000-0005-0000-0000-0000116C0000}"/>
    <cellStyle name="Normal 2 51 4 5" xfId="27663" xr:uid="{00000000-0005-0000-0000-0000126C0000}"/>
    <cellStyle name="Normal 2 51 5" xfId="27664" xr:uid="{00000000-0005-0000-0000-0000136C0000}"/>
    <cellStyle name="Normal 2 51 5 2" xfId="27665" xr:uid="{00000000-0005-0000-0000-0000146C0000}"/>
    <cellStyle name="Normal 2 51 5 3" xfId="27666" xr:uid="{00000000-0005-0000-0000-0000156C0000}"/>
    <cellStyle name="Normal 2 51 5 4" xfId="27667" xr:uid="{00000000-0005-0000-0000-0000166C0000}"/>
    <cellStyle name="Normal 2 51 6" xfId="27668" xr:uid="{00000000-0005-0000-0000-0000176C0000}"/>
    <cellStyle name="Normal 2 51 6 2" xfId="27669" xr:uid="{00000000-0005-0000-0000-0000186C0000}"/>
    <cellStyle name="Normal 2 51 7" xfId="27670" xr:uid="{00000000-0005-0000-0000-0000196C0000}"/>
    <cellStyle name="Normal 2 51 8" xfId="27671" xr:uid="{00000000-0005-0000-0000-00001A6C0000}"/>
    <cellStyle name="Normal 2 51 9" xfId="27672" xr:uid="{00000000-0005-0000-0000-00001B6C0000}"/>
    <cellStyle name="Normal 2 52" xfId="27673" xr:uid="{00000000-0005-0000-0000-00001C6C0000}"/>
    <cellStyle name="Normal 2 52 10" xfId="27674" xr:uid="{00000000-0005-0000-0000-00001D6C0000}"/>
    <cellStyle name="Normal 2 52 2" xfId="27675" xr:uid="{00000000-0005-0000-0000-00001E6C0000}"/>
    <cellStyle name="Normal 2 52 2 2" xfId="27676" xr:uid="{00000000-0005-0000-0000-00001F6C0000}"/>
    <cellStyle name="Normal 2 52 2 2 2" xfId="27677" xr:uid="{00000000-0005-0000-0000-0000206C0000}"/>
    <cellStyle name="Normal 2 52 2 2 3" xfId="27678" xr:uid="{00000000-0005-0000-0000-0000216C0000}"/>
    <cellStyle name="Normal 2 52 2 3" xfId="27679" xr:uid="{00000000-0005-0000-0000-0000226C0000}"/>
    <cellStyle name="Normal 2 52 2 4" xfId="27680" xr:uid="{00000000-0005-0000-0000-0000236C0000}"/>
    <cellStyle name="Normal 2 52 2 5" xfId="27681" xr:uid="{00000000-0005-0000-0000-0000246C0000}"/>
    <cellStyle name="Normal 2 52 2 6" xfId="27682" xr:uid="{00000000-0005-0000-0000-0000256C0000}"/>
    <cellStyle name="Normal 2 52 3" xfId="27683" xr:uid="{00000000-0005-0000-0000-0000266C0000}"/>
    <cellStyle name="Normal 2 52 3 2" xfId="27684" xr:uid="{00000000-0005-0000-0000-0000276C0000}"/>
    <cellStyle name="Normal 2 52 3 2 2" xfId="27685" xr:uid="{00000000-0005-0000-0000-0000286C0000}"/>
    <cellStyle name="Normal 2 52 3 2 3" xfId="27686" xr:uid="{00000000-0005-0000-0000-0000296C0000}"/>
    <cellStyle name="Normal 2 52 3 3" xfId="27687" xr:uid="{00000000-0005-0000-0000-00002A6C0000}"/>
    <cellStyle name="Normal 2 52 3 4" xfId="27688" xr:uid="{00000000-0005-0000-0000-00002B6C0000}"/>
    <cellStyle name="Normal 2 52 3 5" xfId="27689" xr:uid="{00000000-0005-0000-0000-00002C6C0000}"/>
    <cellStyle name="Normal 2 52 3 6" xfId="27690" xr:uid="{00000000-0005-0000-0000-00002D6C0000}"/>
    <cellStyle name="Normal 2 52 4" xfId="27691" xr:uid="{00000000-0005-0000-0000-00002E6C0000}"/>
    <cellStyle name="Normal 2 52 4 2" xfId="27692" xr:uid="{00000000-0005-0000-0000-00002F6C0000}"/>
    <cellStyle name="Normal 2 52 4 2 2" xfId="27693" xr:uid="{00000000-0005-0000-0000-0000306C0000}"/>
    <cellStyle name="Normal 2 52 4 3" xfId="27694" xr:uid="{00000000-0005-0000-0000-0000316C0000}"/>
    <cellStyle name="Normal 2 52 4 4" xfId="27695" xr:uid="{00000000-0005-0000-0000-0000326C0000}"/>
    <cellStyle name="Normal 2 52 4 5" xfId="27696" xr:uid="{00000000-0005-0000-0000-0000336C0000}"/>
    <cellStyle name="Normal 2 52 5" xfId="27697" xr:uid="{00000000-0005-0000-0000-0000346C0000}"/>
    <cellStyle name="Normal 2 52 5 2" xfId="27698" xr:uid="{00000000-0005-0000-0000-0000356C0000}"/>
    <cellStyle name="Normal 2 52 5 3" xfId="27699" xr:uid="{00000000-0005-0000-0000-0000366C0000}"/>
    <cellStyle name="Normal 2 52 5 4" xfId="27700" xr:uid="{00000000-0005-0000-0000-0000376C0000}"/>
    <cellStyle name="Normal 2 52 6" xfId="27701" xr:uid="{00000000-0005-0000-0000-0000386C0000}"/>
    <cellStyle name="Normal 2 52 6 2" xfId="27702" xr:uid="{00000000-0005-0000-0000-0000396C0000}"/>
    <cellStyle name="Normal 2 52 7" xfId="27703" xr:uid="{00000000-0005-0000-0000-00003A6C0000}"/>
    <cellStyle name="Normal 2 52 8" xfId="27704" xr:uid="{00000000-0005-0000-0000-00003B6C0000}"/>
    <cellStyle name="Normal 2 52 9" xfId="27705" xr:uid="{00000000-0005-0000-0000-00003C6C0000}"/>
    <cellStyle name="Normal 2 53" xfId="27706" xr:uid="{00000000-0005-0000-0000-00003D6C0000}"/>
    <cellStyle name="Normal 2 53 10" xfId="27707" xr:uid="{00000000-0005-0000-0000-00003E6C0000}"/>
    <cellStyle name="Normal 2 53 2" xfId="27708" xr:uid="{00000000-0005-0000-0000-00003F6C0000}"/>
    <cellStyle name="Normal 2 53 2 2" xfId="27709" xr:uid="{00000000-0005-0000-0000-0000406C0000}"/>
    <cellStyle name="Normal 2 53 2 2 2" xfId="27710" xr:uid="{00000000-0005-0000-0000-0000416C0000}"/>
    <cellStyle name="Normal 2 53 2 2 3" xfId="27711" xr:uid="{00000000-0005-0000-0000-0000426C0000}"/>
    <cellStyle name="Normal 2 53 2 3" xfId="27712" xr:uid="{00000000-0005-0000-0000-0000436C0000}"/>
    <cellStyle name="Normal 2 53 2 4" xfId="27713" xr:uid="{00000000-0005-0000-0000-0000446C0000}"/>
    <cellStyle name="Normal 2 53 2 5" xfId="27714" xr:uid="{00000000-0005-0000-0000-0000456C0000}"/>
    <cellStyle name="Normal 2 53 2 6" xfId="27715" xr:uid="{00000000-0005-0000-0000-0000466C0000}"/>
    <cellStyle name="Normal 2 53 3" xfId="27716" xr:uid="{00000000-0005-0000-0000-0000476C0000}"/>
    <cellStyle name="Normal 2 53 3 2" xfId="27717" xr:uid="{00000000-0005-0000-0000-0000486C0000}"/>
    <cellStyle name="Normal 2 53 3 2 2" xfId="27718" xr:uid="{00000000-0005-0000-0000-0000496C0000}"/>
    <cellStyle name="Normal 2 53 3 2 3" xfId="27719" xr:uid="{00000000-0005-0000-0000-00004A6C0000}"/>
    <cellStyle name="Normal 2 53 3 3" xfId="27720" xr:uid="{00000000-0005-0000-0000-00004B6C0000}"/>
    <cellStyle name="Normal 2 53 3 4" xfId="27721" xr:uid="{00000000-0005-0000-0000-00004C6C0000}"/>
    <cellStyle name="Normal 2 53 3 5" xfId="27722" xr:uid="{00000000-0005-0000-0000-00004D6C0000}"/>
    <cellStyle name="Normal 2 53 3 6" xfId="27723" xr:uid="{00000000-0005-0000-0000-00004E6C0000}"/>
    <cellStyle name="Normal 2 53 4" xfId="27724" xr:uid="{00000000-0005-0000-0000-00004F6C0000}"/>
    <cellStyle name="Normal 2 53 4 2" xfId="27725" xr:uid="{00000000-0005-0000-0000-0000506C0000}"/>
    <cellStyle name="Normal 2 53 4 2 2" xfId="27726" xr:uid="{00000000-0005-0000-0000-0000516C0000}"/>
    <cellStyle name="Normal 2 53 4 3" xfId="27727" xr:uid="{00000000-0005-0000-0000-0000526C0000}"/>
    <cellStyle name="Normal 2 53 4 4" xfId="27728" xr:uid="{00000000-0005-0000-0000-0000536C0000}"/>
    <cellStyle name="Normal 2 53 4 5" xfId="27729" xr:uid="{00000000-0005-0000-0000-0000546C0000}"/>
    <cellStyle name="Normal 2 53 5" xfId="27730" xr:uid="{00000000-0005-0000-0000-0000556C0000}"/>
    <cellStyle name="Normal 2 53 5 2" xfId="27731" xr:uid="{00000000-0005-0000-0000-0000566C0000}"/>
    <cellStyle name="Normal 2 53 5 3" xfId="27732" xr:uid="{00000000-0005-0000-0000-0000576C0000}"/>
    <cellStyle name="Normal 2 53 5 4" xfId="27733" xr:uid="{00000000-0005-0000-0000-0000586C0000}"/>
    <cellStyle name="Normal 2 53 6" xfId="27734" xr:uid="{00000000-0005-0000-0000-0000596C0000}"/>
    <cellStyle name="Normal 2 53 6 2" xfId="27735" xr:uid="{00000000-0005-0000-0000-00005A6C0000}"/>
    <cellStyle name="Normal 2 53 7" xfId="27736" xr:uid="{00000000-0005-0000-0000-00005B6C0000}"/>
    <cellStyle name="Normal 2 53 8" xfId="27737" xr:uid="{00000000-0005-0000-0000-00005C6C0000}"/>
    <cellStyle name="Normal 2 53 9" xfId="27738" xr:uid="{00000000-0005-0000-0000-00005D6C0000}"/>
    <cellStyle name="Normal 2 54" xfId="27739" xr:uid="{00000000-0005-0000-0000-00005E6C0000}"/>
    <cellStyle name="Normal 2 54 10" xfId="27740" xr:uid="{00000000-0005-0000-0000-00005F6C0000}"/>
    <cellStyle name="Normal 2 54 2" xfId="27741" xr:uid="{00000000-0005-0000-0000-0000606C0000}"/>
    <cellStyle name="Normal 2 54 2 2" xfId="27742" xr:uid="{00000000-0005-0000-0000-0000616C0000}"/>
    <cellStyle name="Normal 2 54 2 2 2" xfId="27743" xr:uid="{00000000-0005-0000-0000-0000626C0000}"/>
    <cellStyle name="Normal 2 54 2 2 3" xfId="27744" xr:uid="{00000000-0005-0000-0000-0000636C0000}"/>
    <cellStyle name="Normal 2 54 2 3" xfId="27745" xr:uid="{00000000-0005-0000-0000-0000646C0000}"/>
    <cellStyle name="Normal 2 54 2 4" xfId="27746" xr:uid="{00000000-0005-0000-0000-0000656C0000}"/>
    <cellStyle name="Normal 2 54 2 5" xfId="27747" xr:uid="{00000000-0005-0000-0000-0000666C0000}"/>
    <cellStyle name="Normal 2 54 2 6" xfId="27748" xr:uid="{00000000-0005-0000-0000-0000676C0000}"/>
    <cellStyle name="Normal 2 54 3" xfId="27749" xr:uid="{00000000-0005-0000-0000-0000686C0000}"/>
    <cellStyle name="Normal 2 54 3 2" xfId="27750" xr:uid="{00000000-0005-0000-0000-0000696C0000}"/>
    <cellStyle name="Normal 2 54 3 2 2" xfId="27751" xr:uid="{00000000-0005-0000-0000-00006A6C0000}"/>
    <cellStyle name="Normal 2 54 3 2 3" xfId="27752" xr:uid="{00000000-0005-0000-0000-00006B6C0000}"/>
    <cellStyle name="Normal 2 54 3 3" xfId="27753" xr:uid="{00000000-0005-0000-0000-00006C6C0000}"/>
    <cellStyle name="Normal 2 54 3 4" xfId="27754" xr:uid="{00000000-0005-0000-0000-00006D6C0000}"/>
    <cellStyle name="Normal 2 54 3 5" xfId="27755" xr:uid="{00000000-0005-0000-0000-00006E6C0000}"/>
    <cellStyle name="Normal 2 54 3 6" xfId="27756" xr:uid="{00000000-0005-0000-0000-00006F6C0000}"/>
    <cellStyle name="Normal 2 54 4" xfId="27757" xr:uid="{00000000-0005-0000-0000-0000706C0000}"/>
    <cellStyle name="Normal 2 54 4 2" xfId="27758" xr:uid="{00000000-0005-0000-0000-0000716C0000}"/>
    <cellStyle name="Normal 2 54 4 2 2" xfId="27759" xr:uid="{00000000-0005-0000-0000-0000726C0000}"/>
    <cellStyle name="Normal 2 54 4 3" xfId="27760" xr:uid="{00000000-0005-0000-0000-0000736C0000}"/>
    <cellStyle name="Normal 2 54 4 4" xfId="27761" xr:uid="{00000000-0005-0000-0000-0000746C0000}"/>
    <cellStyle name="Normal 2 54 4 5" xfId="27762" xr:uid="{00000000-0005-0000-0000-0000756C0000}"/>
    <cellStyle name="Normal 2 54 5" xfId="27763" xr:uid="{00000000-0005-0000-0000-0000766C0000}"/>
    <cellStyle name="Normal 2 54 5 2" xfId="27764" xr:uid="{00000000-0005-0000-0000-0000776C0000}"/>
    <cellStyle name="Normal 2 54 5 3" xfId="27765" xr:uid="{00000000-0005-0000-0000-0000786C0000}"/>
    <cellStyle name="Normal 2 54 5 4" xfId="27766" xr:uid="{00000000-0005-0000-0000-0000796C0000}"/>
    <cellStyle name="Normal 2 54 6" xfId="27767" xr:uid="{00000000-0005-0000-0000-00007A6C0000}"/>
    <cellStyle name="Normal 2 54 6 2" xfId="27768" xr:uid="{00000000-0005-0000-0000-00007B6C0000}"/>
    <cellStyle name="Normal 2 54 7" xfId="27769" xr:uid="{00000000-0005-0000-0000-00007C6C0000}"/>
    <cellStyle name="Normal 2 54 8" xfId="27770" xr:uid="{00000000-0005-0000-0000-00007D6C0000}"/>
    <cellStyle name="Normal 2 54 9" xfId="27771" xr:uid="{00000000-0005-0000-0000-00007E6C0000}"/>
    <cellStyle name="Normal 2 55" xfId="27772" xr:uid="{00000000-0005-0000-0000-00007F6C0000}"/>
    <cellStyle name="Normal 2 55 10" xfId="27773" xr:uid="{00000000-0005-0000-0000-0000806C0000}"/>
    <cellStyle name="Normal 2 55 2" xfId="27774" xr:uid="{00000000-0005-0000-0000-0000816C0000}"/>
    <cellStyle name="Normal 2 55 2 2" xfId="27775" xr:uid="{00000000-0005-0000-0000-0000826C0000}"/>
    <cellStyle name="Normal 2 55 2 2 2" xfId="27776" xr:uid="{00000000-0005-0000-0000-0000836C0000}"/>
    <cellStyle name="Normal 2 55 2 2 3" xfId="27777" xr:uid="{00000000-0005-0000-0000-0000846C0000}"/>
    <cellStyle name="Normal 2 55 2 3" xfId="27778" xr:uid="{00000000-0005-0000-0000-0000856C0000}"/>
    <cellStyle name="Normal 2 55 2 4" xfId="27779" xr:uid="{00000000-0005-0000-0000-0000866C0000}"/>
    <cellStyle name="Normal 2 55 2 5" xfId="27780" xr:uid="{00000000-0005-0000-0000-0000876C0000}"/>
    <cellStyle name="Normal 2 55 2 6" xfId="27781" xr:uid="{00000000-0005-0000-0000-0000886C0000}"/>
    <cellStyle name="Normal 2 55 3" xfId="27782" xr:uid="{00000000-0005-0000-0000-0000896C0000}"/>
    <cellStyle name="Normal 2 55 3 2" xfId="27783" xr:uid="{00000000-0005-0000-0000-00008A6C0000}"/>
    <cellStyle name="Normal 2 55 3 2 2" xfId="27784" xr:uid="{00000000-0005-0000-0000-00008B6C0000}"/>
    <cellStyle name="Normal 2 55 3 2 3" xfId="27785" xr:uid="{00000000-0005-0000-0000-00008C6C0000}"/>
    <cellStyle name="Normal 2 55 3 3" xfId="27786" xr:uid="{00000000-0005-0000-0000-00008D6C0000}"/>
    <cellStyle name="Normal 2 55 3 4" xfId="27787" xr:uid="{00000000-0005-0000-0000-00008E6C0000}"/>
    <cellStyle name="Normal 2 55 3 5" xfId="27788" xr:uid="{00000000-0005-0000-0000-00008F6C0000}"/>
    <cellStyle name="Normal 2 55 3 6" xfId="27789" xr:uid="{00000000-0005-0000-0000-0000906C0000}"/>
    <cellStyle name="Normal 2 55 4" xfId="27790" xr:uid="{00000000-0005-0000-0000-0000916C0000}"/>
    <cellStyle name="Normal 2 55 4 2" xfId="27791" xr:uid="{00000000-0005-0000-0000-0000926C0000}"/>
    <cellStyle name="Normal 2 55 4 2 2" xfId="27792" xr:uid="{00000000-0005-0000-0000-0000936C0000}"/>
    <cellStyle name="Normal 2 55 4 3" xfId="27793" xr:uid="{00000000-0005-0000-0000-0000946C0000}"/>
    <cellStyle name="Normal 2 55 4 4" xfId="27794" xr:uid="{00000000-0005-0000-0000-0000956C0000}"/>
    <cellStyle name="Normal 2 55 4 5" xfId="27795" xr:uid="{00000000-0005-0000-0000-0000966C0000}"/>
    <cellStyle name="Normal 2 55 5" xfId="27796" xr:uid="{00000000-0005-0000-0000-0000976C0000}"/>
    <cellStyle name="Normal 2 55 5 2" xfId="27797" xr:uid="{00000000-0005-0000-0000-0000986C0000}"/>
    <cellStyle name="Normal 2 55 5 3" xfId="27798" xr:uid="{00000000-0005-0000-0000-0000996C0000}"/>
    <cellStyle name="Normal 2 55 5 4" xfId="27799" xr:uid="{00000000-0005-0000-0000-00009A6C0000}"/>
    <cellStyle name="Normal 2 55 6" xfId="27800" xr:uid="{00000000-0005-0000-0000-00009B6C0000}"/>
    <cellStyle name="Normal 2 55 6 2" xfId="27801" xr:uid="{00000000-0005-0000-0000-00009C6C0000}"/>
    <cellStyle name="Normal 2 55 7" xfId="27802" xr:uid="{00000000-0005-0000-0000-00009D6C0000}"/>
    <cellStyle name="Normal 2 55 8" xfId="27803" xr:uid="{00000000-0005-0000-0000-00009E6C0000}"/>
    <cellStyle name="Normal 2 55 9" xfId="27804" xr:uid="{00000000-0005-0000-0000-00009F6C0000}"/>
    <cellStyle name="Normal 2 56" xfId="27805" xr:uid="{00000000-0005-0000-0000-0000A06C0000}"/>
    <cellStyle name="Normal 2 56 10" xfId="27806" xr:uid="{00000000-0005-0000-0000-0000A16C0000}"/>
    <cellStyle name="Normal 2 56 2" xfId="27807" xr:uid="{00000000-0005-0000-0000-0000A26C0000}"/>
    <cellStyle name="Normal 2 56 2 2" xfId="27808" xr:uid="{00000000-0005-0000-0000-0000A36C0000}"/>
    <cellStyle name="Normal 2 56 2 2 2" xfId="27809" xr:uid="{00000000-0005-0000-0000-0000A46C0000}"/>
    <cellStyle name="Normal 2 56 2 2 3" xfId="27810" xr:uid="{00000000-0005-0000-0000-0000A56C0000}"/>
    <cellStyle name="Normal 2 56 2 3" xfId="27811" xr:uid="{00000000-0005-0000-0000-0000A66C0000}"/>
    <cellStyle name="Normal 2 56 2 4" xfId="27812" xr:uid="{00000000-0005-0000-0000-0000A76C0000}"/>
    <cellStyle name="Normal 2 56 2 5" xfId="27813" xr:uid="{00000000-0005-0000-0000-0000A86C0000}"/>
    <cellStyle name="Normal 2 56 2 6" xfId="27814" xr:uid="{00000000-0005-0000-0000-0000A96C0000}"/>
    <cellStyle name="Normal 2 56 3" xfId="27815" xr:uid="{00000000-0005-0000-0000-0000AA6C0000}"/>
    <cellStyle name="Normal 2 56 3 2" xfId="27816" xr:uid="{00000000-0005-0000-0000-0000AB6C0000}"/>
    <cellStyle name="Normal 2 56 3 2 2" xfId="27817" xr:uid="{00000000-0005-0000-0000-0000AC6C0000}"/>
    <cellStyle name="Normal 2 56 3 2 3" xfId="27818" xr:uid="{00000000-0005-0000-0000-0000AD6C0000}"/>
    <cellStyle name="Normal 2 56 3 3" xfId="27819" xr:uid="{00000000-0005-0000-0000-0000AE6C0000}"/>
    <cellStyle name="Normal 2 56 3 4" xfId="27820" xr:uid="{00000000-0005-0000-0000-0000AF6C0000}"/>
    <cellStyle name="Normal 2 56 3 5" xfId="27821" xr:uid="{00000000-0005-0000-0000-0000B06C0000}"/>
    <cellStyle name="Normal 2 56 3 6" xfId="27822" xr:uid="{00000000-0005-0000-0000-0000B16C0000}"/>
    <cellStyle name="Normal 2 56 4" xfId="27823" xr:uid="{00000000-0005-0000-0000-0000B26C0000}"/>
    <cellStyle name="Normal 2 56 4 2" xfId="27824" xr:uid="{00000000-0005-0000-0000-0000B36C0000}"/>
    <cellStyle name="Normal 2 56 4 2 2" xfId="27825" xr:uid="{00000000-0005-0000-0000-0000B46C0000}"/>
    <cellStyle name="Normal 2 56 4 3" xfId="27826" xr:uid="{00000000-0005-0000-0000-0000B56C0000}"/>
    <cellStyle name="Normal 2 56 4 4" xfId="27827" xr:uid="{00000000-0005-0000-0000-0000B66C0000}"/>
    <cellStyle name="Normal 2 56 4 5" xfId="27828" xr:uid="{00000000-0005-0000-0000-0000B76C0000}"/>
    <cellStyle name="Normal 2 56 5" xfId="27829" xr:uid="{00000000-0005-0000-0000-0000B86C0000}"/>
    <cellStyle name="Normal 2 56 5 2" xfId="27830" xr:uid="{00000000-0005-0000-0000-0000B96C0000}"/>
    <cellStyle name="Normal 2 56 5 3" xfId="27831" xr:uid="{00000000-0005-0000-0000-0000BA6C0000}"/>
    <cellStyle name="Normal 2 56 5 4" xfId="27832" xr:uid="{00000000-0005-0000-0000-0000BB6C0000}"/>
    <cellStyle name="Normal 2 56 6" xfId="27833" xr:uid="{00000000-0005-0000-0000-0000BC6C0000}"/>
    <cellStyle name="Normal 2 56 6 2" xfId="27834" xr:uid="{00000000-0005-0000-0000-0000BD6C0000}"/>
    <cellStyle name="Normal 2 56 7" xfId="27835" xr:uid="{00000000-0005-0000-0000-0000BE6C0000}"/>
    <cellStyle name="Normal 2 56 8" xfId="27836" xr:uid="{00000000-0005-0000-0000-0000BF6C0000}"/>
    <cellStyle name="Normal 2 56 9" xfId="27837" xr:uid="{00000000-0005-0000-0000-0000C06C0000}"/>
    <cellStyle name="Normal 2 57" xfId="27838" xr:uid="{00000000-0005-0000-0000-0000C16C0000}"/>
    <cellStyle name="Normal 2 57 10" xfId="27839" xr:uid="{00000000-0005-0000-0000-0000C26C0000}"/>
    <cellStyle name="Normal 2 57 2" xfId="27840" xr:uid="{00000000-0005-0000-0000-0000C36C0000}"/>
    <cellStyle name="Normal 2 57 2 2" xfId="27841" xr:uid="{00000000-0005-0000-0000-0000C46C0000}"/>
    <cellStyle name="Normal 2 57 2 2 2" xfId="27842" xr:uid="{00000000-0005-0000-0000-0000C56C0000}"/>
    <cellStyle name="Normal 2 57 2 2 3" xfId="27843" xr:uid="{00000000-0005-0000-0000-0000C66C0000}"/>
    <cellStyle name="Normal 2 57 2 3" xfId="27844" xr:uid="{00000000-0005-0000-0000-0000C76C0000}"/>
    <cellStyle name="Normal 2 57 2 4" xfId="27845" xr:uid="{00000000-0005-0000-0000-0000C86C0000}"/>
    <cellStyle name="Normal 2 57 2 5" xfId="27846" xr:uid="{00000000-0005-0000-0000-0000C96C0000}"/>
    <cellStyle name="Normal 2 57 2 6" xfId="27847" xr:uid="{00000000-0005-0000-0000-0000CA6C0000}"/>
    <cellStyle name="Normal 2 57 3" xfId="27848" xr:uid="{00000000-0005-0000-0000-0000CB6C0000}"/>
    <cellStyle name="Normal 2 57 3 2" xfId="27849" xr:uid="{00000000-0005-0000-0000-0000CC6C0000}"/>
    <cellStyle name="Normal 2 57 3 2 2" xfId="27850" xr:uid="{00000000-0005-0000-0000-0000CD6C0000}"/>
    <cellStyle name="Normal 2 57 3 2 3" xfId="27851" xr:uid="{00000000-0005-0000-0000-0000CE6C0000}"/>
    <cellStyle name="Normal 2 57 3 3" xfId="27852" xr:uid="{00000000-0005-0000-0000-0000CF6C0000}"/>
    <cellStyle name="Normal 2 57 3 4" xfId="27853" xr:uid="{00000000-0005-0000-0000-0000D06C0000}"/>
    <cellStyle name="Normal 2 57 3 5" xfId="27854" xr:uid="{00000000-0005-0000-0000-0000D16C0000}"/>
    <cellStyle name="Normal 2 57 3 6" xfId="27855" xr:uid="{00000000-0005-0000-0000-0000D26C0000}"/>
    <cellStyle name="Normal 2 57 4" xfId="27856" xr:uid="{00000000-0005-0000-0000-0000D36C0000}"/>
    <cellStyle name="Normal 2 57 4 2" xfId="27857" xr:uid="{00000000-0005-0000-0000-0000D46C0000}"/>
    <cellStyle name="Normal 2 57 4 2 2" xfId="27858" xr:uid="{00000000-0005-0000-0000-0000D56C0000}"/>
    <cellStyle name="Normal 2 57 4 3" xfId="27859" xr:uid="{00000000-0005-0000-0000-0000D66C0000}"/>
    <cellStyle name="Normal 2 57 4 4" xfId="27860" xr:uid="{00000000-0005-0000-0000-0000D76C0000}"/>
    <cellStyle name="Normal 2 57 4 5" xfId="27861" xr:uid="{00000000-0005-0000-0000-0000D86C0000}"/>
    <cellStyle name="Normal 2 57 5" xfId="27862" xr:uid="{00000000-0005-0000-0000-0000D96C0000}"/>
    <cellStyle name="Normal 2 57 5 2" xfId="27863" xr:uid="{00000000-0005-0000-0000-0000DA6C0000}"/>
    <cellStyle name="Normal 2 57 5 3" xfId="27864" xr:uid="{00000000-0005-0000-0000-0000DB6C0000}"/>
    <cellStyle name="Normal 2 57 5 4" xfId="27865" xr:uid="{00000000-0005-0000-0000-0000DC6C0000}"/>
    <cellStyle name="Normal 2 57 6" xfId="27866" xr:uid="{00000000-0005-0000-0000-0000DD6C0000}"/>
    <cellStyle name="Normal 2 57 6 2" xfId="27867" xr:uid="{00000000-0005-0000-0000-0000DE6C0000}"/>
    <cellStyle name="Normal 2 57 7" xfId="27868" xr:uid="{00000000-0005-0000-0000-0000DF6C0000}"/>
    <cellStyle name="Normal 2 57 8" xfId="27869" xr:uid="{00000000-0005-0000-0000-0000E06C0000}"/>
    <cellStyle name="Normal 2 57 9" xfId="27870" xr:uid="{00000000-0005-0000-0000-0000E16C0000}"/>
    <cellStyle name="Normal 2 58" xfId="27871" xr:uid="{00000000-0005-0000-0000-0000E26C0000}"/>
    <cellStyle name="Normal 2 58 10" xfId="27872" xr:uid="{00000000-0005-0000-0000-0000E36C0000}"/>
    <cellStyle name="Normal 2 58 2" xfId="27873" xr:uid="{00000000-0005-0000-0000-0000E46C0000}"/>
    <cellStyle name="Normal 2 58 2 2" xfId="27874" xr:uid="{00000000-0005-0000-0000-0000E56C0000}"/>
    <cellStyle name="Normal 2 58 2 2 2" xfId="27875" xr:uid="{00000000-0005-0000-0000-0000E66C0000}"/>
    <cellStyle name="Normal 2 58 2 2 3" xfId="27876" xr:uid="{00000000-0005-0000-0000-0000E76C0000}"/>
    <cellStyle name="Normal 2 58 2 3" xfId="27877" xr:uid="{00000000-0005-0000-0000-0000E86C0000}"/>
    <cellStyle name="Normal 2 58 2 4" xfId="27878" xr:uid="{00000000-0005-0000-0000-0000E96C0000}"/>
    <cellStyle name="Normal 2 58 2 5" xfId="27879" xr:uid="{00000000-0005-0000-0000-0000EA6C0000}"/>
    <cellStyle name="Normal 2 58 2 6" xfId="27880" xr:uid="{00000000-0005-0000-0000-0000EB6C0000}"/>
    <cellStyle name="Normal 2 58 3" xfId="27881" xr:uid="{00000000-0005-0000-0000-0000EC6C0000}"/>
    <cellStyle name="Normal 2 58 3 2" xfId="27882" xr:uid="{00000000-0005-0000-0000-0000ED6C0000}"/>
    <cellStyle name="Normal 2 58 3 2 2" xfId="27883" xr:uid="{00000000-0005-0000-0000-0000EE6C0000}"/>
    <cellStyle name="Normal 2 58 3 2 3" xfId="27884" xr:uid="{00000000-0005-0000-0000-0000EF6C0000}"/>
    <cellStyle name="Normal 2 58 3 3" xfId="27885" xr:uid="{00000000-0005-0000-0000-0000F06C0000}"/>
    <cellStyle name="Normal 2 58 3 4" xfId="27886" xr:uid="{00000000-0005-0000-0000-0000F16C0000}"/>
    <cellStyle name="Normal 2 58 3 5" xfId="27887" xr:uid="{00000000-0005-0000-0000-0000F26C0000}"/>
    <cellStyle name="Normal 2 58 3 6" xfId="27888" xr:uid="{00000000-0005-0000-0000-0000F36C0000}"/>
    <cellStyle name="Normal 2 58 4" xfId="27889" xr:uid="{00000000-0005-0000-0000-0000F46C0000}"/>
    <cellStyle name="Normal 2 58 4 2" xfId="27890" xr:uid="{00000000-0005-0000-0000-0000F56C0000}"/>
    <cellStyle name="Normal 2 58 4 2 2" xfId="27891" xr:uid="{00000000-0005-0000-0000-0000F66C0000}"/>
    <cellStyle name="Normal 2 58 4 3" xfId="27892" xr:uid="{00000000-0005-0000-0000-0000F76C0000}"/>
    <cellStyle name="Normal 2 58 4 4" xfId="27893" xr:uid="{00000000-0005-0000-0000-0000F86C0000}"/>
    <cellStyle name="Normal 2 58 4 5" xfId="27894" xr:uid="{00000000-0005-0000-0000-0000F96C0000}"/>
    <cellStyle name="Normal 2 58 5" xfId="27895" xr:uid="{00000000-0005-0000-0000-0000FA6C0000}"/>
    <cellStyle name="Normal 2 58 5 2" xfId="27896" xr:uid="{00000000-0005-0000-0000-0000FB6C0000}"/>
    <cellStyle name="Normal 2 58 5 3" xfId="27897" xr:uid="{00000000-0005-0000-0000-0000FC6C0000}"/>
    <cellStyle name="Normal 2 58 5 4" xfId="27898" xr:uid="{00000000-0005-0000-0000-0000FD6C0000}"/>
    <cellStyle name="Normal 2 58 6" xfId="27899" xr:uid="{00000000-0005-0000-0000-0000FE6C0000}"/>
    <cellStyle name="Normal 2 58 6 2" xfId="27900" xr:uid="{00000000-0005-0000-0000-0000FF6C0000}"/>
    <cellStyle name="Normal 2 58 7" xfId="27901" xr:uid="{00000000-0005-0000-0000-0000006D0000}"/>
    <cellStyle name="Normal 2 58 8" xfId="27902" xr:uid="{00000000-0005-0000-0000-0000016D0000}"/>
    <cellStyle name="Normal 2 58 9" xfId="27903" xr:uid="{00000000-0005-0000-0000-0000026D0000}"/>
    <cellStyle name="Normal 2 59" xfId="27904" xr:uid="{00000000-0005-0000-0000-0000036D0000}"/>
    <cellStyle name="Normal 2 59 10" xfId="27905" xr:uid="{00000000-0005-0000-0000-0000046D0000}"/>
    <cellStyle name="Normal 2 59 2" xfId="27906" xr:uid="{00000000-0005-0000-0000-0000056D0000}"/>
    <cellStyle name="Normal 2 59 2 2" xfId="27907" xr:uid="{00000000-0005-0000-0000-0000066D0000}"/>
    <cellStyle name="Normal 2 59 2 2 2" xfId="27908" xr:uid="{00000000-0005-0000-0000-0000076D0000}"/>
    <cellStyle name="Normal 2 59 2 2 3" xfId="27909" xr:uid="{00000000-0005-0000-0000-0000086D0000}"/>
    <cellStyle name="Normal 2 59 2 3" xfId="27910" xr:uid="{00000000-0005-0000-0000-0000096D0000}"/>
    <cellStyle name="Normal 2 59 2 4" xfId="27911" xr:uid="{00000000-0005-0000-0000-00000A6D0000}"/>
    <cellStyle name="Normal 2 59 2 5" xfId="27912" xr:uid="{00000000-0005-0000-0000-00000B6D0000}"/>
    <cellStyle name="Normal 2 59 2 6" xfId="27913" xr:uid="{00000000-0005-0000-0000-00000C6D0000}"/>
    <cellStyle name="Normal 2 59 3" xfId="27914" xr:uid="{00000000-0005-0000-0000-00000D6D0000}"/>
    <cellStyle name="Normal 2 59 3 2" xfId="27915" xr:uid="{00000000-0005-0000-0000-00000E6D0000}"/>
    <cellStyle name="Normal 2 59 3 2 2" xfId="27916" xr:uid="{00000000-0005-0000-0000-00000F6D0000}"/>
    <cellStyle name="Normal 2 59 3 2 3" xfId="27917" xr:uid="{00000000-0005-0000-0000-0000106D0000}"/>
    <cellStyle name="Normal 2 59 3 3" xfId="27918" xr:uid="{00000000-0005-0000-0000-0000116D0000}"/>
    <cellStyle name="Normal 2 59 3 4" xfId="27919" xr:uid="{00000000-0005-0000-0000-0000126D0000}"/>
    <cellStyle name="Normal 2 59 3 5" xfId="27920" xr:uid="{00000000-0005-0000-0000-0000136D0000}"/>
    <cellStyle name="Normal 2 59 3 6" xfId="27921" xr:uid="{00000000-0005-0000-0000-0000146D0000}"/>
    <cellStyle name="Normal 2 59 4" xfId="27922" xr:uid="{00000000-0005-0000-0000-0000156D0000}"/>
    <cellStyle name="Normal 2 59 4 2" xfId="27923" xr:uid="{00000000-0005-0000-0000-0000166D0000}"/>
    <cellStyle name="Normal 2 59 4 2 2" xfId="27924" xr:uid="{00000000-0005-0000-0000-0000176D0000}"/>
    <cellStyle name="Normal 2 59 4 3" xfId="27925" xr:uid="{00000000-0005-0000-0000-0000186D0000}"/>
    <cellStyle name="Normal 2 59 4 4" xfId="27926" xr:uid="{00000000-0005-0000-0000-0000196D0000}"/>
    <cellStyle name="Normal 2 59 4 5" xfId="27927" xr:uid="{00000000-0005-0000-0000-00001A6D0000}"/>
    <cellStyle name="Normal 2 59 5" xfId="27928" xr:uid="{00000000-0005-0000-0000-00001B6D0000}"/>
    <cellStyle name="Normal 2 59 5 2" xfId="27929" xr:uid="{00000000-0005-0000-0000-00001C6D0000}"/>
    <cellStyle name="Normal 2 59 5 3" xfId="27930" xr:uid="{00000000-0005-0000-0000-00001D6D0000}"/>
    <cellStyle name="Normal 2 59 5 4" xfId="27931" xr:uid="{00000000-0005-0000-0000-00001E6D0000}"/>
    <cellStyle name="Normal 2 59 6" xfId="27932" xr:uid="{00000000-0005-0000-0000-00001F6D0000}"/>
    <cellStyle name="Normal 2 59 6 2" xfId="27933" xr:uid="{00000000-0005-0000-0000-0000206D0000}"/>
    <cellStyle name="Normal 2 59 7" xfId="27934" xr:uid="{00000000-0005-0000-0000-0000216D0000}"/>
    <cellStyle name="Normal 2 59 8" xfId="27935" xr:uid="{00000000-0005-0000-0000-0000226D0000}"/>
    <cellStyle name="Normal 2 59 9" xfId="27936" xr:uid="{00000000-0005-0000-0000-0000236D0000}"/>
    <cellStyle name="Normal 2 6" xfId="27937" xr:uid="{00000000-0005-0000-0000-0000246D0000}"/>
    <cellStyle name="Normal 2 6 10" xfId="27938" xr:uid="{00000000-0005-0000-0000-0000256D0000}"/>
    <cellStyle name="Normal 2 6 10 10" xfId="27939" xr:uid="{00000000-0005-0000-0000-0000266D0000}"/>
    <cellStyle name="Normal 2 6 10 11" xfId="27940" xr:uid="{00000000-0005-0000-0000-0000276D0000}"/>
    <cellStyle name="Normal 2 6 10 2" xfId="27941" xr:uid="{00000000-0005-0000-0000-0000286D0000}"/>
    <cellStyle name="Normal 2 6 10 2 2" xfId="27942" xr:uid="{00000000-0005-0000-0000-0000296D0000}"/>
    <cellStyle name="Normal 2 6 10 2 2 2" xfId="27943" xr:uid="{00000000-0005-0000-0000-00002A6D0000}"/>
    <cellStyle name="Normal 2 6 10 2 2 2 2" xfId="27944" xr:uid="{00000000-0005-0000-0000-00002B6D0000}"/>
    <cellStyle name="Normal 2 6 10 2 2 2 3" xfId="27945" xr:uid="{00000000-0005-0000-0000-00002C6D0000}"/>
    <cellStyle name="Normal 2 6 10 2 2 3" xfId="27946" xr:uid="{00000000-0005-0000-0000-00002D6D0000}"/>
    <cellStyle name="Normal 2 6 10 2 2 4" xfId="27947" xr:uid="{00000000-0005-0000-0000-00002E6D0000}"/>
    <cellStyle name="Normal 2 6 10 2 2 5" xfId="27948" xr:uid="{00000000-0005-0000-0000-00002F6D0000}"/>
    <cellStyle name="Normal 2 6 10 2 2 6" xfId="27949" xr:uid="{00000000-0005-0000-0000-0000306D0000}"/>
    <cellStyle name="Normal 2 6 10 2 3" xfId="27950" xr:uid="{00000000-0005-0000-0000-0000316D0000}"/>
    <cellStyle name="Normal 2 6 10 2 3 2" xfId="27951" xr:uid="{00000000-0005-0000-0000-0000326D0000}"/>
    <cellStyle name="Normal 2 6 10 2 3 2 2" xfId="27952" xr:uid="{00000000-0005-0000-0000-0000336D0000}"/>
    <cellStyle name="Normal 2 6 10 2 3 3" xfId="27953" xr:uid="{00000000-0005-0000-0000-0000346D0000}"/>
    <cellStyle name="Normal 2 6 10 2 3 4" xfId="27954" xr:uid="{00000000-0005-0000-0000-0000356D0000}"/>
    <cellStyle name="Normal 2 6 10 2 3 5" xfId="27955" xr:uid="{00000000-0005-0000-0000-0000366D0000}"/>
    <cellStyle name="Normal 2 6 10 2 4" xfId="27956" xr:uid="{00000000-0005-0000-0000-0000376D0000}"/>
    <cellStyle name="Normal 2 6 10 2 4 2" xfId="27957" xr:uid="{00000000-0005-0000-0000-0000386D0000}"/>
    <cellStyle name="Normal 2 6 10 2 4 3" xfId="27958" xr:uid="{00000000-0005-0000-0000-0000396D0000}"/>
    <cellStyle name="Normal 2 6 10 2 4 4" xfId="27959" xr:uid="{00000000-0005-0000-0000-00003A6D0000}"/>
    <cellStyle name="Normal 2 6 10 2 5" xfId="27960" xr:uid="{00000000-0005-0000-0000-00003B6D0000}"/>
    <cellStyle name="Normal 2 6 10 2 5 2" xfId="27961" xr:uid="{00000000-0005-0000-0000-00003C6D0000}"/>
    <cellStyle name="Normal 2 6 10 2 6" xfId="27962" xr:uid="{00000000-0005-0000-0000-00003D6D0000}"/>
    <cellStyle name="Normal 2 6 10 2 7" xfId="27963" xr:uid="{00000000-0005-0000-0000-00003E6D0000}"/>
    <cellStyle name="Normal 2 6 10 2 8" xfId="27964" xr:uid="{00000000-0005-0000-0000-00003F6D0000}"/>
    <cellStyle name="Normal 2 6 10 2 9" xfId="27965" xr:uid="{00000000-0005-0000-0000-0000406D0000}"/>
    <cellStyle name="Normal 2 6 10 3" xfId="27966" xr:uid="{00000000-0005-0000-0000-0000416D0000}"/>
    <cellStyle name="Normal 2 6 10 3 2" xfId="27967" xr:uid="{00000000-0005-0000-0000-0000426D0000}"/>
    <cellStyle name="Normal 2 6 10 3 2 2" xfId="27968" xr:uid="{00000000-0005-0000-0000-0000436D0000}"/>
    <cellStyle name="Normal 2 6 10 3 2 2 2" xfId="27969" xr:uid="{00000000-0005-0000-0000-0000446D0000}"/>
    <cellStyle name="Normal 2 6 10 3 2 2 3" xfId="27970" xr:uid="{00000000-0005-0000-0000-0000456D0000}"/>
    <cellStyle name="Normal 2 6 10 3 2 3" xfId="27971" xr:uid="{00000000-0005-0000-0000-0000466D0000}"/>
    <cellStyle name="Normal 2 6 10 3 2 4" xfId="27972" xr:uid="{00000000-0005-0000-0000-0000476D0000}"/>
    <cellStyle name="Normal 2 6 10 3 2 5" xfId="27973" xr:uid="{00000000-0005-0000-0000-0000486D0000}"/>
    <cellStyle name="Normal 2 6 10 3 2 6" xfId="27974" xr:uid="{00000000-0005-0000-0000-0000496D0000}"/>
    <cellStyle name="Normal 2 6 10 3 3" xfId="27975" xr:uid="{00000000-0005-0000-0000-00004A6D0000}"/>
    <cellStyle name="Normal 2 6 10 3 3 2" xfId="27976" xr:uid="{00000000-0005-0000-0000-00004B6D0000}"/>
    <cellStyle name="Normal 2 6 10 3 3 2 2" xfId="27977" xr:uid="{00000000-0005-0000-0000-00004C6D0000}"/>
    <cellStyle name="Normal 2 6 10 3 3 3" xfId="27978" xr:uid="{00000000-0005-0000-0000-00004D6D0000}"/>
    <cellStyle name="Normal 2 6 10 3 3 4" xfId="27979" xr:uid="{00000000-0005-0000-0000-00004E6D0000}"/>
    <cellStyle name="Normal 2 6 10 3 3 5" xfId="27980" xr:uid="{00000000-0005-0000-0000-00004F6D0000}"/>
    <cellStyle name="Normal 2 6 10 3 4" xfId="27981" xr:uid="{00000000-0005-0000-0000-0000506D0000}"/>
    <cellStyle name="Normal 2 6 10 3 4 2" xfId="27982" xr:uid="{00000000-0005-0000-0000-0000516D0000}"/>
    <cellStyle name="Normal 2 6 10 3 4 3" xfId="27983" xr:uid="{00000000-0005-0000-0000-0000526D0000}"/>
    <cellStyle name="Normal 2 6 10 3 4 4" xfId="27984" xr:uid="{00000000-0005-0000-0000-0000536D0000}"/>
    <cellStyle name="Normal 2 6 10 3 5" xfId="27985" xr:uid="{00000000-0005-0000-0000-0000546D0000}"/>
    <cellStyle name="Normal 2 6 10 3 5 2" xfId="27986" xr:uid="{00000000-0005-0000-0000-0000556D0000}"/>
    <cellStyle name="Normal 2 6 10 3 6" xfId="27987" xr:uid="{00000000-0005-0000-0000-0000566D0000}"/>
    <cellStyle name="Normal 2 6 10 3 7" xfId="27988" xr:uid="{00000000-0005-0000-0000-0000576D0000}"/>
    <cellStyle name="Normal 2 6 10 3 8" xfId="27989" xr:uid="{00000000-0005-0000-0000-0000586D0000}"/>
    <cellStyle name="Normal 2 6 10 3 9" xfId="27990" xr:uid="{00000000-0005-0000-0000-0000596D0000}"/>
    <cellStyle name="Normal 2 6 10 4" xfId="27991" xr:uid="{00000000-0005-0000-0000-00005A6D0000}"/>
    <cellStyle name="Normal 2 6 10 4 2" xfId="27992" xr:uid="{00000000-0005-0000-0000-00005B6D0000}"/>
    <cellStyle name="Normal 2 6 10 4 2 2" xfId="27993" xr:uid="{00000000-0005-0000-0000-00005C6D0000}"/>
    <cellStyle name="Normal 2 6 10 4 2 3" xfId="27994" xr:uid="{00000000-0005-0000-0000-00005D6D0000}"/>
    <cellStyle name="Normal 2 6 10 4 3" xfId="27995" xr:uid="{00000000-0005-0000-0000-00005E6D0000}"/>
    <cellStyle name="Normal 2 6 10 4 4" xfId="27996" xr:uid="{00000000-0005-0000-0000-00005F6D0000}"/>
    <cellStyle name="Normal 2 6 10 4 5" xfId="27997" xr:uid="{00000000-0005-0000-0000-0000606D0000}"/>
    <cellStyle name="Normal 2 6 10 4 6" xfId="27998" xr:uid="{00000000-0005-0000-0000-0000616D0000}"/>
    <cellStyle name="Normal 2 6 10 5" xfId="27999" xr:uid="{00000000-0005-0000-0000-0000626D0000}"/>
    <cellStyle name="Normal 2 6 10 5 2" xfId="28000" xr:uid="{00000000-0005-0000-0000-0000636D0000}"/>
    <cellStyle name="Normal 2 6 10 5 2 2" xfId="28001" xr:uid="{00000000-0005-0000-0000-0000646D0000}"/>
    <cellStyle name="Normal 2 6 10 5 3" xfId="28002" xr:uid="{00000000-0005-0000-0000-0000656D0000}"/>
    <cellStyle name="Normal 2 6 10 5 4" xfId="28003" xr:uid="{00000000-0005-0000-0000-0000666D0000}"/>
    <cellStyle name="Normal 2 6 10 5 5" xfId="28004" xr:uid="{00000000-0005-0000-0000-0000676D0000}"/>
    <cellStyle name="Normal 2 6 10 6" xfId="28005" xr:uid="{00000000-0005-0000-0000-0000686D0000}"/>
    <cellStyle name="Normal 2 6 10 6 2" xfId="28006" xr:uid="{00000000-0005-0000-0000-0000696D0000}"/>
    <cellStyle name="Normal 2 6 10 6 3" xfId="28007" xr:uid="{00000000-0005-0000-0000-00006A6D0000}"/>
    <cellStyle name="Normal 2 6 10 6 4" xfId="28008" xr:uid="{00000000-0005-0000-0000-00006B6D0000}"/>
    <cellStyle name="Normal 2 6 10 7" xfId="28009" xr:uid="{00000000-0005-0000-0000-00006C6D0000}"/>
    <cellStyle name="Normal 2 6 10 7 2" xfId="28010" xr:uid="{00000000-0005-0000-0000-00006D6D0000}"/>
    <cellStyle name="Normal 2 6 10 8" xfId="28011" xr:uid="{00000000-0005-0000-0000-00006E6D0000}"/>
    <cellStyle name="Normal 2 6 10 9" xfId="28012" xr:uid="{00000000-0005-0000-0000-00006F6D0000}"/>
    <cellStyle name="Normal 2 6 11" xfId="28013" xr:uid="{00000000-0005-0000-0000-0000706D0000}"/>
    <cellStyle name="Normal 2 6 11 10" xfId="28014" xr:uid="{00000000-0005-0000-0000-0000716D0000}"/>
    <cellStyle name="Normal 2 6 11 2" xfId="28015" xr:uid="{00000000-0005-0000-0000-0000726D0000}"/>
    <cellStyle name="Normal 2 6 11 2 2" xfId="28016" xr:uid="{00000000-0005-0000-0000-0000736D0000}"/>
    <cellStyle name="Normal 2 6 11 2 2 2" xfId="28017" xr:uid="{00000000-0005-0000-0000-0000746D0000}"/>
    <cellStyle name="Normal 2 6 11 2 2 3" xfId="28018" xr:uid="{00000000-0005-0000-0000-0000756D0000}"/>
    <cellStyle name="Normal 2 6 11 2 3" xfId="28019" xr:uid="{00000000-0005-0000-0000-0000766D0000}"/>
    <cellStyle name="Normal 2 6 11 2 4" xfId="28020" xr:uid="{00000000-0005-0000-0000-0000776D0000}"/>
    <cellStyle name="Normal 2 6 11 2 5" xfId="28021" xr:uid="{00000000-0005-0000-0000-0000786D0000}"/>
    <cellStyle name="Normal 2 6 11 2 6" xfId="28022" xr:uid="{00000000-0005-0000-0000-0000796D0000}"/>
    <cellStyle name="Normal 2 6 11 3" xfId="28023" xr:uid="{00000000-0005-0000-0000-00007A6D0000}"/>
    <cellStyle name="Normal 2 6 11 3 2" xfId="28024" xr:uid="{00000000-0005-0000-0000-00007B6D0000}"/>
    <cellStyle name="Normal 2 6 11 3 2 2" xfId="28025" xr:uid="{00000000-0005-0000-0000-00007C6D0000}"/>
    <cellStyle name="Normal 2 6 11 3 2 3" xfId="28026" xr:uid="{00000000-0005-0000-0000-00007D6D0000}"/>
    <cellStyle name="Normal 2 6 11 3 3" xfId="28027" xr:uid="{00000000-0005-0000-0000-00007E6D0000}"/>
    <cellStyle name="Normal 2 6 11 3 4" xfId="28028" xr:uid="{00000000-0005-0000-0000-00007F6D0000}"/>
    <cellStyle name="Normal 2 6 11 3 5" xfId="28029" xr:uid="{00000000-0005-0000-0000-0000806D0000}"/>
    <cellStyle name="Normal 2 6 11 3 6" xfId="28030" xr:uid="{00000000-0005-0000-0000-0000816D0000}"/>
    <cellStyle name="Normal 2 6 11 4" xfId="28031" xr:uid="{00000000-0005-0000-0000-0000826D0000}"/>
    <cellStyle name="Normal 2 6 11 4 2" xfId="28032" xr:uid="{00000000-0005-0000-0000-0000836D0000}"/>
    <cellStyle name="Normal 2 6 11 4 2 2" xfId="28033" xr:uid="{00000000-0005-0000-0000-0000846D0000}"/>
    <cellStyle name="Normal 2 6 11 4 3" xfId="28034" xr:uid="{00000000-0005-0000-0000-0000856D0000}"/>
    <cellStyle name="Normal 2 6 11 4 4" xfId="28035" xr:uid="{00000000-0005-0000-0000-0000866D0000}"/>
    <cellStyle name="Normal 2 6 11 4 5" xfId="28036" xr:uid="{00000000-0005-0000-0000-0000876D0000}"/>
    <cellStyle name="Normal 2 6 11 5" xfId="28037" xr:uid="{00000000-0005-0000-0000-0000886D0000}"/>
    <cellStyle name="Normal 2 6 11 5 2" xfId="28038" xr:uid="{00000000-0005-0000-0000-0000896D0000}"/>
    <cellStyle name="Normal 2 6 11 5 3" xfId="28039" xr:uid="{00000000-0005-0000-0000-00008A6D0000}"/>
    <cellStyle name="Normal 2 6 11 5 4" xfId="28040" xr:uid="{00000000-0005-0000-0000-00008B6D0000}"/>
    <cellStyle name="Normal 2 6 11 6" xfId="28041" xr:uid="{00000000-0005-0000-0000-00008C6D0000}"/>
    <cellStyle name="Normal 2 6 11 6 2" xfId="28042" xr:uid="{00000000-0005-0000-0000-00008D6D0000}"/>
    <cellStyle name="Normal 2 6 11 7" xfId="28043" xr:uid="{00000000-0005-0000-0000-00008E6D0000}"/>
    <cellStyle name="Normal 2 6 11 8" xfId="28044" xr:uid="{00000000-0005-0000-0000-00008F6D0000}"/>
    <cellStyle name="Normal 2 6 11 9" xfId="28045" xr:uid="{00000000-0005-0000-0000-0000906D0000}"/>
    <cellStyle name="Normal 2 6 12" xfId="28046" xr:uid="{00000000-0005-0000-0000-0000916D0000}"/>
    <cellStyle name="Normal 2 6 12 10" xfId="28047" xr:uid="{00000000-0005-0000-0000-0000926D0000}"/>
    <cellStyle name="Normal 2 6 12 2" xfId="28048" xr:uid="{00000000-0005-0000-0000-0000936D0000}"/>
    <cellStyle name="Normal 2 6 12 2 2" xfId="28049" xr:uid="{00000000-0005-0000-0000-0000946D0000}"/>
    <cellStyle name="Normal 2 6 12 2 2 2" xfId="28050" xr:uid="{00000000-0005-0000-0000-0000956D0000}"/>
    <cellStyle name="Normal 2 6 12 2 2 3" xfId="28051" xr:uid="{00000000-0005-0000-0000-0000966D0000}"/>
    <cellStyle name="Normal 2 6 12 2 3" xfId="28052" xr:uid="{00000000-0005-0000-0000-0000976D0000}"/>
    <cellStyle name="Normal 2 6 12 2 4" xfId="28053" xr:uid="{00000000-0005-0000-0000-0000986D0000}"/>
    <cellStyle name="Normal 2 6 12 2 5" xfId="28054" xr:uid="{00000000-0005-0000-0000-0000996D0000}"/>
    <cellStyle name="Normal 2 6 12 2 6" xfId="28055" xr:uid="{00000000-0005-0000-0000-00009A6D0000}"/>
    <cellStyle name="Normal 2 6 12 3" xfId="28056" xr:uid="{00000000-0005-0000-0000-00009B6D0000}"/>
    <cellStyle name="Normal 2 6 12 3 2" xfId="28057" xr:uid="{00000000-0005-0000-0000-00009C6D0000}"/>
    <cellStyle name="Normal 2 6 12 3 2 2" xfId="28058" xr:uid="{00000000-0005-0000-0000-00009D6D0000}"/>
    <cellStyle name="Normal 2 6 12 3 2 3" xfId="28059" xr:uid="{00000000-0005-0000-0000-00009E6D0000}"/>
    <cellStyle name="Normal 2 6 12 3 3" xfId="28060" xr:uid="{00000000-0005-0000-0000-00009F6D0000}"/>
    <cellStyle name="Normal 2 6 12 3 4" xfId="28061" xr:uid="{00000000-0005-0000-0000-0000A06D0000}"/>
    <cellStyle name="Normal 2 6 12 3 5" xfId="28062" xr:uid="{00000000-0005-0000-0000-0000A16D0000}"/>
    <cellStyle name="Normal 2 6 12 3 6" xfId="28063" xr:uid="{00000000-0005-0000-0000-0000A26D0000}"/>
    <cellStyle name="Normal 2 6 12 4" xfId="28064" xr:uid="{00000000-0005-0000-0000-0000A36D0000}"/>
    <cellStyle name="Normal 2 6 12 4 2" xfId="28065" xr:uid="{00000000-0005-0000-0000-0000A46D0000}"/>
    <cellStyle name="Normal 2 6 12 4 2 2" xfId="28066" xr:uid="{00000000-0005-0000-0000-0000A56D0000}"/>
    <cellStyle name="Normal 2 6 12 4 3" xfId="28067" xr:uid="{00000000-0005-0000-0000-0000A66D0000}"/>
    <cellStyle name="Normal 2 6 12 4 4" xfId="28068" xr:uid="{00000000-0005-0000-0000-0000A76D0000}"/>
    <cellStyle name="Normal 2 6 12 4 5" xfId="28069" xr:uid="{00000000-0005-0000-0000-0000A86D0000}"/>
    <cellStyle name="Normal 2 6 12 5" xfId="28070" xr:uid="{00000000-0005-0000-0000-0000A96D0000}"/>
    <cellStyle name="Normal 2 6 12 5 2" xfId="28071" xr:uid="{00000000-0005-0000-0000-0000AA6D0000}"/>
    <cellStyle name="Normal 2 6 12 5 3" xfId="28072" xr:uid="{00000000-0005-0000-0000-0000AB6D0000}"/>
    <cellStyle name="Normal 2 6 12 5 4" xfId="28073" xr:uid="{00000000-0005-0000-0000-0000AC6D0000}"/>
    <cellStyle name="Normal 2 6 12 6" xfId="28074" xr:uid="{00000000-0005-0000-0000-0000AD6D0000}"/>
    <cellStyle name="Normal 2 6 12 6 2" xfId="28075" xr:uid="{00000000-0005-0000-0000-0000AE6D0000}"/>
    <cellStyle name="Normal 2 6 12 7" xfId="28076" xr:uid="{00000000-0005-0000-0000-0000AF6D0000}"/>
    <cellStyle name="Normal 2 6 12 8" xfId="28077" xr:uid="{00000000-0005-0000-0000-0000B06D0000}"/>
    <cellStyle name="Normal 2 6 12 9" xfId="28078" xr:uid="{00000000-0005-0000-0000-0000B16D0000}"/>
    <cellStyle name="Normal 2 6 13" xfId="28079" xr:uid="{00000000-0005-0000-0000-0000B26D0000}"/>
    <cellStyle name="Normal 2 6 13 10" xfId="28080" xr:uid="{00000000-0005-0000-0000-0000B36D0000}"/>
    <cellStyle name="Normal 2 6 13 2" xfId="28081" xr:uid="{00000000-0005-0000-0000-0000B46D0000}"/>
    <cellStyle name="Normal 2 6 13 2 2" xfId="28082" xr:uid="{00000000-0005-0000-0000-0000B56D0000}"/>
    <cellStyle name="Normal 2 6 13 2 2 2" xfId="28083" xr:uid="{00000000-0005-0000-0000-0000B66D0000}"/>
    <cellStyle name="Normal 2 6 13 2 2 3" xfId="28084" xr:uid="{00000000-0005-0000-0000-0000B76D0000}"/>
    <cellStyle name="Normal 2 6 13 2 3" xfId="28085" xr:uid="{00000000-0005-0000-0000-0000B86D0000}"/>
    <cellStyle name="Normal 2 6 13 2 4" xfId="28086" xr:uid="{00000000-0005-0000-0000-0000B96D0000}"/>
    <cellStyle name="Normal 2 6 13 2 5" xfId="28087" xr:uid="{00000000-0005-0000-0000-0000BA6D0000}"/>
    <cellStyle name="Normal 2 6 13 2 6" xfId="28088" xr:uid="{00000000-0005-0000-0000-0000BB6D0000}"/>
    <cellStyle name="Normal 2 6 13 3" xfId="28089" xr:uid="{00000000-0005-0000-0000-0000BC6D0000}"/>
    <cellStyle name="Normal 2 6 13 3 2" xfId="28090" xr:uid="{00000000-0005-0000-0000-0000BD6D0000}"/>
    <cellStyle name="Normal 2 6 13 3 2 2" xfId="28091" xr:uid="{00000000-0005-0000-0000-0000BE6D0000}"/>
    <cellStyle name="Normal 2 6 13 3 2 3" xfId="28092" xr:uid="{00000000-0005-0000-0000-0000BF6D0000}"/>
    <cellStyle name="Normal 2 6 13 3 3" xfId="28093" xr:uid="{00000000-0005-0000-0000-0000C06D0000}"/>
    <cellStyle name="Normal 2 6 13 3 4" xfId="28094" xr:uid="{00000000-0005-0000-0000-0000C16D0000}"/>
    <cellStyle name="Normal 2 6 13 3 5" xfId="28095" xr:uid="{00000000-0005-0000-0000-0000C26D0000}"/>
    <cellStyle name="Normal 2 6 13 3 6" xfId="28096" xr:uid="{00000000-0005-0000-0000-0000C36D0000}"/>
    <cellStyle name="Normal 2 6 13 4" xfId="28097" xr:uid="{00000000-0005-0000-0000-0000C46D0000}"/>
    <cellStyle name="Normal 2 6 13 4 2" xfId="28098" xr:uid="{00000000-0005-0000-0000-0000C56D0000}"/>
    <cellStyle name="Normal 2 6 13 4 2 2" xfId="28099" xr:uid="{00000000-0005-0000-0000-0000C66D0000}"/>
    <cellStyle name="Normal 2 6 13 4 3" xfId="28100" xr:uid="{00000000-0005-0000-0000-0000C76D0000}"/>
    <cellStyle name="Normal 2 6 13 4 4" xfId="28101" xr:uid="{00000000-0005-0000-0000-0000C86D0000}"/>
    <cellStyle name="Normal 2 6 13 4 5" xfId="28102" xr:uid="{00000000-0005-0000-0000-0000C96D0000}"/>
    <cellStyle name="Normal 2 6 13 5" xfId="28103" xr:uid="{00000000-0005-0000-0000-0000CA6D0000}"/>
    <cellStyle name="Normal 2 6 13 5 2" xfId="28104" xr:uid="{00000000-0005-0000-0000-0000CB6D0000}"/>
    <cellStyle name="Normal 2 6 13 5 3" xfId="28105" xr:uid="{00000000-0005-0000-0000-0000CC6D0000}"/>
    <cellStyle name="Normal 2 6 13 5 4" xfId="28106" xr:uid="{00000000-0005-0000-0000-0000CD6D0000}"/>
    <cellStyle name="Normal 2 6 13 6" xfId="28107" xr:uid="{00000000-0005-0000-0000-0000CE6D0000}"/>
    <cellStyle name="Normal 2 6 13 6 2" xfId="28108" xr:uid="{00000000-0005-0000-0000-0000CF6D0000}"/>
    <cellStyle name="Normal 2 6 13 7" xfId="28109" xr:uid="{00000000-0005-0000-0000-0000D06D0000}"/>
    <cellStyle name="Normal 2 6 13 8" xfId="28110" xr:uid="{00000000-0005-0000-0000-0000D16D0000}"/>
    <cellStyle name="Normal 2 6 13 9" xfId="28111" xr:uid="{00000000-0005-0000-0000-0000D26D0000}"/>
    <cellStyle name="Normal 2 6 14" xfId="28112" xr:uid="{00000000-0005-0000-0000-0000D36D0000}"/>
    <cellStyle name="Normal 2 6 14 10" xfId="28113" xr:uid="{00000000-0005-0000-0000-0000D46D0000}"/>
    <cellStyle name="Normal 2 6 14 2" xfId="28114" xr:uid="{00000000-0005-0000-0000-0000D56D0000}"/>
    <cellStyle name="Normal 2 6 14 2 2" xfId="28115" xr:uid="{00000000-0005-0000-0000-0000D66D0000}"/>
    <cellStyle name="Normal 2 6 14 2 2 2" xfId="28116" xr:uid="{00000000-0005-0000-0000-0000D76D0000}"/>
    <cellStyle name="Normal 2 6 14 2 2 3" xfId="28117" xr:uid="{00000000-0005-0000-0000-0000D86D0000}"/>
    <cellStyle name="Normal 2 6 14 2 3" xfId="28118" xr:uid="{00000000-0005-0000-0000-0000D96D0000}"/>
    <cellStyle name="Normal 2 6 14 2 4" xfId="28119" xr:uid="{00000000-0005-0000-0000-0000DA6D0000}"/>
    <cellStyle name="Normal 2 6 14 2 5" xfId="28120" xr:uid="{00000000-0005-0000-0000-0000DB6D0000}"/>
    <cellStyle name="Normal 2 6 14 2 6" xfId="28121" xr:uid="{00000000-0005-0000-0000-0000DC6D0000}"/>
    <cellStyle name="Normal 2 6 14 3" xfId="28122" xr:uid="{00000000-0005-0000-0000-0000DD6D0000}"/>
    <cellStyle name="Normal 2 6 14 3 2" xfId="28123" xr:uid="{00000000-0005-0000-0000-0000DE6D0000}"/>
    <cellStyle name="Normal 2 6 14 3 2 2" xfId="28124" xr:uid="{00000000-0005-0000-0000-0000DF6D0000}"/>
    <cellStyle name="Normal 2 6 14 3 2 3" xfId="28125" xr:uid="{00000000-0005-0000-0000-0000E06D0000}"/>
    <cellStyle name="Normal 2 6 14 3 3" xfId="28126" xr:uid="{00000000-0005-0000-0000-0000E16D0000}"/>
    <cellStyle name="Normal 2 6 14 3 4" xfId="28127" xr:uid="{00000000-0005-0000-0000-0000E26D0000}"/>
    <cellStyle name="Normal 2 6 14 3 5" xfId="28128" xr:uid="{00000000-0005-0000-0000-0000E36D0000}"/>
    <cellStyle name="Normal 2 6 14 3 6" xfId="28129" xr:uid="{00000000-0005-0000-0000-0000E46D0000}"/>
    <cellStyle name="Normal 2 6 14 4" xfId="28130" xr:uid="{00000000-0005-0000-0000-0000E56D0000}"/>
    <cellStyle name="Normal 2 6 14 4 2" xfId="28131" xr:uid="{00000000-0005-0000-0000-0000E66D0000}"/>
    <cellStyle name="Normal 2 6 14 4 2 2" xfId="28132" xr:uid="{00000000-0005-0000-0000-0000E76D0000}"/>
    <cellStyle name="Normal 2 6 14 4 3" xfId="28133" xr:uid="{00000000-0005-0000-0000-0000E86D0000}"/>
    <cellStyle name="Normal 2 6 14 4 4" xfId="28134" xr:uid="{00000000-0005-0000-0000-0000E96D0000}"/>
    <cellStyle name="Normal 2 6 14 4 5" xfId="28135" xr:uid="{00000000-0005-0000-0000-0000EA6D0000}"/>
    <cellStyle name="Normal 2 6 14 5" xfId="28136" xr:uid="{00000000-0005-0000-0000-0000EB6D0000}"/>
    <cellStyle name="Normal 2 6 14 5 2" xfId="28137" xr:uid="{00000000-0005-0000-0000-0000EC6D0000}"/>
    <cellStyle name="Normal 2 6 14 5 3" xfId="28138" xr:uid="{00000000-0005-0000-0000-0000ED6D0000}"/>
    <cellStyle name="Normal 2 6 14 5 4" xfId="28139" xr:uid="{00000000-0005-0000-0000-0000EE6D0000}"/>
    <cellStyle name="Normal 2 6 14 6" xfId="28140" xr:uid="{00000000-0005-0000-0000-0000EF6D0000}"/>
    <cellStyle name="Normal 2 6 14 6 2" xfId="28141" xr:uid="{00000000-0005-0000-0000-0000F06D0000}"/>
    <cellStyle name="Normal 2 6 14 7" xfId="28142" xr:uid="{00000000-0005-0000-0000-0000F16D0000}"/>
    <cellStyle name="Normal 2 6 14 8" xfId="28143" xr:uid="{00000000-0005-0000-0000-0000F26D0000}"/>
    <cellStyle name="Normal 2 6 14 9" xfId="28144" xr:uid="{00000000-0005-0000-0000-0000F36D0000}"/>
    <cellStyle name="Normal 2 6 15" xfId="28145" xr:uid="{00000000-0005-0000-0000-0000F46D0000}"/>
    <cellStyle name="Normal 2 6 15 10" xfId="28146" xr:uid="{00000000-0005-0000-0000-0000F56D0000}"/>
    <cellStyle name="Normal 2 6 15 2" xfId="28147" xr:uid="{00000000-0005-0000-0000-0000F66D0000}"/>
    <cellStyle name="Normal 2 6 15 2 2" xfId="28148" xr:uid="{00000000-0005-0000-0000-0000F76D0000}"/>
    <cellStyle name="Normal 2 6 15 2 2 2" xfId="28149" xr:uid="{00000000-0005-0000-0000-0000F86D0000}"/>
    <cellStyle name="Normal 2 6 15 2 2 3" xfId="28150" xr:uid="{00000000-0005-0000-0000-0000F96D0000}"/>
    <cellStyle name="Normal 2 6 15 2 3" xfId="28151" xr:uid="{00000000-0005-0000-0000-0000FA6D0000}"/>
    <cellStyle name="Normal 2 6 15 2 4" xfId="28152" xr:uid="{00000000-0005-0000-0000-0000FB6D0000}"/>
    <cellStyle name="Normal 2 6 15 2 5" xfId="28153" xr:uid="{00000000-0005-0000-0000-0000FC6D0000}"/>
    <cellStyle name="Normal 2 6 15 2 6" xfId="28154" xr:uid="{00000000-0005-0000-0000-0000FD6D0000}"/>
    <cellStyle name="Normal 2 6 15 3" xfId="28155" xr:uid="{00000000-0005-0000-0000-0000FE6D0000}"/>
    <cellStyle name="Normal 2 6 15 3 2" xfId="28156" xr:uid="{00000000-0005-0000-0000-0000FF6D0000}"/>
    <cellStyle name="Normal 2 6 15 3 2 2" xfId="28157" xr:uid="{00000000-0005-0000-0000-0000006E0000}"/>
    <cellStyle name="Normal 2 6 15 3 2 3" xfId="28158" xr:uid="{00000000-0005-0000-0000-0000016E0000}"/>
    <cellStyle name="Normal 2 6 15 3 3" xfId="28159" xr:uid="{00000000-0005-0000-0000-0000026E0000}"/>
    <cellStyle name="Normal 2 6 15 3 4" xfId="28160" xr:uid="{00000000-0005-0000-0000-0000036E0000}"/>
    <cellStyle name="Normal 2 6 15 3 5" xfId="28161" xr:uid="{00000000-0005-0000-0000-0000046E0000}"/>
    <cellStyle name="Normal 2 6 15 3 6" xfId="28162" xr:uid="{00000000-0005-0000-0000-0000056E0000}"/>
    <cellStyle name="Normal 2 6 15 4" xfId="28163" xr:uid="{00000000-0005-0000-0000-0000066E0000}"/>
    <cellStyle name="Normal 2 6 15 4 2" xfId="28164" xr:uid="{00000000-0005-0000-0000-0000076E0000}"/>
    <cellStyle name="Normal 2 6 15 4 2 2" xfId="28165" xr:uid="{00000000-0005-0000-0000-0000086E0000}"/>
    <cellStyle name="Normal 2 6 15 4 3" xfId="28166" xr:uid="{00000000-0005-0000-0000-0000096E0000}"/>
    <cellStyle name="Normal 2 6 15 4 4" xfId="28167" xr:uid="{00000000-0005-0000-0000-00000A6E0000}"/>
    <cellStyle name="Normal 2 6 15 4 5" xfId="28168" xr:uid="{00000000-0005-0000-0000-00000B6E0000}"/>
    <cellStyle name="Normal 2 6 15 5" xfId="28169" xr:uid="{00000000-0005-0000-0000-00000C6E0000}"/>
    <cellStyle name="Normal 2 6 15 5 2" xfId="28170" xr:uid="{00000000-0005-0000-0000-00000D6E0000}"/>
    <cellStyle name="Normal 2 6 15 5 3" xfId="28171" xr:uid="{00000000-0005-0000-0000-00000E6E0000}"/>
    <cellStyle name="Normal 2 6 15 5 4" xfId="28172" xr:uid="{00000000-0005-0000-0000-00000F6E0000}"/>
    <cellStyle name="Normal 2 6 15 6" xfId="28173" xr:uid="{00000000-0005-0000-0000-0000106E0000}"/>
    <cellStyle name="Normal 2 6 15 6 2" xfId="28174" xr:uid="{00000000-0005-0000-0000-0000116E0000}"/>
    <cellStyle name="Normal 2 6 15 7" xfId="28175" xr:uid="{00000000-0005-0000-0000-0000126E0000}"/>
    <cellStyle name="Normal 2 6 15 8" xfId="28176" xr:uid="{00000000-0005-0000-0000-0000136E0000}"/>
    <cellStyle name="Normal 2 6 15 9" xfId="28177" xr:uid="{00000000-0005-0000-0000-0000146E0000}"/>
    <cellStyle name="Normal 2 6 16" xfId="28178" xr:uid="{00000000-0005-0000-0000-0000156E0000}"/>
    <cellStyle name="Normal 2 6 16 10" xfId="28179" xr:uid="{00000000-0005-0000-0000-0000166E0000}"/>
    <cellStyle name="Normal 2 6 16 2" xfId="28180" xr:uid="{00000000-0005-0000-0000-0000176E0000}"/>
    <cellStyle name="Normal 2 6 16 2 2" xfId="28181" xr:uid="{00000000-0005-0000-0000-0000186E0000}"/>
    <cellStyle name="Normal 2 6 16 2 2 2" xfId="28182" xr:uid="{00000000-0005-0000-0000-0000196E0000}"/>
    <cellStyle name="Normal 2 6 16 2 2 3" xfId="28183" xr:uid="{00000000-0005-0000-0000-00001A6E0000}"/>
    <cellStyle name="Normal 2 6 16 2 3" xfId="28184" xr:uid="{00000000-0005-0000-0000-00001B6E0000}"/>
    <cellStyle name="Normal 2 6 16 2 4" xfId="28185" xr:uid="{00000000-0005-0000-0000-00001C6E0000}"/>
    <cellStyle name="Normal 2 6 16 2 5" xfId="28186" xr:uid="{00000000-0005-0000-0000-00001D6E0000}"/>
    <cellStyle name="Normal 2 6 16 2 6" xfId="28187" xr:uid="{00000000-0005-0000-0000-00001E6E0000}"/>
    <cellStyle name="Normal 2 6 16 3" xfId="28188" xr:uid="{00000000-0005-0000-0000-00001F6E0000}"/>
    <cellStyle name="Normal 2 6 16 3 2" xfId="28189" xr:uid="{00000000-0005-0000-0000-0000206E0000}"/>
    <cellStyle name="Normal 2 6 16 3 2 2" xfId="28190" xr:uid="{00000000-0005-0000-0000-0000216E0000}"/>
    <cellStyle name="Normal 2 6 16 3 2 3" xfId="28191" xr:uid="{00000000-0005-0000-0000-0000226E0000}"/>
    <cellStyle name="Normal 2 6 16 3 3" xfId="28192" xr:uid="{00000000-0005-0000-0000-0000236E0000}"/>
    <cellStyle name="Normal 2 6 16 3 4" xfId="28193" xr:uid="{00000000-0005-0000-0000-0000246E0000}"/>
    <cellStyle name="Normal 2 6 16 3 5" xfId="28194" xr:uid="{00000000-0005-0000-0000-0000256E0000}"/>
    <cellStyle name="Normal 2 6 16 3 6" xfId="28195" xr:uid="{00000000-0005-0000-0000-0000266E0000}"/>
    <cellStyle name="Normal 2 6 16 4" xfId="28196" xr:uid="{00000000-0005-0000-0000-0000276E0000}"/>
    <cellStyle name="Normal 2 6 16 4 2" xfId="28197" xr:uid="{00000000-0005-0000-0000-0000286E0000}"/>
    <cellStyle name="Normal 2 6 16 4 2 2" xfId="28198" xr:uid="{00000000-0005-0000-0000-0000296E0000}"/>
    <cellStyle name="Normal 2 6 16 4 3" xfId="28199" xr:uid="{00000000-0005-0000-0000-00002A6E0000}"/>
    <cellStyle name="Normal 2 6 16 4 4" xfId="28200" xr:uid="{00000000-0005-0000-0000-00002B6E0000}"/>
    <cellStyle name="Normal 2 6 16 4 5" xfId="28201" xr:uid="{00000000-0005-0000-0000-00002C6E0000}"/>
    <cellStyle name="Normal 2 6 16 5" xfId="28202" xr:uid="{00000000-0005-0000-0000-00002D6E0000}"/>
    <cellStyle name="Normal 2 6 16 5 2" xfId="28203" xr:uid="{00000000-0005-0000-0000-00002E6E0000}"/>
    <cellStyle name="Normal 2 6 16 5 3" xfId="28204" xr:uid="{00000000-0005-0000-0000-00002F6E0000}"/>
    <cellStyle name="Normal 2 6 16 5 4" xfId="28205" xr:uid="{00000000-0005-0000-0000-0000306E0000}"/>
    <cellStyle name="Normal 2 6 16 6" xfId="28206" xr:uid="{00000000-0005-0000-0000-0000316E0000}"/>
    <cellStyle name="Normal 2 6 16 6 2" xfId="28207" xr:uid="{00000000-0005-0000-0000-0000326E0000}"/>
    <cellStyle name="Normal 2 6 16 7" xfId="28208" xr:uid="{00000000-0005-0000-0000-0000336E0000}"/>
    <cellStyle name="Normal 2 6 16 8" xfId="28209" xr:uid="{00000000-0005-0000-0000-0000346E0000}"/>
    <cellStyle name="Normal 2 6 16 9" xfId="28210" xr:uid="{00000000-0005-0000-0000-0000356E0000}"/>
    <cellStyle name="Normal 2 6 17" xfId="28211" xr:uid="{00000000-0005-0000-0000-0000366E0000}"/>
    <cellStyle name="Normal 2 6 17 10" xfId="28212" xr:uid="{00000000-0005-0000-0000-0000376E0000}"/>
    <cellStyle name="Normal 2 6 17 2" xfId="28213" xr:uid="{00000000-0005-0000-0000-0000386E0000}"/>
    <cellStyle name="Normal 2 6 17 2 2" xfId="28214" xr:uid="{00000000-0005-0000-0000-0000396E0000}"/>
    <cellStyle name="Normal 2 6 17 2 2 2" xfId="28215" xr:uid="{00000000-0005-0000-0000-00003A6E0000}"/>
    <cellStyle name="Normal 2 6 17 2 2 3" xfId="28216" xr:uid="{00000000-0005-0000-0000-00003B6E0000}"/>
    <cellStyle name="Normal 2 6 17 2 3" xfId="28217" xr:uid="{00000000-0005-0000-0000-00003C6E0000}"/>
    <cellStyle name="Normal 2 6 17 2 4" xfId="28218" xr:uid="{00000000-0005-0000-0000-00003D6E0000}"/>
    <cellStyle name="Normal 2 6 17 2 5" xfId="28219" xr:uid="{00000000-0005-0000-0000-00003E6E0000}"/>
    <cellStyle name="Normal 2 6 17 2 6" xfId="28220" xr:uid="{00000000-0005-0000-0000-00003F6E0000}"/>
    <cellStyle name="Normal 2 6 17 3" xfId="28221" xr:uid="{00000000-0005-0000-0000-0000406E0000}"/>
    <cellStyle name="Normal 2 6 17 3 2" xfId="28222" xr:uid="{00000000-0005-0000-0000-0000416E0000}"/>
    <cellStyle name="Normal 2 6 17 3 2 2" xfId="28223" xr:uid="{00000000-0005-0000-0000-0000426E0000}"/>
    <cellStyle name="Normal 2 6 17 3 2 3" xfId="28224" xr:uid="{00000000-0005-0000-0000-0000436E0000}"/>
    <cellStyle name="Normal 2 6 17 3 3" xfId="28225" xr:uid="{00000000-0005-0000-0000-0000446E0000}"/>
    <cellStyle name="Normal 2 6 17 3 4" xfId="28226" xr:uid="{00000000-0005-0000-0000-0000456E0000}"/>
    <cellStyle name="Normal 2 6 17 3 5" xfId="28227" xr:uid="{00000000-0005-0000-0000-0000466E0000}"/>
    <cellStyle name="Normal 2 6 17 3 6" xfId="28228" xr:uid="{00000000-0005-0000-0000-0000476E0000}"/>
    <cellStyle name="Normal 2 6 17 4" xfId="28229" xr:uid="{00000000-0005-0000-0000-0000486E0000}"/>
    <cellStyle name="Normal 2 6 17 4 2" xfId="28230" xr:uid="{00000000-0005-0000-0000-0000496E0000}"/>
    <cellStyle name="Normal 2 6 17 4 2 2" xfId="28231" xr:uid="{00000000-0005-0000-0000-00004A6E0000}"/>
    <cellStyle name="Normal 2 6 17 4 3" xfId="28232" xr:uid="{00000000-0005-0000-0000-00004B6E0000}"/>
    <cellStyle name="Normal 2 6 17 4 4" xfId="28233" xr:uid="{00000000-0005-0000-0000-00004C6E0000}"/>
    <cellStyle name="Normal 2 6 17 4 5" xfId="28234" xr:uid="{00000000-0005-0000-0000-00004D6E0000}"/>
    <cellStyle name="Normal 2 6 17 5" xfId="28235" xr:uid="{00000000-0005-0000-0000-00004E6E0000}"/>
    <cellStyle name="Normal 2 6 17 5 2" xfId="28236" xr:uid="{00000000-0005-0000-0000-00004F6E0000}"/>
    <cellStyle name="Normal 2 6 17 5 3" xfId="28237" xr:uid="{00000000-0005-0000-0000-0000506E0000}"/>
    <cellStyle name="Normal 2 6 17 5 4" xfId="28238" xr:uid="{00000000-0005-0000-0000-0000516E0000}"/>
    <cellStyle name="Normal 2 6 17 6" xfId="28239" xr:uid="{00000000-0005-0000-0000-0000526E0000}"/>
    <cellStyle name="Normal 2 6 17 6 2" xfId="28240" xr:uid="{00000000-0005-0000-0000-0000536E0000}"/>
    <cellStyle name="Normal 2 6 17 7" xfId="28241" xr:uid="{00000000-0005-0000-0000-0000546E0000}"/>
    <cellStyle name="Normal 2 6 17 8" xfId="28242" xr:uid="{00000000-0005-0000-0000-0000556E0000}"/>
    <cellStyle name="Normal 2 6 17 9" xfId="28243" xr:uid="{00000000-0005-0000-0000-0000566E0000}"/>
    <cellStyle name="Normal 2 6 18" xfId="28244" xr:uid="{00000000-0005-0000-0000-0000576E0000}"/>
    <cellStyle name="Normal 2 6 18 10" xfId="28245" xr:uid="{00000000-0005-0000-0000-0000586E0000}"/>
    <cellStyle name="Normal 2 6 18 2" xfId="28246" xr:uid="{00000000-0005-0000-0000-0000596E0000}"/>
    <cellStyle name="Normal 2 6 18 2 2" xfId="28247" xr:uid="{00000000-0005-0000-0000-00005A6E0000}"/>
    <cellStyle name="Normal 2 6 18 2 2 2" xfId="28248" xr:uid="{00000000-0005-0000-0000-00005B6E0000}"/>
    <cellStyle name="Normal 2 6 18 2 2 3" xfId="28249" xr:uid="{00000000-0005-0000-0000-00005C6E0000}"/>
    <cellStyle name="Normal 2 6 18 2 3" xfId="28250" xr:uid="{00000000-0005-0000-0000-00005D6E0000}"/>
    <cellStyle name="Normal 2 6 18 2 4" xfId="28251" xr:uid="{00000000-0005-0000-0000-00005E6E0000}"/>
    <cellStyle name="Normal 2 6 18 2 5" xfId="28252" xr:uid="{00000000-0005-0000-0000-00005F6E0000}"/>
    <cellStyle name="Normal 2 6 18 2 6" xfId="28253" xr:uid="{00000000-0005-0000-0000-0000606E0000}"/>
    <cellStyle name="Normal 2 6 18 3" xfId="28254" xr:uid="{00000000-0005-0000-0000-0000616E0000}"/>
    <cellStyle name="Normal 2 6 18 3 2" xfId="28255" xr:uid="{00000000-0005-0000-0000-0000626E0000}"/>
    <cellStyle name="Normal 2 6 18 3 2 2" xfId="28256" xr:uid="{00000000-0005-0000-0000-0000636E0000}"/>
    <cellStyle name="Normal 2 6 18 3 2 3" xfId="28257" xr:uid="{00000000-0005-0000-0000-0000646E0000}"/>
    <cellStyle name="Normal 2 6 18 3 3" xfId="28258" xr:uid="{00000000-0005-0000-0000-0000656E0000}"/>
    <cellStyle name="Normal 2 6 18 3 4" xfId="28259" xr:uid="{00000000-0005-0000-0000-0000666E0000}"/>
    <cellStyle name="Normal 2 6 18 3 5" xfId="28260" xr:uid="{00000000-0005-0000-0000-0000676E0000}"/>
    <cellStyle name="Normal 2 6 18 3 6" xfId="28261" xr:uid="{00000000-0005-0000-0000-0000686E0000}"/>
    <cellStyle name="Normal 2 6 18 4" xfId="28262" xr:uid="{00000000-0005-0000-0000-0000696E0000}"/>
    <cellStyle name="Normal 2 6 18 4 2" xfId="28263" xr:uid="{00000000-0005-0000-0000-00006A6E0000}"/>
    <cellStyle name="Normal 2 6 18 4 2 2" xfId="28264" xr:uid="{00000000-0005-0000-0000-00006B6E0000}"/>
    <cellStyle name="Normal 2 6 18 4 3" xfId="28265" xr:uid="{00000000-0005-0000-0000-00006C6E0000}"/>
    <cellStyle name="Normal 2 6 18 4 4" xfId="28266" xr:uid="{00000000-0005-0000-0000-00006D6E0000}"/>
    <cellStyle name="Normal 2 6 18 4 5" xfId="28267" xr:uid="{00000000-0005-0000-0000-00006E6E0000}"/>
    <cellStyle name="Normal 2 6 18 5" xfId="28268" xr:uid="{00000000-0005-0000-0000-00006F6E0000}"/>
    <cellStyle name="Normal 2 6 18 5 2" xfId="28269" xr:uid="{00000000-0005-0000-0000-0000706E0000}"/>
    <cellStyle name="Normal 2 6 18 5 3" xfId="28270" xr:uid="{00000000-0005-0000-0000-0000716E0000}"/>
    <cellStyle name="Normal 2 6 18 5 4" xfId="28271" xr:uid="{00000000-0005-0000-0000-0000726E0000}"/>
    <cellStyle name="Normal 2 6 18 6" xfId="28272" xr:uid="{00000000-0005-0000-0000-0000736E0000}"/>
    <cellStyle name="Normal 2 6 18 6 2" xfId="28273" xr:uid="{00000000-0005-0000-0000-0000746E0000}"/>
    <cellStyle name="Normal 2 6 18 7" xfId="28274" xr:uid="{00000000-0005-0000-0000-0000756E0000}"/>
    <cellStyle name="Normal 2 6 18 8" xfId="28275" xr:uid="{00000000-0005-0000-0000-0000766E0000}"/>
    <cellStyle name="Normal 2 6 18 9" xfId="28276" xr:uid="{00000000-0005-0000-0000-0000776E0000}"/>
    <cellStyle name="Normal 2 6 19" xfId="28277" xr:uid="{00000000-0005-0000-0000-0000786E0000}"/>
    <cellStyle name="Normal 2 6 19 10" xfId="28278" xr:uid="{00000000-0005-0000-0000-0000796E0000}"/>
    <cellStyle name="Normal 2 6 19 2" xfId="28279" xr:uid="{00000000-0005-0000-0000-00007A6E0000}"/>
    <cellStyle name="Normal 2 6 19 2 2" xfId="28280" xr:uid="{00000000-0005-0000-0000-00007B6E0000}"/>
    <cellStyle name="Normal 2 6 19 2 2 2" xfId="28281" xr:uid="{00000000-0005-0000-0000-00007C6E0000}"/>
    <cellStyle name="Normal 2 6 19 2 2 3" xfId="28282" xr:uid="{00000000-0005-0000-0000-00007D6E0000}"/>
    <cellStyle name="Normal 2 6 19 2 3" xfId="28283" xr:uid="{00000000-0005-0000-0000-00007E6E0000}"/>
    <cellStyle name="Normal 2 6 19 2 4" xfId="28284" xr:uid="{00000000-0005-0000-0000-00007F6E0000}"/>
    <cellStyle name="Normal 2 6 19 2 5" xfId="28285" xr:uid="{00000000-0005-0000-0000-0000806E0000}"/>
    <cellStyle name="Normal 2 6 19 2 6" xfId="28286" xr:uid="{00000000-0005-0000-0000-0000816E0000}"/>
    <cellStyle name="Normal 2 6 19 3" xfId="28287" xr:uid="{00000000-0005-0000-0000-0000826E0000}"/>
    <cellStyle name="Normal 2 6 19 3 2" xfId="28288" xr:uid="{00000000-0005-0000-0000-0000836E0000}"/>
    <cellStyle name="Normal 2 6 19 3 2 2" xfId="28289" xr:uid="{00000000-0005-0000-0000-0000846E0000}"/>
    <cellStyle name="Normal 2 6 19 3 2 3" xfId="28290" xr:uid="{00000000-0005-0000-0000-0000856E0000}"/>
    <cellStyle name="Normal 2 6 19 3 3" xfId="28291" xr:uid="{00000000-0005-0000-0000-0000866E0000}"/>
    <cellStyle name="Normal 2 6 19 3 4" xfId="28292" xr:uid="{00000000-0005-0000-0000-0000876E0000}"/>
    <cellStyle name="Normal 2 6 19 3 5" xfId="28293" xr:uid="{00000000-0005-0000-0000-0000886E0000}"/>
    <cellStyle name="Normal 2 6 19 3 6" xfId="28294" xr:uid="{00000000-0005-0000-0000-0000896E0000}"/>
    <cellStyle name="Normal 2 6 19 4" xfId="28295" xr:uid="{00000000-0005-0000-0000-00008A6E0000}"/>
    <cellStyle name="Normal 2 6 19 4 2" xfId="28296" xr:uid="{00000000-0005-0000-0000-00008B6E0000}"/>
    <cellStyle name="Normal 2 6 19 4 2 2" xfId="28297" xr:uid="{00000000-0005-0000-0000-00008C6E0000}"/>
    <cellStyle name="Normal 2 6 19 4 3" xfId="28298" xr:uid="{00000000-0005-0000-0000-00008D6E0000}"/>
    <cellStyle name="Normal 2 6 19 4 4" xfId="28299" xr:uid="{00000000-0005-0000-0000-00008E6E0000}"/>
    <cellStyle name="Normal 2 6 19 4 5" xfId="28300" xr:uid="{00000000-0005-0000-0000-00008F6E0000}"/>
    <cellStyle name="Normal 2 6 19 5" xfId="28301" xr:uid="{00000000-0005-0000-0000-0000906E0000}"/>
    <cellStyle name="Normal 2 6 19 5 2" xfId="28302" xr:uid="{00000000-0005-0000-0000-0000916E0000}"/>
    <cellStyle name="Normal 2 6 19 5 3" xfId="28303" xr:uid="{00000000-0005-0000-0000-0000926E0000}"/>
    <cellStyle name="Normal 2 6 19 5 4" xfId="28304" xr:uid="{00000000-0005-0000-0000-0000936E0000}"/>
    <cellStyle name="Normal 2 6 19 6" xfId="28305" xr:uid="{00000000-0005-0000-0000-0000946E0000}"/>
    <cellStyle name="Normal 2 6 19 6 2" xfId="28306" xr:uid="{00000000-0005-0000-0000-0000956E0000}"/>
    <cellStyle name="Normal 2 6 19 7" xfId="28307" xr:uid="{00000000-0005-0000-0000-0000966E0000}"/>
    <cellStyle name="Normal 2 6 19 8" xfId="28308" xr:uid="{00000000-0005-0000-0000-0000976E0000}"/>
    <cellStyle name="Normal 2 6 19 9" xfId="28309" xr:uid="{00000000-0005-0000-0000-0000986E0000}"/>
    <cellStyle name="Normal 2 6 2" xfId="28310" xr:uid="{00000000-0005-0000-0000-0000996E0000}"/>
    <cellStyle name="Normal 2 6 2 10" xfId="28311" xr:uid="{00000000-0005-0000-0000-00009A6E0000}"/>
    <cellStyle name="Normal 2 6 2 10 10" xfId="28312" xr:uid="{00000000-0005-0000-0000-00009B6E0000}"/>
    <cellStyle name="Normal 2 6 2 10 2" xfId="28313" xr:uid="{00000000-0005-0000-0000-00009C6E0000}"/>
    <cellStyle name="Normal 2 6 2 10 2 2" xfId="28314" xr:uid="{00000000-0005-0000-0000-00009D6E0000}"/>
    <cellStyle name="Normal 2 6 2 10 2 2 2" xfId="28315" xr:uid="{00000000-0005-0000-0000-00009E6E0000}"/>
    <cellStyle name="Normal 2 6 2 10 2 2 3" xfId="28316" xr:uid="{00000000-0005-0000-0000-00009F6E0000}"/>
    <cellStyle name="Normal 2 6 2 10 2 3" xfId="28317" xr:uid="{00000000-0005-0000-0000-0000A06E0000}"/>
    <cellStyle name="Normal 2 6 2 10 2 4" xfId="28318" xr:uid="{00000000-0005-0000-0000-0000A16E0000}"/>
    <cellStyle name="Normal 2 6 2 10 2 5" xfId="28319" xr:uid="{00000000-0005-0000-0000-0000A26E0000}"/>
    <cellStyle name="Normal 2 6 2 10 2 6" xfId="28320" xr:uid="{00000000-0005-0000-0000-0000A36E0000}"/>
    <cellStyle name="Normal 2 6 2 10 3" xfId="28321" xr:uid="{00000000-0005-0000-0000-0000A46E0000}"/>
    <cellStyle name="Normal 2 6 2 10 3 2" xfId="28322" xr:uid="{00000000-0005-0000-0000-0000A56E0000}"/>
    <cellStyle name="Normal 2 6 2 10 3 2 2" xfId="28323" xr:uid="{00000000-0005-0000-0000-0000A66E0000}"/>
    <cellStyle name="Normal 2 6 2 10 3 2 3" xfId="28324" xr:uid="{00000000-0005-0000-0000-0000A76E0000}"/>
    <cellStyle name="Normal 2 6 2 10 3 3" xfId="28325" xr:uid="{00000000-0005-0000-0000-0000A86E0000}"/>
    <cellStyle name="Normal 2 6 2 10 3 4" xfId="28326" xr:uid="{00000000-0005-0000-0000-0000A96E0000}"/>
    <cellStyle name="Normal 2 6 2 10 3 5" xfId="28327" xr:uid="{00000000-0005-0000-0000-0000AA6E0000}"/>
    <cellStyle name="Normal 2 6 2 10 3 6" xfId="28328" xr:uid="{00000000-0005-0000-0000-0000AB6E0000}"/>
    <cellStyle name="Normal 2 6 2 10 4" xfId="28329" xr:uid="{00000000-0005-0000-0000-0000AC6E0000}"/>
    <cellStyle name="Normal 2 6 2 10 4 2" xfId="28330" xr:uid="{00000000-0005-0000-0000-0000AD6E0000}"/>
    <cellStyle name="Normal 2 6 2 10 4 2 2" xfId="28331" xr:uid="{00000000-0005-0000-0000-0000AE6E0000}"/>
    <cellStyle name="Normal 2 6 2 10 4 3" xfId="28332" xr:uid="{00000000-0005-0000-0000-0000AF6E0000}"/>
    <cellStyle name="Normal 2 6 2 10 4 4" xfId="28333" xr:uid="{00000000-0005-0000-0000-0000B06E0000}"/>
    <cellStyle name="Normal 2 6 2 10 4 5" xfId="28334" xr:uid="{00000000-0005-0000-0000-0000B16E0000}"/>
    <cellStyle name="Normal 2 6 2 10 5" xfId="28335" xr:uid="{00000000-0005-0000-0000-0000B26E0000}"/>
    <cellStyle name="Normal 2 6 2 10 5 2" xfId="28336" xr:uid="{00000000-0005-0000-0000-0000B36E0000}"/>
    <cellStyle name="Normal 2 6 2 10 5 3" xfId="28337" xr:uid="{00000000-0005-0000-0000-0000B46E0000}"/>
    <cellStyle name="Normal 2 6 2 10 5 4" xfId="28338" xr:uid="{00000000-0005-0000-0000-0000B56E0000}"/>
    <cellStyle name="Normal 2 6 2 10 6" xfId="28339" xr:uid="{00000000-0005-0000-0000-0000B66E0000}"/>
    <cellStyle name="Normal 2 6 2 10 6 2" xfId="28340" xr:uid="{00000000-0005-0000-0000-0000B76E0000}"/>
    <cellStyle name="Normal 2 6 2 10 7" xfId="28341" xr:uid="{00000000-0005-0000-0000-0000B86E0000}"/>
    <cellStyle name="Normal 2 6 2 10 8" xfId="28342" xr:uid="{00000000-0005-0000-0000-0000B96E0000}"/>
    <cellStyle name="Normal 2 6 2 10 9" xfId="28343" xr:uid="{00000000-0005-0000-0000-0000BA6E0000}"/>
    <cellStyle name="Normal 2 6 2 11" xfId="28344" xr:uid="{00000000-0005-0000-0000-0000BB6E0000}"/>
    <cellStyle name="Normal 2 6 2 11 10" xfId="28345" xr:uid="{00000000-0005-0000-0000-0000BC6E0000}"/>
    <cellStyle name="Normal 2 6 2 11 2" xfId="28346" xr:uid="{00000000-0005-0000-0000-0000BD6E0000}"/>
    <cellStyle name="Normal 2 6 2 11 2 2" xfId="28347" xr:uid="{00000000-0005-0000-0000-0000BE6E0000}"/>
    <cellStyle name="Normal 2 6 2 11 2 2 2" xfId="28348" xr:uid="{00000000-0005-0000-0000-0000BF6E0000}"/>
    <cellStyle name="Normal 2 6 2 11 2 2 3" xfId="28349" xr:uid="{00000000-0005-0000-0000-0000C06E0000}"/>
    <cellStyle name="Normal 2 6 2 11 2 3" xfId="28350" xr:uid="{00000000-0005-0000-0000-0000C16E0000}"/>
    <cellStyle name="Normal 2 6 2 11 2 4" xfId="28351" xr:uid="{00000000-0005-0000-0000-0000C26E0000}"/>
    <cellStyle name="Normal 2 6 2 11 2 5" xfId="28352" xr:uid="{00000000-0005-0000-0000-0000C36E0000}"/>
    <cellStyle name="Normal 2 6 2 11 2 6" xfId="28353" xr:uid="{00000000-0005-0000-0000-0000C46E0000}"/>
    <cellStyle name="Normal 2 6 2 11 3" xfId="28354" xr:uid="{00000000-0005-0000-0000-0000C56E0000}"/>
    <cellStyle name="Normal 2 6 2 11 3 2" xfId="28355" xr:uid="{00000000-0005-0000-0000-0000C66E0000}"/>
    <cellStyle name="Normal 2 6 2 11 3 2 2" xfId="28356" xr:uid="{00000000-0005-0000-0000-0000C76E0000}"/>
    <cellStyle name="Normal 2 6 2 11 3 2 3" xfId="28357" xr:uid="{00000000-0005-0000-0000-0000C86E0000}"/>
    <cellStyle name="Normal 2 6 2 11 3 3" xfId="28358" xr:uid="{00000000-0005-0000-0000-0000C96E0000}"/>
    <cellStyle name="Normal 2 6 2 11 3 4" xfId="28359" xr:uid="{00000000-0005-0000-0000-0000CA6E0000}"/>
    <cellStyle name="Normal 2 6 2 11 3 5" xfId="28360" xr:uid="{00000000-0005-0000-0000-0000CB6E0000}"/>
    <cellStyle name="Normal 2 6 2 11 3 6" xfId="28361" xr:uid="{00000000-0005-0000-0000-0000CC6E0000}"/>
    <cellStyle name="Normal 2 6 2 11 4" xfId="28362" xr:uid="{00000000-0005-0000-0000-0000CD6E0000}"/>
    <cellStyle name="Normal 2 6 2 11 4 2" xfId="28363" xr:uid="{00000000-0005-0000-0000-0000CE6E0000}"/>
    <cellStyle name="Normal 2 6 2 11 4 2 2" xfId="28364" xr:uid="{00000000-0005-0000-0000-0000CF6E0000}"/>
    <cellStyle name="Normal 2 6 2 11 4 3" xfId="28365" xr:uid="{00000000-0005-0000-0000-0000D06E0000}"/>
    <cellStyle name="Normal 2 6 2 11 4 4" xfId="28366" xr:uid="{00000000-0005-0000-0000-0000D16E0000}"/>
    <cellStyle name="Normal 2 6 2 11 4 5" xfId="28367" xr:uid="{00000000-0005-0000-0000-0000D26E0000}"/>
    <cellStyle name="Normal 2 6 2 11 5" xfId="28368" xr:uid="{00000000-0005-0000-0000-0000D36E0000}"/>
    <cellStyle name="Normal 2 6 2 11 5 2" xfId="28369" xr:uid="{00000000-0005-0000-0000-0000D46E0000}"/>
    <cellStyle name="Normal 2 6 2 11 5 3" xfId="28370" xr:uid="{00000000-0005-0000-0000-0000D56E0000}"/>
    <cellStyle name="Normal 2 6 2 11 5 4" xfId="28371" xr:uid="{00000000-0005-0000-0000-0000D66E0000}"/>
    <cellStyle name="Normal 2 6 2 11 6" xfId="28372" xr:uid="{00000000-0005-0000-0000-0000D76E0000}"/>
    <cellStyle name="Normal 2 6 2 11 6 2" xfId="28373" xr:uid="{00000000-0005-0000-0000-0000D86E0000}"/>
    <cellStyle name="Normal 2 6 2 11 7" xfId="28374" xr:uid="{00000000-0005-0000-0000-0000D96E0000}"/>
    <cellStyle name="Normal 2 6 2 11 8" xfId="28375" xr:uid="{00000000-0005-0000-0000-0000DA6E0000}"/>
    <cellStyle name="Normal 2 6 2 11 9" xfId="28376" xr:uid="{00000000-0005-0000-0000-0000DB6E0000}"/>
    <cellStyle name="Normal 2 6 2 12" xfId="28377" xr:uid="{00000000-0005-0000-0000-0000DC6E0000}"/>
    <cellStyle name="Normal 2 6 2 12 10" xfId="28378" xr:uid="{00000000-0005-0000-0000-0000DD6E0000}"/>
    <cellStyle name="Normal 2 6 2 12 2" xfId="28379" xr:uid="{00000000-0005-0000-0000-0000DE6E0000}"/>
    <cellStyle name="Normal 2 6 2 12 2 2" xfId="28380" xr:uid="{00000000-0005-0000-0000-0000DF6E0000}"/>
    <cellStyle name="Normal 2 6 2 12 2 2 2" xfId="28381" xr:uid="{00000000-0005-0000-0000-0000E06E0000}"/>
    <cellStyle name="Normal 2 6 2 12 2 2 3" xfId="28382" xr:uid="{00000000-0005-0000-0000-0000E16E0000}"/>
    <cellStyle name="Normal 2 6 2 12 2 3" xfId="28383" xr:uid="{00000000-0005-0000-0000-0000E26E0000}"/>
    <cellStyle name="Normal 2 6 2 12 2 4" xfId="28384" xr:uid="{00000000-0005-0000-0000-0000E36E0000}"/>
    <cellStyle name="Normal 2 6 2 12 2 5" xfId="28385" xr:uid="{00000000-0005-0000-0000-0000E46E0000}"/>
    <cellStyle name="Normal 2 6 2 12 2 6" xfId="28386" xr:uid="{00000000-0005-0000-0000-0000E56E0000}"/>
    <cellStyle name="Normal 2 6 2 12 3" xfId="28387" xr:uid="{00000000-0005-0000-0000-0000E66E0000}"/>
    <cellStyle name="Normal 2 6 2 12 3 2" xfId="28388" xr:uid="{00000000-0005-0000-0000-0000E76E0000}"/>
    <cellStyle name="Normal 2 6 2 12 3 2 2" xfId="28389" xr:uid="{00000000-0005-0000-0000-0000E86E0000}"/>
    <cellStyle name="Normal 2 6 2 12 3 2 3" xfId="28390" xr:uid="{00000000-0005-0000-0000-0000E96E0000}"/>
    <cellStyle name="Normal 2 6 2 12 3 3" xfId="28391" xr:uid="{00000000-0005-0000-0000-0000EA6E0000}"/>
    <cellStyle name="Normal 2 6 2 12 3 4" xfId="28392" xr:uid="{00000000-0005-0000-0000-0000EB6E0000}"/>
    <cellStyle name="Normal 2 6 2 12 3 5" xfId="28393" xr:uid="{00000000-0005-0000-0000-0000EC6E0000}"/>
    <cellStyle name="Normal 2 6 2 12 3 6" xfId="28394" xr:uid="{00000000-0005-0000-0000-0000ED6E0000}"/>
    <cellStyle name="Normal 2 6 2 12 4" xfId="28395" xr:uid="{00000000-0005-0000-0000-0000EE6E0000}"/>
    <cellStyle name="Normal 2 6 2 12 4 2" xfId="28396" xr:uid="{00000000-0005-0000-0000-0000EF6E0000}"/>
    <cellStyle name="Normal 2 6 2 12 4 2 2" xfId="28397" xr:uid="{00000000-0005-0000-0000-0000F06E0000}"/>
    <cellStyle name="Normal 2 6 2 12 4 3" xfId="28398" xr:uid="{00000000-0005-0000-0000-0000F16E0000}"/>
    <cellStyle name="Normal 2 6 2 12 4 4" xfId="28399" xr:uid="{00000000-0005-0000-0000-0000F26E0000}"/>
    <cellStyle name="Normal 2 6 2 12 4 5" xfId="28400" xr:uid="{00000000-0005-0000-0000-0000F36E0000}"/>
    <cellStyle name="Normal 2 6 2 12 5" xfId="28401" xr:uid="{00000000-0005-0000-0000-0000F46E0000}"/>
    <cellStyle name="Normal 2 6 2 12 5 2" xfId="28402" xr:uid="{00000000-0005-0000-0000-0000F56E0000}"/>
    <cellStyle name="Normal 2 6 2 12 5 3" xfId="28403" xr:uid="{00000000-0005-0000-0000-0000F66E0000}"/>
    <cellStyle name="Normal 2 6 2 12 5 4" xfId="28404" xr:uid="{00000000-0005-0000-0000-0000F76E0000}"/>
    <cellStyle name="Normal 2 6 2 12 6" xfId="28405" xr:uid="{00000000-0005-0000-0000-0000F86E0000}"/>
    <cellStyle name="Normal 2 6 2 12 6 2" xfId="28406" xr:uid="{00000000-0005-0000-0000-0000F96E0000}"/>
    <cellStyle name="Normal 2 6 2 12 7" xfId="28407" xr:uid="{00000000-0005-0000-0000-0000FA6E0000}"/>
    <cellStyle name="Normal 2 6 2 12 8" xfId="28408" xr:uid="{00000000-0005-0000-0000-0000FB6E0000}"/>
    <cellStyle name="Normal 2 6 2 12 9" xfId="28409" xr:uid="{00000000-0005-0000-0000-0000FC6E0000}"/>
    <cellStyle name="Normal 2 6 2 13" xfId="28410" xr:uid="{00000000-0005-0000-0000-0000FD6E0000}"/>
    <cellStyle name="Normal 2 6 2 13 2" xfId="28411" xr:uid="{00000000-0005-0000-0000-0000FE6E0000}"/>
    <cellStyle name="Normal 2 6 2 13 2 2" xfId="28412" xr:uid="{00000000-0005-0000-0000-0000FF6E0000}"/>
    <cellStyle name="Normal 2 6 2 13 2 2 2" xfId="28413" xr:uid="{00000000-0005-0000-0000-0000006F0000}"/>
    <cellStyle name="Normal 2 6 2 13 2 2 3" xfId="28414" xr:uid="{00000000-0005-0000-0000-0000016F0000}"/>
    <cellStyle name="Normal 2 6 2 13 2 3" xfId="28415" xr:uid="{00000000-0005-0000-0000-0000026F0000}"/>
    <cellStyle name="Normal 2 6 2 13 2 4" xfId="28416" xr:uid="{00000000-0005-0000-0000-0000036F0000}"/>
    <cellStyle name="Normal 2 6 2 13 2 5" xfId="28417" xr:uid="{00000000-0005-0000-0000-0000046F0000}"/>
    <cellStyle name="Normal 2 6 2 13 2 6" xfId="28418" xr:uid="{00000000-0005-0000-0000-0000056F0000}"/>
    <cellStyle name="Normal 2 6 2 13 3" xfId="28419" xr:uid="{00000000-0005-0000-0000-0000066F0000}"/>
    <cellStyle name="Normal 2 6 2 13 3 2" xfId="28420" xr:uid="{00000000-0005-0000-0000-0000076F0000}"/>
    <cellStyle name="Normal 2 6 2 13 3 2 2" xfId="28421" xr:uid="{00000000-0005-0000-0000-0000086F0000}"/>
    <cellStyle name="Normal 2 6 2 13 3 3" xfId="28422" xr:uid="{00000000-0005-0000-0000-0000096F0000}"/>
    <cellStyle name="Normal 2 6 2 13 3 4" xfId="28423" xr:uid="{00000000-0005-0000-0000-00000A6F0000}"/>
    <cellStyle name="Normal 2 6 2 13 3 5" xfId="28424" xr:uid="{00000000-0005-0000-0000-00000B6F0000}"/>
    <cellStyle name="Normal 2 6 2 13 4" xfId="28425" xr:uid="{00000000-0005-0000-0000-00000C6F0000}"/>
    <cellStyle name="Normal 2 6 2 13 4 2" xfId="28426" xr:uid="{00000000-0005-0000-0000-00000D6F0000}"/>
    <cellStyle name="Normal 2 6 2 13 4 3" xfId="28427" xr:uid="{00000000-0005-0000-0000-00000E6F0000}"/>
    <cellStyle name="Normal 2 6 2 13 4 4" xfId="28428" xr:uid="{00000000-0005-0000-0000-00000F6F0000}"/>
    <cellStyle name="Normal 2 6 2 13 5" xfId="28429" xr:uid="{00000000-0005-0000-0000-0000106F0000}"/>
    <cellStyle name="Normal 2 6 2 13 5 2" xfId="28430" xr:uid="{00000000-0005-0000-0000-0000116F0000}"/>
    <cellStyle name="Normal 2 6 2 13 6" xfId="28431" xr:uid="{00000000-0005-0000-0000-0000126F0000}"/>
    <cellStyle name="Normal 2 6 2 13 7" xfId="28432" xr:uid="{00000000-0005-0000-0000-0000136F0000}"/>
    <cellStyle name="Normal 2 6 2 13 8" xfId="28433" xr:uid="{00000000-0005-0000-0000-0000146F0000}"/>
    <cellStyle name="Normal 2 6 2 13 9" xfId="28434" xr:uid="{00000000-0005-0000-0000-0000156F0000}"/>
    <cellStyle name="Normal 2 6 2 14" xfId="28435" xr:uid="{00000000-0005-0000-0000-0000166F0000}"/>
    <cellStyle name="Normal 2 6 2 14 2" xfId="28436" xr:uid="{00000000-0005-0000-0000-0000176F0000}"/>
    <cellStyle name="Normal 2 6 2 14 2 2" xfId="28437" xr:uid="{00000000-0005-0000-0000-0000186F0000}"/>
    <cellStyle name="Normal 2 6 2 14 2 2 2" xfId="28438" xr:uid="{00000000-0005-0000-0000-0000196F0000}"/>
    <cellStyle name="Normal 2 6 2 14 2 2 3" xfId="28439" xr:uid="{00000000-0005-0000-0000-00001A6F0000}"/>
    <cellStyle name="Normal 2 6 2 14 2 3" xfId="28440" xr:uid="{00000000-0005-0000-0000-00001B6F0000}"/>
    <cellStyle name="Normal 2 6 2 14 2 4" xfId="28441" xr:uid="{00000000-0005-0000-0000-00001C6F0000}"/>
    <cellStyle name="Normal 2 6 2 14 2 5" xfId="28442" xr:uid="{00000000-0005-0000-0000-00001D6F0000}"/>
    <cellStyle name="Normal 2 6 2 14 2 6" xfId="28443" xr:uid="{00000000-0005-0000-0000-00001E6F0000}"/>
    <cellStyle name="Normal 2 6 2 14 3" xfId="28444" xr:uid="{00000000-0005-0000-0000-00001F6F0000}"/>
    <cellStyle name="Normal 2 6 2 14 3 2" xfId="28445" xr:uid="{00000000-0005-0000-0000-0000206F0000}"/>
    <cellStyle name="Normal 2 6 2 14 3 2 2" xfId="28446" xr:uid="{00000000-0005-0000-0000-0000216F0000}"/>
    <cellStyle name="Normal 2 6 2 14 3 3" xfId="28447" xr:uid="{00000000-0005-0000-0000-0000226F0000}"/>
    <cellStyle name="Normal 2 6 2 14 3 4" xfId="28448" xr:uid="{00000000-0005-0000-0000-0000236F0000}"/>
    <cellStyle name="Normal 2 6 2 14 3 5" xfId="28449" xr:uid="{00000000-0005-0000-0000-0000246F0000}"/>
    <cellStyle name="Normal 2 6 2 14 4" xfId="28450" xr:uid="{00000000-0005-0000-0000-0000256F0000}"/>
    <cellStyle name="Normal 2 6 2 14 4 2" xfId="28451" xr:uid="{00000000-0005-0000-0000-0000266F0000}"/>
    <cellStyle name="Normal 2 6 2 14 4 3" xfId="28452" xr:uid="{00000000-0005-0000-0000-0000276F0000}"/>
    <cellStyle name="Normal 2 6 2 14 4 4" xfId="28453" xr:uid="{00000000-0005-0000-0000-0000286F0000}"/>
    <cellStyle name="Normal 2 6 2 14 5" xfId="28454" xr:uid="{00000000-0005-0000-0000-0000296F0000}"/>
    <cellStyle name="Normal 2 6 2 14 5 2" xfId="28455" xr:uid="{00000000-0005-0000-0000-00002A6F0000}"/>
    <cellStyle name="Normal 2 6 2 14 6" xfId="28456" xr:uid="{00000000-0005-0000-0000-00002B6F0000}"/>
    <cellStyle name="Normal 2 6 2 14 7" xfId="28457" xr:uid="{00000000-0005-0000-0000-00002C6F0000}"/>
    <cellStyle name="Normal 2 6 2 14 8" xfId="28458" xr:uid="{00000000-0005-0000-0000-00002D6F0000}"/>
    <cellStyle name="Normal 2 6 2 14 9" xfId="28459" xr:uid="{00000000-0005-0000-0000-00002E6F0000}"/>
    <cellStyle name="Normal 2 6 2 15" xfId="28460" xr:uid="{00000000-0005-0000-0000-00002F6F0000}"/>
    <cellStyle name="Normal 2 6 2 15 2" xfId="28461" xr:uid="{00000000-0005-0000-0000-0000306F0000}"/>
    <cellStyle name="Normal 2 6 2 15 2 2" xfId="28462" xr:uid="{00000000-0005-0000-0000-0000316F0000}"/>
    <cellStyle name="Normal 2 6 2 15 2 3" xfId="28463" xr:uid="{00000000-0005-0000-0000-0000326F0000}"/>
    <cellStyle name="Normal 2 6 2 15 3" xfId="28464" xr:uid="{00000000-0005-0000-0000-0000336F0000}"/>
    <cellStyle name="Normal 2 6 2 15 4" xfId="28465" xr:uid="{00000000-0005-0000-0000-0000346F0000}"/>
    <cellStyle name="Normal 2 6 2 15 5" xfId="28466" xr:uid="{00000000-0005-0000-0000-0000356F0000}"/>
    <cellStyle name="Normal 2 6 2 15 6" xfId="28467" xr:uid="{00000000-0005-0000-0000-0000366F0000}"/>
    <cellStyle name="Normal 2 6 2 16" xfId="28468" xr:uid="{00000000-0005-0000-0000-0000376F0000}"/>
    <cellStyle name="Normal 2 6 2 16 2" xfId="28469" xr:uid="{00000000-0005-0000-0000-0000386F0000}"/>
    <cellStyle name="Normal 2 6 2 16 2 2" xfId="28470" xr:uid="{00000000-0005-0000-0000-0000396F0000}"/>
    <cellStyle name="Normal 2 6 2 16 3" xfId="28471" xr:uid="{00000000-0005-0000-0000-00003A6F0000}"/>
    <cellStyle name="Normal 2 6 2 16 4" xfId="28472" xr:uid="{00000000-0005-0000-0000-00003B6F0000}"/>
    <cellStyle name="Normal 2 6 2 16 5" xfId="28473" xr:uid="{00000000-0005-0000-0000-00003C6F0000}"/>
    <cellStyle name="Normal 2 6 2 17" xfId="28474" xr:uid="{00000000-0005-0000-0000-00003D6F0000}"/>
    <cellStyle name="Normal 2 6 2 17 2" xfId="28475" xr:uid="{00000000-0005-0000-0000-00003E6F0000}"/>
    <cellStyle name="Normal 2 6 2 17 2 2" xfId="28476" xr:uid="{00000000-0005-0000-0000-00003F6F0000}"/>
    <cellStyle name="Normal 2 6 2 17 3" xfId="28477" xr:uid="{00000000-0005-0000-0000-0000406F0000}"/>
    <cellStyle name="Normal 2 6 2 17 4" xfId="28478" xr:uid="{00000000-0005-0000-0000-0000416F0000}"/>
    <cellStyle name="Normal 2 6 2 17 5" xfId="28479" xr:uid="{00000000-0005-0000-0000-0000426F0000}"/>
    <cellStyle name="Normal 2 6 2 18" xfId="28480" xr:uid="{00000000-0005-0000-0000-0000436F0000}"/>
    <cellStyle name="Normal 2 6 2 18 2" xfId="28481" xr:uid="{00000000-0005-0000-0000-0000446F0000}"/>
    <cellStyle name="Normal 2 6 2 19" xfId="28482" xr:uid="{00000000-0005-0000-0000-0000456F0000}"/>
    <cellStyle name="Normal 2 6 2 2" xfId="28483" xr:uid="{00000000-0005-0000-0000-0000466F0000}"/>
    <cellStyle name="Normal 2 6 2 2 10" xfId="28484" xr:uid="{00000000-0005-0000-0000-0000476F0000}"/>
    <cellStyle name="Normal 2 6 2 2 11" xfId="28485" xr:uid="{00000000-0005-0000-0000-0000486F0000}"/>
    <cellStyle name="Normal 2 6 2 2 2" xfId="28486" xr:uid="{00000000-0005-0000-0000-0000496F0000}"/>
    <cellStyle name="Normal 2 6 2 2 2 2" xfId="28487" xr:uid="{00000000-0005-0000-0000-00004A6F0000}"/>
    <cellStyle name="Normal 2 6 2 2 2 2 2" xfId="28488" xr:uid="{00000000-0005-0000-0000-00004B6F0000}"/>
    <cellStyle name="Normal 2 6 2 2 2 2 2 2" xfId="28489" xr:uid="{00000000-0005-0000-0000-00004C6F0000}"/>
    <cellStyle name="Normal 2 6 2 2 2 2 2 3" xfId="28490" xr:uid="{00000000-0005-0000-0000-00004D6F0000}"/>
    <cellStyle name="Normal 2 6 2 2 2 2 3" xfId="28491" xr:uid="{00000000-0005-0000-0000-00004E6F0000}"/>
    <cellStyle name="Normal 2 6 2 2 2 2 4" xfId="28492" xr:uid="{00000000-0005-0000-0000-00004F6F0000}"/>
    <cellStyle name="Normal 2 6 2 2 2 2 5" xfId="28493" xr:uid="{00000000-0005-0000-0000-0000506F0000}"/>
    <cellStyle name="Normal 2 6 2 2 2 2 6" xfId="28494" xr:uid="{00000000-0005-0000-0000-0000516F0000}"/>
    <cellStyle name="Normal 2 6 2 2 2 3" xfId="28495" xr:uid="{00000000-0005-0000-0000-0000526F0000}"/>
    <cellStyle name="Normal 2 6 2 2 2 3 2" xfId="28496" xr:uid="{00000000-0005-0000-0000-0000536F0000}"/>
    <cellStyle name="Normal 2 6 2 2 2 3 2 2" xfId="28497" xr:uid="{00000000-0005-0000-0000-0000546F0000}"/>
    <cellStyle name="Normal 2 6 2 2 2 3 3" xfId="28498" xr:uid="{00000000-0005-0000-0000-0000556F0000}"/>
    <cellStyle name="Normal 2 6 2 2 2 3 4" xfId="28499" xr:uid="{00000000-0005-0000-0000-0000566F0000}"/>
    <cellStyle name="Normal 2 6 2 2 2 3 5" xfId="28500" xr:uid="{00000000-0005-0000-0000-0000576F0000}"/>
    <cellStyle name="Normal 2 6 2 2 2 4" xfId="28501" xr:uid="{00000000-0005-0000-0000-0000586F0000}"/>
    <cellStyle name="Normal 2 6 2 2 2 4 2" xfId="28502" xr:uid="{00000000-0005-0000-0000-0000596F0000}"/>
    <cellStyle name="Normal 2 6 2 2 2 4 3" xfId="28503" xr:uid="{00000000-0005-0000-0000-00005A6F0000}"/>
    <cellStyle name="Normal 2 6 2 2 2 4 4" xfId="28504" xr:uid="{00000000-0005-0000-0000-00005B6F0000}"/>
    <cellStyle name="Normal 2 6 2 2 2 5" xfId="28505" xr:uid="{00000000-0005-0000-0000-00005C6F0000}"/>
    <cellStyle name="Normal 2 6 2 2 2 5 2" xfId="28506" xr:uid="{00000000-0005-0000-0000-00005D6F0000}"/>
    <cellStyle name="Normal 2 6 2 2 2 6" xfId="28507" xr:uid="{00000000-0005-0000-0000-00005E6F0000}"/>
    <cellStyle name="Normal 2 6 2 2 2 7" xfId="28508" xr:uid="{00000000-0005-0000-0000-00005F6F0000}"/>
    <cellStyle name="Normal 2 6 2 2 2 8" xfId="28509" xr:uid="{00000000-0005-0000-0000-0000606F0000}"/>
    <cellStyle name="Normal 2 6 2 2 2 9" xfId="28510" xr:uid="{00000000-0005-0000-0000-0000616F0000}"/>
    <cellStyle name="Normal 2 6 2 2 3" xfId="28511" xr:uid="{00000000-0005-0000-0000-0000626F0000}"/>
    <cellStyle name="Normal 2 6 2 2 3 2" xfId="28512" xr:uid="{00000000-0005-0000-0000-0000636F0000}"/>
    <cellStyle name="Normal 2 6 2 2 3 2 2" xfId="28513" xr:uid="{00000000-0005-0000-0000-0000646F0000}"/>
    <cellStyle name="Normal 2 6 2 2 3 2 2 2" xfId="28514" xr:uid="{00000000-0005-0000-0000-0000656F0000}"/>
    <cellStyle name="Normal 2 6 2 2 3 2 2 3" xfId="28515" xr:uid="{00000000-0005-0000-0000-0000666F0000}"/>
    <cellStyle name="Normal 2 6 2 2 3 2 3" xfId="28516" xr:uid="{00000000-0005-0000-0000-0000676F0000}"/>
    <cellStyle name="Normal 2 6 2 2 3 2 4" xfId="28517" xr:uid="{00000000-0005-0000-0000-0000686F0000}"/>
    <cellStyle name="Normal 2 6 2 2 3 2 5" xfId="28518" xr:uid="{00000000-0005-0000-0000-0000696F0000}"/>
    <cellStyle name="Normal 2 6 2 2 3 2 6" xfId="28519" xr:uid="{00000000-0005-0000-0000-00006A6F0000}"/>
    <cellStyle name="Normal 2 6 2 2 3 3" xfId="28520" xr:uid="{00000000-0005-0000-0000-00006B6F0000}"/>
    <cellStyle name="Normal 2 6 2 2 3 3 2" xfId="28521" xr:uid="{00000000-0005-0000-0000-00006C6F0000}"/>
    <cellStyle name="Normal 2 6 2 2 3 3 2 2" xfId="28522" xr:uid="{00000000-0005-0000-0000-00006D6F0000}"/>
    <cellStyle name="Normal 2 6 2 2 3 3 3" xfId="28523" xr:uid="{00000000-0005-0000-0000-00006E6F0000}"/>
    <cellStyle name="Normal 2 6 2 2 3 3 4" xfId="28524" xr:uid="{00000000-0005-0000-0000-00006F6F0000}"/>
    <cellStyle name="Normal 2 6 2 2 3 3 5" xfId="28525" xr:uid="{00000000-0005-0000-0000-0000706F0000}"/>
    <cellStyle name="Normal 2 6 2 2 3 4" xfId="28526" xr:uid="{00000000-0005-0000-0000-0000716F0000}"/>
    <cellStyle name="Normal 2 6 2 2 3 4 2" xfId="28527" xr:uid="{00000000-0005-0000-0000-0000726F0000}"/>
    <cellStyle name="Normal 2 6 2 2 3 4 3" xfId="28528" xr:uid="{00000000-0005-0000-0000-0000736F0000}"/>
    <cellStyle name="Normal 2 6 2 2 3 4 4" xfId="28529" xr:uid="{00000000-0005-0000-0000-0000746F0000}"/>
    <cellStyle name="Normal 2 6 2 2 3 5" xfId="28530" xr:uid="{00000000-0005-0000-0000-0000756F0000}"/>
    <cellStyle name="Normal 2 6 2 2 3 5 2" xfId="28531" xr:uid="{00000000-0005-0000-0000-0000766F0000}"/>
    <cellStyle name="Normal 2 6 2 2 3 6" xfId="28532" xr:uid="{00000000-0005-0000-0000-0000776F0000}"/>
    <cellStyle name="Normal 2 6 2 2 3 7" xfId="28533" xr:uid="{00000000-0005-0000-0000-0000786F0000}"/>
    <cellStyle name="Normal 2 6 2 2 3 8" xfId="28534" xr:uid="{00000000-0005-0000-0000-0000796F0000}"/>
    <cellStyle name="Normal 2 6 2 2 3 9" xfId="28535" xr:uid="{00000000-0005-0000-0000-00007A6F0000}"/>
    <cellStyle name="Normal 2 6 2 2 4" xfId="28536" xr:uid="{00000000-0005-0000-0000-00007B6F0000}"/>
    <cellStyle name="Normal 2 6 2 2 4 2" xfId="28537" xr:uid="{00000000-0005-0000-0000-00007C6F0000}"/>
    <cellStyle name="Normal 2 6 2 2 4 2 2" xfId="28538" xr:uid="{00000000-0005-0000-0000-00007D6F0000}"/>
    <cellStyle name="Normal 2 6 2 2 4 2 3" xfId="28539" xr:uid="{00000000-0005-0000-0000-00007E6F0000}"/>
    <cellStyle name="Normal 2 6 2 2 4 3" xfId="28540" xr:uid="{00000000-0005-0000-0000-00007F6F0000}"/>
    <cellStyle name="Normal 2 6 2 2 4 4" xfId="28541" xr:uid="{00000000-0005-0000-0000-0000806F0000}"/>
    <cellStyle name="Normal 2 6 2 2 4 5" xfId="28542" xr:uid="{00000000-0005-0000-0000-0000816F0000}"/>
    <cellStyle name="Normal 2 6 2 2 4 6" xfId="28543" xr:uid="{00000000-0005-0000-0000-0000826F0000}"/>
    <cellStyle name="Normal 2 6 2 2 5" xfId="28544" xr:uid="{00000000-0005-0000-0000-0000836F0000}"/>
    <cellStyle name="Normal 2 6 2 2 5 2" xfId="28545" xr:uid="{00000000-0005-0000-0000-0000846F0000}"/>
    <cellStyle name="Normal 2 6 2 2 5 2 2" xfId="28546" xr:uid="{00000000-0005-0000-0000-0000856F0000}"/>
    <cellStyle name="Normal 2 6 2 2 5 3" xfId="28547" xr:uid="{00000000-0005-0000-0000-0000866F0000}"/>
    <cellStyle name="Normal 2 6 2 2 5 4" xfId="28548" xr:uid="{00000000-0005-0000-0000-0000876F0000}"/>
    <cellStyle name="Normal 2 6 2 2 5 5" xfId="28549" xr:uid="{00000000-0005-0000-0000-0000886F0000}"/>
    <cellStyle name="Normal 2 6 2 2 6" xfId="28550" xr:uid="{00000000-0005-0000-0000-0000896F0000}"/>
    <cellStyle name="Normal 2 6 2 2 6 2" xfId="28551" xr:uid="{00000000-0005-0000-0000-00008A6F0000}"/>
    <cellStyle name="Normal 2 6 2 2 6 3" xfId="28552" xr:uid="{00000000-0005-0000-0000-00008B6F0000}"/>
    <cellStyle name="Normal 2 6 2 2 6 4" xfId="28553" xr:uid="{00000000-0005-0000-0000-00008C6F0000}"/>
    <cellStyle name="Normal 2 6 2 2 7" xfId="28554" xr:uid="{00000000-0005-0000-0000-00008D6F0000}"/>
    <cellStyle name="Normal 2 6 2 2 7 2" xfId="28555" xr:uid="{00000000-0005-0000-0000-00008E6F0000}"/>
    <cellStyle name="Normal 2 6 2 2 8" xfId="28556" xr:uid="{00000000-0005-0000-0000-00008F6F0000}"/>
    <cellStyle name="Normal 2 6 2 2 9" xfId="28557" xr:uid="{00000000-0005-0000-0000-0000906F0000}"/>
    <cellStyle name="Normal 2 6 2 20" xfId="28558" xr:uid="{00000000-0005-0000-0000-0000916F0000}"/>
    <cellStyle name="Normal 2 6 2 21" xfId="28559" xr:uid="{00000000-0005-0000-0000-0000926F0000}"/>
    <cellStyle name="Normal 2 6 2 22" xfId="28560" xr:uid="{00000000-0005-0000-0000-0000936F0000}"/>
    <cellStyle name="Normal 2 6 2 3" xfId="28561" xr:uid="{00000000-0005-0000-0000-0000946F0000}"/>
    <cellStyle name="Normal 2 6 2 3 10" xfId="28562" xr:uid="{00000000-0005-0000-0000-0000956F0000}"/>
    <cellStyle name="Normal 2 6 2 3 11" xfId="28563" xr:uid="{00000000-0005-0000-0000-0000966F0000}"/>
    <cellStyle name="Normal 2 6 2 3 2" xfId="28564" xr:uid="{00000000-0005-0000-0000-0000976F0000}"/>
    <cellStyle name="Normal 2 6 2 3 2 2" xfId="28565" xr:uid="{00000000-0005-0000-0000-0000986F0000}"/>
    <cellStyle name="Normal 2 6 2 3 2 2 2" xfId="28566" xr:uid="{00000000-0005-0000-0000-0000996F0000}"/>
    <cellStyle name="Normal 2 6 2 3 2 2 2 2" xfId="28567" xr:uid="{00000000-0005-0000-0000-00009A6F0000}"/>
    <cellStyle name="Normal 2 6 2 3 2 2 2 3" xfId="28568" xr:uid="{00000000-0005-0000-0000-00009B6F0000}"/>
    <cellStyle name="Normal 2 6 2 3 2 2 3" xfId="28569" xr:uid="{00000000-0005-0000-0000-00009C6F0000}"/>
    <cellStyle name="Normal 2 6 2 3 2 2 4" xfId="28570" xr:uid="{00000000-0005-0000-0000-00009D6F0000}"/>
    <cellStyle name="Normal 2 6 2 3 2 2 5" xfId="28571" xr:uid="{00000000-0005-0000-0000-00009E6F0000}"/>
    <cellStyle name="Normal 2 6 2 3 2 2 6" xfId="28572" xr:uid="{00000000-0005-0000-0000-00009F6F0000}"/>
    <cellStyle name="Normal 2 6 2 3 2 3" xfId="28573" xr:uid="{00000000-0005-0000-0000-0000A06F0000}"/>
    <cellStyle name="Normal 2 6 2 3 2 3 2" xfId="28574" xr:uid="{00000000-0005-0000-0000-0000A16F0000}"/>
    <cellStyle name="Normal 2 6 2 3 2 3 2 2" xfId="28575" xr:uid="{00000000-0005-0000-0000-0000A26F0000}"/>
    <cellStyle name="Normal 2 6 2 3 2 3 3" xfId="28576" xr:uid="{00000000-0005-0000-0000-0000A36F0000}"/>
    <cellStyle name="Normal 2 6 2 3 2 3 4" xfId="28577" xr:uid="{00000000-0005-0000-0000-0000A46F0000}"/>
    <cellStyle name="Normal 2 6 2 3 2 3 5" xfId="28578" xr:uid="{00000000-0005-0000-0000-0000A56F0000}"/>
    <cellStyle name="Normal 2 6 2 3 2 4" xfId="28579" xr:uid="{00000000-0005-0000-0000-0000A66F0000}"/>
    <cellStyle name="Normal 2 6 2 3 2 4 2" xfId="28580" xr:uid="{00000000-0005-0000-0000-0000A76F0000}"/>
    <cellStyle name="Normal 2 6 2 3 2 4 3" xfId="28581" xr:uid="{00000000-0005-0000-0000-0000A86F0000}"/>
    <cellStyle name="Normal 2 6 2 3 2 4 4" xfId="28582" xr:uid="{00000000-0005-0000-0000-0000A96F0000}"/>
    <cellStyle name="Normal 2 6 2 3 2 5" xfId="28583" xr:uid="{00000000-0005-0000-0000-0000AA6F0000}"/>
    <cellStyle name="Normal 2 6 2 3 2 5 2" xfId="28584" xr:uid="{00000000-0005-0000-0000-0000AB6F0000}"/>
    <cellStyle name="Normal 2 6 2 3 2 6" xfId="28585" xr:uid="{00000000-0005-0000-0000-0000AC6F0000}"/>
    <cellStyle name="Normal 2 6 2 3 2 7" xfId="28586" xr:uid="{00000000-0005-0000-0000-0000AD6F0000}"/>
    <cellStyle name="Normal 2 6 2 3 2 8" xfId="28587" xr:uid="{00000000-0005-0000-0000-0000AE6F0000}"/>
    <cellStyle name="Normal 2 6 2 3 2 9" xfId="28588" xr:uid="{00000000-0005-0000-0000-0000AF6F0000}"/>
    <cellStyle name="Normal 2 6 2 3 3" xfId="28589" xr:uid="{00000000-0005-0000-0000-0000B06F0000}"/>
    <cellStyle name="Normal 2 6 2 3 3 2" xfId="28590" xr:uid="{00000000-0005-0000-0000-0000B16F0000}"/>
    <cellStyle name="Normal 2 6 2 3 3 2 2" xfId="28591" xr:uid="{00000000-0005-0000-0000-0000B26F0000}"/>
    <cellStyle name="Normal 2 6 2 3 3 2 2 2" xfId="28592" xr:uid="{00000000-0005-0000-0000-0000B36F0000}"/>
    <cellStyle name="Normal 2 6 2 3 3 2 2 3" xfId="28593" xr:uid="{00000000-0005-0000-0000-0000B46F0000}"/>
    <cellStyle name="Normal 2 6 2 3 3 2 3" xfId="28594" xr:uid="{00000000-0005-0000-0000-0000B56F0000}"/>
    <cellStyle name="Normal 2 6 2 3 3 2 4" xfId="28595" xr:uid="{00000000-0005-0000-0000-0000B66F0000}"/>
    <cellStyle name="Normal 2 6 2 3 3 2 5" xfId="28596" xr:uid="{00000000-0005-0000-0000-0000B76F0000}"/>
    <cellStyle name="Normal 2 6 2 3 3 2 6" xfId="28597" xr:uid="{00000000-0005-0000-0000-0000B86F0000}"/>
    <cellStyle name="Normal 2 6 2 3 3 3" xfId="28598" xr:uid="{00000000-0005-0000-0000-0000B96F0000}"/>
    <cellStyle name="Normal 2 6 2 3 3 3 2" xfId="28599" xr:uid="{00000000-0005-0000-0000-0000BA6F0000}"/>
    <cellStyle name="Normal 2 6 2 3 3 3 2 2" xfId="28600" xr:uid="{00000000-0005-0000-0000-0000BB6F0000}"/>
    <cellStyle name="Normal 2 6 2 3 3 3 3" xfId="28601" xr:uid="{00000000-0005-0000-0000-0000BC6F0000}"/>
    <cellStyle name="Normal 2 6 2 3 3 3 4" xfId="28602" xr:uid="{00000000-0005-0000-0000-0000BD6F0000}"/>
    <cellStyle name="Normal 2 6 2 3 3 3 5" xfId="28603" xr:uid="{00000000-0005-0000-0000-0000BE6F0000}"/>
    <cellStyle name="Normal 2 6 2 3 3 4" xfId="28604" xr:uid="{00000000-0005-0000-0000-0000BF6F0000}"/>
    <cellStyle name="Normal 2 6 2 3 3 4 2" xfId="28605" xr:uid="{00000000-0005-0000-0000-0000C06F0000}"/>
    <cellStyle name="Normal 2 6 2 3 3 4 3" xfId="28606" xr:uid="{00000000-0005-0000-0000-0000C16F0000}"/>
    <cellStyle name="Normal 2 6 2 3 3 4 4" xfId="28607" xr:uid="{00000000-0005-0000-0000-0000C26F0000}"/>
    <cellStyle name="Normal 2 6 2 3 3 5" xfId="28608" xr:uid="{00000000-0005-0000-0000-0000C36F0000}"/>
    <cellStyle name="Normal 2 6 2 3 3 5 2" xfId="28609" xr:uid="{00000000-0005-0000-0000-0000C46F0000}"/>
    <cellStyle name="Normal 2 6 2 3 3 6" xfId="28610" xr:uid="{00000000-0005-0000-0000-0000C56F0000}"/>
    <cellStyle name="Normal 2 6 2 3 3 7" xfId="28611" xr:uid="{00000000-0005-0000-0000-0000C66F0000}"/>
    <cellStyle name="Normal 2 6 2 3 3 8" xfId="28612" xr:uid="{00000000-0005-0000-0000-0000C76F0000}"/>
    <cellStyle name="Normal 2 6 2 3 3 9" xfId="28613" xr:uid="{00000000-0005-0000-0000-0000C86F0000}"/>
    <cellStyle name="Normal 2 6 2 3 4" xfId="28614" xr:uid="{00000000-0005-0000-0000-0000C96F0000}"/>
    <cellStyle name="Normal 2 6 2 3 4 2" xfId="28615" xr:uid="{00000000-0005-0000-0000-0000CA6F0000}"/>
    <cellStyle name="Normal 2 6 2 3 4 2 2" xfId="28616" xr:uid="{00000000-0005-0000-0000-0000CB6F0000}"/>
    <cellStyle name="Normal 2 6 2 3 4 2 3" xfId="28617" xr:uid="{00000000-0005-0000-0000-0000CC6F0000}"/>
    <cellStyle name="Normal 2 6 2 3 4 3" xfId="28618" xr:uid="{00000000-0005-0000-0000-0000CD6F0000}"/>
    <cellStyle name="Normal 2 6 2 3 4 4" xfId="28619" xr:uid="{00000000-0005-0000-0000-0000CE6F0000}"/>
    <cellStyle name="Normal 2 6 2 3 4 5" xfId="28620" xr:uid="{00000000-0005-0000-0000-0000CF6F0000}"/>
    <cellStyle name="Normal 2 6 2 3 4 6" xfId="28621" xr:uid="{00000000-0005-0000-0000-0000D06F0000}"/>
    <cellStyle name="Normal 2 6 2 3 5" xfId="28622" xr:uid="{00000000-0005-0000-0000-0000D16F0000}"/>
    <cellStyle name="Normal 2 6 2 3 5 2" xfId="28623" xr:uid="{00000000-0005-0000-0000-0000D26F0000}"/>
    <cellStyle name="Normal 2 6 2 3 5 2 2" xfId="28624" xr:uid="{00000000-0005-0000-0000-0000D36F0000}"/>
    <cellStyle name="Normal 2 6 2 3 5 3" xfId="28625" xr:uid="{00000000-0005-0000-0000-0000D46F0000}"/>
    <cellStyle name="Normal 2 6 2 3 5 4" xfId="28626" xr:uid="{00000000-0005-0000-0000-0000D56F0000}"/>
    <cellStyle name="Normal 2 6 2 3 5 5" xfId="28627" xr:uid="{00000000-0005-0000-0000-0000D66F0000}"/>
    <cellStyle name="Normal 2 6 2 3 6" xfId="28628" xr:uid="{00000000-0005-0000-0000-0000D76F0000}"/>
    <cellStyle name="Normal 2 6 2 3 6 2" xfId="28629" xr:uid="{00000000-0005-0000-0000-0000D86F0000}"/>
    <cellStyle name="Normal 2 6 2 3 6 3" xfId="28630" xr:uid="{00000000-0005-0000-0000-0000D96F0000}"/>
    <cellStyle name="Normal 2 6 2 3 6 4" xfId="28631" xr:uid="{00000000-0005-0000-0000-0000DA6F0000}"/>
    <cellStyle name="Normal 2 6 2 3 7" xfId="28632" xr:uid="{00000000-0005-0000-0000-0000DB6F0000}"/>
    <cellStyle name="Normal 2 6 2 3 7 2" xfId="28633" xr:uid="{00000000-0005-0000-0000-0000DC6F0000}"/>
    <cellStyle name="Normal 2 6 2 3 8" xfId="28634" xr:uid="{00000000-0005-0000-0000-0000DD6F0000}"/>
    <cellStyle name="Normal 2 6 2 3 9" xfId="28635" xr:uid="{00000000-0005-0000-0000-0000DE6F0000}"/>
    <cellStyle name="Normal 2 6 2 4" xfId="28636" xr:uid="{00000000-0005-0000-0000-0000DF6F0000}"/>
    <cellStyle name="Normal 2 6 2 4 10" xfId="28637" xr:uid="{00000000-0005-0000-0000-0000E06F0000}"/>
    <cellStyle name="Normal 2 6 2 4 11" xfId="28638" xr:uid="{00000000-0005-0000-0000-0000E16F0000}"/>
    <cellStyle name="Normal 2 6 2 4 2" xfId="28639" xr:uid="{00000000-0005-0000-0000-0000E26F0000}"/>
    <cellStyle name="Normal 2 6 2 4 2 2" xfId="28640" xr:uid="{00000000-0005-0000-0000-0000E36F0000}"/>
    <cellStyle name="Normal 2 6 2 4 2 2 2" xfId="28641" xr:uid="{00000000-0005-0000-0000-0000E46F0000}"/>
    <cellStyle name="Normal 2 6 2 4 2 2 2 2" xfId="28642" xr:uid="{00000000-0005-0000-0000-0000E56F0000}"/>
    <cellStyle name="Normal 2 6 2 4 2 2 2 3" xfId="28643" xr:uid="{00000000-0005-0000-0000-0000E66F0000}"/>
    <cellStyle name="Normal 2 6 2 4 2 2 3" xfId="28644" xr:uid="{00000000-0005-0000-0000-0000E76F0000}"/>
    <cellStyle name="Normal 2 6 2 4 2 2 4" xfId="28645" xr:uid="{00000000-0005-0000-0000-0000E86F0000}"/>
    <cellStyle name="Normal 2 6 2 4 2 2 5" xfId="28646" xr:uid="{00000000-0005-0000-0000-0000E96F0000}"/>
    <cellStyle name="Normal 2 6 2 4 2 2 6" xfId="28647" xr:uid="{00000000-0005-0000-0000-0000EA6F0000}"/>
    <cellStyle name="Normal 2 6 2 4 2 3" xfId="28648" xr:uid="{00000000-0005-0000-0000-0000EB6F0000}"/>
    <cellStyle name="Normal 2 6 2 4 2 3 2" xfId="28649" xr:uid="{00000000-0005-0000-0000-0000EC6F0000}"/>
    <cellStyle name="Normal 2 6 2 4 2 3 2 2" xfId="28650" xr:uid="{00000000-0005-0000-0000-0000ED6F0000}"/>
    <cellStyle name="Normal 2 6 2 4 2 3 3" xfId="28651" xr:uid="{00000000-0005-0000-0000-0000EE6F0000}"/>
    <cellStyle name="Normal 2 6 2 4 2 3 4" xfId="28652" xr:uid="{00000000-0005-0000-0000-0000EF6F0000}"/>
    <cellStyle name="Normal 2 6 2 4 2 3 5" xfId="28653" xr:uid="{00000000-0005-0000-0000-0000F06F0000}"/>
    <cellStyle name="Normal 2 6 2 4 2 4" xfId="28654" xr:uid="{00000000-0005-0000-0000-0000F16F0000}"/>
    <cellStyle name="Normal 2 6 2 4 2 4 2" xfId="28655" xr:uid="{00000000-0005-0000-0000-0000F26F0000}"/>
    <cellStyle name="Normal 2 6 2 4 2 4 3" xfId="28656" xr:uid="{00000000-0005-0000-0000-0000F36F0000}"/>
    <cellStyle name="Normal 2 6 2 4 2 4 4" xfId="28657" xr:uid="{00000000-0005-0000-0000-0000F46F0000}"/>
    <cellStyle name="Normal 2 6 2 4 2 5" xfId="28658" xr:uid="{00000000-0005-0000-0000-0000F56F0000}"/>
    <cellStyle name="Normal 2 6 2 4 2 5 2" xfId="28659" xr:uid="{00000000-0005-0000-0000-0000F66F0000}"/>
    <cellStyle name="Normal 2 6 2 4 2 6" xfId="28660" xr:uid="{00000000-0005-0000-0000-0000F76F0000}"/>
    <cellStyle name="Normal 2 6 2 4 2 7" xfId="28661" xr:uid="{00000000-0005-0000-0000-0000F86F0000}"/>
    <cellStyle name="Normal 2 6 2 4 2 8" xfId="28662" xr:uid="{00000000-0005-0000-0000-0000F96F0000}"/>
    <cellStyle name="Normal 2 6 2 4 2 9" xfId="28663" xr:uid="{00000000-0005-0000-0000-0000FA6F0000}"/>
    <cellStyle name="Normal 2 6 2 4 3" xfId="28664" xr:uid="{00000000-0005-0000-0000-0000FB6F0000}"/>
    <cellStyle name="Normal 2 6 2 4 3 2" xfId="28665" xr:uid="{00000000-0005-0000-0000-0000FC6F0000}"/>
    <cellStyle name="Normal 2 6 2 4 3 2 2" xfId="28666" xr:uid="{00000000-0005-0000-0000-0000FD6F0000}"/>
    <cellStyle name="Normal 2 6 2 4 3 2 2 2" xfId="28667" xr:uid="{00000000-0005-0000-0000-0000FE6F0000}"/>
    <cellStyle name="Normal 2 6 2 4 3 2 2 3" xfId="28668" xr:uid="{00000000-0005-0000-0000-0000FF6F0000}"/>
    <cellStyle name="Normal 2 6 2 4 3 2 3" xfId="28669" xr:uid="{00000000-0005-0000-0000-000000700000}"/>
    <cellStyle name="Normal 2 6 2 4 3 2 4" xfId="28670" xr:uid="{00000000-0005-0000-0000-000001700000}"/>
    <cellStyle name="Normal 2 6 2 4 3 2 5" xfId="28671" xr:uid="{00000000-0005-0000-0000-000002700000}"/>
    <cellStyle name="Normal 2 6 2 4 3 2 6" xfId="28672" xr:uid="{00000000-0005-0000-0000-000003700000}"/>
    <cellStyle name="Normal 2 6 2 4 3 3" xfId="28673" xr:uid="{00000000-0005-0000-0000-000004700000}"/>
    <cellStyle name="Normal 2 6 2 4 3 3 2" xfId="28674" xr:uid="{00000000-0005-0000-0000-000005700000}"/>
    <cellStyle name="Normal 2 6 2 4 3 3 2 2" xfId="28675" xr:uid="{00000000-0005-0000-0000-000006700000}"/>
    <cellStyle name="Normal 2 6 2 4 3 3 3" xfId="28676" xr:uid="{00000000-0005-0000-0000-000007700000}"/>
    <cellStyle name="Normal 2 6 2 4 3 3 4" xfId="28677" xr:uid="{00000000-0005-0000-0000-000008700000}"/>
    <cellStyle name="Normal 2 6 2 4 3 3 5" xfId="28678" xr:uid="{00000000-0005-0000-0000-000009700000}"/>
    <cellStyle name="Normal 2 6 2 4 3 4" xfId="28679" xr:uid="{00000000-0005-0000-0000-00000A700000}"/>
    <cellStyle name="Normal 2 6 2 4 3 4 2" xfId="28680" xr:uid="{00000000-0005-0000-0000-00000B700000}"/>
    <cellStyle name="Normal 2 6 2 4 3 4 3" xfId="28681" xr:uid="{00000000-0005-0000-0000-00000C700000}"/>
    <cellStyle name="Normal 2 6 2 4 3 4 4" xfId="28682" xr:uid="{00000000-0005-0000-0000-00000D700000}"/>
    <cellStyle name="Normal 2 6 2 4 3 5" xfId="28683" xr:uid="{00000000-0005-0000-0000-00000E700000}"/>
    <cellStyle name="Normal 2 6 2 4 3 5 2" xfId="28684" xr:uid="{00000000-0005-0000-0000-00000F700000}"/>
    <cellStyle name="Normal 2 6 2 4 3 6" xfId="28685" xr:uid="{00000000-0005-0000-0000-000010700000}"/>
    <cellStyle name="Normal 2 6 2 4 3 7" xfId="28686" xr:uid="{00000000-0005-0000-0000-000011700000}"/>
    <cellStyle name="Normal 2 6 2 4 3 8" xfId="28687" xr:uid="{00000000-0005-0000-0000-000012700000}"/>
    <cellStyle name="Normal 2 6 2 4 3 9" xfId="28688" xr:uid="{00000000-0005-0000-0000-000013700000}"/>
    <cellStyle name="Normal 2 6 2 4 4" xfId="28689" xr:uid="{00000000-0005-0000-0000-000014700000}"/>
    <cellStyle name="Normal 2 6 2 4 4 2" xfId="28690" xr:uid="{00000000-0005-0000-0000-000015700000}"/>
    <cellStyle name="Normal 2 6 2 4 4 2 2" xfId="28691" xr:uid="{00000000-0005-0000-0000-000016700000}"/>
    <cellStyle name="Normal 2 6 2 4 4 2 3" xfId="28692" xr:uid="{00000000-0005-0000-0000-000017700000}"/>
    <cellStyle name="Normal 2 6 2 4 4 3" xfId="28693" xr:uid="{00000000-0005-0000-0000-000018700000}"/>
    <cellStyle name="Normal 2 6 2 4 4 4" xfId="28694" xr:uid="{00000000-0005-0000-0000-000019700000}"/>
    <cellStyle name="Normal 2 6 2 4 4 5" xfId="28695" xr:uid="{00000000-0005-0000-0000-00001A700000}"/>
    <cellStyle name="Normal 2 6 2 4 4 6" xfId="28696" xr:uid="{00000000-0005-0000-0000-00001B700000}"/>
    <cellStyle name="Normal 2 6 2 4 5" xfId="28697" xr:uid="{00000000-0005-0000-0000-00001C700000}"/>
    <cellStyle name="Normal 2 6 2 4 5 2" xfId="28698" xr:uid="{00000000-0005-0000-0000-00001D700000}"/>
    <cellStyle name="Normal 2 6 2 4 5 2 2" xfId="28699" xr:uid="{00000000-0005-0000-0000-00001E700000}"/>
    <cellStyle name="Normal 2 6 2 4 5 3" xfId="28700" xr:uid="{00000000-0005-0000-0000-00001F700000}"/>
    <cellStyle name="Normal 2 6 2 4 5 4" xfId="28701" xr:uid="{00000000-0005-0000-0000-000020700000}"/>
    <cellStyle name="Normal 2 6 2 4 5 5" xfId="28702" xr:uid="{00000000-0005-0000-0000-000021700000}"/>
    <cellStyle name="Normal 2 6 2 4 6" xfId="28703" xr:uid="{00000000-0005-0000-0000-000022700000}"/>
    <cellStyle name="Normal 2 6 2 4 6 2" xfId="28704" xr:uid="{00000000-0005-0000-0000-000023700000}"/>
    <cellStyle name="Normal 2 6 2 4 6 3" xfId="28705" xr:uid="{00000000-0005-0000-0000-000024700000}"/>
    <cellStyle name="Normal 2 6 2 4 6 4" xfId="28706" xr:uid="{00000000-0005-0000-0000-000025700000}"/>
    <cellStyle name="Normal 2 6 2 4 7" xfId="28707" xr:uid="{00000000-0005-0000-0000-000026700000}"/>
    <cellStyle name="Normal 2 6 2 4 7 2" xfId="28708" xr:uid="{00000000-0005-0000-0000-000027700000}"/>
    <cellStyle name="Normal 2 6 2 4 8" xfId="28709" xr:uid="{00000000-0005-0000-0000-000028700000}"/>
    <cellStyle name="Normal 2 6 2 4 9" xfId="28710" xr:uid="{00000000-0005-0000-0000-000029700000}"/>
    <cellStyle name="Normal 2 6 2 5" xfId="28711" xr:uid="{00000000-0005-0000-0000-00002A700000}"/>
    <cellStyle name="Normal 2 6 2 5 10" xfId="28712" xr:uid="{00000000-0005-0000-0000-00002B700000}"/>
    <cellStyle name="Normal 2 6 2 5 11" xfId="28713" xr:uid="{00000000-0005-0000-0000-00002C700000}"/>
    <cellStyle name="Normal 2 6 2 5 2" xfId="28714" xr:uid="{00000000-0005-0000-0000-00002D700000}"/>
    <cellStyle name="Normal 2 6 2 5 2 2" xfId="28715" xr:uid="{00000000-0005-0000-0000-00002E700000}"/>
    <cellStyle name="Normal 2 6 2 5 2 2 2" xfId="28716" xr:uid="{00000000-0005-0000-0000-00002F700000}"/>
    <cellStyle name="Normal 2 6 2 5 2 2 2 2" xfId="28717" xr:uid="{00000000-0005-0000-0000-000030700000}"/>
    <cellStyle name="Normal 2 6 2 5 2 2 2 3" xfId="28718" xr:uid="{00000000-0005-0000-0000-000031700000}"/>
    <cellStyle name="Normal 2 6 2 5 2 2 3" xfId="28719" xr:uid="{00000000-0005-0000-0000-000032700000}"/>
    <cellStyle name="Normal 2 6 2 5 2 2 4" xfId="28720" xr:uid="{00000000-0005-0000-0000-000033700000}"/>
    <cellStyle name="Normal 2 6 2 5 2 2 5" xfId="28721" xr:uid="{00000000-0005-0000-0000-000034700000}"/>
    <cellStyle name="Normal 2 6 2 5 2 2 6" xfId="28722" xr:uid="{00000000-0005-0000-0000-000035700000}"/>
    <cellStyle name="Normal 2 6 2 5 2 3" xfId="28723" xr:uid="{00000000-0005-0000-0000-000036700000}"/>
    <cellStyle name="Normal 2 6 2 5 2 3 2" xfId="28724" xr:uid="{00000000-0005-0000-0000-000037700000}"/>
    <cellStyle name="Normal 2 6 2 5 2 3 2 2" xfId="28725" xr:uid="{00000000-0005-0000-0000-000038700000}"/>
    <cellStyle name="Normal 2 6 2 5 2 3 3" xfId="28726" xr:uid="{00000000-0005-0000-0000-000039700000}"/>
    <cellStyle name="Normal 2 6 2 5 2 3 4" xfId="28727" xr:uid="{00000000-0005-0000-0000-00003A700000}"/>
    <cellStyle name="Normal 2 6 2 5 2 3 5" xfId="28728" xr:uid="{00000000-0005-0000-0000-00003B700000}"/>
    <cellStyle name="Normal 2 6 2 5 2 4" xfId="28729" xr:uid="{00000000-0005-0000-0000-00003C700000}"/>
    <cellStyle name="Normal 2 6 2 5 2 4 2" xfId="28730" xr:uid="{00000000-0005-0000-0000-00003D700000}"/>
    <cellStyle name="Normal 2 6 2 5 2 4 3" xfId="28731" xr:uid="{00000000-0005-0000-0000-00003E700000}"/>
    <cellStyle name="Normal 2 6 2 5 2 4 4" xfId="28732" xr:uid="{00000000-0005-0000-0000-00003F700000}"/>
    <cellStyle name="Normal 2 6 2 5 2 5" xfId="28733" xr:uid="{00000000-0005-0000-0000-000040700000}"/>
    <cellStyle name="Normal 2 6 2 5 2 5 2" xfId="28734" xr:uid="{00000000-0005-0000-0000-000041700000}"/>
    <cellStyle name="Normal 2 6 2 5 2 6" xfId="28735" xr:uid="{00000000-0005-0000-0000-000042700000}"/>
    <cellStyle name="Normal 2 6 2 5 2 7" xfId="28736" xr:uid="{00000000-0005-0000-0000-000043700000}"/>
    <cellStyle name="Normal 2 6 2 5 2 8" xfId="28737" xr:uid="{00000000-0005-0000-0000-000044700000}"/>
    <cellStyle name="Normal 2 6 2 5 2 9" xfId="28738" xr:uid="{00000000-0005-0000-0000-000045700000}"/>
    <cellStyle name="Normal 2 6 2 5 3" xfId="28739" xr:uid="{00000000-0005-0000-0000-000046700000}"/>
    <cellStyle name="Normal 2 6 2 5 3 2" xfId="28740" xr:uid="{00000000-0005-0000-0000-000047700000}"/>
    <cellStyle name="Normal 2 6 2 5 3 2 2" xfId="28741" xr:uid="{00000000-0005-0000-0000-000048700000}"/>
    <cellStyle name="Normal 2 6 2 5 3 2 2 2" xfId="28742" xr:uid="{00000000-0005-0000-0000-000049700000}"/>
    <cellStyle name="Normal 2 6 2 5 3 2 2 3" xfId="28743" xr:uid="{00000000-0005-0000-0000-00004A700000}"/>
    <cellStyle name="Normal 2 6 2 5 3 2 3" xfId="28744" xr:uid="{00000000-0005-0000-0000-00004B700000}"/>
    <cellStyle name="Normal 2 6 2 5 3 2 4" xfId="28745" xr:uid="{00000000-0005-0000-0000-00004C700000}"/>
    <cellStyle name="Normal 2 6 2 5 3 2 5" xfId="28746" xr:uid="{00000000-0005-0000-0000-00004D700000}"/>
    <cellStyle name="Normal 2 6 2 5 3 2 6" xfId="28747" xr:uid="{00000000-0005-0000-0000-00004E700000}"/>
    <cellStyle name="Normal 2 6 2 5 3 3" xfId="28748" xr:uid="{00000000-0005-0000-0000-00004F700000}"/>
    <cellStyle name="Normal 2 6 2 5 3 3 2" xfId="28749" xr:uid="{00000000-0005-0000-0000-000050700000}"/>
    <cellStyle name="Normal 2 6 2 5 3 3 2 2" xfId="28750" xr:uid="{00000000-0005-0000-0000-000051700000}"/>
    <cellStyle name="Normal 2 6 2 5 3 3 3" xfId="28751" xr:uid="{00000000-0005-0000-0000-000052700000}"/>
    <cellStyle name="Normal 2 6 2 5 3 3 4" xfId="28752" xr:uid="{00000000-0005-0000-0000-000053700000}"/>
    <cellStyle name="Normal 2 6 2 5 3 3 5" xfId="28753" xr:uid="{00000000-0005-0000-0000-000054700000}"/>
    <cellStyle name="Normal 2 6 2 5 3 4" xfId="28754" xr:uid="{00000000-0005-0000-0000-000055700000}"/>
    <cellStyle name="Normal 2 6 2 5 3 4 2" xfId="28755" xr:uid="{00000000-0005-0000-0000-000056700000}"/>
    <cellStyle name="Normal 2 6 2 5 3 4 3" xfId="28756" xr:uid="{00000000-0005-0000-0000-000057700000}"/>
    <cellStyle name="Normal 2 6 2 5 3 4 4" xfId="28757" xr:uid="{00000000-0005-0000-0000-000058700000}"/>
    <cellStyle name="Normal 2 6 2 5 3 5" xfId="28758" xr:uid="{00000000-0005-0000-0000-000059700000}"/>
    <cellStyle name="Normal 2 6 2 5 3 5 2" xfId="28759" xr:uid="{00000000-0005-0000-0000-00005A700000}"/>
    <cellStyle name="Normal 2 6 2 5 3 6" xfId="28760" xr:uid="{00000000-0005-0000-0000-00005B700000}"/>
    <cellStyle name="Normal 2 6 2 5 3 7" xfId="28761" xr:uid="{00000000-0005-0000-0000-00005C700000}"/>
    <cellStyle name="Normal 2 6 2 5 3 8" xfId="28762" xr:uid="{00000000-0005-0000-0000-00005D700000}"/>
    <cellStyle name="Normal 2 6 2 5 3 9" xfId="28763" xr:uid="{00000000-0005-0000-0000-00005E700000}"/>
    <cellStyle name="Normal 2 6 2 5 4" xfId="28764" xr:uid="{00000000-0005-0000-0000-00005F700000}"/>
    <cellStyle name="Normal 2 6 2 5 4 2" xfId="28765" xr:uid="{00000000-0005-0000-0000-000060700000}"/>
    <cellStyle name="Normal 2 6 2 5 4 2 2" xfId="28766" xr:uid="{00000000-0005-0000-0000-000061700000}"/>
    <cellStyle name="Normal 2 6 2 5 4 2 3" xfId="28767" xr:uid="{00000000-0005-0000-0000-000062700000}"/>
    <cellStyle name="Normal 2 6 2 5 4 3" xfId="28768" xr:uid="{00000000-0005-0000-0000-000063700000}"/>
    <cellStyle name="Normal 2 6 2 5 4 4" xfId="28769" xr:uid="{00000000-0005-0000-0000-000064700000}"/>
    <cellStyle name="Normal 2 6 2 5 4 5" xfId="28770" xr:uid="{00000000-0005-0000-0000-000065700000}"/>
    <cellStyle name="Normal 2 6 2 5 4 6" xfId="28771" xr:uid="{00000000-0005-0000-0000-000066700000}"/>
    <cellStyle name="Normal 2 6 2 5 5" xfId="28772" xr:uid="{00000000-0005-0000-0000-000067700000}"/>
    <cellStyle name="Normal 2 6 2 5 5 2" xfId="28773" xr:uid="{00000000-0005-0000-0000-000068700000}"/>
    <cellStyle name="Normal 2 6 2 5 5 2 2" xfId="28774" xr:uid="{00000000-0005-0000-0000-000069700000}"/>
    <cellStyle name="Normal 2 6 2 5 5 3" xfId="28775" xr:uid="{00000000-0005-0000-0000-00006A700000}"/>
    <cellStyle name="Normal 2 6 2 5 5 4" xfId="28776" xr:uid="{00000000-0005-0000-0000-00006B700000}"/>
    <cellStyle name="Normal 2 6 2 5 5 5" xfId="28777" xr:uid="{00000000-0005-0000-0000-00006C700000}"/>
    <cellStyle name="Normal 2 6 2 5 6" xfId="28778" xr:uid="{00000000-0005-0000-0000-00006D700000}"/>
    <cellStyle name="Normal 2 6 2 5 6 2" xfId="28779" xr:uid="{00000000-0005-0000-0000-00006E700000}"/>
    <cellStyle name="Normal 2 6 2 5 6 3" xfId="28780" xr:uid="{00000000-0005-0000-0000-00006F700000}"/>
    <cellStyle name="Normal 2 6 2 5 6 4" xfId="28781" xr:uid="{00000000-0005-0000-0000-000070700000}"/>
    <cellStyle name="Normal 2 6 2 5 7" xfId="28782" xr:uid="{00000000-0005-0000-0000-000071700000}"/>
    <cellStyle name="Normal 2 6 2 5 7 2" xfId="28783" xr:uid="{00000000-0005-0000-0000-000072700000}"/>
    <cellStyle name="Normal 2 6 2 5 8" xfId="28784" xr:uid="{00000000-0005-0000-0000-000073700000}"/>
    <cellStyle name="Normal 2 6 2 5 9" xfId="28785" xr:uid="{00000000-0005-0000-0000-000074700000}"/>
    <cellStyle name="Normal 2 6 2 6" xfId="28786" xr:uid="{00000000-0005-0000-0000-000075700000}"/>
    <cellStyle name="Normal 2 6 2 6 10" xfId="28787" xr:uid="{00000000-0005-0000-0000-000076700000}"/>
    <cellStyle name="Normal 2 6 2 6 11" xfId="28788" xr:uid="{00000000-0005-0000-0000-000077700000}"/>
    <cellStyle name="Normal 2 6 2 6 2" xfId="28789" xr:uid="{00000000-0005-0000-0000-000078700000}"/>
    <cellStyle name="Normal 2 6 2 6 2 2" xfId="28790" xr:uid="{00000000-0005-0000-0000-000079700000}"/>
    <cellStyle name="Normal 2 6 2 6 2 2 2" xfId="28791" xr:uid="{00000000-0005-0000-0000-00007A700000}"/>
    <cellStyle name="Normal 2 6 2 6 2 2 2 2" xfId="28792" xr:uid="{00000000-0005-0000-0000-00007B700000}"/>
    <cellStyle name="Normal 2 6 2 6 2 2 2 3" xfId="28793" xr:uid="{00000000-0005-0000-0000-00007C700000}"/>
    <cellStyle name="Normal 2 6 2 6 2 2 3" xfId="28794" xr:uid="{00000000-0005-0000-0000-00007D700000}"/>
    <cellStyle name="Normal 2 6 2 6 2 2 4" xfId="28795" xr:uid="{00000000-0005-0000-0000-00007E700000}"/>
    <cellStyle name="Normal 2 6 2 6 2 2 5" xfId="28796" xr:uid="{00000000-0005-0000-0000-00007F700000}"/>
    <cellStyle name="Normal 2 6 2 6 2 2 6" xfId="28797" xr:uid="{00000000-0005-0000-0000-000080700000}"/>
    <cellStyle name="Normal 2 6 2 6 2 3" xfId="28798" xr:uid="{00000000-0005-0000-0000-000081700000}"/>
    <cellStyle name="Normal 2 6 2 6 2 3 2" xfId="28799" xr:uid="{00000000-0005-0000-0000-000082700000}"/>
    <cellStyle name="Normal 2 6 2 6 2 3 2 2" xfId="28800" xr:uid="{00000000-0005-0000-0000-000083700000}"/>
    <cellStyle name="Normal 2 6 2 6 2 3 3" xfId="28801" xr:uid="{00000000-0005-0000-0000-000084700000}"/>
    <cellStyle name="Normal 2 6 2 6 2 3 4" xfId="28802" xr:uid="{00000000-0005-0000-0000-000085700000}"/>
    <cellStyle name="Normal 2 6 2 6 2 3 5" xfId="28803" xr:uid="{00000000-0005-0000-0000-000086700000}"/>
    <cellStyle name="Normal 2 6 2 6 2 4" xfId="28804" xr:uid="{00000000-0005-0000-0000-000087700000}"/>
    <cellStyle name="Normal 2 6 2 6 2 4 2" xfId="28805" xr:uid="{00000000-0005-0000-0000-000088700000}"/>
    <cellStyle name="Normal 2 6 2 6 2 4 3" xfId="28806" xr:uid="{00000000-0005-0000-0000-000089700000}"/>
    <cellStyle name="Normal 2 6 2 6 2 4 4" xfId="28807" xr:uid="{00000000-0005-0000-0000-00008A700000}"/>
    <cellStyle name="Normal 2 6 2 6 2 5" xfId="28808" xr:uid="{00000000-0005-0000-0000-00008B700000}"/>
    <cellStyle name="Normal 2 6 2 6 2 5 2" xfId="28809" xr:uid="{00000000-0005-0000-0000-00008C700000}"/>
    <cellStyle name="Normal 2 6 2 6 2 6" xfId="28810" xr:uid="{00000000-0005-0000-0000-00008D700000}"/>
    <cellStyle name="Normal 2 6 2 6 2 7" xfId="28811" xr:uid="{00000000-0005-0000-0000-00008E700000}"/>
    <cellStyle name="Normal 2 6 2 6 2 8" xfId="28812" xr:uid="{00000000-0005-0000-0000-00008F700000}"/>
    <cellStyle name="Normal 2 6 2 6 2 9" xfId="28813" xr:uid="{00000000-0005-0000-0000-000090700000}"/>
    <cellStyle name="Normal 2 6 2 6 3" xfId="28814" xr:uid="{00000000-0005-0000-0000-000091700000}"/>
    <cellStyle name="Normal 2 6 2 6 3 2" xfId="28815" xr:uid="{00000000-0005-0000-0000-000092700000}"/>
    <cellStyle name="Normal 2 6 2 6 3 2 2" xfId="28816" xr:uid="{00000000-0005-0000-0000-000093700000}"/>
    <cellStyle name="Normal 2 6 2 6 3 2 2 2" xfId="28817" xr:uid="{00000000-0005-0000-0000-000094700000}"/>
    <cellStyle name="Normal 2 6 2 6 3 2 2 3" xfId="28818" xr:uid="{00000000-0005-0000-0000-000095700000}"/>
    <cellStyle name="Normal 2 6 2 6 3 2 3" xfId="28819" xr:uid="{00000000-0005-0000-0000-000096700000}"/>
    <cellStyle name="Normal 2 6 2 6 3 2 4" xfId="28820" xr:uid="{00000000-0005-0000-0000-000097700000}"/>
    <cellStyle name="Normal 2 6 2 6 3 2 5" xfId="28821" xr:uid="{00000000-0005-0000-0000-000098700000}"/>
    <cellStyle name="Normal 2 6 2 6 3 2 6" xfId="28822" xr:uid="{00000000-0005-0000-0000-000099700000}"/>
    <cellStyle name="Normal 2 6 2 6 3 3" xfId="28823" xr:uid="{00000000-0005-0000-0000-00009A700000}"/>
    <cellStyle name="Normal 2 6 2 6 3 3 2" xfId="28824" xr:uid="{00000000-0005-0000-0000-00009B700000}"/>
    <cellStyle name="Normal 2 6 2 6 3 3 2 2" xfId="28825" xr:uid="{00000000-0005-0000-0000-00009C700000}"/>
    <cellStyle name="Normal 2 6 2 6 3 3 3" xfId="28826" xr:uid="{00000000-0005-0000-0000-00009D700000}"/>
    <cellStyle name="Normal 2 6 2 6 3 3 4" xfId="28827" xr:uid="{00000000-0005-0000-0000-00009E700000}"/>
    <cellStyle name="Normal 2 6 2 6 3 3 5" xfId="28828" xr:uid="{00000000-0005-0000-0000-00009F700000}"/>
    <cellStyle name="Normal 2 6 2 6 3 4" xfId="28829" xr:uid="{00000000-0005-0000-0000-0000A0700000}"/>
    <cellStyle name="Normal 2 6 2 6 3 4 2" xfId="28830" xr:uid="{00000000-0005-0000-0000-0000A1700000}"/>
    <cellStyle name="Normal 2 6 2 6 3 4 3" xfId="28831" xr:uid="{00000000-0005-0000-0000-0000A2700000}"/>
    <cellStyle name="Normal 2 6 2 6 3 4 4" xfId="28832" xr:uid="{00000000-0005-0000-0000-0000A3700000}"/>
    <cellStyle name="Normal 2 6 2 6 3 5" xfId="28833" xr:uid="{00000000-0005-0000-0000-0000A4700000}"/>
    <cellStyle name="Normal 2 6 2 6 3 5 2" xfId="28834" xr:uid="{00000000-0005-0000-0000-0000A5700000}"/>
    <cellStyle name="Normal 2 6 2 6 3 6" xfId="28835" xr:uid="{00000000-0005-0000-0000-0000A6700000}"/>
    <cellStyle name="Normal 2 6 2 6 3 7" xfId="28836" xr:uid="{00000000-0005-0000-0000-0000A7700000}"/>
    <cellStyle name="Normal 2 6 2 6 3 8" xfId="28837" xr:uid="{00000000-0005-0000-0000-0000A8700000}"/>
    <cellStyle name="Normal 2 6 2 6 3 9" xfId="28838" xr:uid="{00000000-0005-0000-0000-0000A9700000}"/>
    <cellStyle name="Normal 2 6 2 6 4" xfId="28839" xr:uid="{00000000-0005-0000-0000-0000AA700000}"/>
    <cellStyle name="Normal 2 6 2 6 4 2" xfId="28840" xr:uid="{00000000-0005-0000-0000-0000AB700000}"/>
    <cellStyle name="Normal 2 6 2 6 4 2 2" xfId="28841" xr:uid="{00000000-0005-0000-0000-0000AC700000}"/>
    <cellStyle name="Normal 2 6 2 6 4 2 3" xfId="28842" xr:uid="{00000000-0005-0000-0000-0000AD700000}"/>
    <cellStyle name="Normal 2 6 2 6 4 3" xfId="28843" xr:uid="{00000000-0005-0000-0000-0000AE700000}"/>
    <cellStyle name="Normal 2 6 2 6 4 4" xfId="28844" xr:uid="{00000000-0005-0000-0000-0000AF700000}"/>
    <cellStyle name="Normal 2 6 2 6 4 5" xfId="28845" xr:uid="{00000000-0005-0000-0000-0000B0700000}"/>
    <cellStyle name="Normal 2 6 2 6 4 6" xfId="28846" xr:uid="{00000000-0005-0000-0000-0000B1700000}"/>
    <cellStyle name="Normal 2 6 2 6 5" xfId="28847" xr:uid="{00000000-0005-0000-0000-0000B2700000}"/>
    <cellStyle name="Normal 2 6 2 6 5 2" xfId="28848" xr:uid="{00000000-0005-0000-0000-0000B3700000}"/>
    <cellStyle name="Normal 2 6 2 6 5 2 2" xfId="28849" xr:uid="{00000000-0005-0000-0000-0000B4700000}"/>
    <cellStyle name="Normal 2 6 2 6 5 3" xfId="28850" xr:uid="{00000000-0005-0000-0000-0000B5700000}"/>
    <cellStyle name="Normal 2 6 2 6 5 4" xfId="28851" xr:uid="{00000000-0005-0000-0000-0000B6700000}"/>
    <cellStyle name="Normal 2 6 2 6 5 5" xfId="28852" xr:uid="{00000000-0005-0000-0000-0000B7700000}"/>
    <cellStyle name="Normal 2 6 2 6 6" xfId="28853" xr:uid="{00000000-0005-0000-0000-0000B8700000}"/>
    <cellStyle name="Normal 2 6 2 6 6 2" xfId="28854" xr:uid="{00000000-0005-0000-0000-0000B9700000}"/>
    <cellStyle name="Normal 2 6 2 6 6 3" xfId="28855" xr:uid="{00000000-0005-0000-0000-0000BA700000}"/>
    <cellStyle name="Normal 2 6 2 6 6 4" xfId="28856" xr:uid="{00000000-0005-0000-0000-0000BB700000}"/>
    <cellStyle name="Normal 2 6 2 6 7" xfId="28857" xr:uid="{00000000-0005-0000-0000-0000BC700000}"/>
    <cellStyle name="Normal 2 6 2 6 7 2" xfId="28858" xr:uid="{00000000-0005-0000-0000-0000BD700000}"/>
    <cellStyle name="Normal 2 6 2 6 8" xfId="28859" xr:uid="{00000000-0005-0000-0000-0000BE700000}"/>
    <cellStyle name="Normal 2 6 2 6 9" xfId="28860" xr:uid="{00000000-0005-0000-0000-0000BF700000}"/>
    <cellStyle name="Normal 2 6 2 7" xfId="28861" xr:uid="{00000000-0005-0000-0000-0000C0700000}"/>
    <cellStyle name="Normal 2 6 2 7 10" xfId="28862" xr:uid="{00000000-0005-0000-0000-0000C1700000}"/>
    <cellStyle name="Normal 2 6 2 7 11" xfId="28863" xr:uid="{00000000-0005-0000-0000-0000C2700000}"/>
    <cellStyle name="Normal 2 6 2 7 2" xfId="28864" xr:uid="{00000000-0005-0000-0000-0000C3700000}"/>
    <cellStyle name="Normal 2 6 2 7 2 2" xfId="28865" xr:uid="{00000000-0005-0000-0000-0000C4700000}"/>
    <cellStyle name="Normal 2 6 2 7 2 2 2" xfId="28866" xr:uid="{00000000-0005-0000-0000-0000C5700000}"/>
    <cellStyle name="Normal 2 6 2 7 2 2 2 2" xfId="28867" xr:uid="{00000000-0005-0000-0000-0000C6700000}"/>
    <cellStyle name="Normal 2 6 2 7 2 2 2 3" xfId="28868" xr:uid="{00000000-0005-0000-0000-0000C7700000}"/>
    <cellStyle name="Normal 2 6 2 7 2 2 3" xfId="28869" xr:uid="{00000000-0005-0000-0000-0000C8700000}"/>
    <cellStyle name="Normal 2 6 2 7 2 2 4" xfId="28870" xr:uid="{00000000-0005-0000-0000-0000C9700000}"/>
    <cellStyle name="Normal 2 6 2 7 2 2 5" xfId="28871" xr:uid="{00000000-0005-0000-0000-0000CA700000}"/>
    <cellStyle name="Normal 2 6 2 7 2 2 6" xfId="28872" xr:uid="{00000000-0005-0000-0000-0000CB700000}"/>
    <cellStyle name="Normal 2 6 2 7 2 3" xfId="28873" xr:uid="{00000000-0005-0000-0000-0000CC700000}"/>
    <cellStyle name="Normal 2 6 2 7 2 3 2" xfId="28874" xr:uid="{00000000-0005-0000-0000-0000CD700000}"/>
    <cellStyle name="Normal 2 6 2 7 2 3 2 2" xfId="28875" xr:uid="{00000000-0005-0000-0000-0000CE700000}"/>
    <cellStyle name="Normal 2 6 2 7 2 3 3" xfId="28876" xr:uid="{00000000-0005-0000-0000-0000CF700000}"/>
    <cellStyle name="Normal 2 6 2 7 2 3 4" xfId="28877" xr:uid="{00000000-0005-0000-0000-0000D0700000}"/>
    <cellStyle name="Normal 2 6 2 7 2 3 5" xfId="28878" xr:uid="{00000000-0005-0000-0000-0000D1700000}"/>
    <cellStyle name="Normal 2 6 2 7 2 4" xfId="28879" xr:uid="{00000000-0005-0000-0000-0000D2700000}"/>
    <cellStyle name="Normal 2 6 2 7 2 4 2" xfId="28880" xr:uid="{00000000-0005-0000-0000-0000D3700000}"/>
    <cellStyle name="Normal 2 6 2 7 2 4 3" xfId="28881" xr:uid="{00000000-0005-0000-0000-0000D4700000}"/>
    <cellStyle name="Normal 2 6 2 7 2 4 4" xfId="28882" xr:uid="{00000000-0005-0000-0000-0000D5700000}"/>
    <cellStyle name="Normal 2 6 2 7 2 5" xfId="28883" xr:uid="{00000000-0005-0000-0000-0000D6700000}"/>
    <cellStyle name="Normal 2 6 2 7 2 5 2" xfId="28884" xr:uid="{00000000-0005-0000-0000-0000D7700000}"/>
    <cellStyle name="Normal 2 6 2 7 2 6" xfId="28885" xr:uid="{00000000-0005-0000-0000-0000D8700000}"/>
    <cellStyle name="Normal 2 6 2 7 2 7" xfId="28886" xr:uid="{00000000-0005-0000-0000-0000D9700000}"/>
    <cellStyle name="Normal 2 6 2 7 2 8" xfId="28887" xr:uid="{00000000-0005-0000-0000-0000DA700000}"/>
    <cellStyle name="Normal 2 6 2 7 2 9" xfId="28888" xr:uid="{00000000-0005-0000-0000-0000DB700000}"/>
    <cellStyle name="Normal 2 6 2 7 3" xfId="28889" xr:uid="{00000000-0005-0000-0000-0000DC700000}"/>
    <cellStyle name="Normal 2 6 2 7 3 2" xfId="28890" xr:uid="{00000000-0005-0000-0000-0000DD700000}"/>
    <cellStyle name="Normal 2 6 2 7 3 2 2" xfId="28891" xr:uid="{00000000-0005-0000-0000-0000DE700000}"/>
    <cellStyle name="Normal 2 6 2 7 3 2 2 2" xfId="28892" xr:uid="{00000000-0005-0000-0000-0000DF700000}"/>
    <cellStyle name="Normal 2 6 2 7 3 2 2 3" xfId="28893" xr:uid="{00000000-0005-0000-0000-0000E0700000}"/>
    <cellStyle name="Normal 2 6 2 7 3 2 3" xfId="28894" xr:uid="{00000000-0005-0000-0000-0000E1700000}"/>
    <cellStyle name="Normal 2 6 2 7 3 2 4" xfId="28895" xr:uid="{00000000-0005-0000-0000-0000E2700000}"/>
    <cellStyle name="Normal 2 6 2 7 3 2 5" xfId="28896" xr:uid="{00000000-0005-0000-0000-0000E3700000}"/>
    <cellStyle name="Normal 2 6 2 7 3 2 6" xfId="28897" xr:uid="{00000000-0005-0000-0000-0000E4700000}"/>
    <cellStyle name="Normal 2 6 2 7 3 3" xfId="28898" xr:uid="{00000000-0005-0000-0000-0000E5700000}"/>
    <cellStyle name="Normal 2 6 2 7 3 3 2" xfId="28899" xr:uid="{00000000-0005-0000-0000-0000E6700000}"/>
    <cellStyle name="Normal 2 6 2 7 3 3 2 2" xfId="28900" xr:uid="{00000000-0005-0000-0000-0000E7700000}"/>
    <cellStyle name="Normal 2 6 2 7 3 3 3" xfId="28901" xr:uid="{00000000-0005-0000-0000-0000E8700000}"/>
    <cellStyle name="Normal 2 6 2 7 3 3 4" xfId="28902" xr:uid="{00000000-0005-0000-0000-0000E9700000}"/>
    <cellStyle name="Normal 2 6 2 7 3 3 5" xfId="28903" xr:uid="{00000000-0005-0000-0000-0000EA700000}"/>
    <cellStyle name="Normal 2 6 2 7 3 4" xfId="28904" xr:uid="{00000000-0005-0000-0000-0000EB700000}"/>
    <cellStyle name="Normal 2 6 2 7 3 4 2" xfId="28905" xr:uid="{00000000-0005-0000-0000-0000EC700000}"/>
    <cellStyle name="Normal 2 6 2 7 3 4 3" xfId="28906" xr:uid="{00000000-0005-0000-0000-0000ED700000}"/>
    <cellStyle name="Normal 2 6 2 7 3 4 4" xfId="28907" xr:uid="{00000000-0005-0000-0000-0000EE700000}"/>
    <cellStyle name="Normal 2 6 2 7 3 5" xfId="28908" xr:uid="{00000000-0005-0000-0000-0000EF700000}"/>
    <cellStyle name="Normal 2 6 2 7 3 5 2" xfId="28909" xr:uid="{00000000-0005-0000-0000-0000F0700000}"/>
    <cellStyle name="Normal 2 6 2 7 3 6" xfId="28910" xr:uid="{00000000-0005-0000-0000-0000F1700000}"/>
    <cellStyle name="Normal 2 6 2 7 3 7" xfId="28911" xr:uid="{00000000-0005-0000-0000-0000F2700000}"/>
    <cellStyle name="Normal 2 6 2 7 3 8" xfId="28912" xr:uid="{00000000-0005-0000-0000-0000F3700000}"/>
    <cellStyle name="Normal 2 6 2 7 3 9" xfId="28913" xr:uid="{00000000-0005-0000-0000-0000F4700000}"/>
    <cellStyle name="Normal 2 6 2 7 4" xfId="28914" xr:uid="{00000000-0005-0000-0000-0000F5700000}"/>
    <cellStyle name="Normal 2 6 2 7 4 2" xfId="28915" xr:uid="{00000000-0005-0000-0000-0000F6700000}"/>
    <cellStyle name="Normal 2 6 2 7 4 2 2" xfId="28916" xr:uid="{00000000-0005-0000-0000-0000F7700000}"/>
    <cellStyle name="Normal 2 6 2 7 4 2 3" xfId="28917" xr:uid="{00000000-0005-0000-0000-0000F8700000}"/>
    <cellStyle name="Normal 2 6 2 7 4 3" xfId="28918" xr:uid="{00000000-0005-0000-0000-0000F9700000}"/>
    <cellStyle name="Normal 2 6 2 7 4 4" xfId="28919" xr:uid="{00000000-0005-0000-0000-0000FA700000}"/>
    <cellStyle name="Normal 2 6 2 7 4 5" xfId="28920" xr:uid="{00000000-0005-0000-0000-0000FB700000}"/>
    <cellStyle name="Normal 2 6 2 7 4 6" xfId="28921" xr:uid="{00000000-0005-0000-0000-0000FC700000}"/>
    <cellStyle name="Normal 2 6 2 7 5" xfId="28922" xr:uid="{00000000-0005-0000-0000-0000FD700000}"/>
    <cellStyle name="Normal 2 6 2 7 5 2" xfId="28923" xr:uid="{00000000-0005-0000-0000-0000FE700000}"/>
    <cellStyle name="Normal 2 6 2 7 5 2 2" xfId="28924" xr:uid="{00000000-0005-0000-0000-0000FF700000}"/>
    <cellStyle name="Normal 2 6 2 7 5 3" xfId="28925" xr:uid="{00000000-0005-0000-0000-000000710000}"/>
    <cellStyle name="Normal 2 6 2 7 5 4" xfId="28926" xr:uid="{00000000-0005-0000-0000-000001710000}"/>
    <cellStyle name="Normal 2 6 2 7 5 5" xfId="28927" xr:uid="{00000000-0005-0000-0000-000002710000}"/>
    <cellStyle name="Normal 2 6 2 7 6" xfId="28928" xr:uid="{00000000-0005-0000-0000-000003710000}"/>
    <cellStyle name="Normal 2 6 2 7 6 2" xfId="28929" xr:uid="{00000000-0005-0000-0000-000004710000}"/>
    <cellStyle name="Normal 2 6 2 7 6 3" xfId="28930" xr:uid="{00000000-0005-0000-0000-000005710000}"/>
    <cellStyle name="Normal 2 6 2 7 6 4" xfId="28931" xr:uid="{00000000-0005-0000-0000-000006710000}"/>
    <cellStyle name="Normal 2 6 2 7 7" xfId="28932" xr:uid="{00000000-0005-0000-0000-000007710000}"/>
    <cellStyle name="Normal 2 6 2 7 7 2" xfId="28933" xr:uid="{00000000-0005-0000-0000-000008710000}"/>
    <cellStyle name="Normal 2 6 2 7 8" xfId="28934" xr:uid="{00000000-0005-0000-0000-000009710000}"/>
    <cellStyle name="Normal 2 6 2 7 9" xfId="28935" xr:uid="{00000000-0005-0000-0000-00000A710000}"/>
    <cellStyle name="Normal 2 6 2 8" xfId="28936" xr:uid="{00000000-0005-0000-0000-00000B710000}"/>
    <cellStyle name="Normal 2 6 2 8 10" xfId="28937" xr:uid="{00000000-0005-0000-0000-00000C710000}"/>
    <cellStyle name="Normal 2 6 2 8 2" xfId="28938" xr:uid="{00000000-0005-0000-0000-00000D710000}"/>
    <cellStyle name="Normal 2 6 2 8 2 2" xfId="28939" xr:uid="{00000000-0005-0000-0000-00000E710000}"/>
    <cellStyle name="Normal 2 6 2 8 2 2 2" xfId="28940" xr:uid="{00000000-0005-0000-0000-00000F710000}"/>
    <cellStyle name="Normal 2 6 2 8 2 2 3" xfId="28941" xr:uid="{00000000-0005-0000-0000-000010710000}"/>
    <cellStyle name="Normal 2 6 2 8 2 3" xfId="28942" xr:uid="{00000000-0005-0000-0000-000011710000}"/>
    <cellStyle name="Normal 2 6 2 8 2 4" xfId="28943" xr:uid="{00000000-0005-0000-0000-000012710000}"/>
    <cellStyle name="Normal 2 6 2 8 2 5" xfId="28944" xr:uid="{00000000-0005-0000-0000-000013710000}"/>
    <cellStyle name="Normal 2 6 2 8 2 6" xfId="28945" xr:uid="{00000000-0005-0000-0000-000014710000}"/>
    <cellStyle name="Normal 2 6 2 8 3" xfId="28946" xr:uid="{00000000-0005-0000-0000-000015710000}"/>
    <cellStyle name="Normal 2 6 2 8 3 2" xfId="28947" xr:uid="{00000000-0005-0000-0000-000016710000}"/>
    <cellStyle name="Normal 2 6 2 8 3 2 2" xfId="28948" xr:uid="{00000000-0005-0000-0000-000017710000}"/>
    <cellStyle name="Normal 2 6 2 8 3 2 3" xfId="28949" xr:uid="{00000000-0005-0000-0000-000018710000}"/>
    <cellStyle name="Normal 2 6 2 8 3 3" xfId="28950" xr:uid="{00000000-0005-0000-0000-000019710000}"/>
    <cellStyle name="Normal 2 6 2 8 3 4" xfId="28951" xr:uid="{00000000-0005-0000-0000-00001A710000}"/>
    <cellStyle name="Normal 2 6 2 8 3 5" xfId="28952" xr:uid="{00000000-0005-0000-0000-00001B710000}"/>
    <cellStyle name="Normal 2 6 2 8 3 6" xfId="28953" xr:uid="{00000000-0005-0000-0000-00001C710000}"/>
    <cellStyle name="Normal 2 6 2 8 4" xfId="28954" xr:uid="{00000000-0005-0000-0000-00001D710000}"/>
    <cellStyle name="Normal 2 6 2 8 4 2" xfId="28955" xr:uid="{00000000-0005-0000-0000-00001E710000}"/>
    <cellStyle name="Normal 2 6 2 8 4 2 2" xfId="28956" xr:uid="{00000000-0005-0000-0000-00001F710000}"/>
    <cellStyle name="Normal 2 6 2 8 4 3" xfId="28957" xr:uid="{00000000-0005-0000-0000-000020710000}"/>
    <cellStyle name="Normal 2 6 2 8 4 4" xfId="28958" xr:uid="{00000000-0005-0000-0000-000021710000}"/>
    <cellStyle name="Normal 2 6 2 8 4 5" xfId="28959" xr:uid="{00000000-0005-0000-0000-000022710000}"/>
    <cellStyle name="Normal 2 6 2 8 5" xfId="28960" xr:uid="{00000000-0005-0000-0000-000023710000}"/>
    <cellStyle name="Normal 2 6 2 8 5 2" xfId="28961" xr:uid="{00000000-0005-0000-0000-000024710000}"/>
    <cellStyle name="Normal 2 6 2 8 5 3" xfId="28962" xr:uid="{00000000-0005-0000-0000-000025710000}"/>
    <cellStyle name="Normal 2 6 2 8 5 4" xfId="28963" xr:uid="{00000000-0005-0000-0000-000026710000}"/>
    <cellStyle name="Normal 2 6 2 8 6" xfId="28964" xr:uid="{00000000-0005-0000-0000-000027710000}"/>
    <cellStyle name="Normal 2 6 2 8 6 2" xfId="28965" xr:uid="{00000000-0005-0000-0000-000028710000}"/>
    <cellStyle name="Normal 2 6 2 8 7" xfId="28966" xr:uid="{00000000-0005-0000-0000-000029710000}"/>
    <cellStyle name="Normal 2 6 2 8 8" xfId="28967" xr:uid="{00000000-0005-0000-0000-00002A710000}"/>
    <cellStyle name="Normal 2 6 2 8 9" xfId="28968" xr:uid="{00000000-0005-0000-0000-00002B710000}"/>
    <cellStyle name="Normal 2 6 2 9" xfId="28969" xr:uid="{00000000-0005-0000-0000-00002C710000}"/>
    <cellStyle name="Normal 2 6 2 9 10" xfId="28970" xr:uid="{00000000-0005-0000-0000-00002D710000}"/>
    <cellStyle name="Normal 2 6 2 9 2" xfId="28971" xr:uid="{00000000-0005-0000-0000-00002E710000}"/>
    <cellStyle name="Normal 2 6 2 9 2 2" xfId="28972" xr:uid="{00000000-0005-0000-0000-00002F710000}"/>
    <cellStyle name="Normal 2 6 2 9 2 2 2" xfId="28973" xr:uid="{00000000-0005-0000-0000-000030710000}"/>
    <cellStyle name="Normal 2 6 2 9 2 2 3" xfId="28974" xr:uid="{00000000-0005-0000-0000-000031710000}"/>
    <cellStyle name="Normal 2 6 2 9 2 3" xfId="28975" xr:uid="{00000000-0005-0000-0000-000032710000}"/>
    <cellStyle name="Normal 2 6 2 9 2 4" xfId="28976" xr:uid="{00000000-0005-0000-0000-000033710000}"/>
    <cellStyle name="Normal 2 6 2 9 2 5" xfId="28977" xr:uid="{00000000-0005-0000-0000-000034710000}"/>
    <cellStyle name="Normal 2 6 2 9 2 6" xfId="28978" xr:uid="{00000000-0005-0000-0000-000035710000}"/>
    <cellStyle name="Normal 2 6 2 9 3" xfId="28979" xr:uid="{00000000-0005-0000-0000-000036710000}"/>
    <cellStyle name="Normal 2 6 2 9 3 2" xfId="28980" xr:uid="{00000000-0005-0000-0000-000037710000}"/>
    <cellStyle name="Normal 2 6 2 9 3 2 2" xfId="28981" xr:uid="{00000000-0005-0000-0000-000038710000}"/>
    <cellStyle name="Normal 2 6 2 9 3 2 3" xfId="28982" xr:uid="{00000000-0005-0000-0000-000039710000}"/>
    <cellStyle name="Normal 2 6 2 9 3 3" xfId="28983" xr:uid="{00000000-0005-0000-0000-00003A710000}"/>
    <cellStyle name="Normal 2 6 2 9 3 4" xfId="28984" xr:uid="{00000000-0005-0000-0000-00003B710000}"/>
    <cellStyle name="Normal 2 6 2 9 3 5" xfId="28985" xr:uid="{00000000-0005-0000-0000-00003C710000}"/>
    <cellStyle name="Normal 2 6 2 9 3 6" xfId="28986" xr:uid="{00000000-0005-0000-0000-00003D710000}"/>
    <cellStyle name="Normal 2 6 2 9 4" xfId="28987" xr:uid="{00000000-0005-0000-0000-00003E710000}"/>
    <cellStyle name="Normal 2 6 2 9 4 2" xfId="28988" xr:uid="{00000000-0005-0000-0000-00003F710000}"/>
    <cellStyle name="Normal 2 6 2 9 4 2 2" xfId="28989" xr:uid="{00000000-0005-0000-0000-000040710000}"/>
    <cellStyle name="Normal 2 6 2 9 4 3" xfId="28990" xr:uid="{00000000-0005-0000-0000-000041710000}"/>
    <cellStyle name="Normal 2 6 2 9 4 4" xfId="28991" xr:uid="{00000000-0005-0000-0000-000042710000}"/>
    <cellStyle name="Normal 2 6 2 9 4 5" xfId="28992" xr:uid="{00000000-0005-0000-0000-000043710000}"/>
    <cellStyle name="Normal 2 6 2 9 5" xfId="28993" xr:uid="{00000000-0005-0000-0000-000044710000}"/>
    <cellStyle name="Normal 2 6 2 9 5 2" xfId="28994" xr:uid="{00000000-0005-0000-0000-000045710000}"/>
    <cellStyle name="Normal 2 6 2 9 5 3" xfId="28995" xr:uid="{00000000-0005-0000-0000-000046710000}"/>
    <cellStyle name="Normal 2 6 2 9 5 4" xfId="28996" xr:uid="{00000000-0005-0000-0000-000047710000}"/>
    <cellStyle name="Normal 2 6 2 9 6" xfId="28997" xr:uid="{00000000-0005-0000-0000-000048710000}"/>
    <cellStyle name="Normal 2 6 2 9 6 2" xfId="28998" xr:uid="{00000000-0005-0000-0000-000049710000}"/>
    <cellStyle name="Normal 2 6 2 9 7" xfId="28999" xr:uid="{00000000-0005-0000-0000-00004A710000}"/>
    <cellStyle name="Normal 2 6 2 9 8" xfId="29000" xr:uid="{00000000-0005-0000-0000-00004B710000}"/>
    <cellStyle name="Normal 2 6 2 9 9" xfId="29001" xr:uid="{00000000-0005-0000-0000-00004C710000}"/>
    <cellStyle name="Normal 2 6 20" xfId="29002" xr:uid="{00000000-0005-0000-0000-00004D710000}"/>
    <cellStyle name="Normal 2 6 20 10" xfId="29003" xr:uid="{00000000-0005-0000-0000-00004E710000}"/>
    <cellStyle name="Normal 2 6 20 2" xfId="29004" xr:uid="{00000000-0005-0000-0000-00004F710000}"/>
    <cellStyle name="Normal 2 6 20 2 2" xfId="29005" xr:uid="{00000000-0005-0000-0000-000050710000}"/>
    <cellStyle name="Normal 2 6 20 2 2 2" xfId="29006" xr:uid="{00000000-0005-0000-0000-000051710000}"/>
    <cellStyle name="Normal 2 6 20 2 2 3" xfId="29007" xr:uid="{00000000-0005-0000-0000-000052710000}"/>
    <cellStyle name="Normal 2 6 20 2 3" xfId="29008" xr:uid="{00000000-0005-0000-0000-000053710000}"/>
    <cellStyle name="Normal 2 6 20 2 4" xfId="29009" xr:uid="{00000000-0005-0000-0000-000054710000}"/>
    <cellStyle name="Normal 2 6 20 2 5" xfId="29010" xr:uid="{00000000-0005-0000-0000-000055710000}"/>
    <cellStyle name="Normal 2 6 20 2 6" xfId="29011" xr:uid="{00000000-0005-0000-0000-000056710000}"/>
    <cellStyle name="Normal 2 6 20 3" xfId="29012" xr:uid="{00000000-0005-0000-0000-000057710000}"/>
    <cellStyle name="Normal 2 6 20 3 2" xfId="29013" xr:uid="{00000000-0005-0000-0000-000058710000}"/>
    <cellStyle name="Normal 2 6 20 3 2 2" xfId="29014" xr:uid="{00000000-0005-0000-0000-000059710000}"/>
    <cellStyle name="Normal 2 6 20 3 2 3" xfId="29015" xr:uid="{00000000-0005-0000-0000-00005A710000}"/>
    <cellStyle name="Normal 2 6 20 3 3" xfId="29016" xr:uid="{00000000-0005-0000-0000-00005B710000}"/>
    <cellStyle name="Normal 2 6 20 3 4" xfId="29017" xr:uid="{00000000-0005-0000-0000-00005C710000}"/>
    <cellStyle name="Normal 2 6 20 3 5" xfId="29018" xr:uid="{00000000-0005-0000-0000-00005D710000}"/>
    <cellStyle name="Normal 2 6 20 3 6" xfId="29019" xr:uid="{00000000-0005-0000-0000-00005E710000}"/>
    <cellStyle name="Normal 2 6 20 4" xfId="29020" xr:uid="{00000000-0005-0000-0000-00005F710000}"/>
    <cellStyle name="Normal 2 6 20 4 2" xfId="29021" xr:uid="{00000000-0005-0000-0000-000060710000}"/>
    <cellStyle name="Normal 2 6 20 4 2 2" xfId="29022" xr:uid="{00000000-0005-0000-0000-000061710000}"/>
    <cellStyle name="Normal 2 6 20 4 3" xfId="29023" xr:uid="{00000000-0005-0000-0000-000062710000}"/>
    <cellStyle name="Normal 2 6 20 4 4" xfId="29024" xr:uid="{00000000-0005-0000-0000-000063710000}"/>
    <cellStyle name="Normal 2 6 20 4 5" xfId="29025" xr:uid="{00000000-0005-0000-0000-000064710000}"/>
    <cellStyle name="Normal 2 6 20 5" xfId="29026" xr:uid="{00000000-0005-0000-0000-000065710000}"/>
    <cellStyle name="Normal 2 6 20 5 2" xfId="29027" xr:uid="{00000000-0005-0000-0000-000066710000}"/>
    <cellStyle name="Normal 2 6 20 5 3" xfId="29028" xr:uid="{00000000-0005-0000-0000-000067710000}"/>
    <cellStyle name="Normal 2 6 20 5 4" xfId="29029" xr:uid="{00000000-0005-0000-0000-000068710000}"/>
    <cellStyle name="Normal 2 6 20 6" xfId="29030" xr:uid="{00000000-0005-0000-0000-000069710000}"/>
    <cellStyle name="Normal 2 6 20 6 2" xfId="29031" xr:uid="{00000000-0005-0000-0000-00006A710000}"/>
    <cellStyle name="Normal 2 6 20 7" xfId="29032" xr:uid="{00000000-0005-0000-0000-00006B710000}"/>
    <cellStyle name="Normal 2 6 20 8" xfId="29033" xr:uid="{00000000-0005-0000-0000-00006C710000}"/>
    <cellStyle name="Normal 2 6 20 9" xfId="29034" xr:uid="{00000000-0005-0000-0000-00006D710000}"/>
    <cellStyle name="Normal 2 6 21" xfId="29035" xr:uid="{00000000-0005-0000-0000-00006E710000}"/>
    <cellStyle name="Normal 2 6 21 10" xfId="29036" xr:uid="{00000000-0005-0000-0000-00006F710000}"/>
    <cellStyle name="Normal 2 6 21 2" xfId="29037" xr:uid="{00000000-0005-0000-0000-000070710000}"/>
    <cellStyle name="Normal 2 6 21 2 2" xfId="29038" xr:uid="{00000000-0005-0000-0000-000071710000}"/>
    <cellStyle name="Normal 2 6 21 2 2 2" xfId="29039" xr:uid="{00000000-0005-0000-0000-000072710000}"/>
    <cellStyle name="Normal 2 6 21 2 2 3" xfId="29040" xr:uid="{00000000-0005-0000-0000-000073710000}"/>
    <cellStyle name="Normal 2 6 21 2 3" xfId="29041" xr:uid="{00000000-0005-0000-0000-000074710000}"/>
    <cellStyle name="Normal 2 6 21 2 4" xfId="29042" xr:uid="{00000000-0005-0000-0000-000075710000}"/>
    <cellStyle name="Normal 2 6 21 2 5" xfId="29043" xr:uid="{00000000-0005-0000-0000-000076710000}"/>
    <cellStyle name="Normal 2 6 21 2 6" xfId="29044" xr:uid="{00000000-0005-0000-0000-000077710000}"/>
    <cellStyle name="Normal 2 6 21 3" xfId="29045" xr:uid="{00000000-0005-0000-0000-000078710000}"/>
    <cellStyle name="Normal 2 6 21 3 2" xfId="29046" xr:uid="{00000000-0005-0000-0000-000079710000}"/>
    <cellStyle name="Normal 2 6 21 3 2 2" xfId="29047" xr:uid="{00000000-0005-0000-0000-00007A710000}"/>
    <cellStyle name="Normal 2 6 21 3 2 3" xfId="29048" xr:uid="{00000000-0005-0000-0000-00007B710000}"/>
    <cellStyle name="Normal 2 6 21 3 3" xfId="29049" xr:uid="{00000000-0005-0000-0000-00007C710000}"/>
    <cellStyle name="Normal 2 6 21 3 4" xfId="29050" xr:uid="{00000000-0005-0000-0000-00007D710000}"/>
    <cellStyle name="Normal 2 6 21 3 5" xfId="29051" xr:uid="{00000000-0005-0000-0000-00007E710000}"/>
    <cellStyle name="Normal 2 6 21 3 6" xfId="29052" xr:uid="{00000000-0005-0000-0000-00007F710000}"/>
    <cellStyle name="Normal 2 6 21 4" xfId="29053" xr:uid="{00000000-0005-0000-0000-000080710000}"/>
    <cellStyle name="Normal 2 6 21 4 2" xfId="29054" xr:uid="{00000000-0005-0000-0000-000081710000}"/>
    <cellStyle name="Normal 2 6 21 4 2 2" xfId="29055" xr:uid="{00000000-0005-0000-0000-000082710000}"/>
    <cellStyle name="Normal 2 6 21 4 3" xfId="29056" xr:uid="{00000000-0005-0000-0000-000083710000}"/>
    <cellStyle name="Normal 2 6 21 4 4" xfId="29057" xr:uid="{00000000-0005-0000-0000-000084710000}"/>
    <cellStyle name="Normal 2 6 21 4 5" xfId="29058" xr:uid="{00000000-0005-0000-0000-000085710000}"/>
    <cellStyle name="Normal 2 6 21 5" xfId="29059" xr:uid="{00000000-0005-0000-0000-000086710000}"/>
    <cellStyle name="Normal 2 6 21 5 2" xfId="29060" xr:uid="{00000000-0005-0000-0000-000087710000}"/>
    <cellStyle name="Normal 2 6 21 5 3" xfId="29061" xr:uid="{00000000-0005-0000-0000-000088710000}"/>
    <cellStyle name="Normal 2 6 21 5 4" xfId="29062" xr:uid="{00000000-0005-0000-0000-000089710000}"/>
    <cellStyle name="Normal 2 6 21 6" xfId="29063" xr:uid="{00000000-0005-0000-0000-00008A710000}"/>
    <cellStyle name="Normal 2 6 21 6 2" xfId="29064" xr:uid="{00000000-0005-0000-0000-00008B710000}"/>
    <cellStyle name="Normal 2 6 21 7" xfId="29065" xr:uid="{00000000-0005-0000-0000-00008C710000}"/>
    <cellStyle name="Normal 2 6 21 8" xfId="29066" xr:uid="{00000000-0005-0000-0000-00008D710000}"/>
    <cellStyle name="Normal 2 6 21 9" xfId="29067" xr:uid="{00000000-0005-0000-0000-00008E710000}"/>
    <cellStyle name="Normal 2 6 22" xfId="29068" xr:uid="{00000000-0005-0000-0000-00008F710000}"/>
    <cellStyle name="Normal 2 6 22 10" xfId="29069" xr:uid="{00000000-0005-0000-0000-000090710000}"/>
    <cellStyle name="Normal 2 6 22 2" xfId="29070" xr:uid="{00000000-0005-0000-0000-000091710000}"/>
    <cellStyle name="Normal 2 6 22 2 2" xfId="29071" xr:uid="{00000000-0005-0000-0000-000092710000}"/>
    <cellStyle name="Normal 2 6 22 2 2 2" xfId="29072" xr:uid="{00000000-0005-0000-0000-000093710000}"/>
    <cellStyle name="Normal 2 6 22 2 2 3" xfId="29073" xr:uid="{00000000-0005-0000-0000-000094710000}"/>
    <cellStyle name="Normal 2 6 22 2 3" xfId="29074" xr:uid="{00000000-0005-0000-0000-000095710000}"/>
    <cellStyle name="Normal 2 6 22 2 4" xfId="29075" xr:uid="{00000000-0005-0000-0000-000096710000}"/>
    <cellStyle name="Normal 2 6 22 2 5" xfId="29076" xr:uid="{00000000-0005-0000-0000-000097710000}"/>
    <cellStyle name="Normal 2 6 22 2 6" xfId="29077" xr:uid="{00000000-0005-0000-0000-000098710000}"/>
    <cellStyle name="Normal 2 6 22 3" xfId="29078" xr:uid="{00000000-0005-0000-0000-000099710000}"/>
    <cellStyle name="Normal 2 6 22 3 2" xfId="29079" xr:uid="{00000000-0005-0000-0000-00009A710000}"/>
    <cellStyle name="Normal 2 6 22 3 2 2" xfId="29080" xr:uid="{00000000-0005-0000-0000-00009B710000}"/>
    <cellStyle name="Normal 2 6 22 3 2 3" xfId="29081" xr:uid="{00000000-0005-0000-0000-00009C710000}"/>
    <cellStyle name="Normal 2 6 22 3 3" xfId="29082" xr:uid="{00000000-0005-0000-0000-00009D710000}"/>
    <cellStyle name="Normal 2 6 22 3 4" xfId="29083" xr:uid="{00000000-0005-0000-0000-00009E710000}"/>
    <cellStyle name="Normal 2 6 22 3 5" xfId="29084" xr:uid="{00000000-0005-0000-0000-00009F710000}"/>
    <cellStyle name="Normal 2 6 22 3 6" xfId="29085" xr:uid="{00000000-0005-0000-0000-0000A0710000}"/>
    <cellStyle name="Normal 2 6 22 4" xfId="29086" xr:uid="{00000000-0005-0000-0000-0000A1710000}"/>
    <cellStyle name="Normal 2 6 22 4 2" xfId="29087" xr:uid="{00000000-0005-0000-0000-0000A2710000}"/>
    <cellStyle name="Normal 2 6 22 4 2 2" xfId="29088" xr:uid="{00000000-0005-0000-0000-0000A3710000}"/>
    <cellStyle name="Normal 2 6 22 4 3" xfId="29089" xr:uid="{00000000-0005-0000-0000-0000A4710000}"/>
    <cellStyle name="Normal 2 6 22 4 4" xfId="29090" xr:uid="{00000000-0005-0000-0000-0000A5710000}"/>
    <cellStyle name="Normal 2 6 22 4 5" xfId="29091" xr:uid="{00000000-0005-0000-0000-0000A6710000}"/>
    <cellStyle name="Normal 2 6 22 5" xfId="29092" xr:uid="{00000000-0005-0000-0000-0000A7710000}"/>
    <cellStyle name="Normal 2 6 22 5 2" xfId="29093" xr:uid="{00000000-0005-0000-0000-0000A8710000}"/>
    <cellStyle name="Normal 2 6 22 5 3" xfId="29094" xr:uid="{00000000-0005-0000-0000-0000A9710000}"/>
    <cellStyle name="Normal 2 6 22 5 4" xfId="29095" xr:uid="{00000000-0005-0000-0000-0000AA710000}"/>
    <cellStyle name="Normal 2 6 22 6" xfId="29096" xr:uid="{00000000-0005-0000-0000-0000AB710000}"/>
    <cellStyle name="Normal 2 6 22 6 2" xfId="29097" xr:uid="{00000000-0005-0000-0000-0000AC710000}"/>
    <cellStyle name="Normal 2 6 22 7" xfId="29098" xr:uid="{00000000-0005-0000-0000-0000AD710000}"/>
    <cellStyle name="Normal 2 6 22 8" xfId="29099" xr:uid="{00000000-0005-0000-0000-0000AE710000}"/>
    <cellStyle name="Normal 2 6 22 9" xfId="29100" xr:uid="{00000000-0005-0000-0000-0000AF710000}"/>
    <cellStyle name="Normal 2 6 23" xfId="29101" xr:uid="{00000000-0005-0000-0000-0000B0710000}"/>
    <cellStyle name="Normal 2 6 23 10" xfId="29102" xr:uid="{00000000-0005-0000-0000-0000B1710000}"/>
    <cellStyle name="Normal 2 6 23 2" xfId="29103" xr:uid="{00000000-0005-0000-0000-0000B2710000}"/>
    <cellStyle name="Normal 2 6 23 2 2" xfId="29104" xr:uid="{00000000-0005-0000-0000-0000B3710000}"/>
    <cellStyle name="Normal 2 6 23 2 2 2" xfId="29105" xr:uid="{00000000-0005-0000-0000-0000B4710000}"/>
    <cellStyle name="Normal 2 6 23 2 2 3" xfId="29106" xr:uid="{00000000-0005-0000-0000-0000B5710000}"/>
    <cellStyle name="Normal 2 6 23 2 3" xfId="29107" xr:uid="{00000000-0005-0000-0000-0000B6710000}"/>
    <cellStyle name="Normal 2 6 23 2 4" xfId="29108" xr:uid="{00000000-0005-0000-0000-0000B7710000}"/>
    <cellStyle name="Normal 2 6 23 2 5" xfId="29109" xr:uid="{00000000-0005-0000-0000-0000B8710000}"/>
    <cellStyle name="Normal 2 6 23 2 6" xfId="29110" xr:uid="{00000000-0005-0000-0000-0000B9710000}"/>
    <cellStyle name="Normal 2 6 23 3" xfId="29111" xr:uid="{00000000-0005-0000-0000-0000BA710000}"/>
    <cellStyle name="Normal 2 6 23 3 2" xfId="29112" xr:uid="{00000000-0005-0000-0000-0000BB710000}"/>
    <cellStyle name="Normal 2 6 23 3 2 2" xfId="29113" xr:uid="{00000000-0005-0000-0000-0000BC710000}"/>
    <cellStyle name="Normal 2 6 23 3 2 3" xfId="29114" xr:uid="{00000000-0005-0000-0000-0000BD710000}"/>
    <cellStyle name="Normal 2 6 23 3 3" xfId="29115" xr:uid="{00000000-0005-0000-0000-0000BE710000}"/>
    <cellStyle name="Normal 2 6 23 3 4" xfId="29116" xr:uid="{00000000-0005-0000-0000-0000BF710000}"/>
    <cellStyle name="Normal 2 6 23 3 5" xfId="29117" xr:uid="{00000000-0005-0000-0000-0000C0710000}"/>
    <cellStyle name="Normal 2 6 23 3 6" xfId="29118" xr:uid="{00000000-0005-0000-0000-0000C1710000}"/>
    <cellStyle name="Normal 2 6 23 4" xfId="29119" xr:uid="{00000000-0005-0000-0000-0000C2710000}"/>
    <cellStyle name="Normal 2 6 23 4 2" xfId="29120" xr:uid="{00000000-0005-0000-0000-0000C3710000}"/>
    <cellStyle name="Normal 2 6 23 4 2 2" xfId="29121" xr:uid="{00000000-0005-0000-0000-0000C4710000}"/>
    <cellStyle name="Normal 2 6 23 4 3" xfId="29122" xr:uid="{00000000-0005-0000-0000-0000C5710000}"/>
    <cellStyle name="Normal 2 6 23 4 4" xfId="29123" xr:uid="{00000000-0005-0000-0000-0000C6710000}"/>
    <cellStyle name="Normal 2 6 23 4 5" xfId="29124" xr:uid="{00000000-0005-0000-0000-0000C7710000}"/>
    <cellStyle name="Normal 2 6 23 5" xfId="29125" xr:uid="{00000000-0005-0000-0000-0000C8710000}"/>
    <cellStyle name="Normal 2 6 23 5 2" xfId="29126" xr:uid="{00000000-0005-0000-0000-0000C9710000}"/>
    <cellStyle name="Normal 2 6 23 5 3" xfId="29127" xr:uid="{00000000-0005-0000-0000-0000CA710000}"/>
    <cellStyle name="Normal 2 6 23 5 4" xfId="29128" xr:uid="{00000000-0005-0000-0000-0000CB710000}"/>
    <cellStyle name="Normal 2 6 23 6" xfId="29129" xr:uid="{00000000-0005-0000-0000-0000CC710000}"/>
    <cellStyle name="Normal 2 6 23 6 2" xfId="29130" xr:uid="{00000000-0005-0000-0000-0000CD710000}"/>
    <cellStyle name="Normal 2 6 23 7" xfId="29131" xr:uid="{00000000-0005-0000-0000-0000CE710000}"/>
    <cellStyle name="Normal 2 6 23 8" xfId="29132" xr:uid="{00000000-0005-0000-0000-0000CF710000}"/>
    <cellStyle name="Normal 2 6 23 9" xfId="29133" xr:uid="{00000000-0005-0000-0000-0000D0710000}"/>
    <cellStyle name="Normal 2 6 24" xfId="29134" xr:uid="{00000000-0005-0000-0000-0000D1710000}"/>
    <cellStyle name="Normal 2 6 24 10" xfId="29135" xr:uid="{00000000-0005-0000-0000-0000D2710000}"/>
    <cellStyle name="Normal 2 6 24 2" xfId="29136" xr:uid="{00000000-0005-0000-0000-0000D3710000}"/>
    <cellStyle name="Normal 2 6 24 2 2" xfId="29137" xr:uid="{00000000-0005-0000-0000-0000D4710000}"/>
    <cellStyle name="Normal 2 6 24 2 2 2" xfId="29138" xr:uid="{00000000-0005-0000-0000-0000D5710000}"/>
    <cellStyle name="Normal 2 6 24 2 2 3" xfId="29139" xr:uid="{00000000-0005-0000-0000-0000D6710000}"/>
    <cellStyle name="Normal 2 6 24 2 3" xfId="29140" xr:uid="{00000000-0005-0000-0000-0000D7710000}"/>
    <cellStyle name="Normal 2 6 24 2 4" xfId="29141" xr:uid="{00000000-0005-0000-0000-0000D8710000}"/>
    <cellStyle name="Normal 2 6 24 2 5" xfId="29142" xr:uid="{00000000-0005-0000-0000-0000D9710000}"/>
    <cellStyle name="Normal 2 6 24 2 6" xfId="29143" xr:uid="{00000000-0005-0000-0000-0000DA710000}"/>
    <cellStyle name="Normal 2 6 24 3" xfId="29144" xr:uid="{00000000-0005-0000-0000-0000DB710000}"/>
    <cellStyle name="Normal 2 6 24 3 2" xfId="29145" xr:uid="{00000000-0005-0000-0000-0000DC710000}"/>
    <cellStyle name="Normal 2 6 24 3 2 2" xfId="29146" xr:uid="{00000000-0005-0000-0000-0000DD710000}"/>
    <cellStyle name="Normal 2 6 24 3 2 3" xfId="29147" xr:uid="{00000000-0005-0000-0000-0000DE710000}"/>
    <cellStyle name="Normal 2 6 24 3 3" xfId="29148" xr:uid="{00000000-0005-0000-0000-0000DF710000}"/>
    <cellStyle name="Normal 2 6 24 3 4" xfId="29149" xr:uid="{00000000-0005-0000-0000-0000E0710000}"/>
    <cellStyle name="Normal 2 6 24 3 5" xfId="29150" xr:uid="{00000000-0005-0000-0000-0000E1710000}"/>
    <cellStyle name="Normal 2 6 24 3 6" xfId="29151" xr:uid="{00000000-0005-0000-0000-0000E2710000}"/>
    <cellStyle name="Normal 2 6 24 4" xfId="29152" xr:uid="{00000000-0005-0000-0000-0000E3710000}"/>
    <cellStyle name="Normal 2 6 24 4 2" xfId="29153" xr:uid="{00000000-0005-0000-0000-0000E4710000}"/>
    <cellStyle name="Normal 2 6 24 4 2 2" xfId="29154" xr:uid="{00000000-0005-0000-0000-0000E5710000}"/>
    <cellStyle name="Normal 2 6 24 4 3" xfId="29155" xr:uid="{00000000-0005-0000-0000-0000E6710000}"/>
    <cellStyle name="Normal 2 6 24 4 4" xfId="29156" xr:uid="{00000000-0005-0000-0000-0000E7710000}"/>
    <cellStyle name="Normal 2 6 24 4 5" xfId="29157" xr:uid="{00000000-0005-0000-0000-0000E8710000}"/>
    <cellStyle name="Normal 2 6 24 5" xfId="29158" xr:uid="{00000000-0005-0000-0000-0000E9710000}"/>
    <cellStyle name="Normal 2 6 24 5 2" xfId="29159" xr:uid="{00000000-0005-0000-0000-0000EA710000}"/>
    <cellStyle name="Normal 2 6 24 5 3" xfId="29160" xr:uid="{00000000-0005-0000-0000-0000EB710000}"/>
    <cellStyle name="Normal 2 6 24 5 4" xfId="29161" xr:uid="{00000000-0005-0000-0000-0000EC710000}"/>
    <cellStyle name="Normal 2 6 24 6" xfId="29162" xr:uid="{00000000-0005-0000-0000-0000ED710000}"/>
    <cellStyle name="Normal 2 6 24 6 2" xfId="29163" xr:uid="{00000000-0005-0000-0000-0000EE710000}"/>
    <cellStyle name="Normal 2 6 24 7" xfId="29164" xr:uid="{00000000-0005-0000-0000-0000EF710000}"/>
    <cellStyle name="Normal 2 6 24 8" xfId="29165" xr:uid="{00000000-0005-0000-0000-0000F0710000}"/>
    <cellStyle name="Normal 2 6 24 9" xfId="29166" xr:uid="{00000000-0005-0000-0000-0000F1710000}"/>
    <cellStyle name="Normal 2 6 25" xfId="29167" xr:uid="{00000000-0005-0000-0000-0000F2710000}"/>
    <cellStyle name="Normal 2 6 25 10" xfId="29168" xr:uid="{00000000-0005-0000-0000-0000F3710000}"/>
    <cellStyle name="Normal 2 6 25 2" xfId="29169" xr:uid="{00000000-0005-0000-0000-0000F4710000}"/>
    <cellStyle name="Normal 2 6 25 2 2" xfId="29170" xr:uid="{00000000-0005-0000-0000-0000F5710000}"/>
    <cellStyle name="Normal 2 6 25 2 2 2" xfId="29171" xr:uid="{00000000-0005-0000-0000-0000F6710000}"/>
    <cellStyle name="Normal 2 6 25 2 2 3" xfId="29172" xr:uid="{00000000-0005-0000-0000-0000F7710000}"/>
    <cellStyle name="Normal 2 6 25 2 3" xfId="29173" xr:uid="{00000000-0005-0000-0000-0000F8710000}"/>
    <cellStyle name="Normal 2 6 25 2 4" xfId="29174" xr:uid="{00000000-0005-0000-0000-0000F9710000}"/>
    <cellStyle name="Normal 2 6 25 2 5" xfId="29175" xr:uid="{00000000-0005-0000-0000-0000FA710000}"/>
    <cellStyle name="Normal 2 6 25 2 6" xfId="29176" xr:uid="{00000000-0005-0000-0000-0000FB710000}"/>
    <cellStyle name="Normal 2 6 25 3" xfId="29177" xr:uid="{00000000-0005-0000-0000-0000FC710000}"/>
    <cellStyle name="Normal 2 6 25 3 2" xfId="29178" xr:uid="{00000000-0005-0000-0000-0000FD710000}"/>
    <cellStyle name="Normal 2 6 25 3 2 2" xfId="29179" xr:uid="{00000000-0005-0000-0000-0000FE710000}"/>
    <cellStyle name="Normal 2 6 25 3 2 3" xfId="29180" xr:uid="{00000000-0005-0000-0000-0000FF710000}"/>
    <cellStyle name="Normal 2 6 25 3 3" xfId="29181" xr:uid="{00000000-0005-0000-0000-000000720000}"/>
    <cellStyle name="Normal 2 6 25 3 4" xfId="29182" xr:uid="{00000000-0005-0000-0000-000001720000}"/>
    <cellStyle name="Normal 2 6 25 3 5" xfId="29183" xr:uid="{00000000-0005-0000-0000-000002720000}"/>
    <cellStyle name="Normal 2 6 25 3 6" xfId="29184" xr:uid="{00000000-0005-0000-0000-000003720000}"/>
    <cellStyle name="Normal 2 6 25 4" xfId="29185" xr:uid="{00000000-0005-0000-0000-000004720000}"/>
    <cellStyle name="Normal 2 6 25 4 2" xfId="29186" xr:uid="{00000000-0005-0000-0000-000005720000}"/>
    <cellStyle name="Normal 2 6 25 4 2 2" xfId="29187" xr:uid="{00000000-0005-0000-0000-000006720000}"/>
    <cellStyle name="Normal 2 6 25 4 3" xfId="29188" xr:uid="{00000000-0005-0000-0000-000007720000}"/>
    <cellStyle name="Normal 2 6 25 4 4" xfId="29189" xr:uid="{00000000-0005-0000-0000-000008720000}"/>
    <cellStyle name="Normal 2 6 25 4 5" xfId="29190" xr:uid="{00000000-0005-0000-0000-000009720000}"/>
    <cellStyle name="Normal 2 6 25 5" xfId="29191" xr:uid="{00000000-0005-0000-0000-00000A720000}"/>
    <cellStyle name="Normal 2 6 25 5 2" xfId="29192" xr:uid="{00000000-0005-0000-0000-00000B720000}"/>
    <cellStyle name="Normal 2 6 25 5 3" xfId="29193" xr:uid="{00000000-0005-0000-0000-00000C720000}"/>
    <cellStyle name="Normal 2 6 25 5 4" xfId="29194" xr:uid="{00000000-0005-0000-0000-00000D720000}"/>
    <cellStyle name="Normal 2 6 25 6" xfId="29195" xr:uid="{00000000-0005-0000-0000-00000E720000}"/>
    <cellStyle name="Normal 2 6 25 6 2" xfId="29196" xr:uid="{00000000-0005-0000-0000-00000F720000}"/>
    <cellStyle name="Normal 2 6 25 7" xfId="29197" xr:uid="{00000000-0005-0000-0000-000010720000}"/>
    <cellStyle name="Normal 2 6 25 8" xfId="29198" xr:uid="{00000000-0005-0000-0000-000011720000}"/>
    <cellStyle name="Normal 2 6 25 9" xfId="29199" xr:uid="{00000000-0005-0000-0000-000012720000}"/>
    <cellStyle name="Normal 2 6 26" xfId="29200" xr:uid="{00000000-0005-0000-0000-000013720000}"/>
    <cellStyle name="Normal 2 6 26 10" xfId="29201" xr:uid="{00000000-0005-0000-0000-000014720000}"/>
    <cellStyle name="Normal 2 6 26 2" xfId="29202" xr:uid="{00000000-0005-0000-0000-000015720000}"/>
    <cellStyle name="Normal 2 6 26 2 2" xfId="29203" xr:uid="{00000000-0005-0000-0000-000016720000}"/>
    <cellStyle name="Normal 2 6 26 2 2 2" xfId="29204" xr:uid="{00000000-0005-0000-0000-000017720000}"/>
    <cellStyle name="Normal 2 6 26 2 2 3" xfId="29205" xr:uid="{00000000-0005-0000-0000-000018720000}"/>
    <cellStyle name="Normal 2 6 26 2 3" xfId="29206" xr:uid="{00000000-0005-0000-0000-000019720000}"/>
    <cellStyle name="Normal 2 6 26 2 4" xfId="29207" xr:uid="{00000000-0005-0000-0000-00001A720000}"/>
    <cellStyle name="Normal 2 6 26 2 5" xfId="29208" xr:uid="{00000000-0005-0000-0000-00001B720000}"/>
    <cellStyle name="Normal 2 6 26 2 6" xfId="29209" xr:uid="{00000000-0005-0000-0000-00001C720000}"/>
    <cellStyle name="Normal 2 6 26 3" xfId="29210" xr:uid="{00000000-0005-0000-0000-00001D720000}"/>
    <cellStyle name="Normal 2 6 26 3 2" xfId="29211" xr:uid="{00000000-0005-0000-0000-00001E720000}"/>
    <cellStyle name="Normal 2 6 26 3 2 2" xfId="29212" xr:uid="{00000000-0005-0000-0000-00001F720000}"/>
    <cellStyle name="Normal 2 6 26 3 2 3" xfId="29213" xr:uid="{00000000-0005-0000-0000-000020720000}"/>
    <cellStyle name="Normal 2 6 26 3 3" xfId="29214" xr:uid="{00000000-0005-0000-0000-000021720000}"/>
    <cellStyle name="Normal 2 6 26 3 4" xfId="29215" xr:uid="{00000000-0005-0000-0000-000022720000}"/>
    <cellStyle name="Normal 2 6 26 3 5" xfId="29216" xr:uid="{00000000-0005-0000-0000-000023720000}"/>
    <cellStyle name="Normal 2 6 26 3 6" xfId="29217" xr:uid="{00000000-0005-0000-0000-000024720000}"/>
    <cellStyle name="Normal 2 6 26 4" xfId="29218" xr:uid="{00000000-0005-0000-0000-000025720000}"/>
    <cellStyle name="Normal 2 6 26 4 2" xfId="29219" xr:uid="{00000000-0005-0000-0000-000026720000}"/>
    <cellStyle name="Normal 2 6 26 4 2 2" xfId="29220" xr:uid="{00000000-0005-0000-0000-000027720000}"/>
    <cellStyle name="Normal 2 6 26 4 3" xfId="29221" xr:uid="{00000000-0005-0000-0000-000028720000}"/>
    <cellStyle name="Normal 2 6 26 4 4" xfId="29222" xr:uid="{00000000-0005-0000-0000-000029720000}"/>
    <cellStyle name="Normal 2 6 26 4 5" xfId="29223" xr:uid="{00000000-0005-0000-0000-00002A720000}"/>
    <cellStyle name="Normal 2 6 26 5" xfId="29224" xr:uid="{00000000-0005-0000-0000-00002B720000}"/>
    <cellStyle name="Normal 2 6 26 5 2" xfId="29225" xr:uid="{00000000-0005-0000-0000-00002C720000}"/>
    <cellStyle name="Normal 2 6 26 5 3" xfId="29226" xr:uid="{00000000-0005-0000-0000-00002D720000}"/>
    <cellStyle name="Normal 2 6 26 5 4" xfId="29227" xr:uid="{00000000-0005-0000-0000-00002E720000}"/>
    <cellStyle name="Normal 2 6 26 6" xfId="29228" xr:uid="{00000000-0005-0000-0000-00002F720000}"/>
    <cellStyle name="Normal 2 6 26 6 2" xfId="29229" xr:uid="{00000000-0005-0000-0000-000030720000}"/>
    <cellStyle name="Normal 2 6 26 7" xfId="29230" xr:uid="{00000000-0005-0000-0000-000031720000}"/>
    <cellStyle name="Normal 2 6 26 8" xfId="29231" xr:uid="{00000000-0005-0000-0000-000032720000}"/>
    <cellStyle name="Normal 2 6 26 9" xfId="29232" xr:uid="{00000000-0005-0000-0000-000033720000}"/>
    <cellStyle name="Normal 2 6 27" xfId="29233" xr:uid="{00000000-0005-0000-0000-000034720000}"/>
    <cellStyle name="Normal 2 6 27 10" xfId="29234" xr:uid="{00000000-0005-0000-0000-000035720000}"/>
    <cellStyle name="Normal 2 6 27 2" xfId="29235" xr:uid="{00000000-0005-0000-0000-000036720000}"/>
    <cellStyle name="Normal 2 6 27 2 2" xfId="29236" xr:uid="{00000000-0005-0000-0000-000037720000}"/>
    <cellStyle name="Normal 2 6 27 2 2 2" xfId="29237" xr:uid="{00000000-0005-0000-0000-000038720000}"/>
    <cellStyle name="Normal 2 6 27 2 2 3" xfId="29238" xr:uid="{00000000-0005-0000-0000-000039720000}"/>
    <cellStyle name="Normal 2 6 27 2 3" xfId="29239" xr:uid="{00000000-0005-0000-0000-00003A720000}"/>
    <cellStyle name="Normal 2 6 27 2 4" xfId="29240" xr:uid="{00000000-0005-0000-0000-00003B720000}"/>
    <cellStyle name="Normal 2 6 27 2 5" xfId="29241" xr:uid="{00000000-0005-0000-0000-00003C720000}"/>
    <cellStyle name="Normal 2 6 27 2 6" xfId="29242" xr:uid="{00000000-0005-0000-0000-00003D720000}"/>
    <cellStyle name="Normal 2 6 27 3" xfId="29243" xr:uid="{00000000-0005-0000-0000-00003E720000}"/>
    <cellStyle name="Normal 2 6 27 3 2" xfId="29244" xr:uid="{00000000-0005-0000-0000-00003F720000}"/>
    <cellStyle name="Normal 2 6 27 3 2 2" xfId="29245" xr:uid="{00000000-0005-0000-0000-000040720000}"/>
    <cellStyle name="Normal 2 6 27 3 2 3" xfId="29246" xr:uid="{00000000-0005-0000-0000-000041720000}"/>
    <cellStyle name="Normal 2 6 27 3 3" xfId="29247" xr:uid="{00000000-0005-0000-0000-000042720000}"/>
    <cellStyle name="Normal 2 6 27 3 4" xfId="29248" xr:uid="{00000000-0005-0000-0000-000043720000}"/>
    <cellStyle name="Normal 2 6 27 3 5" xfId="29249" xr:uid="{00000000-0005-0000-0000-000044720000}"/>
    <cellStyle name="Normal 2 6 27 3 6" xfId="29250" xr:uid="{00000000-0005-0000-0000-000045720000}"/>
    <cellStyle name="Normal 2 6 27 4" xfId="29251" xr:uid="{00000000-0005-0000-0000-000046720000}"/>
    <cellStyle name="Normal 2 6 27 4 2" xfId="29252" xr:uid="{00000000-0005-0000-0000-000047720000}"/>
    <cellStyle name="Normal 2 6 27 4 2 2" xfId="29253" xr:uid="{00000000-0005-0000-0000-000048720000}"/>
    <cellStyle name="Normal 2 6 27 4 3" xfId="29254" xr:uid="{00000000-0005-0000-0000-000049720000}"/>
    <cellStyle name="Normal 2 6 27 4 4" xfId="29255" xr:uid="{00000000-0005-0000-0000-00004A720000}"/>
    <cellStyle name="Normal 2 6 27 4 5" xfId="29256" xr:uid="{00000000-0005-0000-0000-00004B720000}"/>
    <cellStyle name="Normal 2 6 27 5" xfId="29257" xr:uid="{00000000-0005-0000-0000-00004C720000}"/>
    <cellStyle name="Normal 2 6 27 5 2" xfId="29258" xr:uid="{00000000-0005-0000-0000-00004D720000}"/>
    <cellStyle name="Normal 2 6 27 5 3" xfId="29259" xr:uid="{00000000-0005-0000-0000-00004E720000}"/>
    <cellStyle name="Normal 2 6 27 5 4" xfId="29260" xr:uid="{00000000-0005-0000-0000-00004F720000}"/>
    <cellStyle name="Normal 2 6 27 6" xfId="29261" xr:uid="{00000000-0005-0000-0000-000050720000}"/>
    <cellStyle name="Normal 2 6 27 6 2" xfId="29262" xr:uid="{00000000-0005-0000-0000-000051720000}"/>
    <cellStyle name="Normal 2 6 27 7" xfId="29263" xr:uid="{00000000-0005-0000-0000-000052720000}"/>
    <cellStyle name="Normal 2 6 27 8" xfId="29264" xr:uid="{00000000-0005-0000-0000-000053720000}"/>
    <cellStyle name="Normal 2 6 27 9" xfId="29265" xr:uid="{00000000-0005-0000-0000-000054720000}"/>
    <cellStyle name="Normal 2 6 28" xfId="29266" xr:uid="{00000000-0005-0000-0000-000055720000}"/>
    <cellStyle name="Normal 2 6 28 10" xfId="29267" xr:uid="{00000000-0005-0000-0000-000056720000}"/>
    <cellStyle name="Normal 2 6 28 2" xfId="29268" xr:uid="{00000000-0005-0000-0000-000057720000}"/>
    <cellStyle name="Normal 2 6 28 2 2" xfId="29269" xr:uid="{00000000-0005-0000-0000-000058720000}"/>
    <cellStyle name="Normal 2 6 28 2 2 2" xfId="29270" xr:uid="{00000000-0005-0000-0000-000059720000}"/>
    <cellStyle name="Normal 2 6 28 2 2 3" xfId="29271" xr:uid="{00000000-0005-0000-0000-00005A720000}"/>
    <cellStyle name="Normal 2 6 28 2 3" xfId="29272" xr:uid="{00000000-0005-0000-0000-00005B720000}"/>
    <cellStyle name="Normal 2 6 28 2 4" xfId="29273" xr:uid="{00000000-0005-0000-0000-00005C720000}"/>
    <cellStyle name="Normal 2 6 28 2 5" xfId="29274" xr:uid="{00000000-0005-0000-0000-00005D720000}"/>
    <cellStyle name="Normal 2 6 28 2 6" xfId="29275" xr:uid="{00000000-0005-0000-0000-00005E720000}"/>
    <cellStyle name="Normal 2 6 28 3" xfId="29276" xr:uid="{00000000-0005-0000-0000-00005F720000}"/>
    <cellStyle name="Normal 2 6 28 3 2" xfId="29277" xr:uid="{00000000-0005-0000-0000-000060720000}"/>
    <cellStyle name="Normal 2 6 28 3 2 2" xfId="29278" xr:uid="{00000000-0005-0000-0000-000061720000}"/>
    <cellStyle name="Normal 2 6 28 3 2 3" xfId="29279" xr:uid="{00000000-0005-0000-0000-000062720000}"/>
    <cellStyle name="Normal 2 6 28 3 3" xfId="29280" xr:uid="{00000000-0005-0000-0000-000063720000}"/>
    <cellStyle name="Normal 2 6 28 3 4" xfId="29281" xr:uid="{00000000-0005-0000-0000-000064720000}"/>
    <cellStyle name="Normal 2 6 28 3 5" xfId="29282" xr:uid="{00000000-0005-0000-0000-000065720000}"/>
    <cellStyle name="Normal 2 6 28 3 6" xfId="29283" xr:uid="{00000000-0005-0000-0000-000066720000}"/>
    <cellStyle name="Normal 2 6 28 4" xfId="29284" xr:uid="{00000000-0005-0000-0000-000067720000}"/>
    <cellStyle name="Normal 2 6 28 4 2" xfId="29285" xr:uid="{00000000-0005-0000-0000-000068720000}"/>
    <cellStyle name="Normal 2 6 28 4 2 2" xfId="29286" xr:uid="{00000000-0005-0000-0000-000069720000}"/>
    <cellStyle name="Normal 2 6 28 4 3" xfId="29287" xr:uid="{00000000-0005-0000-0000-00006A720000}"/>
    <cellStyle name="Normal 2 6 28 4 4" xfId="29288" xr:uid="{00000000-0005-0000-0000-00006B720000}"/>
    <cellStyle name="Normal 2 6 28 4 5" xfId="29289" xr:uid="{00000000-0005-0000-0000-00006C720000}"/>
    <cellStyle name="Normal 2 6 28 5" xfId="29290" xr:uid="{00000000-0005-0000-0000-00006D720000}"/>
    <cellStyle name="Normal 2 6 28 5 2" xfId="29291" xr:uid="{00000000-0005-0000-0000-00006E720000}"/>
    <cellStyle name="Normal 2 6 28 5 3" xfId="29292" xr:uid="{00000000-0005-0000-0000-00006F720000}"/>
    <cellStyle name="Normal 2 6 28 5 4" xfId="29293" xr:uid="{00000000-0005-0000-0000-000070720000}"/>
    <cellStyle name="Normal 2 6 28 6" xfId="29294" xr:uid="{00000000-0005-0000-0000-000071720000}"/>
    <cellStyle name="Normal 2 6 28 6 2" xfId="29295" xr:uid="{00000000-0005-0000-0000-000072720000}"/>
    <cellStyle name="Normal 2 6 28 7" xfId="29296" xr:uid="{00000000-0005-0000-0000-000073720000}"/>
    <cellStyle name="Normal 2 6 28 8" xfId="29297" xr:uid="{00000000-0005-0000-0000-000074720000}"/>
    <cellStyle name="Normal 2 6 28 9" xfId="29298" xr:uid="{00000000-0005-0000-0000-000075720000}"/>
    <cellStyle name="Normal 2 6 29" xfId="29299" xr:uid="{00000000-0005-0000-0000-000076720000}"/>
    <cellStyle name="Normal 2 6 29 10" xfId="29300" xr:uid="{00000000-0005-0000-0000-000077720000}"/>
    <cellStyle name="Normal 2 6 29 2" xfId="29301" xr:uid="{00000000-0005-0000-0000-000078720000}"/>
    <cellStyle name="Normal 2 6 29 2 2" xfId="29302" xr:uid="{00000000-0005-0000-0000-000079720000}"/>
    <cellStyle name="Normal 2 6 29 2 2 2" xfId="29303" xr:uid="{00000000-0005-0000-0000-00007A720000}"/>
    <cellStyle name="Normal 2 6 29 2 2 3" xfId="29304" xr:uid="{00000000-0005-0000-0000-00007B720000}"/>
    <cellStyle name="Normal 2 6 29 2 3" xfId="29305" xr:uid="{00000000-0005-0000-0000-00007C720000}"/>
    <cellStyle name="Normal 2 6 29 2 4" xfId="29306" xr:uid="{00000000-0005-0000-0000-00007D720000}"/>
    <cellStyle name="Normal 2 6 29 2 5" xfId="29307" xr:uid="{00000000-0005-0000-0000-00007E720000}"/>
    <cellStyle name="Normal 2 6 29 2 6" xfId="29308" xr:uid="{00000000-0005-0000-0000-00007F720000}"/>
    <cellStyle name="Normal 2 6 29 3" xfId="29309" xr:uid="{00000000-0005-0000-0000-000080720000}"/>
    <cellStyle name="Normal 2 6 29 3 2" xfId="29310" xr:uid="{00000000-0005-0000-0000-000081720000}"/>
    <cellStyle name="Normal 2 6 29 3 2 2" xfId="29311" xr:uid="{00000000-0005-0000-0000-000082720000}"/>
    <cellStyle name="Normal 2 6 29 3 2 3" xfId="29312" xr:uid="{00000000-0005-0000-0000-000083720000}"/>
    <cellStyle name="Normal 2 6 29 3 3" xfId="29313" xr:uid="{00000000-0005-0000-0000-000084720000}"/>
    <cellStyle name="Normal 2 6 29 3 4" xfId="29314" xr:uid="{00000000-0005-0000-0000-000085720000}"/>
    <cellStyle name="Normal 2 6 29 3 5" xfId="29315" xr:uid="{00000000-0005-0000-0000-000086720000}"/>
    <cellStyle name="Normal 2 6 29 3 6" xfId="29316" xr:uid="{00000000-0005-0000-0000-000087720000}"/>
    <cellStyle name="Normal 2 6 29 4" xfId="29317" xr:uid="{00000000-0005-0000-0000-000088720000}"/>
    <cellStyle name="Normal 2 6 29 4 2" xfId="29318" xr:uid="{00000000-0005-0000-0000-000089720000}"/>
    <cellStyle name="Normal 2 6 29 4 2 2" xfId="29319" xr:uid="{00000000-0005-0000-0000-00008A720000}"/>
    <cellStyle name="Normal 2 6 29 4 3" xfId="29320" xr:uid="{00000000-0005-0000-0000-00008B720000}"/>
    <cellStyle name="Normal 2 6 29 4 4" xfId="29321" xr:uid="{00000000-0005-0000-0000-00008C720000}"/>
    <cellStyle name="Normal 2 6 29 4 5" xfId="29322" xr:uid="{00000000-0005-0000-0000-00008D720000}"/>
    <cellStyle name="Normal 2 6 29 5" xfId="29323" xr:uid="{00000000-0005-0000-0000-00008E720000}"/>
    <cellStyle name="Normal 2 6 29 5 2" xfId="29324" xr:uid="{00000000-0005-0000-0000-00008F720000}"/>
    <cellStyle name="Normal 2 6 29 5 3" xfId="29325" xr:uid="{00000000-0005-0000-0000-000090720000}"/>
    <cellStyle name="Normal 2 6 29 5 4" xfId="29326" xr:uid="{00000000-0005-0000-0000-000091720000}"/>
    <cellStyle name="Normal 2 6 29 6" xfId="29327" xr:uid="{00000000-0005-0000-0000-000092720000}"/>
    <cellStyle name="Normal 2 6 29 6 2" xfId="29328" xr:uid="{00000000-0005-0000-0000-000093720000}"/>
    <cellStyle name="Normal 2 6 29 7" xfId="29329" xr:uid="{00000000-0005-0000-0000-000094720000}"/>
    <cellStyle name="Normal 2 6 29 8" xfId="29330" xr:uid="{00000000-0005-0000-0000-000095720000}"/>
    <cellStyle name="Normal 2 6 29 9" xfId="29331" xr:uid="{00000000-0005-0000-0000-000096720000}"/>
    <cellStyle name="Normal 2 6 3" xfId="29332" xr:uid="{00000000-0005-0000-0000-000097720000}"/>
    <cellStyle name="Normal 2 6 3 10" xfId="29333" xr:uid="{00000000-0005-0000-0000-000098720000}"/>
    <cellStyle name="Normal 2 6 3 10 10" xfId="29334" xr:uid="{00000000-0005-0000-0000-000099720000}"/>
    <cellStyle name="Normal 2 6 3 10 2" xfId="29335" xr:uid="{00000000-0005-0000-0000-00009A720000}"/>
    <cellStyle name="Normal 2 6 3 10 2 2" xfId="29336" xr:uid="{00000000-0005-0000-0000-00009B720000}"/>
    <cellStyle name="Normal 2 6 3 10 2 2 2" xfId="29337" xr:uid="{00000000-0005-0000-0000-00009C720000}"/>
    <cellStyle name="Normal 2 6 3 10 2 2 3" xfId="29338" xr:uid="{00000000-0005-0000-0000-00009D720000}"/>
    <cellStyle name="Normal 2 6 3 10 2 3" xfId="29339" xr:uid="{00000000-0005-0000-0000-00009E720000}"/>
    <cellStyle name="Normal 2 6 3 10 2 4" xfId="29340" xr:uid="{00000000-0005-0000-0000-00009F720000}"/>
    <cellStyle name="Normal 2 6 3 10 2 5" xfId="29341" xr:uid="{00000000-0005-0000-0000-0000A0720000}"/>
    <cellStyle name="Normal 2 6 3 10 2 6" xfId="29342" xr:uid="{00000000-0005-0000-0000-0000A1720000}"/>
    <cellStyle name="Normal 2 6 3 10 3" xfId="29343" xr:uid="{00000000-0005-0000-0000-0000A2720000}"/>
    <cellStyle name="Normal 2 6 3 10 3 2" xfId="29344" xr:uid="{00000000-0005-0000-0000-0000A3720000}"/>
    <cellStyle name="Normal 2 6 3 10 3 2 2" xfId="29345" xr:uid="{00000000-0005-0000-0000-0000A4720000}"/>
    <cellStyle name="Normal 2 6 3 10 3 2 3" xfId="29346" xr:uid="{00000000-0005-0000-0000-0000A5720000}"/>
    <cellStyle name="Normal 2 6 3 10 3 3" xfId="29347" xr:uid="{00000000-0005-0000-0000-0000A6720000}"/>
    <cellStyle name="Normal 2 6 3 10 3 4" xfId="29348" xr:uid="{00000000-0005-0000-0000-0000A7720000}"/>
    <cellStyle name="Normal 2 6 3 10 3 5" xfId="29349" xr:uid="{00000000-0005-0000-0000-0000A8720000}"/>
    <cellStyle name="Normal 2 6 3 10 3 6" xfId="29350" xr:uid="{00000000-0005-0000-0000-0000A9720000}"/>
    <cellStyle name="Normal 2 6 3 10 4" xfId="29351" xr:uid="{00000000-0005-0000-0000-0000AA720000}"/>
    <cellStyle name="Normal 2 6 3 10 4 2" xfId="29352" xr:uid="{00000000-0005-0000-0000-0000AB720000}"/>
    <cellStyle name="Normal 2 6 3 10 4 2 2" xfId="29353" xr:uid="{00000000-0005-0000-0000-0000AC720000}"/>
    <cellStyle name="Normal 2 6 3 10 4 3" xfId="29354" xr:uid="{00000000-0005-0000-0000-0000AD720000}"/>
    <cellStyle name="Normal 2 6 3 10 4 4" xfId="29355" xr:uid="{00000000-0005-0000-0000-0000AE720000}"/>
    <cellStyle name="Normal 2 6 3 10 4 5" xfId="29356" xr:uid="{00000000-0005-0000-0000-0000AF720000}"/>
    <cellStyle name="Normal 2 6 3 10 5" xfId="29357" xr:uid="{00000000-0005-0000-0000-0000B0720000}"/>
    <cellStyle name="Normal 2 6 3 10 5 2" xfId="29358" xr:uid="{00000000-0005-0000-0000-0000B1720000}"/>
    <cellStyle name="Normal 2 6 3 10 5 3" xfId="29359" xr:uid="{00000000-0005-0000-0000-0000B2720000}"/>
    <cellStyle name="Normal 2 6 3 10 5 4" xfId="29360" xr:uid="{00000000-0005-0000-0000-0000B3720000}"/>
    <cellStyle name="Normal 2 6 3 10 6" xfId="29361" xr:uid="{00000000-0005-0000-0000-0000B4720000}"/>
    <cellStyle name="Normal 2 6 3 10 6 2" xfId="29362" xr:uid="{00000000-0005-0000-0000-0000B5720000}"/>
    <cellStyle name="Normal 2 6 3 10 7" xfId="29363" xr:uid="{00000000-0005-0000-0000-0000B6720000}"/>
    <cellStyle name="Normal 2 6 3 10 8" xfId="29364" xr:uid="{00000000-0005-0000-0000-0000B7720000}"/>
    <cellStyle name="Normal 2 6 3 10 9" xfId="29365" xr:uid="{00000000-0005-0000-0000-0000B8720000}"/>
    <cellStyle name="Normal 2 6 3 11" xfId="29366" xr:uid="{00000000-0005-0000-0000-0000B9720000}"/>
    <cellStyle name="Normal 2 6 3 11 10" xfId="29367" xr:uid="{00000000-0005-0000-0000-0000BA720000}"/>
    <cellStyle name="Normal 2 6 3 11 2" xfId="29368" xr:uid="{00000000-0005-0000-0000-0000BB720000}"/>
    <cellStyle name="Normal 2 6 3 11 2 2" xfId="29369" xr:uid="{00000000-0005-0000-0000-0000BC720000}"/>
    <cellStyle name="Normal 2 6 3 11 2 2 2" xfId="29370" xr:uid="{00000000-0005-0000-0000-0000BD720000}"/>
    <cellStyle name="Normal 2 6 3 11 2 2 3" xfId="29371" xr:uid="{00000000-0005-0000-0000-0000BE720000}"/>
    <cellStyle name="Normal 2 6 3 11 2 3" xfId="29372" xr:uid="{00000000-0005-0000-0000-0000BF720000}"/>
    <cellStyle name="Normal 2 6 3 11 2 4" xfId="29373" xr:uid="{00000000-0005-0000-0000-0000C0720000}"/>
    <cellStyle name="Normal 2 6 3 11 2 5" xfId="29374" xr:uid="{00000000-0005-0000-0000-0000C1720000}"/>
    <cellStyle name="Normal 2 6 3 11 2 6" xfId="29375" xr:uid="{00000000-0005-0000-0000-0000C2720000}"/>
    <cellStyle name="Normal 2 6 3 11 3" xfId="29376" xr:uid="{00000000-0005-0000-0000-0000C3720000}"/>
    <cellStyle name="Normal 2 6 3 11 3 2" xfId="29377" xr:uid="{00000000-0005-0000-0000-0000C4720000}"/>
    <cellStyle name="Normal 2 6 3 11 3 2 2" xfId="29378" xr:uid="{00000000-0005-0000-0000-0000C5720000}"/>
    <cellStyle name="Normal 2 6 3 11 3 2 3" xfId="29379" xr:uid="{00000000-0005-0000-0000-0000C6720000}"/>
    <cellStyle name="Normal 2 6 3 11 3 3" xfId="29380" xr:uid="{00000000-0005-0000-0000-0000C7720000}"/>
    <cellStyle name="Normal 2 6 3 11 3 4" xfId="29381" xr:uid="{00000000-0005-0000-0000-0000C8720000}"/>
    <cellStyle name="Normal 2 6 3 11 3 5" xfId="29382" xr:uid="{00000000-0005-0000-0000-0000C9720000}"/>
    <cellStyle name="Normal 2 6 3 11 3 6" xfId="29383" xr:uid="{00000000-0005-0000-0000-0000CA720000}"/>
    <cellStyle name="Normal 2 6 3 11 4" xfId="29384" xr:uid="{00000000-0005-0000-0000-0000CB720000}"/>
    <cellStyle name="Normal 2 6 3 11 4 2" xfId="29385" xr:uid="{00000000-0005-0000-0000-0000CC720000}"/>
    <cellStyle name="Normal 2 6 3 11 4 2 2" xfId="29386" xr:uid="{00000000-0005-0000-0000-0000CD720000}"/>
    <cellStyle name="Normal 2 6 3 11 4 3" xfId="29387" xr:uid="{00000000-0005-0000-0000-0000CE720000}"/>
    <cellStyle name="Normal 2 6 3 11 4 4" xfId="29388" xr:uid="{00000000-0005-0000-0000-0000CF720000}"/>
    <cellStyle name="Normal 2 6 3 11 4 5" xfId="29389" xr:uid="{00000000-0005-0000-0000-0000D0720000}"/>
    <cellStyle name="Normal 2 6 3 11 5" xfId="29390" xr:uid="{00000000-0005-0000-0000-0000D1720000}"/>
    <cellStyle name="Normal 2 6 3 11 5 2" xfId="29391" xr:uid="{00000000-0005-0000-0000-0000D2720000}"/>
    <cellStyle name="Normal 2 6 3 11 5 3" xfId="29392" xr:uid="{00000000-0005-0000-0000-0000D3720000}"/>
    <cellStyle name="Normal 2 6 3 11 5 4" xfId="29393" xr:uid="{00000000-0005-0000-0000-0000D4720000}"/>
    <cellStyle name="Normal 2 6 3 11 6" xfId="29394" xr:uid="{00000000-0005-0000-0000-0000D5720000}"/>
    <cellStyle name="Normal 2 6 3 11 6 2" xfId="29395" xr:uid="{00000000-0005-0000-0000-0000D6720000}"/>
    <cellStyle name="Normal 2 6 3 11 7" xfId="29396" xr:uid="{00000000-0005-0000-0000-0000D7720000}"/>
    <cellStyle name="Normal 2 6 3 11 8" xfId="29397" xr:uid="{00000000-0005-0000-0000-0000D8720000}"/>
    <cellStyle name="Normal 2 6 3 11 9" xfId="29398" xr:uid="{00000000-0005-0000-0000-0000D9720000}"/>
    <cellStyle name="Normal 2 6 3 12" xfId="29399" xr:uid="{00000000-0005-0000-0000-0000DA720000}"/>
    <cellStyle name="Normal 2 6 3 12 10" xfId="29400" xr:uid="{00000000-0005-0000-0000-0000DB720000}"/>
    <cellStyle name="Normal 2 6 3 12 2" xfId="29401" xr:uid="{00000000-0005-0000-0000-0000DC720000}"/>
    <cellStyle name="Normal 2 6 3 12 2 2" xfId="29402" xr:uid="{00000000-0005-0000-0000-0000DD720000}"/>
    <cellStyle name="Normal 2 6 3 12 2 2 2" xfId="29403" xr:uid="{00000000-0005-0000-0000-0000DE720000}"/>
    <cellStyle name="Normal 2 6 3 12 2 2 3" xfId="29404" xr:uid="{00000000-0005-0000-0000-0000DF720000}"/>
    <cellStyle name="Normal 2 6 3 12 2 3" xfId="29405" xr:uid="{00000000-0005-0000-0000-0000E0720000}"/>
    <cellStyle name="Normal 2 6 3 12 2 4" xfId="29406" xr:uid="{00000000-0005-0000-0000-0000E1720000}"/>
    <cellStyle name="Normal 2 6 3 12 2 5" xfId="29407" xr:uid="{00000000-0005-0000-0000-0000E2720000}"/>
    <cellStyle name="Normal 2 6 3 12 2 6" xfId="29408" xr:uid="{00000000-0005-0000-0000-0000E3720000}"/>
    <cellStyle name="Normal 2 6 3 12 3" xfId="29409" xr:uid="{00000000-0005-0000-0000-0000E4720000}"/>
    <cellStyle name="Normal 2 6 3 12 3 2" xfId="29410" xr:uid="{00000000-0005-0000-0000-0000E5720000}"/>
    <cellStyle name="Normal 2 6 3 12 3 2 2" xfId="29411" xr:uid="{00000000-0005-0000-0000-0000E6720000}"/>
    <cellStyle name="Normal 2 6 3 12 3 2 3" xfId="29412" xr:uid="{00000000-0005-0000-0000-0000E7720000}"/>
    <cellStyle name="Normal 2 6 3 12 3 3" xfId="29413" xr:uid="{00000000-0005-0000-0000-0000E8720000}"/>
    <cellStyle name="Normal 2 6 3 12 3 4" xfId="29414" xr:uid="{00000000-0005-0000-0000-0000E9720000}"/>
    <cellStyle name="Normal 2 6 3 12 3 5" xfId="29415" xr:uid="{00000000-0005-0000-0000-0000EA720000}"/>
    <cellStyle name="Normal 2 6 3 12 3 6" xfId="29416" xr:uid="{00000000-0005-0000-0000-0000EB720000}"/>
    <cellStyle name="Normal 2 6 3 12 4" xfId="29417" xr:uid="{00000000-0005-0000-0000-0000EC720000}"/>
    <cellStyle name="Normal 2 6 3 12 4 2" xfId="29418" xr:uid="{00000000-0005-0000-0000-0000ED720000}"/>
    <cellStyle name="Normal 2 6 3 12 4 2 2" xfId="29419" xr:uid="{00000000-0005-0000-0000-0000EE720000}"/>
    <cellStyle name="Normal 2 6 3 12 4 3" xfId="29420" xr:uid="{00000000-0005-0000-0000-0000EF720000}"/>
    <cellStyle name="Normal 2 6 3 12 4 4" xfId="29421" xr:uid="{00000000-0005-0000-0000-0000F0720000}"/>
    <cellStyle name="Normal 2 6 3 12 4 5" xfId="29422" xr:uid="{00000000-0005-0000-0000-0000F1720000}"/>
    <cellStyle name="Normal 2 6 3 12 5" xfId="29423" xr:uid="{00000000-0005-0000-0000-0000F2720000}"/>
    <cellStyle name="Normal 2 6 3 12 5 2" xfId="29424" xr:uid="{00000000-0005-0000-0000-0000F3720000}"/>
    <cellStyle name="Normal 2 6 3 12 5 3" xfId="29425" xr:uid="{00000000-0005-0000-0000-0000F4720000}"/>
    <cellStyle name="Normal 2 6 3 12 5 4" xfId="29426" xr:uid="{00000000-0005-0000-0000-0000F5720000}"/>
    <cellStyle name="Normal 2 6 3 12 6" xfId="29427" xr:uid="{00000000-0005-0000-0000-0000F6720000}"/>
    <cellStyle name="Normal 2 6 3 12 6 2" xfId="29428" xr:uid="{00000000-0005-0000-0000-0000F7720000}"/>
    <cellStyle name="Normal 2 6 3 12 7" xfId="29429" xr:uid="{00000000-0005-0000-0000-0000F8720000}"/>
    <cellStyle name="Normal 2 6 3 12 8" xfId="29430" xr:uid="{00000000-0005-0000-0000-0000F9720000}"/>
    <cellStyle name="Normal 2 6 3 12 9" xfId="29431" xr:uid="{00000000-0005-0000-0000-0000FA720000}"/>
    <cellStyle name="Normal 2 6 3 13" xfId="29432" xr:uid="{00000000-0005-0000-0000-0000FB720000}"/>
    <cellStyle name="Normal 2 6 3 13 2" xfId="29433" xr:uid="{00000000-0005-0000-0000-0000FC720000}"/>
    <cellStyle name="Normal 2 6 3 13 2 2" xfId="29434" xr:uid="{00000000-0005-0000-0000-0000FD720000}"/>
    <cellStyle name="Normal 2 6 3 13 2 2 2" xfId="29435" xr:uid="{00000000-0005-0000-0000-0000FE720000}"/>
    <cellStyle name="Normal 2 6 3 13 2 2 3" xfId="29436" xr:uid="{00000000-0005-0000-0000-0000FF720000}"/>
    <cellStyle name="Normal 2 6 3 13 2 3" xfId="29437" xr:uid="{00000000-0005-0000-0000-000000730000}"/>
    <cellStyle name="Normal 2 6 3 13 2 4" xfId="29438" xr:uid="{00000000-0005-0000-0000-000001730000}"/>
    <cellStyle name="Normal 2 6 3 13 2 5" xfId="29439" xr:uid="{00000000-0005-0000-0000-000002730000}"/>
    <cellStyle name="Normal 2 6 3 13 2 6" xfId="29440" xr:uid="{00000000-0005-0000-0000-000003730000}"/>
    <cellStyle name="Normal 2 6 3 13 3" xfId="29441" xr:uid="{00000000-0005-0000-0000-000004730000}"/>
    <cellStyle name="Normal 2 6 3 13 3 2" xfId="29442" xr:uid="{00000000-0005-0000-0000-000005730000}"/>
    <cellStyle name="Normal 2 6 3 13 3 2 2" xfId="29443" xr:uid="{00000000-0005-0000-0000-000006730000}"/>
    <cellStyle name="Normal 2 6 3 13 3 3" xfId="29444" xr:uid="{00000000-0005-0000-0000-000007730000}"/>
    <cellStyle name="Normal 2 6 3 13 3 4" xfId="29445" xr:uid="{00000000-0005-0000-0000-000008730000}"/>
    <cellStyle name="Normal 2 6 3 13 3 5" xfId="29446" xr:uid="{00000000-0005-0000-0000-000009730000}"/>
    <cellStyle name="Normal 2 6 3 13 4" xfId="29447" xr:uid="{00000000-0005-0000-0000-00000A730000}"/>
    <cellStyle name="Normal 2 6 3 13 4 2" xfId="29448" xr:uid="{00000000-0005-0000-0000-00000B730000}"/>
    <cellStyle name="Normal 2 6 3 13 4 3" xfId="29449" xr:uid="{00000000-0005-0000-0000-00000C730000}"/>
    <cellStyle name="Normal 2 6 3 13 4 4" xfId="29450" xr:uid="{00000000-0005-0000-0000-00000D730000}"/>
    <cellStyle name="Normal 2 6 3 13 5" xfId="29451" xr:uid="{00000000-0005-0000-0000-00000E730000}"/>
    <cellStyle name="Normal 2 6 3 13 5 2" xfId="29452" xr:uid="{00000000-0005-0000-0000-00000F730000}"/>
    <cellStyle name="Normal 2 6 3 13 6" xfId="29453" xr:uid="{00000000-0005-0000-0000-000010730000}"/>
    <cellStyle name="Normal 2 6 3 13 7" xfId="29454" xr:uid="{00000000-0005-0000-0000-000011730000}"/>
    <cellStyle name="Normal 2 6 3 13 8" xfId="29455" xr:uid="{00000000-0005-0000-0000-000012730000}"/>
    <cellStyle name="Normal 2 6 3 13 9" xfId="29456" xr:uid="{00000000-0005-0000-0000-000013730000}"/>
    <cellStyle name="Normal 2 6 3 14" xfId="29457" xr:uid="{00000000-0005-0000-0000-000014730000}"/>
    <cellStyle name="Normal 2 6 3 14 2" xfId="29458" xr:uid="{00000000-0005-0000-0000-000015730000}"/>
    <cellStyle name="Normal 2 6 3 14 2 2" xfId="29459" xr:uid="{00000000-0005-0000-0000-000016730000}"/>
    <cellStyle name="Normal 2 6 3 14 2 2 2" xfId="29460" xr:uid="{00000000-0005-0000-0000-000017730000}"/>
    <cellStyle name="Normal 2 6 3 14 2 2 3" xfId="29461" xr:uid="{00000000-0005-0000-0000-000018730000}"/>
    <cellStyle name="Normal 2 6 3 14 2 3" xfId="29462" xr:uid="{00000000-0005-0000-0000-000019730000}"/>
    <cellStyle name="Normal 2 6 3 14 2 4" xfId="29463" xr:uid="{00000000-0005-0000-0000-00001A730000}"/>
    <cellStyle name="Normal 2 6 3 14 2 5" xfId="29464" xr:uid="{00000000-0005-0000-0000-00001B730000}"/>
    <cellStyle name="Normal 2 6 3 14 2 6" xfId="29465" xr:uid="{00000000-0005-0000-0000-00001C730000}"/>
    <cellStyle name="Normal 2 6 3 14 3" xfId="29466" xr:uid="{00000000-0005-0000-0000-00001D730000}"/>
    <cellStyle name="Normal 2 6 3 14 3 2" xfId="29467" xr:uid="{00000000-0005-0000-0000-00001E730000}"/>
    <cellStyle name="Normal 2 6 3 14 3 2 2" xfId="29468" xr:uid="{00000000-0005-0000-0000-00001F730000}"/>
    <cellStyle name="Normal 2 6 3 14 3 3" xfId="29469" xr:uid="{00000000-0005-0000-0000-000020730000}"/>
    <cellStyle name="Normal 2 6 3 14 3 4" xfId="29470" xr:uid="{00000000-0005-0000-0000-000021730000}"/>
    <cellStyle name="Normal 2 6 3 14 3 5" xfId="29471" xr:uid="{00000000-0005-0000-0000-000022730000}"/>
    <cellStyle name="Normal 2 6 3 14 4" xfId="29472" xr:uid="{00000000-0005-0000-0000-000023730000}"/>
    <cellStyle name="Normal 2 6 3 14 4 2" xfId="29473" xr:uid="{00000000-0005-0000-0000-000024730000}"/>
    <cellStyle name="Normal 2 6 3 14 4 3" xfId="29474" xr:uid="{00000000-0005-0000-0000-000025730000}"/>
    <cellStyle name="Normal 2 6 3 14 4 4" xfId="29475" xr:uid="{00000000-0005-0000-0000-000026730000}"/>
    <cellStyle name="Normal 2 6 3 14 5" xfId="29476" xr:uid="{00000000-0005-0000-0000-000027730000}"/>
    <cellStyle name="Normal 2 6 3 14 5 2" xfId="29477" xr:uid="{00000000-0005-0000-0000-000028730000}"/>
    <cellStyle name="Normal 2 6 3 14 6" xfId="29478" xr:uid="{00000000-0005-0000-0000-000029730000}"/>
    <cellStyle name="Normal 2 6 3 14 7" xfId="29479" xr:uid="{00000000-0005-0000-0000-00002A730000}"/>
    <cellStyle name="Normal 2 6 3 14 8" xfId="29480" xr:uid="{00000000-0005-0000-0000-00002B730000}"/>
    <cellStyle name="Normal 2 6 3 14 9" xfId="29481" xr:uid="{00000000-0005-0000-0000-00002C730000}"/>
    <cellStyle name="Normal 2 6 3 15" xfId="29482" xr:uid="{00000000-0005-0000-0000-00002D730000}"/>
    <cellStyle name="Normal 2 6 3 15 2" xfId="29483" xr:uid="{00000000-0005-0000-0000-00002E730000}"/>
    <cellStyle name="Normal 2 6 3 15 2 2" xfId="29484" xr:uid="{00000000-0005-0000-0000-00002F730000}"/>
    <cellStyle name="Normal 2 6 3 15 2 3" xfId="29485" xr:uid="{00000000-0005-0000-0000-000030730000}"/>
    <cellStyle name="Normal 2 6 3 15 3" xfId="29486" xr:uid="{00000000-0005-0000-0000-000031730000}"/>
    <cellStyle name="Normal 2 6 3 15 4" xfId="29487" xr:uid="{00000000-0005-0000-0000-000032730000}"/>
    <cellStyle name="Normal 2 6 3 15 5" xfId="29488" xr:uid="{00000000-0005-0000-0000-000033730000}"/>
    <cellStyle name="Normal 2 6 3 15 6" xfId="29489" xr:uid="{00000000-0005-0000-0000-000034730000}"/>
    <cellStyle name="Normal 2 6 3 16" xfId="29490" xr:uid="{00000000-0005-0000-0000-000035730000}"/>
    <cellStyle name="Normal 2 6 3 16 2" xfId="29491" xr:uid="{00000000-0005-0000-0000-000036730000}"/>
    <cellStyle name="Normal 2 6 3 16 2 2" xfId="29492" xr:uid="{00000000-0005-0000-0000-000037730000}"/>
    <cellStyle name="Normal 2 6 3 16 3" xfId="29493" xr:uid="{00000000-0005-0000-0000-000038730000}"/>
    <cellStyle name="Normal 2 6 3 16 4" xfId="29494" xr:uid="{00000000-0005-0000-0000-000039730000}"/>
    <cellStyle name="Normal 2 6 3 16 5" xfId="29495" xr:uid="{00000000-0005-0000-0000-00003A730000}"/>
    <cellStyle name="Normal 2 6 3 17" xfId="29496" xr:uid="{00000000-0005-0000-0000-00003B730000}"/>
    <cellStyle name="Normal 2 6 3 17 2" xfId="29497" xr:uid="{00000000-0005-0000-0000-00003C730000}"/>
    <cellStyle name="Normal 2 6 3 17 2 2" xfId="29498" xr:uid="{00000000-0005-0000-0000-00003D730000}"/>
    <cellStyle name="Normal 2 6 3 17 3" xfId="29499" xr:uid="{00000000-0005-0000-0000-00003E730000}"/>
    <cellStyle name="Normal 2 6 3 17 4" xfId="29500" xr:uid="{00000000-0005-0000-0000-00003F730000}"/>
    <cellStyle name="Normal 2 6 3 17 5" xfId="29501" xr:uid="{00000000-0005-0000-0000-000040730000}"/>
    <cellStyle name="Normal 2 6 3 18" xfId="29502" xr:uid="{00000000-0005-0000-0000-000041730000}"/>
    <cellStyle name="Normal 2 6 3 18 2" xfId="29503" xr:uid="{00000000-0005-0000-0000-000042730000}"/>
    <cellStyle name="Normal 2 6 3 19" xfId="29504" xr:uid="{00000000-0005-0000-0000-000043730000}"/>
    <cellStyle name="Normal 2 6 3 2" xfId="29505" xr:uid="{00000000-0005-0000-0000-000044730000}"/>
    <cellStyle name="Normal 2 6 3 2 10" xfId="29506" xr:uid="{00000000-0005-0000-0000-000045730000}"/>
    <cellStyle name="Normal 2 6 3 2 11" xfId="29507" xr:uid="{00000000-0005-0000-0000-000046730000}"/>
    <cellStyle name="Normal 2 6 3 2 2" xfId="29508" xr:uid="{00000000-0005-0000-0000-000047730000}"/>
    <cellStyle name="Normal 2 6 3 2 2 2" xfId="29509" xr:uid="{00000000-0005-0000-0000-000048730000}"/>
    <cellStyle name="Normal 2 6 3 2 2 2 2" xfId="29510" xr:uid="{00000000-0005-0000-0000-000049730000}"/>
    <cellStyle name="Normal 2 6 3 2 2 2 2 2" xfId="29511" xr:uid="{00000000-0005-0000-0000-00004A730000}"/>
    <cellStyle name="Normal 2 6 3 2 2 2 2 3" xfId="29512" xr:uid="{00000000-0005-0000-0000-00004B730000}"/>
    <cellStyle name="Normal 2 6 3 2 2 2 3" xfId="29513" xr:uid="{00000000-0005-0000-0000-00004C730000}"/>
    <cellStyle name="Normal 2 6 3 2 2 2 4" xfId="29514" xr:uid="{00000000-0005-0000-0000-00004D730000}"/>
    <cellStyle name="Normal 2 6 3 2 2 2 5" xfId="29515" xr:uid="{00000000-0005-0000-0000-00004E730000}"/>
    <cellStyle name="Normal 2 6 3 2 2 2 6" xfId="29516" xr:uid="{00000000-0005-0000-0000-00004F730000}"/>
    <cellStyle name="Normal 2 6 3 2 2 3" xfId="29517" xr:uid="{00000000-0005-0000-0000-000050730000}"/>
    <cellStyle name="Normal 2 6 3 2 2 3 2" xfId="29518" xr:uid="{00000000-0005-0000-0000-000051730000}"/>
    <cellStyle name="Normal 2 6 3 2 2 3 2 2" xfId="29519" xr:uid="{00000000-0005-0000-0000-000052730000}"/>
    <cellStyle name="Normal 2 6 3 2 2 3 3" xfId="29520" xr:uid="{00000000-0005-0000-0000-000053730000}"/>
    <cellStyle name="Normal 2 6 3 2 2 3 4" xfId="29521" xr:uid="{00000000-0005-0000-0000-000054730000}"/>
    <cellStyle name="Normal 2 6 3 2 2 3 5" xfId="29522" xr:uid="{00000000-0005-0000-0000-000055730000}"/>
    <cellStyle name="Normal 2 6 3 2 2 4" xfId="29523" xr:uid="{00000000-0005-0000-0000-000056730000}"/>
    <cellStyle name="Normal 2 6 3 2 2 4 2" xfId="29524" xr:uid="{00000000-0005-0000-0000-000057730000}"/>
    <cellStyle name="Normal 2 6 3 2 2 4 3" xfId="29525" xr:uid="{00000000-0005-0000-0000-000058730000}"/>
    <cellStyle name="Normal 2 6 3 2 2 4 4" xfId="29526" xr:uid="{00000000-0005-0000-0000-000059730000}"/>
    <cellStyle name="Normal 2 6 3 2 2 5" xfId="29527" xr:uid="{00000000-0005-0000-0000-00005A730000}"/>
    <cellStyle name="Normal 2 6 3 2 2 5 2" xfId="29528" xr:uid="{00000000-0005-0000-0000-00005B730000}"/>
    <cellStyle name="Normal 2 6 3 2 2 6" xfId="29529" xr:uid="{00000000-0005-0000-0000-00005C730000}"/>
    <cellStyle name="Normal 2 6 3 2 2 7" xfId="29530" xr:uid="{00000000-0005-0000-0000-00005D730000}"/>
    <cellStyle name="Normal 2 6 3 2 2 8" xfId="29531" xr:uid="{00000000-0005-0000-0000-00005E730000}"/>
    <cellStyle name="Normal 2 6 3 2 2 9" xfId="29532" xr:uid="{00000000-0005-0000-0000-00005F730000}"/>
    <cellStyle name="Normal 2 6 3 2 3" xfId="29533" xr:uid="{00000000-0005-0000-0000-000060730000}"/>
    <cellStyle name="Normal 2 6 3 2 3 2" xfId="29534" xr:uid="{00000000-0005-0000-0000-000061730000}"/>
    <cellStyle name="Normal 2 6 3 2 3 2 2" xfId="29535" xr:uid="{00000000-0005-0000-0000-000062730000}"/>
    <cellStyle name="Normal 2 6 3 2 3 2 2 2" xfId="29536" xr:uid="{00000000-0005-0000-0000-000063730000}"/>
    <cellStyle name="Normal 2 6 3 2 3 2 2 3" xfId="29537" xr:uid="{00000000-0005-0000-0000-000064730000}"/>
    <cellStyle name="Normal 2 6 3 2 3 2 3" xfId="29538" xr:uid="{00000000-0005-0000-0000-000065730000}"/>
    <cellStyle name="Normal 2 6 3 2 3 2 4" xfId="29539" xr:uid="{00000000-0005-0000-0000-000066730000}"/>
    <cellStyle name="Normal 2 6 3 2 3 2 5" xfId="29540" xr:uid="{00000000-0005-0000-0000-000067730000}"/>
    <cellStyle name="Normal 2 6 3 2 3 2 6" xfId="29541" xr:uid="{00000000-0005-0000-0000-000068730000}"/>
    <cellStyle name="Normal 2 6 3 2 3 3" xfId="29542" xr:uid="{00000000-0005-0000-0000-000069730000}"/>
    <cellStyle name="Normal 2 6 3 2 3 3 2" xfId="29543" xr:uid="{00000000-0005-0000-0000-00006A730000}"/>
    <cellStyle name="Normal 2 6 3 2 3 3 2 2" xfId="29544" xr:uid="{00000000-0005-0000-0000-00006B730000}"/>
    <cellStyle name="Normal 2 6 3 2 3 3 3" xfId="29545" xr:uid="{00000000-0005-0000-0000-00006C730000}"/>
    <cellStyle name="Normal 2 6 3 2 3 3 4" xfId="29546" xr:uid="{00000000-0005-0000-0000-00006D730000}"/>
    <cellStyle name="Normal 2 6 3 2 3 3 5" xfId="29547" xr:uid="{00000000-0005-0000-0000-00006E730000}"/>
    <cellStyle name="Normal 2 6 3 2 3 4" xfId="29548" xr:uid="{00000000-0005-0000-0000-00006F730000}"/>
    <cellStyle name="Normal 2 6 3 2 3 4 2" xfId="29549" xr:uid="{00000000-0005-0000-0000-000070730000}"/>
    <cellStyle name="Normal 2 6 3 2 3 4 3" xfId="29550" xr:uid="{00000000-0005-0000-0000-000071730000}"/>
    <cellStyle name="Normal 2 6 3 2 3 4 4" xfId="29551" xr:uid="{00000000-0005-0000-0000-000072730000}"/>
    <cellStyle name="Normal 2 6 3 2 3 5" xfId="29552" xr:uid="{00000000-0005-0000-0000-000073730000}"/>
    <cellStyle name="Normal 2 6 3 2 3 5 2" xfId="29553" xr:uid="{00000000-0005-0000-0000-000074730000}"/>
    <cellStyle name="Normal 2 6 3 2 3 6" xfId="29554" xr:uid="{00000000-0005-0000-0000-000075730000}"/>
    <cellStyle name="Normal 2 6 3 2 3 7" xfId="29555" xr:uid="{00000000-0005-0000-0000-000076730000}"/>
    <cellStyle name="Normal 2 6 3 2 3 8" xfId="29556" xr:uid="{00000000-0005-0000-0000-000077730000}"/>
    <cellStyle name="Normal 2 6 3 2 3 9" xfId="29557" xr:uid="{00000000-0005-0000-0000-000078730000}"/>
    <cellStyle name="Normal 2 6 3 2 4" xfId="29558" xr:uid="{00000000-0005-0000-0000-000079730000}"/>
    <cellStyle name="Normal 2 6 3 2 4 2" xfId="29559" xr:uid="{00000000-0005-0000-0000-00007A730000}"/>
    <cellStyle name="Normal 2 6 3 2 4 2 2" xfId="29560" xr:uid="{00000000-0005-0000-0000-00007B730000}"/>
    <cellStyle name="Normal 2 6 3 2 4 2 3" xfId="29561" xr:uid="{00000000-0005-0000-0000-00007C730000}"/>
    <cellStyle name="Normal 2 6 3 2 4 3" xfId="29562" xr:uid="{00000000-0005-0000-0000-00007D730000}"/>
    <cellStyle name="Normal 2 6 3 2 4 4" xfId="29563" xr:uid="{00000000-0005-0000-0000-00007E730000}"/>
    <cellStyle name="Normal 2 6 3 2 4 5" xfId="29564" xr:uid="{00000000-0005-0000-0000-00007F730000}"/>
    <cellStyle name="Normal 2 6 3 2 4 6" xfId="29565" xr:uid="{00000000-0005-0000-0000-000080730000}"/>
    <cellStyle name="Normal 2 6 3 2 5" xfId="29566" xr:uid="{00000000-0005-0000-0000-000081730000}"/>
    <cellStyle name="Normal 2 6 3 2 5 2" xfId="29567" xr:uid="{00000000-0005-0000-0000-000082730000}"/>
    <cellStyle name="Normal 2 6 3 2 5 2 2" xfId="29568" xr:uid="{00000000-0005-0000-0000-000083730000}"/>
    <cellStyle name="Normal 2 6 3 2 5 3" xfId="29569" xr:uid="{00000000-0005-0000-0000-000084730000}"/>
    <cellStyle name="Normal 2 6 3 2 5 4" xfId="29570" xr:uid="{00000000-0005-0000-0000-000085730000}"/>
    <cellStyle name="Normal 2 6 3 2 5 5" xfId="29571" xr:uid="{00000000-0005-0000-0000-000086730000}"/>
    <cellStyle name="Normal 2 6 3 2 6" xfId="29572" xr:uid="{00000000-0005-0000-0000-000087730000}"/>
    <cellStyle name="Normal 2 6 3 2 6 2" xfId="29573" xr:uid="{00000000-0005-0000-0000-000088730000}"/>
    <cellStyle name="Normal 2 6 3 2 6 3" xfId="29574" xr:uid="{00000000-0005-0000-0000-000089730000}"/>
    <cellStyle name="Normal 2 6 3 2 6 4" xfId="29575" xr:uid="{00000000-0005-0000-0000-00008A730000}"/>
    <cellStyle name="Normal 2 6 3 2 7" xfId="29576" xr:uid="{00000000-0005-0000-0000-00008B730000}"/>
    <cellStyle name="Normal 2 6 3 2 7 2" xfId="29577" xr:uid="{00000000-0005-0000-0000-00008C730000}"/>
    <cellStyle name="Normal 2 6 3 2 8" xfId="29578" xr:uid="{00000000-0005-0000-0000-00008D730000}"/>
    <cellStyle name="Normal 2 6 3 2 9" xfId="29579" xr:uid="{00000000-0005-0000-0000-00008E730000}"/>
    <cellStyle name="Normal 2 6 3 20" xfId="29580" xr:uid="{00000000-0005-0000-0000-00008F730000}"/>
    <cellStyle name="Normal 2 6 3 21" xfId="29581" xr:uid="{00000000-0005-0000-0000-000090730000}"/>
    <cellStyle name="Normal 2 6 3 22" xfId="29582" xr:uid="{00000000-0005-0000-0000-000091730000}"/>
    <cellStyle name="Normal 2 6 3 3" xfId="29583" xr:uid="{00000000-0005-0000-0000-000092730000}"/>
    <cellStyle name="Normal 2 6 3 3 10" xfId="29584" xr:uid="{00000000-0005-0000-0000-000093730000}"/>
    <cellStyle name="Normal 2 6 3 3 11" xfId="29585" xr:uid="{00000000-0005-0000-0000-000094730000}"/>
    <cellStyle name="Normal 2 6 3 3 2" xfId="29586" xr:uid="{00000000-0005-0000-0000-000095730000}"/>
    <cellStyle name="Normal 2 6 3 3 2 2" xfId="29587" xr:uid="{00000000-0005-0000-0000-000096730000}"/>
    <cellStyle name="Normal 2 6 3 3 2 2 2" xfId="29588" xr:uid="{00000000-0005-0000-0000-000097730000}"/>
    <cellStyle name="Normal 2 6 3 3 2 2 2 2" xfId="29589" xr:uid="{00000000-0005-0000-0000-000098730000}"/>
    <cellStyle name="Normal 2 6 3 3 2 2 2 3" xfId="29590" xr:uid="{00000000-0005-0000-0000-000099730000}"/>
    <cellStyle name="Normal 2 6 3 3 2 2 3" xfId="29591" xr:uid="{00000000-0005-0000-0000-00009A730000}"/>
    <cellStyle name="Normal 2 6 3 3 2 2 4" xfId="29592" xr:uid="{00000000-0005-0000-0000-00009B730000}"/>
    <cellStyle name="Normal 2 6 3 3 2 2 5" xfId="29593" xr:uid="{00000000-0005-0000-0000-00009C730000}"/>
    <cellStyle name="Normal 2 6 3 3 2 2 6" xfId="29594" xr:uid="{00000000-0005-0000-0000-00009D730000}"/>
    <cellStyle name="Normal 2 6 3 3 2 3" xfId="29595" xr:uid="{00000000-0005-0000-0000-00009E730000}"/>
    <cellStyle name="Normal 2 6 3 3 2 3 2" xfId="29596" xr:uid="{00000000-0005-0000-0000-00009F730000}"/>
    <cellStyle name="Normal 2 6 3 3 2 3 2 2" xfId="29597" xr:uid="{00000000-0005-0000-0000-0000A0730000}"/>
    <cellStyle name="Normal 2 6 3 3 2 3 3" xfId="29598" xr:uid="{00000000-0005-0000-0000-0000A1730000}"/>
    <cellStyle name="Normal 2 6 3 3 2 3 4" xfId="29599" xr:uid="{00000000-0005-0000-0000-0000A2730000}"/>
    <cellStyle name="Normal 2 6 3 3 2 3 5" xfId="29600" xr:uid="{00000000-0005-0000-0000-0000A3730000}"/>
    <cellStyle name="Normal 2 6 3 3 2 4" xfId="29601" xr:uid="{00000000-0005-0000-0000-0000A4730000}"/>
    <cellStyle name="Normal 2 6 3 3 2 4 2" xfId="29602" xr:uid="{00000000-0005-0000-0000-0000A5730000}"/>
    <cellStyle name="Normal 2 6 3 3 2 4 3" xfId="29603" xr:uid="{00000000-0005-0000-0000-0000A6730000}"/>
    <cellStyle name="Normal 2 6 3 3 2 4 4" xfId="29604" xr:uid="{00000000-0005-0000-0000-0000A7730000}"/>
    <cellStyle name="Normal 2 6 3 3 2 5" xfId="29605" xr:uid="{00000000-0005-0000-0000-0000A8730000}"/>
    <cellStyle name="Normal 2 6 3 3 2 5 2" xfId="29606" xr:uid="{00000000-0005-0000-0000-0000A9730000}"/>
    <cellStyle name="Normal 2 6 3 3 2 6" xfId="29607" xr:uid="{00000000-0005-0000-0000-0000AA730000}"/>
    <cellStyle name="Normal 2 6 3 3 2 7" xfId="29608" xr:uid="{00000000-0005-0000-0000-0000AB730000}"/>
    <cellStyle name="Normal 2 6 3 3 2 8" xfId="29609" xr:uid="{00000000-0005-0000-0000-0000AC730000}"/>
    <cellStyle name="Normal 2 6 3 3 2 9" xfId="29610" xr:uid="{00000000-0005-0000-0000-0000AD730000}"/>
    <cellStyle name="Normal 2 6 3 3 3" xfId="29611" xr:uid="{00000000-0005-0000-0000-0000AE730000}"/>
    <cellStyle name="Normal 2 6 3 3 3 2" xfId="29612" xr:uid="{00000000-0005-0000-0000-0000AF730000}"/>
    <cellStyle name="Normal 2 6 3 3 3 2 2" xfId="29613" xr:uid="{00000000-0005-0000-0000-0000B0730000}"/>
    <cellStyle name="Normal 2 6 3 3 3 2 2 2" xfId="29614" xr:uid="{00000000-0005-0000-0000-0000B1730000}"/>
    <cellStyle name="Normal 2 6 3 3 3 2 2 3" xfId="29615" xr:uid="{00000000-0005-0000-0000-0000B2730000}"/>
    <cellStyle name="Normal 2 6 3 3 3 2 3" xfId="29616" xr:uid="{00000000-0005-0000-0000-0000B3730000}"/>
    <cellStyle name="Normal 2 6 3 3 3 2 4" xfId="29617" xr:uid="{00000000-0005-0000-0000-0000B4730000}"/>
    <cellStyle name="Normal 2 6 3 3 3 2 5" xfId="29618" xr:uid="{00000000-0005-0000-0000-0000B5730000}"/>
    <cellStyle name="Normal 2 6 3 3 3 2 6" xfId="29619" xr:uid="{00000000-0005-0000-0000-0000B6730000}"/>
    <cellStyle name="Normal 2 6 3 3 3 3" xfId="29620" xr:uid="{00000000-0005-0000-0000-0000B7730000}"/>
    <cellStyle name="Normal 2 6 3 3 3 3 2" xfId="29621" xr:uid="{00000000-0005-0000-0000-0000B8730000}"/>
    <cellStyle name="Normal 2 6 3 3 3 3 2 2" xfId="29622" xr:uid="{00000000-0005-0000-0000-0000B9730000}"/>
    <cellStyle name="Normal 2 6 3 3 3 3 3" xfId="29623" xr:uid="{00000000-0005-0000-0000-0000BA730000}"/>
    <cellStyle name="Normal 2 6 3 3 3 3 4" xfId="29624" xr:uid="{00000000-0005-0000-0000-0000BB730000}"/>
    <cellStyle name="Normal 2 6 3 3 3 3 5" xfId="29625" xr:uid="{00000000-0005-0000-0000-0000BC730000}"/>
    <cellStyle name="Normal 2 6 3 3 3 4" xfId="29626" xr:uid="{00000000-0005-0000-0000-0000BD730000}"/>
    <cellStyle name="Normal 2 6 3 3 3 4 2" xfId="29627" xr:uid="{00000000-0005-0000-0000-0000BE730000}"/>
    <cellStyle name="Normal 2 6 3 3 3 4 3" xfId="29628" xr:uid="{00000000-0005-0000-0000-0000BF730000}"/>
    <cellStyle name="Normal 2 6 3 3 3 4 4" xfId="29629" xr:uid="{00000000-0005-0000-0000-0000C0730000}"/>
    <cellStyle name="Normal 2 6 3 3 3 5" xfId="29630" xr:uid="{00000000-0005-0000-0000-0000C1730000}"/>
    <cellStyle name="Normal 2 6 3 3 3 5 2" xfId="29631" xr:uid="{00000000-0005-0000-0000-0000C2730000}"/>
    <cellStyle name="Normal 2 6 3 3 3 6" xfId="29632" xr:uid="{00000000-0005-0000-0000-0000C3730000}"/>
    <cellStyle name="Normal 2 6 3 3 3 7" xfId="29633" xr:uid="{00000000-0005-0000-0000-0000C4730000}"/>
    <cellStyle name="Normal 2 6 3 3 3 8" xfId="29634" xr:uid="{00000000-0005-0000-0000-0000C5730000}"/>
    <cellStyle name="Normal 2 6 3 3 3 9" xfId="29635" xr:uid="{00000000-0005-0000-0000-0000C6730000}"/>
    <cellStyle name="Normal 2 6 3 3 4" xfId="29636" xr:uid="{00000000-0005-0000-0000-0000C7730000}"/>
    <cellStyle name="Normal 2 6 3 3 4 2" xfId="29637" xr:uid="{00000000-0005-0000-0000-0000C8730000}"/>
    <cellStyle name="Normal 2 6 3 3 4 2 2" xfId="29638" xr:uid="{00000000-0005-0000-0000-0000C9730000}"/>
    <cellStyle name="Normal 2 6 3 3 4 2 3" xfId="29639" xr:uid="{00000000-0005-0000-0000-0000CA730000}"/>
    <cellStyle name="Normal 2 6 3 3 4 3" xfId="29640" xr:uid="{00000000-0005-0000-0000-0000CB730000}"/>
    <cellStyle name="Normal 2 6 3 3 4 4" xfId="29641" xr:uid="{00000000-0005-0000-0000-0000CC730000}"/>
    <cellStyle name="Normal 2 6 3 3 4 5" xfId="29642" xr:uid="{00000000-0005-0000-0000-0000CD730000}"/>
    <cellStyle name="Normal 2 6 3 3 4 6" xfId="29643" xr:uid="{00000000-0005-0000-0000-0000CE730000}"/>
    <cellStyle name="Normal 2 6 3 3 5" xfId="29644" xr:uid="{00000000-0005-0000-0000-0000CF730000}"/>
    <cellStyle name="Normal 2 6 3 3 5 2" xfId="29645" xr:uid="{00000000-0005-0000-0000-0000D0730000}"/>
    <cellStyle name="Normal 2 6 3 3 5 2 2" xfId="29646" xr:uid="{00000000-0005-0000-0000-0000D1730000}"/>
    <cellStyle name="Normal 2 6 3 3 5 3" xfId="29647" xr:uid="{00000000-0005-0000-0000-0000D2730000}"/>
    <cellStyle name="Normal 2 6 3 3 5 4" xfId="29648" xr:uid="{00000000-0005-0000-0000-0000D3730000}"/>
    <cellStyle name="Normal 2 6 3 3 5 5" xfId="29649" xr:uid="{00000000-0005-0000-0000-0000D4730000}"/>
    <cellStyle name="Normal 2 6 3 3 6" xfId="29650" xr:uid="{00000000-0005-0000-0000-0000D5730000}"/>
    <cellStyle name="Normal 2 6 3 3 6 2" xfId="29651" xr:uid="{00000000-0005-0000-0000-0000D6730000}"/>
    <cellStyle name="Normal 2 6 3 3 6 3" xfId="29652" xr:uid="{00000000-0005-0000-0000-0000D7730000}"/>
    <cellStyle name="Normal 2 6 3 3 6 4" xfId="29653" xr:uid="{00000000-0005-0000-0000-0000D8730000}"/>
    <cellStyle name="Normal 2 6 3 3 7" xfId="29654" xr:uid="{00000000-0005-0000-0000-0000D9730000}"/>
    <cellStyle name="Normal 2 6 3 3 7 2" xfId="29655" xr:uid="{00000000-0005-0000-0000-0000DA730000}"/>
    <cellStyle name="Normal 2 6 3 3 8" xfId="29656" xr:uid="{00000000-0005-0000-0000-0000DB730000}"/>
    <cellStyle name="Normal 2 6 3 3 9" xfId="29657" xr:uid="{00000000-0005-0000-0000-0000DC730000}"/>
    <cellStyle name="Normal 2 6 3 4" xfId="29658" xr:uid="{00000000-0005-0000-0000-0000DD730000}"/>
    <cellStyle name="Normal 2 6 3 4 10" xfId="29659" xr:uid="{00000000-0005-0000-0000-0000DE730000}"/>
    <cellStyle name="Normal 2 6 3 4 11" xfId="29660" xr:uid="{00000000-0005-0000-0000-0000DF730000}"/>
    <cellStyle name="Normal 2 6 3 4 2" xfId="29661" xr:uid="{00000000-0005-0000-0000-0000E0730000}"/>
    <cellStyle name="Normal 2 6 3 4 2 2" xfId="29662" xr:uid="{00000000-0005-0000-0000-0000E1730000}"/>
    <cellStyle name="Normal 2 6 3 4 2 2 2" xfId="29663" xr:uid="{00000000-0005-0000-0000-0000E2730000}"/>
    <cellStyle name="Normal 2 6 3 4 2 2 2 2" xfId="29664" xr:uid="{00000000-0005-0000-0000-0000E3730000}"/>
    <cellStyle name="Normal 2 6 3 4 2 2 2 3" xfId="29665" xr:uid="{00000000-0005-0000-0000-0000E4730000}"/>
    <cellStyle name="Normal 2 6 3 4 2 2 3" xfId="29666" xr:uid="{00000000-0005-0000-0000-0000E5730000}"/>
    <cellStyle name="Normal 2 6 3 4 2 2 4" xfId="29667" xr:uid="{00000000-0005-0000-0000-0000E6730000}"/>
    <cellStyle name="Normal 2 6 3 4 2 2 5" xfId="29668" xr:uid="{00000000-0005-0000-0000-0000E7730000}"/>
    <cellStyle name="Normal 2 6 3 4 2 2 6" xfId="29669" xr:uid="{00000000-0005-0000-0000-0000E8730000}"/>
    <cellStyle name="Normal 2 6 3 4 2 3" xfId="29670" xr:uid="{00000000-0005-0000-0000-0000E9730000}"/>
    <cellStyle name="Normal 2 6 3 4 2 3 2" xfId="29671" xr:uid="{00000000-0005-0000-0000-0000EA730000}"/>
    <cellStyle name="Normal 2 6 3 4 2 3 2 2" xfId="29672" xr:uid="{00000000-0005-0000-0000-0000EB730000}"/>
    <cellStyle name="Normal 2 6 3 4 2 3 3" xfId="29673" xr:uid="{00000000-0005-0000-0000-0000EC730000}"/>
    <cellStyle name="Normal 2 6 3 4 2 3 4" xfId="29674" xr:uid="{00000000-0005-0000-0000-0000ED730000}"/>
    <cellStyle name="Normal 2 6 3 4 2 3 5" xfId="29675" xr:uid="{00000000-0005-0000-0000-0000EE730000}"/>
    <cellStyle name="Normal 2 6 3 4 2 4" xfId="29676" xr:uid="{00000000-0005-0000-0000-0000EF730000}"/>
    <cellStyle name="Normal 2 6 3 4 2 4 2" xfId="29677" xr:uid="{00000000-0005-0000-0000-0000F0730000}"/>
    <cellStyle name="Normal 2 6 3 4 2 4 3" xfId="29678" xr:uid="{00000000-0005-0000-0000-0000F1730000}"/>
    <cellStyle name="Normal 2 6 3 4 2 4 4" xfId="29679" xr:uid="{00000000-0005-0000-0000-0000F2730000}"/>
    <cellStyle name="Normal 2 6 3 4 2 5" xfId="29680" xr:uid="{00000000-0005-0000-0000-0000F3730000}"/>
    <cellStyle name="Normal 2 6 3 4 2 5 2" xfId="29681" xr:uid="{00000000-0005-0000-0000-0000F4730000}"/>
    <cellStyle name="Normal 2 6 3 4 2 6" xfId="29682" xr:uid="{00000000-0005-0000-0000-0000F5730000}"/>
    <cellStyle name="Normal 2 6 3 4 2 7" xfId="29683" xr:uid="{00000000-0005-0000-0000-0000F6730000}"/>
    <cellStyle name="Normal 2 6 3 4 2 8" xfId="29684" xr:uid="{00000000-0005-0000-0000-0000F7730000}"/>
    <cellStyle name="Normal 2 6 3 4 2 9" xfId="29685" xr:uid="{00000000-0005-0000-0000-0000F8730000}"/>
    <cellStyle name="Normal 2 6 3 4 3" xfId="29686" xr:uid="{00000000-0005-0000-0000-0000F9730000}"/>
    <cellStyle name="Normal 2 6 3 4 3 2" xfId="29687" xr:uid="{00000000-0005-0000-0000-0000FA730000}"/>
    <cellStyle name="Normal 2 6 3 4 3 2 2" xfId="29688" xr:uid="{00000000-0005-0000-0000-0000FB730000}"/>
    <cellStyle name="Normal 2 6 3 4 3 2 2 2" xfId="29689" xr:uid="{00000000-0005-0000-0000-0000FC730000}"/>
    <cellStyle name="Normal 2 6 3 4 3 2 2 3" xfId="29690" xr:uid="{00000000-0005-0000-0000-0000FD730000}"/>
    <cellStyle name="Normal 2 6 3 4 3 2 3" xfId="29691" xr:uid="{00000000-0005-0000-0000-0000FE730000}"/>
    <cellStyle name="Normal 2 6 3 4 3 2 4" xfId="29692" xr:uid="{00000000-0005-0000-0000-0000FF730000}"/>
    <cellStyle name="Normal 2 6 3 4 3 2 5" xfId="29693" xr:uid="{00000000-0005-0000-0000-000000740000}"/>
    <cellStyle name="Normal 2 6 3 4 3 2 6" xfId="29694" xr:uid="{00000000-0005-0000-0000-000001740000}"/>
    <cellStyle name="Normal 2 6 3 4 3 3" xfId="29695" xr:uid="{00000000-0005-0000-0000-000002740000}"/>
    <cellStyle name="Normal 2 6 3 4 3 3 2" xfId="29696" xr:uid="{00000000-0005-0000-0000-000003740000}"/>
    <cellStyle name="Normal 2 6 3 4 3 3 2 2" xfId="29697" xr:uid="{00000000-0005-0000-0000-000004740000}"/>
    <cellStyle name="Normal 2 6 3 4 3 3 3" xfId="29698" xr:uid="{00000000-0005-0000-0000-000005740000}"/>
    <cellStyle name="Normal 2 6 3 4 3 3 4" xfId="29699" xr:uid="{00000000-0005-0000-0000-000006740000}"/>
    <cellStyle name="Normal 2 6 3 4 3 3 5" xfId="29700" xr:uid="{00000000-0005-0000-0000-000007740000}"/>
    <cellStyle name="Normal 2 6 3 4 3 4" xfId="29701" xr:uid="{00000000-0005-0000-0000-000008740000}"/>
    <cellStyle name="Normal 2 6 3 4 3 4 2" xfId="29702" xr:uid="{00000000-0005-0000-0000-000009740000}"/>
    <cellStyle name="Normal 2 6 3 4 3 4 3" xfId="29703" xr:uid="{00000000-0005-0000-0000-00000A740000}"/>
    <cellStyle name="Normal 2 6 3 4 3 4 4" xfId="29704" xr:uid="{00000000-0005-0000-0000-00000B740000}"/>
    <cellStyle name="Normal 2 6 3 4 3 5" xfId="29705" xr:uid="{00000000-0005-0000-0000-00000C740000}"/>
    <cellStyle name="Normal 2 6 3 4 3 5 2" xfId="29706" xr:uid="{00000000-0005-0000-0000-00000D740000}"/>
    <cellStyle name="Normal 2 6 3 4 3 6" xfId="29707" xr:uid="{00000000-0005-0000-0000-00000E740000}"/>
    <cellStyle name="Normal 2 6 3 4 3 7" xfId="29708" xr:uid="{00000000-0005-0000-0000-00000F740000}"/>
    <cellStyle name="Normal 2 6 3 4 3 8" xfId="29709" xr:uid="{00000000-0005-0000-0000-000010740000}"/>
    <cellStyle name="Normal 2 6 3 4 3 9" xfId="29710" xr:uid="{00000000-0005-0000-0000-000011740000}"/>
    <cellStyle name="Normal 2 6 3 4 4" xfId="29711" xr:uid="{00000000-0005-0000-0000-000012740000}"/>
    <cellStyle name="Normal 2 6 3 4 4 2" xfId="29712" xr:uid="{00000000-0005-0000-0000-000013740000}"/>
    <cellStyle name="Normal 2 6 3 4 4 2 2" xfId="29713" xr:uid="{00000000-0005-0000-0000-000014740000}"/>
    <cellStyle name="Normal 2 6 3 4 4 2 3" xfId="29714" xr:uid="{00000000-0005-0000-0000-000015740000}"/>
    <cellStyle name="Normal 2 6 3 4 4 3" xfId="29715" xr:uid="{00000000-0005-0000-0000-000016740000}"/>
    <cellStyle name="Normal 2 6 3 4 4 4" xfId="29716" xr:uid="{00000000-0005-0000-0000-000017740000}"/>
    <cellStyle name="Normal 2 6 3 4 4 5" xfId="29717" xr:uid="{00000000-0005-0000-0000-000018740000}"/>
    <cellStyle name="Normal 2 6 3 4 4 6" xfId="29718" xr:uid="{00000000-0005-0000-0000-000019740000}"/>
    <cellStyle name="Normal 2 6 3 4 5" xfId="29719" xr:uid="{00000000-0005-0000-0000-00001A740000}"/>
    <cellStyle name="Normal 2 6 3 4 5 2" xfId="29720" xr:uid="{00000000-0005-0000-0000-00001B740000}"/>
    <cellStyle name="Normal 2 6 3 4 5 2 2" xfId="29721" xr:uid="{00000000-0005-0000-0000-00001C740000}"/>
    <cellStyle name="Normal 2 6 3 4 5 3" xfId="29722" xr:uid="{00000000-0005-0000-0000-00001D740000}"/>
    <cellStyle name="Normal 2 6 3 4 5 4" xfId="29723" xr:uid="{00000000-0005-0000-0000-00001E740000}"/>
    <cellStyle name="Normal 2 6 3 4 5 5" xfId="29724" xr:uid="{00000000-0005-0000-0000-00001F740000}"/>
    <cellStyle name="Normal 2 6 3 4 6" xfId="29725" xr:uid="{00000000-0005-0000-0000-000020740000}"/>
    <cellStyle name="Normal 2 6 3 4 6 2" xfId="29726" xr:uid="{00000000-0005-0000-0000-000021740000}"/>
    <cellStyle name="Normal 2 6 3 4 6 3" xfId="29727" xr:uid="{00000000-0005-0000-0000-000022740000}"/>
    <cellStyle name="Normal 2 6 3 4 6 4" xfId="29728" xr:uid="{00000000-0005-0000-0000-000023740000}"/>
    <cellStyle name="Normal 2 6 3 4 7" xfId="29729" xr:uid="{00000000-0005-0000-0000-000024740000}"/>
    <cellStyle name="Normal 2 6 3 4 7 2" xfId="29730" xr:uid="{00000000-0005-0000-0000-000025740000}"/>
    <cellStyle name="Normal 2 6 3 4 8" xfId="29731" xr:uid="{00000000-0005-0000-0000-000026740000}"/>
    <cellStyle name="Normal 2 6 3 4 9" xfId="29732" xr:uid="{00000000-0005-0000-0000-000027740000}"/>
    <cellStyle name="Normal 2 6 3 5" xfId="29733" xr:uid="{00000000-0005-0000-0000-000028740000}"/>
    <cellStyle name="Normal 2 6 3 5 10" xfId="29734" xr:uid="{00000000-0005-0000-0000-000029740000}"/>
    <cellStyle name="Normal 2 6 3 5 11" xfId="29735" xr:uid="{00000000-0005-0000-0000-00002A740000}"/>
    <cellStyle name="Normal 2 6 3 5 2" xfId="29736" xr:uid="{00000000-0005-0000-0000-00002B740000}"/>
    <cellStyle name="Normal 2 6 3 5 2 2" xfId="29737" xr:uid="{00000000-0005-0000-0000-00002C740000}"/>
    <cellStyle name="Normal 2 6 3 5 2 2 2" xfId="29738" xr:uid="{00000000-0005-0000-0000-00002D740000}"/>
    <cellStyle name="Normal 2 6 3 5 2 2 2 2" xfId="29739" xr:uid="{00000000-0005-0000-0000-00002E740000}"/>
    <cellStyle name="Normal 2 6 3 5 2 2 2 3" xfId="29740" xr:uid="{00000000-0005-0000-0000-00002F740000}"/>
    <cellStyle name="Normal 2 6 3 5 2 2 3" xfId="29741" xr:uid="{00000000-0005-0000-0000-000030740000}"/>
    <cellStyle name="Normal 2 6 3 5 2 2 4" xfId="29742" xr:uid="{00000000-0005-0000-0000-000031740000}"/>
    <cellStyle name="Normal 2 6 3 5 2 2 5" xfId="29743" xr:uid="{00000000-0005-0000-0000-000032740000}"/>
    <cellStyle name="Normal 2 6 3 5 2 2 6" xfId="29744" xr:uid="{00000000-0005-0000-0000-000033740000}"/>
    <cellStyle name="Normal 2 6 3 5 2 3" xfId="29745" xr:uid="{00000000-0005-0000-0000-000034740000}"/>
    <cellStyle name="Normal 2 6 3 5 2 3 2" xfId="29746" xr:uid="{00000000-0005-0000-0000-000035740000}"/>
    <cellStyle name="Normal 2 6 3 5 2 3 2 2" xfId="29747" xr:uid="{00000000-0005-0000-0000-000036740000}"/>
    <cellStyle name="Normal 2 6 3 5 2 3 3" xfId="29748" xr:uid="{00000000-0005-0000-0000-000037740000}"/>
    <cellStyle name="Normal 2 6 3 5 2 3 4" xfId="29749" xr:uid="{00000000-0005-0000-0000-000038740000}"/>
    <cellStyle name="Normal 2 6 3 5 2 3 5" xfId="29750" xr:uid="{00000000-0005-0000-0000-000039740000}"/>
    <cellStyle name="Normal 2 6 3 5 2 4" xfId="29751" xr:uid="{00000000-0005-0000-0000-00003A740000}"/>
    <cellStyle name="Normal 2 6 3 5 2 4 2" xfId="29752" xr:uid="{00000000-0005-0000-0000-00003B740000}"/>
    <cellStyle name="Normal 2 6 3 5 2 4 3" xfId="29753" xr:uid="{00000000-0005-0000-0000-00003C740000}"/>
    <cellStyle name="Normal 2 6 3 5 2 4 4" xfId="29754" xr:uid="{00000000-0005-0000-0000-00003D740000}"/>
    <cellStyle name="Normal 2 6 3 5 2 5" xfId="29755" xr:uid="{00000000-0005-0000-0000-00003E740000}"/>
    <cellStyle name="Normal 2 6 3 5 2 5 2" xfId="29756" xr:uid="{00000000-0005-0000-0000-00003F740000}"/>
    <cellStyle name="Normal 2 6 3 5 2 6" xfId="29757" xr:uid="{00000000-0005-0000-0000-000040740000}"/>
    <cellStyle name="Normal 2 6 3 5 2 7" xfId="29758" xr:uid="{00000000-0005-0000-0000-000041740000}"/>
    <cellStyle name="Normal 2 6 3 5 2 8" xfId="29759" xr:uid="{00000000-0005-0000-0000-000042740000}"/>
    <cellStyle name="Normal 2 6 3 5 2 9" xfId="29760" xr:uid="{00000000-0005-0000-0000-000043740000}"/>
    <cellStyle name="Normal 2 6 3 5 3" xfId="29761" xr:uid="{00000000-0005-0000-0000-000044740000}"/>
    <cellStyle name="Normal 2 6 3 5 3 2" xfId="29762" xr:uid="{00000000-0005-0000-0000-000045740000}"/>
    <cellStyle name="Normal 2 6 3 5 3 2 2" xfId="29763" xr:uid="{00000000-0005-0000-0000-000046740000}"/>
    <cellStyle name="Normal 2 6 3 5 3 2 2 2" xfId="29764" xr:uid="{00000000-0005-0000-0000-000047740000}"/>
    <cellStyle name="Normal 2 6 3 5 3 2 2 3" xfId="29765" xr:uid="{00000000-0005-0000-0000-000048740000}"/>
    <cellStyle name="Normal 2 6 3 5 3 2 3" xfId="29766" xr:uid="{00000000-0005-0000-0000-000049740000}"/>
    <cellStyle name="Normal 2 6 3 5 3 2 4" xfId="29767" xr:uid="{00000000-0005-0000-0000-00004A740000}"/>
    <cellStyle name="Normal 2 6 3 5 3 2 5" xfId="29768" xr:uid="{00000000-0005-0000-0000-00004B740000}"/>
    <cellStyle name="Normal 2 6 3 5 3 2 6" xfId="29769" xr:uid="{00000000-0005-0000-0000-00004C740000}"/>
    <cellStyle name="Normal 2 6 3 5 3 3" xfId="29770" xr:uid="{00000000-0005-0000-0000-00004D740000}"/>
    <cellStyle name="Normal 2 6 3 5 3 3 2" xfId="29771" xr:uid="{00000000-0005-0000-0000-00004E740000}"/>
    <cellStyle name="Normal 2 6 3 5 3 3 2 2" xfId="29772" xr:uid="{00000000-0005-0000-0000-00004F740000}"/>
    <cellStyle name="Normal 2 6 3 5 3 3 3" xfId="29773" xr:uid="{00000000-0005-0000-0000-000050740000}"/>
    <cellStyle name="Normal 2 6 3 5 3 3 4" xfId="29774" xr:uid="{00000000-0005-0000-0000-000051740000}"/>
    <cellStyle name="Normal 2 6 3 5 3 3 5" xfId="29775" xr:uid="{00000000-0005-0000-0000-000052740000}"/>
    <cellStyle name="Normal 2 6 3 5 3 4" xfId="29776" xr:uid="{00000000-0005-0000-0000-000053740000}"/>
    <cellStyle name="Normal 2 6 3 5 3 4 2" xfId="29777" xr:uid="{00000000-0005-0000-0000-000054740000}"/>
    <cellStyle name="Normal 2 6 3 5 3 4 3" xfId="29778" xr:uid="{00000000-0005-0000-0000-000055740000}"/>
    <cellStyle name="Normal 2 6 3 5 3 4 4" xfId="29779" xr:uid="{00000000-0005-0000-0000-000056740000}"/>
    <cellStyle name="Normal 2 6 3 5 3 5" xfId="29780" xr:uid="{00000000-0005-0000-0000-000057740000}"/>
    <cellStyle name="Normal 2 6 3 5 3 5 2" xfId="29781" xr:uid="{00000000-0005-0000-0000-000058740000}"/>
    <cellStyle name="Normal 2 6 3 5 3 6" xfId="29782" xr:uid="{00000000-0005-0000-0000-000059740000}"/>
    <cellStyle name="Normal 2 6 3 5 3 7" xfId="29783" xr:uid="{00000000-0005-0000-0000-00005A740000}"/>
    <cellStyle name="Normal 2 6 3 5 3 8" xfId="29784" xr:uid="{00000000-0005-0000-0000-00005B740000}"/>
    <cellStyle name="Normal 2 6 3 5 3 9" xfId="29785" xr:uid="{00000000-0005-0000-0000-00005C740000}"/>
    <cellStyle name="Normal 2 6 3 5 4" xfId="29786" xr:uid="{00000000-0005-0000-0000-00005D740000}"/>
    <cellStyle name="Normal 2 6 3 5 4 2" xfId="29787" xr:uid="{00000000-0005-0000-0000-00005E740000}"/>
    <cellStyle name="Normal 2 6 3 5 4 2 2" xfId="29788" xr:uid="{00000000-0005-0000-0000-00005F740000}"/>
    <cellStyle name="Normal 2 6 3 5 4 2 3" xfId="29789" xr:uid="{00000000-0005-0000-0000-000060740000}"/>
    <cellStyle name="Normal 2 6 3 5 4 3" xfId="29790" xr:uid="{00000000-0005-0000-0000-000061740000}"/>
    <cellStyle name="Normal 2 6 3 5 4 4" xfId="29791" xr:uid="{00000000-0005-0000-0000-000062740000}"/>
    <cellStyle name="Normal 2 6 3 5 4 5" xfId="29792" xr:uid="{00000000-0005-0000-0000-000063740000}"/>
    <cellStyle name="Normal 2 6 3 5 4 6" xfId="29793" xr:uid="{00000000-0005-0000-0000-000064740000}"/>
    <cellStyle name="Normal 2 6 3 5 5" xfId="29794" xr:uid="{00000000-0005-0000-0000-000065740000}"/>
    <cellStyle name="Normal 2 6 3 5 5 2" xfId="29795" xr:uid="{00000000-0005-0000-0000-000066740000}"/>
    <cellStyle name="Normal 2 6 3 5 5 2 2" xfId="29796" xr:uid="{00000000-0005-0000-0000-000067740000}"/>
    <cellStyle name="Normal 2 6 3 5 5 3" xfId="29797" xr:uid="{00000000-0005-0000-0000-000068740000}"/>
    <cellStyle name="Normal 2 6 3 5 5 4" xfId="29798" xr:uid="{00000000-0005-0000-0000-000069740000}"/>
    <cellStyle name="Normal 2 6 3 5 5 5" xfId="29799" xr:uid="{00000000-0005-0000-0000-00006A740000}"/>
    <cellStyle name="Normal 2 6 3 5 6" xfId="29800" xr:uid="{00000000-0005-0000-0000-00006B740000}"/>
    <cellStyle name="Normal 2 6 3 5 6 2" xfId="29801" xr:uid="{00000000-0005-0000-0000-00006C740000}"/>
    <cellStyle name="Normal 2 6 3 5 6 3" xfId="29802" xr:uid="{00000000-0005-0000-0000-00006D740000}"/>
    <cellStyle name="Normal 2 6 3 5 6 4" xfId="29803" xr:uid="{00000000-0005-0000-0000-00006E740000}"/>
    <cellStyle name="Normal 2 6 3 5 7" xfId="29804" xr:uid="{00000000-0005-0000-0000-00006F740000}"/>
    <cellStyle name="Normal 2 6 3 5 7 2" xfId="29805" xr:uid="{00000000-0005-0000-0000-000070740000}"/>
    <cellStyle name="Normal 2 6 3 5 8" xfId="29806" xr:uid="{00000000-0005-0000-0000-000071740000}"/>
    <cellStyle name="Normal 2 6 3 5 9" xfId="29807" xr:uid="{00000000-0005-0000-0000-000072740000}"/>
    <cellStyle name="Normal 2 6 3 6" xfId="29808" xr:uid="{00000000-0005-0000-0000-000073740000}"/>
    <cellStyle name="Normal 2 6 3 6 10" xfId="29809" xr:uid="{00000000-0005-0000-0000-000074740000}"/>
    <cellStyle name="Normal 2 6 3 6 11" xfId="29810" xr:uid="{00000000-0005-0000-0000-000075740000}"/>
    <cellStyle name="Normal 2 6 3 6 2" xfId="29811" xr:uid="{00000000-0005-0000-0000-000076740000}"/>
    <cellStyle name="Normal 2 6 3 6 2 2" xfId="29812" xr:uid="{00000000-0005-0000-0000-000077740000}"/>
    <cellStyle name="Normal 2 6 3 6 2 2 2" xfId="29813" xr:uid="{00000000-0005-0000-0000-000078740000}"/>
    <cellStyle name="Normal 2 6 3 6 2 2 2 2" xfId="29814" xr:uid="{00000000-0005-0000-0000-000079740000}"/>
    <cellStyle name="Normal 2 6 3 6 2 2 2 3" xfId="29815" xr:uid="{00000000-0005-0000-0000-00007A740000}"/>
    <cellStyle name="Normal 2 6 3 6 2 2 3" xfId="29816" xr:uid="{00000000-0005-0000-0000-00007B740000}"/>
    <cellStyle name="Normal 2 6 3 6 2 2 4" xfId="29817" xr:uid="{00000000-0005-0000-0000-00007C740000}"/>
    <cellStyle name="Normal 2 6 3 6 2 2 5" xfId="29818" xr:uid="{00000000-0005-0000-0000-00007D740000}"/>
    <cellStyle name="Normal 2 6 3 6 2 2 6" xfId="29819" xr:uid="{00000000-0005-0000-0000-00007E740000}"/>
    <cellStyle name="Normal 2 6 3 6 2 3" xfId="29820" xr:uid="{00000000-0005-0000-0000-00007F740000}"/>
    <cellStyle name="Normal 2 6 3 6 2 3 2" xfId="29821" xr:uid="{00000000-0005-0000-0000-000080740000}"/>
    <cellStyle name="Normal 2 6 3 6 2 3 2 2" xfId="29822" xr:uid="{00000000-0005-0000-0000-000081740000}"/>
    <cellStyle name="Normal 2 6 3 6 2 3 3" xfId="29823" xr:uid="{00000000-0005-0000-0000-000082740000}"/>
    <cellStyle name="Normal 2 6 3 6 2 3 4" xfId="29824" xr:uid="{00000000-0005-0000-0000-000083740000}"/>
    <cellStyle name="Normal 2 6 3 6 2 3 5" xfId="29825" xr:uid="{00000000-0005-0000-0000-000084740000}"/>
    <cellStyle name="Normal 2 6 3 6 2 4" xfId="29826" xr:uid="{00000000-0005-0000-0000-000085740000}"/>
    <cellStyle name="Normal 2 6 3 6 2 4 2" xfId="29827" xr:uid="{00000000-0005-0000-0000-000086740000}"/>
    <cellStyle name="Normal 2 6 3 6 2 4 3" xfId="29828" xr:uid="{00000000-0005-0000-0000-000087740000}"/>
    <cellStyle name="Normal 2 6 3 6 2 4 4" xfId="29829" xr:uid="{00000000-0005-0000-0000-000088740000}"/>
    <cellStyle name="Normal 2 6 3 6 2 5" xfId="29830" xr:uid="{00000000-0005-0000-0000-000089740000}"/>
    <cellStyle name="Normal 2 6 3 6 2 5 2" xfId="29831" xr:uid="{00000000-0005-0000-0000-00008A740000}"/>
    <cellStyle name="Normal 2 6 3 6 2 6" xfId="29832" xr:uid="{00000000-0005-0000-0000-00008B740000}"/>
    <cellStyle name="Normal 2 6 3 6 2 7" xfId="29833" xr:uid="{00000000-0005-0000-0000-00008C740000}"/>
    <cellStyle name="Normal 2 6 3 6 2 8" xfId="29834" xr:uid="{00000000-0005-0000-0000-00008D740000}"/>
    <cellStyle name="Normal 2 6 3 6 2 9" xfId="29835" xr:uid="{00000000-0005-0000-0000-00008E740000}"/>
    <cellStyle name="Normal 2 6 3 6 3" xfId="29836" xr:uid="{00000000-0005-0000-0000-00008F740000}"/>
    <cellStyle name="Normal 2 6 3 6 3 2" xfId="29837" xr:uid="{00000000-0005-0000-0000-000090740000}"/>
    <cellStyle name="Normal 2 6 3 6 3 2 2" xfId="29838" xr:uid="{00000000-0005-0000-0000-000091740000}"/>
    <cellStyle name="Normal 2 6 3 6 3 2 2 2" xfId="29839" xr:uid="{00000000-0005-0000-0000-000092740000}"/>
    <cellStyle name="Normal 2 6 3 6 3 2 2 3" xfId="29840" xr:uid="{00000000-0005-0000-0000-000093740000}"/>
    <cellStyle name="Normal 2 6 3 6 3 2 3" xfId="29841" xr:uid="{00000000-0005-0000-0000-000094740000}"/>
    <cellStyle name="Normal 2 6 3 6 3 2 4" xfId="29842" xr:uid="{00000000-0005-0000-0000-000095740000}"/>
    <cellStyle name="Normal 2 6 3 6 3 2 5" xfId="29843" xr:uid="{00000000-0005-0000-0000-000096740000}"/>
    <cellStyle name="Normal 2 6 3 6 3 2 6" xfId="29844" xr:uid="{00000000-0005-0000-0000-000097740000}"/>
    <cellStyle name="Normal 2 6 3 6 3 3" xfId="29845" xr:uid="{00000000-0005-0000-0000-000098740000}"/>
    <cellStyle name="Normal 2 6 3 6 3 3 2" xfId="29846" xr:uid="{00000000-0005-0000-0000-000099740000}"/>
    <cellStyle name="Normal 2 6 3 6 3 3 2 2" xfId="29847" xr:uid="{00000000-0005-0000-0000-00009A740000}"/>
    <cellStyle name="Normal 2 6 3 6 3 3 3" xfId="29848" xr:uid="{00000000-0005-0000-0000-00009B740000}"/>
    <cellStyle name="Normal 2 6 3 6 3 3 4" xfId="29849" xr:uid="{00000000-0005-0000-0000-00009C740000}"/>
    <cellStyle name="Normal 2 6 3 6 3 3 5" xfId="29850" xr:uid="{00000000-0005-0000-0000-00009D740000}"/>
    <cellStyle name="Normal 2 6 3 6 3 4" xfId="29851" xr:uid="{00000000-0005-0000-0000-00009E740000}"/>
    <cellStyle name="Normal 2 6 3 6 3 4 2" xfId="29852" xr:uid="{00000000-0005-0000-0000-00009F740000}"/>
    <cellStyle name="Normal 2 6 3 6 3 4 3" xfId="29853" xr:uid="{00000000-0005-0000-0000-0000A0740000}"/>
    <cellStyle name="Normal 2 6 3 6 3 4 4" xfId="29854" xr:uid="{00000000-0005-0000-0000-0000A1740000}"/>
    <cellStyle name="Normal 2 6 3 6 3 5" xfId="29855" xr:uid="{00000000-0005-0000-0000-0000A2740000}"/>
    <cellStyle name="Normal 2 6 3 6 3 5 2" xfId="29856" xr:uid="{00000000-0005-0000-0000-0000A3740000}"/>
    <cellStyle name="Normal 2 6 3 6 3 6" xfId="29857" xr:uid="{00000000-0005-0000-0000-0000A4740000}"/>
    <cellStyle name="Normal 2 6 3 6 3 7" xfId="29858" xr:uid="{00000000-0005-0000-0000-0000A5740000}"/>
    <cellStyle name="Normal 2 6 3 6 3 8" xfId="29859" xr:uid="{00000000-0005-0000-0000-0000A6740000}"/>
    <cellStyle name="Normal 2 6 3 6 3 9" xfId="29860" xr:uid="{00000000-0005-0000-0000-0000A7740000}"/>
    <cellStyle name="Normal 2 6 3 6 4" xfId="29861" xr:uid="{00000000-0005-0000-0000-0000A8740000}"/>
    <cellStyle name="Normal 2 6 3 6 4 2" xfId="29862" xr:uid="{00000000-0005-0000-0000-0000A9740000}"/>
    <cellStyle name="Normal 2 6 3 6 4 2 2" xfId="29863" xr:uid="{00000000-0005-0000-0000-0000AA740000}"/>
    <cellStyle name="Normal 2 6 3 6 4 2 3" xfId="29864" xr:uid="{00000000-0005-0000-0000-0000AB740000}"/>
    <cellStyle name="Normal 2 6 3 6 4 3" xfId="29865" xr:uid="{00000000-0005-0000-0000-0000AC740000}"/>
    <cellStyle name="Normal 2 6 3 6 4 4" xfId="29866" xr:uid="{00000000-0005-0000-0000-0000AD740000}"/>
    <cellStyle name="Normal 2 6 3 6 4 5" xfId="29867" xr:uid="{00000000-0005-0000-0000-0000AE740000}"/>
    <cellStyle name="Normal 2 6 3 6 4 6" xfId="29868" xr:uid="{00000000-0005-0000-0000-0000AF740000}"/>
    <cellStyle name="Normal 2 6 3 6 5" xfId="29869" xr:uid="{00000000-0005-0000-0000-0000B0740000}"/>
    <cellStyle name="Normal 2 6 3 6 5 2" xfId="29870" xr:uid="{00000000-0005-0000-0000-0000B1740000}"/>
    <cellStyle name="Normal 2 6 3 6 5 2 2" xfId="29871" xr:uid="{00000000-0005-0000-0000-0000B2740000}"/>
    <cellStyle name="Normal 2 6 3 6 5 3" xfId="29872" xr:uid="{00000000-0005-0000-0000-0000B3740000}"/>
    <cellStyle name="Normal 2 6 3 6 5 4" xfId="29873" xr:uid="{00000000-0005-0000-0000-0000B4740000}"/>
    <cellStyle name="Normal 2 6 3 6 5 5" xfId="29874" xr:uid="{00000000-0005-0000-0000-0000B5740000}"/>
    <cellStyle name="Normal 2 6 3 6 6" xfId="29875" xr:uid="{00000000-0005-0000-0000-0000B6740000}"/>
    <cellStyle name="Normal 2 6 3 6 6 2" xfId="29876" xr:uid="{00000000-0005-0000-0000-0000B7740000}"/>
    <cellStyle name="Normal 2 6 3 6 6 3" xfId="29877" xr:uid="{00000000-0005-0000-0000-0000B8740000}"/>
    <cellStyle name="Normal 2 6 3 6 6 4" xfId="29878" xr:uid="{00000000-0005-0000-0000-0000B9740000}"/>
    <cellStyle name="Normal 2 6 3 6 7" xfId="29879" xr:uid="{00000000-0005-0000-0000-0000BA740000}"/>
    <cellStyle name="Normal 2 6 3 6 7 2" xfId="29880" xr:uid="{00000000-0005-0000-0000-0000BB740000}"/>
    <cellStyle name="Normal 2 6 3 6 8" xfId="29881" xr:uid="{00000000-0005-0000-0000-0000BC740000}"/>
    <cellStyle name="Normal 2 6 3 6 9" xfId="29882" xr:uid="{00000000-0005-0000-0000-0000BD740000}"/>
    <cellStyle name="Normal 2 6 3 7" xfId="29883" xr:uid="{00000000-0005-0000-0000-0000BE740000}"/>
    <cellStyle name="Normal 2 6 3 7 10" xfId="29884" xr:uid="{00000000-0005-0000-0000-0000BF740000}"/>
    <cellStyle name="Normal 2 6 3 7 11" xfId="29885" xr:uid="{00000000-0005-0000-0000-0000C0740000}"/>
    <cellStyle name="Normal 2 6 3 7 2" xfId="29886" xr:uid="{00000000-0005-0000-0000-0000C1740000}"/>
    <cellStyle name="Normal 2 6 3 7 2 2" xfId="29887" xr:uid="{00000000-0005-0000-0000-0000C2740000}"/>
    <cellStyle name="Normal 2 6 3 7 2 2 2" xfId="29888" xr:uid="{00000000-0005-0000-0000-0000C3740000}"/>
    <cellStyle name="Normal 2 6 3 7 2 2 2 2" xfId="29889" xr:uid="{00000000-0005-0000-0000-0000C4740000}"/>
    <cellStyle name="Normal 2 6 3 7 2 2 2 3" xfId="29890" xr:uid="{00000000-0005-0000-0000-0000C5740000}"/>
    <cellStyle name="Normal 2 6 3 7 2 2 3" xfId="29891" xr:uid="{00000000-0005-0000-0000-0000C6740000}"/>
    <cellStyle name="Normal 2 6 3 7 2 2 4" xfId="29892" xr:uid="{00000000-0005-0000-0000-0000C7740000}"/>
    <cellStyle name="Normal 2 6 3 7 2 2 5" xfId="29893" xr:uid="{00000000-0005-0000-0000-0000C8740000}"/>
    <cellStyle name="Normal 2 6 3 7 2 2 6" xfId="29894" xr:uid="{00000000-0005-0000-0000-0000C9740000}"/>
    <cellStyle name="Normal 2 6 3 7 2 3" xfId="29895" xr:uid="{00000000-0005-0000-0000-0000CA740000}"/>
    <cellStyle name="Normal 2 6 3 7 2 3 2" xfId="29896" xr:uid="{00000000-0005-0000-0000-0000CB740000}"/>
    <cellStyle name="Normal 2 6 3 7 2 3 2 2" xfId="29897" xr:uid="{00000000-0005-0000-0000-0000CC740000}"/>
    <cellStyle name="Normal 2 6 3 7 2 3 3" xfId="29898" xr:uid="{00000000-0005-0000-0000-0000CD740000}"/>
    <cellStyle name="Normal 2 6 3 7 2 3 4" xfId="29899" xr:uid="{00000000-0005-0000-0000-0000CE740000}"/>
    <cellStyle name="Normal 2 6 3 7 2 3 5" xfId="29900" xr:uid="{00000000-0005-0000-0000-0000CF740000}"/>
    <cellStyle name="Normal 2 6 3 7 2 4" xfId="29901" xr:uid="{00000000-0005-0000-0000-0000D0740000}"/>
    <cellStyle name="Normal 2 6 3 7 2 4 2" xfId="29902" xr:uid="{00000000-0005-0000-0000-0000D1740000}"/>
    <cellStyle name="Normal 2 6 3 7 2 4 3" xfId="29903" xr:uid="{00000000-0005-0000-0000-0000D2740000}"/>
    <cellStyle name="Normal 2 6 3 7 2 4 4" xfId="29904" xr:uid="{00000000-0005-0000-0000-0000D3740000}"/>
    <cellStyle name="Normal 2 6 3 7 2 5" xfId="29905" xr:uid="{00000000-0005-0000-0000-0000D4740000}"/>
    <cellStyle name="Normal 2 6 3 7 2 5 2" xfId="29906" xr:uid="{00000000-0005-0000-0000-0000D5740000}"/>
    <cellStyle name="Normal 2 6 3 7 2 6" xfId="29907" xr:uid="{00000000-0005-0000-0000-0000D6740000}"/>
    <cellStyle name="Normal 2 6 3 7 2 7" xfId="29908" xr:uid="{00000000-0005-0000-0000-0000D7740000}"/>
    <cellStyle name="Normal 2 6 3 7 2 8" xfId="29909" xr:uid="{00000000-0005-0000-0000-0000D8740000}"/>
    <cellStyle name="Normal 2 6 3 7 2 9" xfId="29910" xr:uid="{00000000-0005-0000-0000-0000D9740000}"/>
    <cellStyle name="Normal 2 6 3 7 3" xfId="29911" xr:uid="{00000000-0005-0000-0000-0000DA740000}"/>
    <cellStyle name="Normal 2 6 3 7 3 2" xfId="29912" xr:uid="{00000000-0005-0000-0000-0000DB740000}"/>
    <cellStyle name="Normal 2 6 3 7 3 2 2" xfId="29913" xr:uid="{00000000-0005-0000-0000-0000DC740000}"/>
    <cellStyle name="Normal 2 6 3 7 3 2 2 2" xfId="29914" xr:uid="{00000000-0005-0000-0000-0000DD740000}"/>
    <cellStyle name="Normal 2 6 3 7 3 2 2 3" xfId="29915" xr:uid="{00000000-0005-0000-0000-0000DE740000}"/>
    <cellStyle name="Normal 2 6 3 7 3 2 3" xfId="29916" xr:uid="{00000000-0005-0000-0000-0000DF740000}"/>
    <cellStyle name="Normal 2 6 3 7 3 2 4" xfId="29917" xr:uid="{00000000-0005-0000-0000-0000E0740000}"/>
    <cellStyle name="Normal 2 6 3 7 3 2 5" xfId="29918" xr:uid="{00000000-0005-0000-0000-0000E1740000}"/>
    <cellStyle name="Normal 2 6 3 7 3 2 6" xfId="29919" xr:uid="{00000000-0005-0000-0000-0000E2740000}"/>
    <cellStyle name="Normal 2 6 3 7 3 3" xfId="29920" xr:uid="{00000000-0005-0000-0000-0000E3740000}"/>
    <cellStyle name="Normal 2 6 3 7 3 3 2" xfId="29921" xr:uid="{00000000-0005-0000-0000-0000E4740000}"/>
    <cellStyle name="Normal 2 6 3 7 3 3 2 2" xfId="29922" xr:uid="{00000000-0005-0000-0000-0000E5740000}"/>
    <cellStyle name="Normal 2 6 3 7 3 3 3" xfId="29923" xr:uid="{00000000-0005-0000-0000-0000E6740000}"/>
    <cellStyle name="Normal 2 6 3 7 3 3 4" xfId="29924" xr:uid="{00000000-0005-0000-0000-0000E7740000}"/>
    <cellStyle name="Normal 2 6 3 7 3 3 5" xfId="29925" xr:uid="{00000000-0005-0000-0000-0000E8740000}"/>
    <cellStyle name="Normal 2 6 3 7 3 4" xfId="29926" xr:uid="{00000000-0005-0000-0000-0000E9740000}"/>
    <cellStyle name="Normal 2 6 3 7 3 4 2" xfId="29927" xr:uid="{00000000-0005-0000-0000-0000EA740000}"/>
    <cellStyle name="Normal 2 6 3 7 3 4 3" xfId="29928" xr:uid="{00000000-0005-0000-0000-0000EB740000}"/>
    <cellStyle name="Normal 2 6 3 7 3 4 4" xfId="29929" xr:uid="{00000000-0005-0000-0000-0000EC740000}"/>
    <cellStyle name="Normal 2 6 3 7 3 5" xfId="29930" xr:uid="{00000000-0005-0000-0000-0000ED740000}"/>
    <cellStyle name="Normal 2 6 3 7 3 5 2" xfId="29931" xr:uid="{00000000-0005-0000-0000-0000EE740000}"/>
    <cellStyle name="Normal 2 6 3 7 3 6" xfId="29932" xr:uid="{00000000-0005-0000-0000-0000EF740000}"/>
    <cellStyle name="Normal 2 6 3 7 3 7" xfId="29933" xr:uid="{00000000-0005-0000-0000-0000F0740000}"/>
    <cellStyle name="Normal 2 6 3 7 3 8" xfId="29934" xr:uid="{00000000-0005-0000-0000-0000F1740000}"/>
    <cellStyle name="Normal 2 6 3 7 3 9" xfId="29935" xr:uid="{00000000-0005-0000-0000-0000F2740000}"/>
    <cellStyle name="Normal 2 6 3 7 4" xfId="29936" xr:uid="{00000000-0005-0000-0000-0000F3740000}"/>
    <cellStyle name="Normal 2 6 3 7 4 2" xfId="29937" xr:uid="{00000000-0005-0000-0000-0000F4740000}"/>
    <cellStyle name="Normal 2 6 3 7 4 2 2" xfId="29938" xr:uid="{00000000-0005-0000-0000-0000F5740000}"/>
    <cellStyle name="Normal 2 6 3 7 4 2 3" xfId="29939" xr:uid="{00000000-0005-0000-0000-0000F6740000}"/>
    <cellStyle name="Normal 2 6 3 7 4 3" xfId="29940" xr:uid="{00000000-0005-0000-0000-0000F7740000}"/>
    <cellStyle name="Normal 2 6 3 7 4 4" xfId="29941" xr:uid="{00000000-0005-0000-0000-0000F8740000}"/>
    <cellStyle name="Normal 2 6 3 7 4 5" xfId="29942" xr:uid="{00000000-0005-0000-0000-0000F9740000}"/>
    <cellStyle name="Normal 2 6 3 7 4 6" xfId="29943" xr:uid="{00000000-0005-0000-0000-0000FA740000}"/>
    <cellStyle name="Normal 2 6 3 7 5" xfId="29944" xr:uid="{00000000-0005-0000-0000-0000FB740000}"/>
    <cellStyle name="Normal 2 6 3 7 5 2" xfId="29945" xr:uid="{00000000-0005-0000-0000-0000FC740000}"/>
    <cellStyle name="Normal 2 6 3 7 5 2 2" xfId="29946" xr:uid="{00000000-0005-0000-0000-0000FD740000}"/>
    <cellStyle name="Normal 2 6 3 7 5 3" xfId="29947" xr:uid="{00000000-0005-0000-0000-0000FE740000}"/>
    <cellStyle name="Normal 2 6 3 7 5 4" xfId="29948" xr:uid="{00000000-0005-0000-0000-0000FF740000}"/>
    <cellStyle name="Normal 2 6 3 7 5 5" xfId="29949" xr:uid="{00000000-0005-0000-0000-000000750000}"/>
    <cellStyle name="Normal 2 6 3 7 6" xfId="29950" xr:uid="{00000000-0005-0000-0000-000001750000}"/>
    <cellStyle name="Normal 2 6 3 7 6 2" xfId="29951" xr:uid="{00000000-0005-0000-0000-000002750000}"/>
    <cellStyle name="Normal 2 6 3 7 6 3" xfId="29952" xr:uid="{00000000-0005-0000-0000-000003750000}"/>
    <cellStyle name="Normal 2 6 3 7 6 4" xfId="29953" xr:uid="{00000000-0005-0000-0000-000004750000}"/>
    <cellStyle name="Normal 2 6 3 7 7" xfId="29954" xr:uid="{00000000-0005-0000-0000-000005750000}"/>
    <cellStyle name="Normal 2 6 3 7 7 2" xfId="29955" xr:uid="{00000000-0005-0000-0000-000006750000}"/>
    <cellStyle name="Normal 2 6 3 7 8" xfId="29956" xr:uid="{00000000-0005-0000-0000-000007750000}"/>
    <cellStyle name="Normal 2 6 3 7 9" xfId="29957" xr:uid="{00000000-0005-0000-0000-000008750000}"/>
    <cellStyle name="Normal 2 6 3 8" xfId="29958" xr:uid="{00000000-0005-0000-0000-000009750000}"/>
    <cellStyle name="Normal 2 6 3 8 10" xfId="29959" xr:uid="{00000000-0005-0000-0000-00000A750000}"/>
    <cellStyle name="Normal 2 6 3 8 2" xfId="29960" xr:uid="{00000000-0005-0000-0000-00000B750000}"/>
    <cellStyle name="Normal 2 6 3 8 2 2" xfId="29961" xr:uid="{00000000-0005-0000-0000-00000C750000}"/>
    <cellStyle name="Normal 2 6 3 8 2 2 2" xfId="29962" xr:uid="{00000000-0005-0000-0000-00000D750000}"/>
    <cellStyle name="Normal 2 6 3 8 2 2 3" xfId="29963" xr:uid="{00000000-0005-0000-0000-00000E750000}"/>
    <cellStyle name="Normal 2 6 3 8 2 3" xfId="29964" xr:uid="{00000000-0005-0000-0000-00000F750000}"/>
    <cellStyle name="Normal 2 6 3 8 2 4" xfId="29965" xr:uid="{00000000-0005-0000-0000-000010750000}"/>
    <cellStyle name="Normal 2 6 3 8 2 5" xfId="29966" xr:uid="{00000000-0005-0000-0000-000011750000}"/>
    <cellStyle name="Normal 2 6 3 8 2 6" xfId="29967" xr:uid="{00000000-0005-0000-0000-000012750000}"/>
    <cellStyle name="Normal 2 6 3 8 3" xfId="29968" xr:uid="{00000000-0005-0000-0000-000013750000}"/>
    <cellStyle name="Normal 2 6 3 8 3 2" xfId="29969" xr:uid="{00000000-0005-0000-0000-000014750000}"/>
    <cellStyle name="Normal 2 6 3 8 3 2 2" xfId="29970" xr:uid="{00000000-0005-0000-0000-000015750000}"/>
    <cellStyle name="Normal 2 6 3 8 3 2 3" xfId="29971" xr:uid="{00000000-0005-0000-0000-000016750000}"/>
    <cellStyle name="Normal 2 6 3 8 3 3" xfId="29972" xr:uid="{00000000-0005-0000-0000-000017750000}"/>
    <cellStyle name="Normal 2 6 3 8 3 4" xfId="29973" xr:uid="{00000000-0005-0000-0000-000018750000}"/>
    <cellStyle name="Normal 2 6 3 8 3 5" xfId="29974" xr:uid="{00000000-0005-0000-0000-000019750000}"/>
    <cellStyle name="Normal 2 6 3 8 3 6" xfId="29975" xr:uid="{00000000-0005-0000-0000-00001A750000}"/>
    <cellStyle name="Normal 2 6 3 8 4" xfId="29976" xr:uid="{00000000-0005-0000-0000-00001B750000}"/>
    <cellStyle name="Normal 2 6 3 8 4 2" xfId="29977" xr:uid="{00000000-0005-0000-0000-00001C750000}"/>
    <cellStyle name="Normal 2 6 3 8 4 2 2" xfId="29978" xr:uid="{00000000-0005-0000-0000-00001D750000}"/>
    <cellStyle name="Normal 2 6 3 8 4 3" xfId="29979" xr:uid="{00000000-0005-0000-0000-00001E750000}"/>
    <cellStyle name="Normal 2 6 3 8 4 4" xfId="29980" xr:uid="{00000000-0005-0000-0000-00001F750000}"/>
    <cellStyle name="Normal 2 6 3 8 4 5" xfId="29981" xr:uid="{00000000-0005-0000-0000-000020750000}"/>
    <cellStyle name="Normal 2 6 3 8 5" xfId="29982" xr:uid="{00000000-0005-0000-0000-000021750000}"/>
    <cellStyle name="Normal 2 6 3 8 5 2" xfId="29983" xr:uid="{00000000-0005-0000-0000-000022750000}"/>
    <cellStyle name="Normal 2 6 3 8 5 3" xfId="29984" xr:uid="{00000000-0005-0000-0000-000023750000}"/>
    <cellStyle name="Normal 2 6 3 8 5 4" xfId="29985" xr:uid="{00000000-0005-0000-0000-000024750000}"/>
    <cellStyle name="Normal 2 6 3 8 6" xfId="29986" xr:uid="{00000000-0005-0000-0000-000025750000}"/>
    <cellStyle name="Normal 2 6 3 8 6 2" xfId="29987" xr:uid="{00000000-0005-0000-0000-000026750000}"/>
    <cellStyle name="Normal 2 6 3 8 7" xfId="29988" xr:uid="{00000000-0005-0000-0000-000027750000}"/>
    <cellStyle name="Normal 2 6 3 8 8" xfId="29989" xr:uid="{00000000-0005-0000-0000-000028750000}"/>
    <cellStyle name="Normal 2 6 3 8 9" xfId="29990" xr:uid="{00000000-0005-0000-0000-000029750000}"/>
    <cellStyle name="Normal 2 6 3 9" xfId="29991" xr:uid="{00000000-0005-0000-0000-00002A750000}"/>
    <cellStyle name="Normal 2 6 3 9 10" xfId="29992" xr:uid="{00000000-0005-0000-0000-00002B750000}"/>
    <cellStyle name="Normal 2 6 3 9 2" xfId="29993" xr:uid="{00000000-0005-0000-0000-00002C750000}"/>
    <cellStyle name="Normal 2 6 3 9 2 2" xfId="29994" xr:uid="{00000000-0005-0000-0000-00002D750000}"/>
    <cellStyle name="Normal 2 6 3 9 2 2 2" xfId="29995" xr:uid="{00000000-0005-0000-0000-00002E750000}"/>
    <cellStyle name="Normal 2 6 3 9 2 2 3" xfId="29996" xr:uid="{00000000-0005-0000-0000-00002F750000}"/>
    <cellStyle name="Normal 2 6 3 9 2 3" xfId="29997" xr:uid="{00000000-0005-0000-0000-000030750000}"/>
    <cellStyle name="Normal 2 6 3 9 2 4" xfId="29998" xr:uid="{00000000-0005-0000-0000-000031750000}"/>
    <cellStyle name="Normal 2 6 3 9 2 5" xfId="29999" xr:uid="{00000000-0005-0000-0000-000032750000}"/>
    <cellStyle name="Normal 2 6 3 9 2 6" xfId="30000" xr:uid="{00000000-0005-0000-0000-000033750000}"/>
    <cellStyle name="Normal 2 6 3 9 3" xfId="30001" xr:uid="{00000000-0005-0000-0000-000034750000}"/>
    <cellStyle name="Normal 2 6 3 9 3 2" xfId="30002" xr:uid="{00000000-0005-0000-0000-000035750000}"/>
    <cellStyle name="Normal 2 6 3 9 3 2 2" xfId="30003" xr:uid="{00000000-0005-0000-0000-000036750000}"/>
    <cellStyle name="Normal 2 6 3 9 3 2 3" xfId="30004" xr:uid="{00000000-0005-0000-0000-000037750000}"/>
    <cellStyle name="Normal 2 6 3 9 3 3" xfId="30005" xr:uid="{00000000-0005-0000-0000-000038750000}"/>
    <cellStyle name="Normal 2 6 3 9 3 4" xfId="30006" xr:uid="{00000000-0005-0000-0000-000039750000}"/>
    <cellStyle name="Normal 2 6 3 9 3 5" xfId="30007" xr:uid="{00000000-0005-0000-0000-00003A750000}"/>
    <cellStyle name="Normal 2 6 3 9 3 6" xfId="30008" xr:uid="{00000000-0005-0000-0000-00003B750000}"/>
    <cellStyle name="Normal 2 6 3 9 4" xfId="30009" xr:uid="{00000000-0005-0000-0000-00003C750000}"/>
    <cellStyle name="Normal 2 6 3 9 4 2" xfId="30010" xr:uid="{00000000-0005-0000-0000-00003D750000}"/>
    <cellStyle name="Normal 2 6 3 9 4 2 2" xfId="30011" xr:uid="{00000000-0005-0000-0000-00003E750000}"/>
    <cellStyle name="Normal 2 6 3 9 4 3" xfId="30012" xr:uid="{00000000-0005-0000-0000-00003F750000}"/>
    <cellStyle name="Normal 2 6 3 9 4 4" xfId="30013" xr:uid="{00000000-0005-0000-0000-000040750000}"/>
    <cellStyle name="Normal 2 6 3 9 4 5" xfId="30014" xr:uid="{00000000-0005-0000-0000-000041750000}"/>
    <cellStyle name="Normal 2 6 3 9 5" xfId="30015" xr:uid="{00000000-0005-0000-0000-000042750000}"/>
    <cellStyle name="Normal 2 6 3 9 5 2" xfId="30016" xr:uid="{00000000-0005-0000-0000-000043750000}"/>
    <cellStyle name="Normal 2 6 3 9 5 3" xfId="30017" xr:uid="{00000000-0005-0000-0000-000044750000}"/>
    <cellStyle name="Normal 2 6 3 9 5 4" xfId="30018" xr:uid="{00000000-0005-0000-0000-000045750000}"/>
    <cellStyle name="Normal 2 6 3 9 6" xfId="30019" xr:uid="{00000000-0005-0000-0000-000046750000}"/>
    <cellStyle name="Normal 2 6 3 9 6 2" xfId="30020" xr:uid="{00000000-0005-0000-0000-000047750000}"/>
    <cellStyle name="Normal 2 6 3 9 7" xfId="30021" xr:uid="{00000000-0005-0000-0000-000048750000}"/>
    <cellStyle name="Normal 2 6 3 9 8" xfId="30022" xr:uid="{00000000-0005-0000-0000-000049750000}"/>
    <cellStyle name="Normal 2 6 3 9 9" xfId="30023" xr:uid="{00000000-0005-0000-0000-00004A750000}"/>
    <cellStyle name="Normal 2 6 30" xfId="30024" xr:uid="{00000000-0005-0000-0000-00004B750000}"/>
    <cellStyle name="Normal 2 6 30 2" xfId="30025" xr:uid="{00000000-0005-0000-0000-00004C750000}"/>
    <cellStyle name="Normal 2 6 30 2 2" xfId="30026" xr:uid="{00000000-0005-0000-0000-00004D750000}"/>
    <cellStyle name="Normal 2 6 30 2 2 2" xfId="30027" xr:uid="{00000000-0005-0000-0000-00004E750000}"/>
    <cellStyle name="Normal 2 6 30 2 2 3" xfId="30028" xr:uid="{00000000-0005-0000-0000-00004F750000}"/>
    <cellStyle name="Normal 2 6 30 2 3" xfId="30029" xr:uid="{00000000-0005-0000-0000-000050750000}"/>
    <cellStyle name="Normal 2 6 30 2 4" xfId="30030" xr:uid="{00000000-0005-0000-0000-000051750000}"/>
    <cellStyle name="Normal 2 6 30 2 5" xfId="30031" xr:uid="{00000000-0005-0000-0000-000052750000}"/>
    <cellStyle name="Normal 2 6 30 2 6" xfId="30032" xr:uid="{00000000-0005-0000-0000-000053750000}"/>
    <cellStyle name="Normal 2 6 30 3" xfId="30033" xr:uid="{00000000-0005-0000-0000-000054750000}"/>
    <cellStyle name="Normal 2 6 30 3 2" xfId="30034" xr:uid="{00000000-0005-0000-0000-000055750000}"/>
    <cellStyle name="Normal 2 6 30 3 2 2" xfId="30035" xr:uid="{00000000-0005-0000-0000-000056750000}"/>
    <cellStyle name="Normal 2 6 30 3 3" xfId="30036" xr:uid="{00000000-0005-0000-0000-000057750000}"/>
    <cellStyle name="Normal 2 6 30 3 4" xfId="30037" xr:uid="{00000000-0005-0000-0000-000058750000}"/>
    <cellStyle name="Normal 2 6 30 3 5" xfId="30038" xr:uid="{00000000-0005-0000-0000-000059750000}"/>
    <cellStyle name="Normal 2 6 30 4" xfId="30039" xr:uid="{00000000-0005-0000-0000-00005A750000}"/>
    <cellStyle name="Normal 2 6 30 4 2" xfId="30040" xr:uid="{00000000-0005-0000-0000-00005B750000}"/>
    <cellStyle name="Normal 2 6 30 4 3" xfId="30041" xr:uid="{00000000-0005-0000-0000-00005C750000}"/>
    <cellStyle name="Normal 2 6 30 4 4" xfId="30042" xr:uid="{00000000-0005-0000-0000-00005D750000}"/>
    <cellStyle name="Normal 2 6 30 5" xfId="30043" xr:uid="{00000000-0005-0000-0000-00005E750000}"/>
    <cellStyle name="Normal 2 6 30 5 2" xfId="30044" xr:uid="{00000000-0005-0000-0000-00005F750000}"/>
    <cellStyle name="Normal 2 6 30 6" xfId="30045" xr:uid="{00000000-0005-0000-0000-000060750000}"/>
    <cellStyle name="Normal 2 6 30 7" xfId="30046" xr:uid="{00000000-0005-0000-0000-000061750000}"/>
    <cellStyle name="Normal 2 6 30 8" xfId="30047" xr:uid="{00000000-0005-0000-0000-000062750000}"/>
    <cellStyle name="Normal 2 6 30 9" xfId="30048" xr:uid="{00000000-0005-0000-0000-000063750000}"/>
    <cellStyle name="Normal 2 6 31" xfId="30049" xr:uid="{00000000-0005-0000-0000-000064750000}"/>
    <cellStyle name="Normal 2 6 31 2" xfId="30050" xr:uid="{00000000-0005-0000-0000-000065750000}"/>
    <cellStyle name="Normal 2 6 31 2 2" xfId="30051" xr:uid="{00000000-0005-0000-0000-000066750000}"/>
    <cellStyle name="Normal 2 6 31 2 2 2" xfId="30052" xr:uid="{00000000-0005-0000-0000-000067750000}"/>
    <cellStyle name="Normal 2 6 31 2 2 3" xfId="30053" xr:uid="{00000000-0005-0000-0000-000068750000}"/>
    <cellStyle name="Normal 2 6 31 2 3" xfId="30054" xr:uid="{00000000-0005-0000-0000-000069750000}"/>
    <cellStyle name="Normal 2 6 31 2 4" xfId="30055" xr:uid="{00000000-0005-0000-0000-00006A750000}"/>
    <cellStyle name="Normal 2 6 31 2 5" xfId="30056" xr:uid="{00000000-0005-0000-0000-00006B750000}"/>
    <cellStyle name="Normal 2 6 31 2 6" xfId="30057" xr:uid="{00000000-0005-0000-0000-00006C750000}"/>
    <cellStyle name="Normal 2 6 31 3" xfId="30058" xr:uid="{00000000-0005-0000-0000-00006D750000}"/>
    <cellStyle name="Normal 2 6 31 3 2" xfId="30059" xr:uid="{00000000-0005-0000-0000-00006E750000}"/>
    <cellStyle name="Normal 2 6 31 3 2 2" xfId="30060" xr:uid="{00000000-0005-0000-0000-00006F750000}"/>
    <cellStyle name="Normal 2 6 31 3 3" xfId="30061" xr:uid="{00000000-0005-0000-0000-000070750000}"/>
    <cellStyle name="Normal 2 6 31 3 4" xfId="30062" xr:uid="{00000000-0005-0000-0000-000071750000}"/>
    <cellStyle name="Normal 2 6 31 3 5" xfId="30063" xr:uid="{00000000-0005-0000-0000-000072750000}"/>
    <cellStyle name="Normal 2 6 31 4" xfId="30064" xr:uid="{00000000-0005-0000-0000-000073750000}"/>
    <cellStyle name="Normal 2 6 31 4 2" xfId="30065" xr:uid="{00000000-0005-0000-0000-000074750000}"/>
    <cellStyle name="Normal 2 6 31 4 3" xfId="30066" xr:uid="{00000000-0005-0000-0000-000075750000}"/>
    <cellStyle name="Normal 2 6 31 4 4" xfId="30067" xr:uid="{00000000-0005-0000-0000-000076750000}"/>
    <cellStyle name="Normal 2 6 31 5" xfId="30068" xr:uid="{00000000-0005-0000-0000-000077750000}"/>
    <cellStyle name="Normal 2 6 31 5 2" xfId="30069" xr:uid="{00000000-0005-0000-0000-000078750000}"/>
    <cellStyle name="Normal 2 6 31 6" xfId="30070" xr:uid="{00000000-0005-0000-0000-000079750000}"/>
    <cellStyle name="Normal 2 6 31 7" xfId="30071" xr:uid="{00000000-0005-0000-0000-00007A750000}"/>
    <cellStyle name="Normal 2 6 31 8" xfId="30072" xr:uid="{00000000-0005-0000-0000-00007B750000}"/>
    <cellStyle name="Normal 2 6 31 9" xfId="30073" xr:uid="{00000000-0005-0000-0000-00007C750000}"/>
    <cellStyle name="Normal 2 6 32" xfId="30074" xr:uid="{00000000-0005-0000-0000-00007D750000}"/>
    <cellStyle name="Normal 2 6 32 2" xfId="30075" xr:uid="{00000000-0005-0000-0000-00007E750000}"/>
    <cellStyle name="Normal 2 6 32 2 2" xfId="30076" xr:uid="{00000000-0005-0000-0000-00007F750000}"/>
    <cellStyle name="Normal 2 6 32 2 3" xfId="30077" xr:uid="{00000000-0005-0000-0000-000080750000}"/>
    <cellStyle name="Normal 2 6 32 3" xfId="30078" xr:uid="{00000000-0005-0000-0000-000081750000}"/>
    <cellStyle name="Normal 2 6 32 4" xfId="30079" xr:uid="{00000000-0005-0000-0000-000082750000}"/>
    <cellStyle name="Normal 2 6 32 5" xfId="30080" xr:uid="{00000000-0005-0000-0000-000083750000}"/>
    <cellStyle name="Normal 2 6 32 6" xfId="30081" xr:uid="{00000000-0005-0000-0000-000084750000}"/>
    <cellStyle name="Normal 2 6 33" xfId="30082" xr:uid="{00000000-0005-0000-0000-000085750000}"/>
    <cellStyle name="Normal 2 6 33 2" xfId="30083" xr:uid="{00000000-0005-0000-0000-000086750000}"/>
    <cellStyle name="Normal 2 6 33 2 2" xfId="30084" xr:uid="{00000000-0005-0000-0000-000087750000}"/>
    <cellStyle name="Normal 2 6 33 3" xfId="30085" xr:uid="{00000000-0005-0000-0000-000088750000}"/>
    <cellStyle name="Normal 2 6 33 4" xfId="30086" xr:uid="{00000000-0005-0000-0000-000089750000}"/>
    <cellStyle name="Normal 2 6 33 5" xfId="30087" xr:uid="{00000000-0005-0000-0000-00008A750000}"/>
    <cellStyle name="Normal 2 6 34" xfId="30088" xr:uid="{00000000-0005-0000-0000-00008B750000}"/>
    <cellStyle name="Normal 2 6 34 2" xfId="30089" xr:uid="{00000000-0005-0000-0000-00008C750000}"/>
    <cellStyle name="Normal 2 6 34 2 2" xfId="30090" xr:uid="{00000000-0005-0000-0000-00008D750000}"/>
    <cellStyle name="Normal 2 6 34 3" xfId="30091" xr:uid="{00000000-0005-0000-0000-00008E750000}"/>
    <cellStyle name="Normal 2 6 34 4" xfId="30092" xr:uid="{00000000-0005-0000-0000-00008F750000}"/>
    <cellStyle name="Normal 2 6 34 5" xfId="30093" xr:uid="{00000000-0005-0000-0000-000090750000}"/>
    <cellStyle name="Normal 2 6 35" xfId="30094" xr:uid="{00000000-0005-0000-0000-000091750000}"/>
    <cellStyle name="Normal 2 6 35 2" xfId="30095" xr:uid="{00000000-0005-0000-0000-000092750000}"/>
    <cellStyle name="Normal 2 6 36" xfId="30096" xr:uid="{00000000-0005-0000-0000-000093750000}"/>
    <cellStyle name="Normal 2 6 37" xfId="30097" xr:uid="{00000000-0005-0000-0000-000094750000}"/>
    <cellStyle name="Normal 2 6 38" xfId="30098" xr:uid="{00000000-0005-0000-0000-000095750000}"/>
    <cellStyle name="Normal 2 6 39" xfId="30099" xr:uid="{00000000-0005-0000-0000-000096750000}"/>
    <cellStyle name="Normal 2 6 4" xfId="30100" xr:uid="{00000000-0005-0000-0000-000097750000}"/>
    <cellStyle name="Normal 2 6 4 10" xfId="30101" xr:uid="{00000000-0005-0000-0000-000098750000}"/>
    <cellStyle name="Normal 2 6 4 10 10" xfId="30102" xr:uid="{00000000-0005-0000-0000-000099750000}"/>
    <cellStyle name="Normal 2 6 4 10 2" xfId="30103" xr:uid="{00000000-0005-0000-0000-00009A750000}"/>
    <cellStyle name="Normal 2 6 4 10 2 2" xfId="30104" xr:uid="{00000000-0005-0000-0000-00009B750000}"/>
    <cellStyle name="Normal 2 6 4 10 2 2 2" xfId="30105" xr:uid="{00000000-0005-0000-0000-00009C750000}"/>
    <cellStyle name="Normal 2 6 4 10 2 2 3" xfId="30106" xr:uid="{00000000-0005-0000-0000-00009D750000}"/>
    <cellStyle name="Normal 2 6 4 10 2 3" xfId="30107" xr:uid="{00000000-0005-0000-0000-00009E750000}"/>
    <cellStyle name="Normal 2 6 4 10 2 4" xfId="30108" xr:uid="{00000000-0005-0000-0000-00009F750000}"/>
    <cellStyle name="Normal 2 6 4 10 2 5" xfId="30109" xr:uid="{00000000-0005-0000-0000-0000A0750000}"/>
    <cellStyle name="Normal 2 6 4 10 2 6" xfId="30110" xr:uid="{00000000-0005-0000-0000-0000A1750000}"/>
    <cellStyle name="Normal 2 6 4 10 3" xfId="30111" xr:uid="{00000000-0005-0000-0000-0000A2750000}"/>
    <cellStyle name="Normal 2 6 4 10 3 2" xfId="30112" xr:uid="{00000000-0005-0000-0000-0000A3750000}"/>
    <cellStyle name="Normal 2 6 4 10 3 2 2" xfId="30113" xr:uid="{00000000-0005-0000-0000-0000A4750000}"/>
    <cellStyle name="Normal 2 6 4 10 3 2 3" xfId="30114" xr:uid="{00000000-0005-0000-0000-0000A5750000}"/>
    <cellStyle name="Normal 2 6 4 10 3 3" xfId="30115" xr:uid="{00000000-0005-0000-0000-0000A6750000}"/>
    <cellStyle name="Normal 2 6 4 10 3 4" xfId="30116" xr:uid="{00000000-0005-0000-0000-0000A7750000}"/>
    <cellStyle name="Normal 2 6 4 10 3 5" xfId="30117" xr:uid="{00000000-0005-0000-0000-0000A8750000}"/>
    <cellStyle name="Normal 2 6 4 10 3 6" xfId="30118" xr:uid="{00000000-0005-0000-0000-0000A9750000}"/>
    <cellStyle name="Normal 2 6 4 10 4" xfId="30119" xr:uid="{00000000-0005-0000-0000-0000AA750000}"/>
    <cellStyle name="Normal 2 6 4 10 4 2" xfId="30120" xr:uid="{00000000-0005-0000-0000-0000AB750000}"/>
    <cellStyle name="Normal 2 6 4 10 4 2 2" xfId="30121" xr:uid="{00000000-0005-0000-0000-0000AC750000}"/>
    <cellStyle name="Normal 2 6 4 10 4 3" xfId="30122" xr:uid="{00000000-0005-0000-0000-0000AD750000}"/>
    <cellStyle name="Normal 2 6 4 10 4 4" xfId="30123" xr:uid="{00000000-0005-0000-0000-0000AE750000}"/>
    <cellStyle name="Normal 2 6 4 10 4 5" xfId="30124" xr:uid="{00000000-0005-0000-0000-0000AF750000}"/>
    <cellStyle name="Normal 2 6 4 10 5" xfId="30125" xr:uid="{00000000-0005-0000-0000-0000B0750000}"/>
    <cellStyle name="Normal 2 6 4 10 5 2" xfId="30126" xr:uid="{00000000-0005-0000-0000-0000B1750000}"/>
    <cellStyle name="Normal 2 6 4 10 5 3" xfId="30127" xr:uid="{00000000-0005-0000-0000-0000B2750000}"/>
    <cellStyle name="Normal 2 6 4 10 5 4" xfId="30128" xr:uid="{00000000-0005-0000-0000-0000B3750000}"/>
    <cellStyle name="Normal 2 6 4 10 6" xfId="30129" xr:uid="{00000000-0005-0000-0000-0000B4750000}"/>
    <cellStyle name="Normal 2 6 4 10 6 2" xfId="30130" xr:uid="{00000000-0005-0000-0000-0000B5750000}"/>
    <cellStyle name="Normal 2 6 4 10 7" xfId="30131" xr:uid="{00000000-0005-0000-0000-0000B6750000}"/>
    <cellStyle name="Normal 2 6 4 10 8" xfId="30132" xr:uid="{00000000-0005-0000-0000-0000B7750000}"/>
    <cellStyle name="Normal 2 6 4 10 9" xfId="30133" xr:uid="{00000000-0005-0000-0000-0000B8750000}"/>
    <cellStyle name="Normal 2 6 4 11" xfId="30134" xr:uid="{00000000-0005-0000-0000-0000B9750000}"/>
    <cellStyle name="Normal 2 6 4 11 10" xfId="30135" xr:uid="{00000000-0005-0000-0000-0000BA750000}"/>
    <cellStyle name="Normal 2 6 4 11 2" xfId="30136" xr:uid="{00000000-0005-0000-0000-0000BB750000}"/>
    <cellStyle name="Normal 2 6 4 11 2 2" xfId="30137" xr:uid="{00000000-0005-0000-0000-0000BC750000}"/>
    <cellStyle name="Normal 2 6 4 11 2 2 2" xfId="30138" xr:uid="{00000000-0005-0000-0000-0000BD750000}"/>
    <cellStyle name="Normal 2 6 4 11 2 2 3" xfId="30139" xr:uid="{00000000-0005-0000-0000-0000BE750000}"/>
    <cellStyle name="Normal 2 6 4 11 2 3" xfId="30140" xr:uid="{00000000-0005-0000-0000-0000BF750000}"/>
    <cellStyle name="Normal 2 6 4 11 2 4" xfId="30141" xr:uid="{00000000-0005-0000-0000-0000C0750000}"/>
    <cellStyle name="Normal 2 6 4 11 2 5" xfId="30142" xr:uid="{00000000-0005-0000-0000-0000C1750000}"/>
    <cellStyle name="Normal 2 6 4 11 2 6" xfId="30143" xr:uid="{00000000-0005-0000-0000-0000C2750000}"/>
    <cellStyle name="Normal 2 6 4 11 3" xfId="30144" xr:uid="{00000000-0005-0000-0000-0000C3750000}"/>
    <cellStyle name="Normal 2 6 4 11 3 2" xfId="30145" xr:uid="{00000000-0005-0000-0000-0000C4750000}"/>
    <cellStyle name="Normal 2 6 4 11 3 2 2" xfId="30146" xr:uid="{00000000-0005-0000-0000-0000C5750000}"/>
    <cellStyle name="Normal 2 6 4 11 3 2 3" xfId="30147" xr:uid="{00000000-0005-0000-0000-0000C6750000}"/>
    <cellStyle name="Normal 2 6 4 11 3 3" xfId="30148" xr:uid="{00000000-0005-0000-0000-0000C7750000}"/>
    <cellStyle name="Normal 2 6 4 11 3 4" xfId="30149" xr:uid="{00000000-0005-0000-0000-0000C8750000}"/>
    <cellStyle name="Normal 2 6 4 11 3 5" xfId="30150" xr:uid="{00000000-0005-0000-0000-0000C9750000}"/>
    <cellStyle name="Normal 2 6 4 11 3 6" xfId="30151" xr:uid="{00000000-0005-0000-0000-0000CA750000}"/>
    <cellStyle name="Normal 2 6 4 11 4" xfId="30152" xr:uid="{00000000-0005-0000-0000-0000CB750000}"/>
    <cellStyle name="Normal 2 6 4 11 4 2" xfId="30153" xr:uid="{00000000-0005-0000-0000-0000CC750000}"/>
    <cellStyle name="Normal 2 6 4 11 4 2 2" xfId="30154" xr:uid="{00000000-0005-0000-0000-0000CD750000}"/>
    <cellStyle name="Normal 2 6 4 11 4 3" xfId="30155" xr:uid="{00000000-0005-0000-0000-0000CE750000}"/>
    <cellStyle name="Normal 2 6 4 11 4 4" xfId="30156" xr:uid="{00000000-0005-0000-0000-0000CF750000}"/>
    <cellStyle name="Normal 2 6 4 11 4 5" xfId="30157" xr:uid="{00000000-0005-0000-0000-0000D0750000}"/>
    <cellStyle name="Normal 2 6 4 11 5" xfId="30158" xr:uid="{00000000-0005-0000-0000-0000D1750000}"/>
    <cellStyle name="Normal 2 6 4 11 5 2" xfId="30159" xr:uid="{00000000-0005-0000-0000-0000D2750000}"/>
    <cellStyle name="Normal 2 6 4 11 5 3" xfId="30160" xr:uid="{00000000-0005-0000-0000-0000D3750000}"/>
    <cellStyle name="Normal 2 6 4 11 5 4" xfId="30161" xr:uid="{00000000-0005-0000-0000-0000D4750000}"/>
    <cellStyle name="Normal 2 6 4 11 6" xfId="30162" xr:uid="{00000000-0005-0000-0000-0000D5750000}"/>
    <cellStyle name="Normal 2 6 4 11 6 2" xfId="30163" xr:uid="{00000000-0005-0000-0000-0000D6750000}"/>
    <cellStyle name="Normal 2 6 4 11 7" xfId="30164" xr:uid="{00000000-0005-0000-0000-0000D7750000}"/>
    <cellStyle name="Normal 2 6 4 11 8" xfId="30165" xr:uid="{00000000-0005-0000-0000-0000D8750000}"/>
    <cellStyle name="Normal 2 6 4 11 9" xfId="30166" xr:uid="{00000000-0005-0000-0000-0000D9750000}"/>
    <cellStyle name="Normal 2 6 4 12" xfId="30167" xr:uid="{00000000-0005-0000-0000-0000DA750000}"/>
    <cellStyle name="Normal 2 6 4 12 10" xfId="30168" xr:uid="{00000000-0005-0000-0000-0000DB750000}"/>
    <cellStyle name="Normal 2 6 4 12 2" xfId="30169" xr:uid="{00000000-0005-0000-0000-0000DC750000}"/>
    <cellStyle name="Normal 2 6 4 12 2 2" xfId="30170" xr:uid="{00000000-0005-0000-0000-0000DD750000}"/>
    <cellStyle name="Normal 2 6 4 12 2 2 2" xfId="30171" xr:uid="{00000000-0005-0000-0000-0000DE750000}"/>
    <cellStyle name="Normal 2 6 4 12 2 2 3" xfId="30172" xr:uid="{00000000-0005-0000-0000-0000DF750000}"/>
    <cellStyle name="Normal 2 6 4 12 2 3" xfId="30173" xr:uid="{00000000-0005-0000-0000-0000E0750000}"/>
    <cellStyle name="Normal 2 6 4 12 2 4" xfId="30174" xr:uid="{00000000-0005-0000-0000-0000E1750000}"/>
    <cellStyle name="Normal 2 6 4 12 2 5" xfId="30175" xr:uid="{00000000-0005-0000-0000-0000E2750000}"/>
    <cellStyle name="Normal 2 6 4 12 2 6" xfId="30176" xr:uid="{00000000-0005-0000-0000-0000E3750000}"/>
    <cellStyle name="Normal 2 6 4 12 3" xfId="30177" xr:uid="{00000000-0005-0000-0000-0000E4750000}"/>
    <cellStyle name="Normal 2 6 4 12 3 2" xfId="30178" xr:uid="{00000000-0005-0000-0000-0000E5750000}"/>
    <cellStyle name="Normal 2 6 4 12 3 2 2" xfId="30179" xr:uid="{00000000-0005-0000-0000-0000E6750000}"/>
    <cellStyle name="Normal 2 6 4 12 3 2 3" xfId="30180" xr:uid="{00000000-0005-0000-0000-0000E7750000}"/>
    <cellStyle name="Normal 2 6 4 12 3 3" xfId="30181" xr:uid="{00000000-0005-0000-0000-0000E8750000}"/>
    <cellStyle name="Normal 2 6 4 12 3 4" xfId="30182" xr:uid="{00000000-0005-0000-0000-0000E9750000}"/>
    <cellStyle name="Normal 2 6 4 12 3 5" xfId="30183" xr:uid="{00000000-0005-0000-0000-0000EA750000}"/>
    <cellStyle name="Normal 2 6 4 12 3 6" xfId="30184" xr:uid="{00000000-0005-0000-0000-0000EB750000}"/>
    <cellStyle name="Normal 2 6 4 12 4" xfId="30185" xr:uid="{00000000-0005-0000-0000-0000EC750000}"/>
    <cellStyle name="Normal 2 6 4 12 4 2" xfId="30186" xr:uid="{00000000-0005-0000-0000-0000ED750000}"/>
    <cellStyle name="Normal 2 6 4 12 4 2 2" xfId="30187" xr:uid="{00000000-0005-0000-0000-0000EE750000}"/>
    <cellStyle name="Normal 2 6 4 12 4 3" xfId="30188" xr:uid="{00000000-0005-0000-0000-0000EF750000}"/>
    <cellStyle name="Normal 2 6 4 12 4 4" xfId="30189" xr:uid="{00000000-0005-0000-0000-0000F0750000}"/>
    <cellStyle name="Normal 2 6 4 12 4 5" xfId="30190" xr:uid="{00000000-0005-0000-0000-0000F1750000}"/>
    <cellStyle name="Normal 2 6 4 12 5" xfId="30191" xr:uid="{00000000-0005-0000-0000-0000F2750000}"/>
    <cellStyle name="Normal 2 6 4 12 5 2" xfId="30192" xr:uid="{00000000-0005-0000-0000-0000F3750000}"/>
    <cellStyle name="Normal 2 6 4 12 5 3" xfId="30193" xr:uid="{00000000-0005-0000-0000-0000F4750000}"/>
    <cellStyle name="Normal 2 6 4 12 5 4" xfId="30194" xr:uid="{00000000-0005-0000-0000-0000F5750000}"/>
    <cellStyle name="Normal 2 6 4 12 6" xfId="30195" xr:uid="{00000000-0005-0000-0000-0000F6750000}"/>
    <cellStyle name="Normal 2 6 4 12 6 2" xfId="30196" xr:uid="{00000000-0005-0000-0000-0000F7750000}"/>
    <cellStyle name="Normal 2 6 4 12 7" xfId="30197" xr:uid="{00000000-0005-0000-0000-0000F8750000}"/>
    <cellStyle name="Normal 2 6 4 12 8" xfId="30198" xr:uid="{00000000-0005-0000-0000-0000F9750000}"/>
    <cellStyle name="Normal 2 6 4 12 9" xfId="30199" xr:uid="{00000000-0005-0000-0000-0000FA750000}"/>
    <cellStyle name="Normal 2 6 4 13" xfId="30200" xr:uid="{00000000-0005-0000-0000-0000FB750000}"/>
    <cellStyle name="Normal 2 6 4 13 2" xfId="30201" xr:uid="{00000000-0005-0000-0000-0000FC750000}"/>
    <cellStyle name="Normal 2 6 4 13 2 2" xfId="30202" xr:uid="{00000000-0005-0000-0000-0000FD750000}"/>
    <cellStyle name="Normal 2 6 4 13 2 2 2" xfId="30203" xr:uid="{00000000-0005-0000-0000-0000FE750000}"/>
    <cellStyle name="Normal 2 6 4 13 2 2 3" xfId="30204" xr:uid="{00000000-0005-0000-0000-0000FF750000}"/>
    <cellStyle name="Normal 2 6 4 13 2 3" xfId="30205" xr:uid="{00000000-0005-0000-0000-000000760000}"/>
    <cellStyle name="Normal 2 6 4 13 2 4" xfId="30206" xr:uid="{00000000-0005-0000-0000-000001760000}"/>
    <cellStyle name="Normal 2 6 4 13 2 5" xfId="30207" xr:uid="{00000000-0005-0000-0000-000002760000}"/>
    <cellStyle name="Normal 2 6 4 13 2 6" xfId="30208" xr:uid="{00000000-0005-0000-0000-000003760000}"/>
    <cellStyle name="Normal 2 6 4 13 3" xfId="30209" xr:uid="{00000000-0005-0000-0000-000004760000}"/>
    <cellStyle name="Normal 2 6 4 13 3 2" xfId="30210" xr:uid="{00000000-0005-0000-0000-000005760000}"/>
    <cellStyle name="Normal 2 6 4 13 3 2 2" xfId="30211" xr:uid="{00000000-0005-0000-0000-000006760000}"/>
    <cellStyle name="Normal 2 6 4 13 3 3" xfId="30212" xr:uid="{00000000-0005-0000-0000-000007760000}"/>
    <cellStyle name="Normal 2 6 4 13 3 4" xfId="30213" xr:uid="{00000000-0005-0000-0000-000008760000}"/>
    <cellStyle name="Normal 2 6 4 13 3 5" xfId="30214" xr:uid="{00000000-0005-0000-0000-000009760000}"/>
    <cellStyle name="Normal 2 6 4 13 4" xfId="30215" xr:uid="{00000000-0005-0000-0000-00000A760000}"/>
    <cellStyle name="Normal 2 6 4 13 4 2" xfId="30216" xr:uid="{00000000-0005-0000-0000-00000B760000}"/>
    <cellStyle name="Normal 2 6 4 13 4 3" xfId="30217" xr:uid="{00000000-0005-0000-0000-00000C760000}"/>
    <cellStyle name="Normal 2 6 4 13 4 4" xfId="30218" xr:uid="{00000000-0005-0000-0000-00000D760000}"/>
    <cellStyle name="Normal 2 6 4 13 5" xfId="30219" xr:uid="{00000000-0005-0000-0000-00000E760000}"/>
    <cellStyle name="Normal 2 6 4 13 5 2" xfId="30220" xr:uid="{00000000-0005-0000-0000-00000F760000}"/>
    <cellStyle name="Normal 2 6 4 13 6" xfId="30221" xr:uid="{00000000-0005-0000-0000-000010760000}"/>
    <cellStyle name="Normal 2 6 4 13 7" xfId="30222" xr:uid="{00000000-0005-0000-0000-000011760000}"/>
    <cellStyle name="Normal 2 6 4 13 8" xfId="30223" xr:uid="{00000000-0005-0000-0000-000012760000}"/>
    <cellStyle name="Normal 2 6 4 13 9" xfId="30224" xr:uid="{00000000-0005-0000-0000-000013760000}"/>
    <cellStyle name="Normal 2 6 4 14" xfId="30225" xr:uid="{00000000-0005-0000-0000-000014760000}"/>
    <cellStyle name="Normal 2 6 4 14 2" xfId="30226" xr:uid="{00000000-0005-0000-0000-000015760000}"/>
    <cellStyle name="Normal 2 6 4 14 2 2" xfId="30227" xr:uid="{00000000-0005-0000-0000-000016760000}"/>
    <cellStyle name="Normal 2 6 4 14 2 2 2" xfId="30228" xr:uid="{00000000-0005-0000-0000-000017760000}"/>
    <cellStyle name="Normal 2 6 4 14 2 2 3" xfId="30229" xr:uid="{00000000-0005-0000-0000-000018760000}"/>
    <cellStyle name="Normal 2 6 4 14 2 3" xfId="30230" xr:uid="{00000000-0005-0000-0000-000019760000}"/>
    <cellStyle name="Normal 2 6 4 14 2 4" xfId="30231" xr:uid="{00000000-0005-0000-0000-00001A760000}"/>
    <cellStyle name="Normal 2 6 4 14 2 5" xfId="30232" xr:uid="{00000000-0005-0000-0000-00001B760000}"/>
    <cellStyle name="Normal 2 6 4 14 2 6" xfId="30233" xr:uid="{00000000-0005-0000-0000-00001C760000}"/>
    <cellStyle name="Normal 2 6 4 14 3" xfId="30234" xr:uid="{00000000-0005-0000-0000-00001D760000}"/>
    <cellStyle name="Normal 2 6 4 14 3 2" xfId="30235" xr:uid="{00000000-0005-0000-0000-00001E760000}"/>
    <cellStyle name="Normal 2 6 4 14 3 2 2" xfId="30236" xr:uid="{00000000-0005-0000-0000-00001F760000}"/>
    <cellStyle name="Normal 2 6 4 14 3 3" xfId="30237" xr:uid="{00000000-0005-0000-0000-000020760000}"/>
    <cellStyle name="Normal 2 6 4 14 3 4" xfId="30238" xr:uid="{00000000-0005-0000-0000-000021760000}"/>
    <cellStyle name="Normal 2 6 4 14 3 5" xfId="30239" xr:uid="{00000000-0005-0000-0000-000022760000}"/>
    <cellStyle name="Normal 2 6 4 14 4" xfId="30240" xr:uid="{00000000-0005-0000-0000-000023760000}"/>
    <cellStyle name="Normal 2 6 4 14 4 2" xfId="30241" xr:uid="{00000000-0005-0000-0000-000024760000}"/>
    <cellStyle name="Normal 2 6 4 14 4 3" xfId="30242" xr:uid="{00000000-0005-0000-0000-000025760000}"/>
    <cellStyle name="Normal 2 6 4 14 4 4" xfId="30243" xr:uid="{00000000-0005-0000-0000-000026760000}"/>
    <cellStyle name="Normal 2 6 4 14 5" xfId="30244" xr:uid="{00000000-0005-0000-0000-000027760000}"/>
    <cellStyle name="Normal 2 6 4 14 5 2" xfId="30245" xr:uid="{00000000-0005-0000-0000-000028760000}"/>
    <cellStyle name="Normal 2 6 4 14 6" xfId="30246" xr:uid="{00000000-0005-0000-0000-000029760000}"/>
    <cellStyle name="Normal 2 6 4 14 7" xfId="30247" xr:uid="{00000000-0005-0000-0000-00002A760000}"/>
    <cellStyle name="Normal 2 6 4 14 8" xfId="30248" xr:uid="{00000000-0005-0000-0000-00002B760000}"/>
    <cellStyle name="Normal 2 6 4 14 9" xfId="30249" xr:uid="{00000000-0005-0000-0000-00002C760000}"/>
    <cellStyle name="Normal 2 6 4 15" xfId="30250" xr:uid="{00000000-0005-0000-0000-00002D760000}"/>
    <cellStyle name="Normal 2 6 4 15 2" xfId="30251" xr:uid="{00000000-0005-0000-0000-00002E760000}"/>
    <cellStyle name="Normal 2 6 4 15 2 2" xfId="30252" xr:uid="{00000000-0005-0000-0000-00002F760000}"/>
    <cellStyle name="Normal 2 6 4 15 2 3" xfId="30253" xr:uid="{00000000-0005-0000-0000-000030760000}"/>
    <cellStyle name="Normal 2 6 4 15 3" xfId="30254" xr:uid="{00000000-0005-0000-0000-000031760000}"/>
    <cellStyle name="Normal 2 6 4 15 4" xfId="30255" xr:uid="{00000000-0005-0000-0000-000032760000}"/>
    <cellStyle name="Normal 2 6 4 15 5" xfId="30256" xr:uid="{00000000-0005-0000-0000-000033760000}"/>
    <cellStyle name="Normal 2 6 4 15 6" xfId="30257" xr:uid="{00000000-0005-0000-0000-000034760000}"/>
    <cellStyle name="Normal 2 6 4 16" xfId="30258" xr:uid="{00000000-0005-0000-0000-000035760000}"/>
    <cellStyle name="Normal 2 6 4 16 2" xfId="30259" xr:uid="{00000000-0005-0000-0000-000036760000}"/>
    <cellStyle name="Normal 2 6 4 16 2 2" xfId="30260" xr:uid="{00000000-0005-0000-0000-000037760000}"/>
    <cellStyle name="Normal 2 6 4 16 3" xfId="30261" xr:uid="{00000000-0005-0000-0000-000038760000}"/>
    <cellStyle name="Normal 2 6 4 16 4" xfId="30262" xr:uid="{00000000-0005-0000-0000-000039760000}"/>
    <cellStyle name="Normal 2 6 4 16 5" xfId="30263" xr:uid="{00000000-0005-0000-0000-00003A760000}"/>
    <cellStyle name="Normal 2 6 4 17" xfId="30264" xr:uid="{00000000-0005-0000-0000-00003B760000}"/>
    <cellStyle name="Normal 2 6 4 17 2" xfId="30265" xr:uid="{00000000-0005-0000-0000-00003C760000}"/>
    <cellStyle name="Normal 2 6 4 17 2 2" xfId="30266" xr:uid="{00000000-0005-0000-0000-00003D760000}"/>
    <cellStyle name="Normal 2 6 4 17 3" xfId="30267" xr:uid="{00000000-0005-0000-0000-00003E760000}"/>
    <cellStyle name="Normal 2 6 4 17 4" xfId="30268" xr:uid="{00000000-0005-0000-0000-00003F760000}"/>
    <cellStyle name="Normal 2 6 4 17 5" xfId="30269" xr:uid="{00000000-0005-0000-0000-000040760000}"/>
    <cellStyle name="Normal 2 6 4 18" xfId="30270" xr:uid="{00000000-0005-0000-0000-000041760000}"/>
    <cellStyle name="Normal 2 6 4 18 2" xfId="30271" xr:uid="{00000000-0005-0000-0000-000042760000}"/>
    <cellStyle name="Normal 2 6 4 19" xfId="30272" xr:uid="{00000000-0005-0000-0000-000043760000}"/>
    <cellStyle name="Normal 2 6 4 2" xfId="30273" xr:uid="{00000000-0005-0000-0000-000044760000}"/>
    <cellStyle name="Normal 2 6 4 2 10" xfId="30274" xr:uid="{00000000-0005-0000-0000-000045760000}"/>
    <cellStyle name="Normal 2 6 4 2 11" xfId="30275" xr:uid="{00000000-0005-0000-0000-000046760000}"/>
    <cellStyle name="Normal 2 6 4 2 2" xfId="30276" xr:uid="{00000000-0005-0000-0000-000047760000}"/>
    <cellStyle name="Normal 2 6 4 2 2 2" xfId="30277" xr:uid="{00000000-0005-0000-0000-000048760000}"/>
    <cellStyle name="Normal 2 6 4 2 2 2 2" xfId="30278" xr:uid="{00000000-0005-0000-0000-000049760000}"/>
    <cellStyle name="Normal 2 6 4 2 2 2 2 2" xfId="30279" xr:uid="{00000000-0005-0000-0000-00004A760000}"/>
    <cellStyle name="Normal 2 6 4 2 2 2 2 3" xfId="30280" xr:uid="{00000000-0005-0000-0000-00004B760000}"/>
    <cellStyle name="Normal 2 6 4 2 2 2 3" xfId="30281" xr:uid="{00000000-0005-0000-0000-00004C760000}"/>
    <cellStyle name="Normal 2 6 4 2 2 2 4" xfId="30282" xr:uid="{00000000-0005-0000-0000-00004D760000}"/>
    <cellStyle name="Normal 2 6 4 2 2 2 5" xfId="30283" xr:uid="{00000000-0005-0000-0000-00004E760000}"/>
    <cellStyle name="Normal 2 6 4 2 2 2 6" xfId="30284" xr:uid="{00000000-0005-0000-0000-00004F760000}"/>
    <cellStyle name="Normal 2 6 4 2 2 3" xfId="30285" xr:uid="{00000000-0005-0000-0000-000050760000}"/>
    <cellStyle name="Normal 2 6 4 2 2 3 2" xfId="30286" xr:uid="{00000000-0005-0000-0000-000051760000}"/>
    <cellStyle name="Normal 2 6 4 2 2 3 2 2" xfId="30287" xr:uid="{00000000-0005-0000-0000-000052760000}"/>
    <cellStyle name="Normal 2 6 4 2 2 3 3" xfId="30288" xr:uid="{00000000-0005-0000-0000-000053760000}"/>
    <cellStyle name="Normal 2 6 4 2 2 3 4" xfId="30289" xr:uid="{00000000-0005-0000-0000-000054760000}"/>
    <cellStyle name="Normal 2 6 4 2 2 3 5" xfId="30290" xr:uid="{00000000-0005-0000-0000-000055760000}"/>
    <cellStyle name="Normal 2 6 4 2 2 4" xfId="30291" xr:uid="{00000000-0005-0000-0000-000056760000}"/>
    <cellStyle name="Normal 2 6 4 2 2 4 2" xfId="30292" xr:uid="{00000000-0005-0000-0000-000057760000}"/>
    <cellStyle name="Normal 2 6 4 2 2 4 3" xfId="30293" xr:uid="{00000000-0005-0000-0000-000058760000}"/>
    <cellStyle name="Normal 2 6 4 2 2 4 4" xfId="30294" xr:uid="{00000000-0005-0000-0000-000059760000}"/>
    <cellStyle name="Normal 2 6 4 2 2 5" xfId="30295" xr:uid="{00000000-0005-0000-0000-00005A760000}"/>
    <cellStyle name="Normal 2 6 4 2 2 5 2" xfId="30296" xr:uid="{00000000-0005-0000-0000-00005B760000}"/>
    <cellStyle name="Normal 2 6 4 2 2 6" xfId="30297" xr:uid="{00000000-0005-0000-0000-00005C760000}"/>
    <cellStyle name="Normal 2 6 4 2 2 7" xfId="30298" xr:uid="{00000000-0005-0000-0000-00005D760000}"/>
    <cellStyle name="Normal 2 6 4 2 2 8" xfId="30299" xr:uid="{00000000-0005-0000-0000-00005E760000}"/>
    <cellStyle name="Normal 2 6 4 2 2 9" xfId="30300" xr:uid="{00000000-0005-0000-0000-00005F760000}"/>
    <cellStyle name="Normal 2 6 4 2 3" xfId="30301" xr:uid="{00000000-0005-0000-0000-000060760000}"/>
    <cellStyle name="Normal 2 6 4 2 3 2" xfId="30302" xr:uid="{00000000-0005-0000-0000-000061760000}"/>
    <cellStyle name="Normal 2 6 4 2 3 2 2" xfId="30303" xr:uid="{00000000-0005-0000-0000-000062760000}"/>
    <cellStyle name="Normal 2 6 4 2 3 2 2 2" xfId="30304" xr:uid="{00000000-0005-0000-0000-000063760000}"/>
    <cellStyle name="Normal 2 6 4 2 3 2 2 3" xfId="30305" xr:uid="{00000000-0005-0000-0000-000064760000}"/>
    <cellStyle name="Normal 2 6 4 2 3 2 3" xfId="30306" xr:uid="{00000000-0005-0000-0000-000065760000}"/>
    <cellStyle name="Normal 2 6 4 2 3 2 4" xfId="30307" xr:uid="{00000000-0005-0000-0000-000066760000}"/>
    <cellStyle name="Normal 2 6 4 2 3 2 5" xfId="30308" xr:uid="{00000000-0005-0000-0000-000067760000}"/>
    <cellStyle name="Normal 2 6 4 2 3 2 6" xfId="30309" xr:uid="{00000000-0005-0000-0000-000068760000}"/>
    <cellStyle name="Normal 2 6 4 2 3 3" xfId="30310" xr:uid="{00000000-0005-0000-0000-000069760000}"/>
    <cellStyle name="Normal 2 6 4 2 3 3 2" xfId="30311" xr:uid="{00000000-0005-0000-0000-00006A760000}"/>
    <cellStyle name="Normal 2 6 4 2 3 3 2 2" xfId="30312" xr:uid="{00000000-0005-0000-0000-00006B760000}"/>
    <cellStyle name="Normal 2 6 4 2 3 3 3" xfId="30313" xr:uid="{00000000-0005-0000-0000-00006C760000}"/>
    <cellStyle name="Normal 2 6 4 2 3 3 4" xfId="30314" xr:uid="{00000000-0005-0000-0000-00006D760000}"/>
    <cellStyle name="Normal 2 6 4 2 3 3 5" xfId="30315" xr:uid="{00000000-0005-0000-0000-00006E760000}"/>
    <cellStyle name="Normal 2 6 4 2 3 4" xfId="30316" xr:uid="{00000000-0005-0000-0000-00006F760000}"/>
    <cellStyle name="Normal 2 6 4 2 3 4 2" xfId="30317" xr:uid="{00000000-0005-0000-0000-000070760000}"/>
    <cellStyle name="Normal 2 6 4 2 3 4 3" xfId="30318" xr:uid="{00000000-0005-0000-0000-000071760000}"/>
    <cellStyle name="Normal 2 6 4 2 3 4 4" xfId="30319" xr:uid="{00000000-0005-0000-0000-000072760000}"/>
    <cellStyle name="Normal 2 6 4 2 3 5" xfId="30320" xr:uid="{00000000-0005-0000-0000-000073760000}"/>
    <cellStyle name="Normal 2 6 4 2 3 5 2" xfId="30321" xr:uid="{00000000-0005-0000-0000-000074760000}"/>
    <cellStyle name="Normal 2 6 4 2 3 6" xfId="30322" xr:uid="{00000000-0005-0000-0000-000075760000}"/>
    <cellStyle name="Normal 2 6 4 2 3 7" xfId="30323" xr:uid="{00000000-0005-0000-0000-000076760000}"/>
    <cellStyle name="Normal 2 6 4 2 3 8" xfId="30324" xr:uid="{00000000-0005-0000-0000-000077760000}"/>
    <cellStyle name="Normal 2 6 4 2 3 9" xfId="30325" xr:uid="{00000000-0005-0000-0000-000078760000}"/>
    <cellStyle name="Normal 2 6 4 2 4" xfId="30326" xr:uid="{00000000-0005-0000-0000-000079760000}"/>
    <cellStyle name="Normal 2 6 4 2 4 2" xfId="30327" xr:uid="{00000000-0005-0000-0000-00007A760000}"/>
    <cellStyle name="Normal 2 6 4 2 4 2 2" xfId="30328" xr:uid="{00000000-0005-0000-0000-00007B760000}"/>
    <cellStyle name="Normal 2 6 4 2 4 2 3" xfId="30329" xr:uid="{00000000-0005-0000-0000-00007C760000}"/>
    <cellStyle name="Normal 2 6 4 2 4 3" xfId="30330" xr:uid="{00000000-0005-0000-0000-00007D760000}"/>
    <cellStyle name="Normal 2 6 4 2 4 4" xfId="30331" xr:uid="{00000000-0005-0000-0000-00007E760000}"/>
    <cellStyle name="Normal 2 6 4 2 4 5" xfId="30332" xr:uid="{00000000-0005-0000-0000-00007F760000}"/>
    <cellStyle name="Normal 2 6 4 2 4 6" xfId="30333" xr:uid="{00000000-0005-0000-0000-000080760000}"/>
    <cellStyle name="Normal 2 6 4 2 5" xfId="30334" xr:uid="{00000000-0005-0000-0000-000081760000}"/>
    <cellStyle name="Normal 2 6 4 2 5 2" xfId="30335" xr:uid="{00000000-0005-0000-0000-000082760000}"/>
    <cellStyle name="Normal 2 6 4 2 5 2 2" xfId="30336" xr:uid="{00000000-0005-0000-0000-000083760000}"/>
    <cellStyle name="Normal 2 6 4 2 5 3" xfId="30337" xr:uid="{00000000-0005-0000-0000-000084760000}"/>
    <cellStyle name="Normal 2 6 4 2 5 4" xfId="30338" xr:uid="{00000000-0005-0000-0000-000085760000}"/>
    <cellStyle name="Normal 2 6 4 2 5 5" xfId="30339" xr:uid="{00000000-0005-0000-0000-000086760000}"/>
    <cellStyle name="Normal 2 6 4 2 6" xfId="30340" xr:uid="{00000000-0005-0000-0000-000087760000}"/>
    <cellStyle name="Normal 2 6 4 2 6 2" xfId="30341" xr:uid="{00000000-0005-0000-0000-000088760000}"/>
    <cellStyle name="Normal 2 6 4 2 6 3" xfId="30342" xr:uid="{00000000-0005-0000-0000-000089760000}"/>
    <cellStyle name="Normal 2 6 4 2 6 4" xfId="30343" xr:uid="{00000000-0005-0000-0000-00008A760000}"/>
    <cellStyle name="Normal 2 6 4 2 7" xfId="30344" xr:uid="{00000000-0005-0000-0000-00008B760000}"/>
    <cellStyle name="Normal 2 6 4 2 7 2" xfId="30345" xr:uid="{00000000-0005-0000-0000-00008C760000}"/>
    <cellStyle name="Normal 2 6 4 2 8" xfId="30346" xr:uid="{00000000-0005-0000-0000-00008D760000}"/>
    <cellStyle name="Normal 2 6 4 2 9" xfId="30347" xr:uid="{00000000-0005-0000-0000-00008E760000}"/>
    <cellStyle name="Normal 2 6 4 20" xfId="30348" xr:uid="{00000000-0005-0000-0000-00008F760000}"/>
    <cellStyle name="Normal 2 6 4 21" xfId="30349" xr:uid="{00000000-0005-0000-0000-000090760000}"/>
    <cellStyle name="Normal 2 6 4 22" xfId="30350" xr:uid="{00000000-0005-0000-0000-000091760000}"/>
    <cellStyle name="Normal 2 6 4 3" xfId="30351" xr:uid="{00000000-0005-0000-0000-000092760000}"/>
    <cellStyle name="Normal 2 6 4 3 10" xfId="30352" xr:uid="{00000000-0005-0000-0000-000093760000}"/>
    <cellStyle name="Normal 2 6 4 3 11" xfId="30353" xr:uid="{00000000-0005-0000-0000-000094760000}"/>
    <cellStyle name="Normal 2 6 4 3 2" xfId="30354" xr:uid="{00000000-0005-0000-0000-000095760000}"/>
    <cellStyle name="Normal 2 6 4 3 2 2" xfId="30355" xr:uid="{00000000-0005-0000-0000-000096760000}"/>
    <cellStyle name="Normal 2 6 4 3 2 2 2" xfId="30356" xr:uid="{00000000-0005-0000-0000-000097760000}"/>
    <cellStyle name="Normal 2 6 4 3 2 2 2 2" xfId="30357" xr:uid="{00000000-0005-0000-0000-000098760000}"/>
    <cellStyle name="Normal 2 6 4 3 2 2 2 3" xfId="30358" xr:uid="{00000000-0005-0000-0000-000099760000}"/>
    <cellStyle name="Normal 2 6 4 3 2 2 3" xfId="30359" xr:uid="{00000000-0005-0000-0000-00009A760000}"/>
    <cellStyle name="Normal 2 6 4 3 2 2 4" xfId="30360" xr:uid="{00000000-0005-0000-0000-00009B760000}"/>
    <cellStyle name="Normal 2 6 4 3 2 2 5" xfId="30361" xr:uid="{00000000-0005-0000-0000-00009C760000}"/>
    <cellStyle name="Normal 2 6 4 3 2 2 6" xfId="30362" xr:uid="{00000000-0005-0000-0000-00009D760000}"/>
    <cellStyle name="Normal 2 6 4 3 2 3" xfId="30363" xr:uid="{00000000-0005-0000-0000-00009E760000}"/>
    <cellStyle name="Normal 2 6 4 3 2 3 2" xfId="30364" xr:uid="{00000000-0005-0000-0000-00009F760000}"/>
    <cellStyle name="Normal 2 6 4 3 2 3 2 2" xfId="30365" xr:uid="{00000000-0005-0000-0000-0000A0760000}"/>
    <cellStyle name="Normal 2 6 4 3 2 3 3" xfId="30366" xr:uid="{00000000-0005-0000-0000-0000A1760000}"/>
    <cellStyle name="Normal 2 6 4 3 2 3 4" xfId="30367" xr:uid="{00000000-0005-0000-0000-0000A2760000}"/>
    <cellStyle name="Normal 2 6 4 3 2 3 5" xfId="30368" xr:uid="{00000000-0005-0000-0000-0000A3760000}"/>
    <cellStyle name="Normal 2 6 4 3 2 4" xfId="30369" xr:uid="{00000000-0005-0000-0000-0000A4760000}"/>
    <cellStyle name="Normal 2 6 4 3 2 4 2" xfId="30370" xr:uid="{00000000-0005-0000-0000-0000A5760000}"/>
    <cellStyle name="Normal 2 6 4 3 2 4 3" xfId="30371" xr:uid="{00000000-0005-0000-0000-0000A6760000}"/>
    <cellStyle name="Normal 2 6 4 3 2 4 4" xfId="30372" xr:uid="{00000000-0005-0000-0000-0000A7760000}"/>
    <cellStyle name="Normal 2 6 4 3 2 5" xfId="30373" xr:uid="{00000000-0005-0000-0000-0000A8760000}"/>
    <cellStyle name="Normal 2 6 4 3 2 5 2" xfId="30374" xr:uid="{00000000-0005-0000-0000-0000A9760000}"/>
    <cellStyle name="Normal 2 6 4 3 2 6" xfId="30375" xr:uid="{00000000-0005-0000-0000-0000AA760000}"/>
    <cellStyle name="Normal 2 6 4 3 2 7" xfId="30376" xr:uid="{00000000-0005-0000-0000-0000AB760000}"/>
    <cellStyle name="Normal 2 6 4 3 2 8" xfId="30377" xr:uid="{00000000-0005-0000-0000-0000AC760000}"/>
    <cellStyle name="Normal 2 6 4 3 2 9" xfId="30378" xr:uid="{00000000-0005-0000-0000-0000AD760000}"/>
    <cellStyle name="Normal 2 6 4 3 3" xfId="30379" xr:uid="{00000000-0005-0000-0000-0000AE760000}"/>
    <cellStyle name="Normal 2 6 4 3 3 2" xfId="30380" xr:uid="{00000000-0005-0000-0000-0000AF760000}"/>
    <cellStyle name="Normal 2 6 4 3 3 2 2" xfId="30381" xr:uid="{00000000-0005-0000-0000-0000B0760000}"/>
    <cellStyle name="Normal 2 6 4 3 3 2 2 2" xfId="30382" xr:uid="{00000000-0005-0000-0000-0000B1760000}"/>
    <cellStyle name="Normal 2 6 4 3 3 2 2 3" xfId="30383" xr:uid="{00000000-0005-0000-0000-0000B2760000}"/>
    <cellStyle name="Normal 2 6 4 3 3 2 3" xfId="30384" xr:uid="{00000000-0005-0000-0000-0000B3760000}"/>
    <cellStyle name="Normal 2 6 4 3 3 2 4" xfId="30385" xr:uid="{00000000-0005-0000-0000-0000B4760000}"/>
    <cellStyle name="Normal 2 6 4 3 3 2 5" xfId="30386" xr:uid="{00000000-0005-0000-0000-0000B5760000}"/>
    <cellStyle name="Normal 2 6 4 3 3 2 6" xfId="30387" xr:uid="{00000000-0005-0000-0000-0000B6760000}"/>
    <cellStyle name="Normal 2 6 4 3 3 3" xfId="30388" xr:uid="{00000000-0005-0000-0000-0000B7760000}"/>
    <cellStyle name="Normal 2 6 4 3 3 3 2" xfId="30389" xr:uid="{00000000-0005-0000-0000-0000B8760000}"/>
    <cellStyle name="Normal 2 6 4 3 3 3 2 2" xfId="30390" xr:uid="{00000000-0005-0000-0000-0000B9760000}"/>
    <cellStyle name="Normal 2 6 4 3 3 3 3" xfId="30391" xr:uid="{00000000-0005-0000-0000-0000BA760000}"/>
    <cellStyle name="Normal 2 6 4 3 3 3 4" xfId="30392" xr:uid="{00000000-0005-0000-0000-0000BB760000}"/>
    <cellStyle name="Normal 2 6 4 3 3 3 5" xfId="30393" xr:uid="{00000000-0005-0000-0000-0000BC760000}"/>
    <cellStyle name="Normal 2 6 4 3 3 4" xfId="30394" xr:uid="{00000000-0005-0000-0000-0000BD760000}"/>
    <cellStyle name="Normal 2 6 4 3 3 4 2" xfId="30395" xr:uid="{00000000-0005-0000-0000-0000BE760000}"/>
    <cellStyle name="Normal 2 6 4 3 3 4 3" xfId="30396" xr:uid="{00000000-0005-0000-0000-0000BF760000}"/>
    <cellStyle name="Normal 2 6 4 3 3 4 4" xfId="30397" xr:uid="{00000000-0005-0000-0000-0000C0760000}"/>
    <cellStyle name="Normal 2 6 4 3 3 5" xfId="30398" xr:uid="{00000000-0005-0000-0000-0000C1760000}"/>
    <cellStyle name="Normal 2 6 4 3 3 5 2" xfId="30399" xr:uid="{00000000-0005-0000-0000-0000C2760000}"/>
    <cellStyle name="Normal 2 6 4 3 3 6" xfId="30400" xr:uid="{00000000-0005-0000-0000-0000C3760000}"/>
    <cellStyle name="Normal 2 6 4 3 3 7" xfId="30401" xr:uid="{00000000-0005-0000-0000-0000C4760000}"/>
    <cellStyle name="Normal 2 6 4 3 3 8" xfId="30402" xr:uid="{00000000-0005-0000-0000-0000C5760000}"/>
    <cellStyle name="Normal 2 6 4 3 3 9" xfId="30403" xr:uid="{00000000-0005-0000-0000-0000C6760000}"/>
    <cellStyle name="Normal 2 6 4 3 4" xfId="30404" xr:uid="{00000000-0005-0000-0000-0000C7760000}"/>
    <cellStyle name="Normal 2 6 4 3 4 2" xfId="30405" xr:uid="{00000000-0005-0000-0000-0000C8760000}"/>
    <cellStyle name="Normal 2 6 4 3 4 2 2" xfId="30406" xr:uid="{00000000-0005-0000-0000-0000C9760000}"/>
    <cellStyle name="Normal 2 6 4 3 4 2 3" xfId="30407" xr:uid="{00000000-0005-0000-0000-0000CA760000}"/>
    <cellStyle name="Normal 2 6 4 3 4 3" xfId="30408" xr:uid="{00000000-0005-0000-0000-0000CB760000}"/>
    <cellStyle name="Normal 2 6 4 3 4 4" xfId="30409" xr:uid="{00000000-0005-0000-0000-0000CC760000}"/>
    <cellStyle name="Normal 2 6 4 3 4 5" xfId="30410" xr:uid="{00000000-0005-0000-0000-0000CD760000}"/>
    <cellStyle name="Normal 2 6 4 3 4 6" xfId="30411" xr:uid="{00000000-0005-0000-0000-0000CE760000}"/>
    <cellStyle name="Normal 2 6 4 3 5" xfId="30412" xr:uid="{00000000-0005-0000-0000-0000CF760000}"/>
    <cellStyle name="Normal 2 6 4 3 5 2" xfId="30413" xr:uid="{00000000-0005-0000-0000-0000D0760000}"/>
    <cellStyle name="Normal 2 6 4 3 5 2 2" xfId="30414" xr:uid="{00000000-0005-0000-0000-0000D1760000}"/>
    <cellStyle name="Normal 2 6 4 3 5 3" xfId="30415" xr:uid="{00000000-0005-0000-0000-0000D2760000}"/>
    <cellStyle name="Normal 2 6 4 3 5 4" xfId="30416" xr:uid="{00000000-0005-0000-0000-0000D3760000}"/>
    <cellStyle name="Normal 2 6 4 3 5 5" xfId="30417" xr:uid="{00000000-0005-0000-0000-0000D4760000}"/>
    <cellStyle name="Normal 2 6 4 3 6" xfId="30418" xr:uid="{00000000-0005-0000-0000-0000D5760000}"/>
    <cellStyle name="Normal 2 6 4 3 6 2" xfId="30419" xr:uid="{00000000-0005-0000-0000-0000D6760000}"/>
    <cellStyle name="Normal 2 6 4 3 6 3" xfId="30420" xr:uid="{00000000-0005-0000-0000-0000D7760000}"/>
    <cellStyle name="Normal 2 6 4 3 6 4" xfId="30421" xr:uid="{00000000-0005-0000-0000-0000D8760000}"/>
    <cellStyle name="Normal 2 6 4 3 7" xfId="30422" xr:uid="{00000000-0005-0000-0000-0000D9760000}"/>
    <cellStyle name="Normal 2 6 4 3 7 2" xfId="30423" xr:uid="{00000000-0005-0000-0000-0000DA760000}"/>
    <cellStyle name="Normal 2 6 4 3 8" xfId="30424" xr:uid="{00000000-0005-0000-0000-0000DB760000}"/>
    <cellStyle name="Normal 2 6 4 3 9" xfId="30425" xr:uid="{00000000-0005-0000-0000-0000DC760000}"/>
    <cellStyle name="Normal 2 6 4 4" xfId="30426" xr:uid="{00000000-0005-0000-0000-0000DD760000}"/>
    <cellStyle name="Normal 2 6 4 4 10" xfId="30427" xr:uid="{00000000-0005-0000-0000-0000DE760000}"/>
    <cellStyle name="Normal 2 6 4 4 11" xfId="30428" xr:uid="{00000000-0005-0000-0000-0000DF760000}"/>
    <cellStyle name="Normal 2 6 4 4 2" xfId="30429" xr:uid="{00000000-0005-0000-0000-0000E0760000}"/>
    <cellStyle name="Normal 2 6 4 4 2 2" xfId="30430" xr:uid="{00000000-0005-0000-0000-0000E1760000}"/>
    <cellStyle name="Normal 2 6 4 4 2 2 2" xfId="30431" xr:uid="{00000000-0005-0000-0000-0000E2760000}"/>
    <cellStyle name="Normal 2 6 4 4 2 2 2 2" xfId="30432" xr:uid="{00000000-0005-0000-0000-0000E3760000}"/>
    <cellStyle name="Normal 2 6 4 4 2 2 2 3" xfId="30433" xr:uid="{00000000-0005-0000-0000-0000E4760000}"/>
    <cellStyle name="Normal 2 6 4 4 2 2 3" xfId="30434" xr:uid="{00000000-0005-0000-0000-0000E5760000}"/>
    <cellStyle name="Normal 2 6 4 4 2 2 4" xfId="30435" xr:uid="{00000000-0005-0000-0000-0000E6760000}"/>
    <cellStyle name="Normal 2 6 4 4 2 2 5" xfId="30436" xr:uid="{00000000-0005-0000-0000-0000E7760000}"/>
    <cellStyle name="Normal 2 6 4 4 2 2 6" xfId="30437" xr:uid="{00000000-0005-0000-0000-0000E8760000}"/>
    <cellStyle name="Normal 2 6 4 4 2 3" xfId="30438" xr:uid="{00000000-0005-0000-0000-0000E9760000}"/>
    <cellStyle name="Normal 2 6 4 4 2 3 2" xfId="30439" xr:uid="{00000000-0005-0000-0000-0000EA760000}"/>
    <cellStyle name="Normal 2 6 4 4 2 3 2 2" xfId="30440" xr:uid="{00000000-0005-0000-0000-0000EB760000}"/>
    <cellStyle name="Normal 2 6 4 4 2 3 3" xfId="30441" xr:uid="{00000000-0005-0000-0000-0000EC760000}"/>
    <cellStyle name="Normal 2 6 4 4 2 3 4" xfId="30442" xr:uid="{00000000-0005-0000-0000-0000ED760000}"/>
    <cellStyle name="Normal 2 6 4 4 2 3 5" xfId="30443" xr:uid="{00000000-0005-0000-0000-0000EE760000}"/>
    <cellStyle name="Normal 2 6 4 4 2 4" xfId="30444" xr:uid="{00000000-0005-0000-0000-0000EF760000}"/>
    <cellStyle name="Normal 2 6 4 4 2 4 2" xfId="30445" xr:uid="{00000000-0005-0000-0000-0000F0760000}"/>
    <cellStyle name="Normal 2 6 4 4 2 4 3" xfId="30446" xr:uid="{00000000-0005-0000-0000-0000F1760000}"/>
    <cellStyle name="Normal 2 6 4 4 2 4 4" xfId="30447" xr:uid="{00000000-0005-0000-0000-0000F2760000}"/>
    <cellStyle name="Normal 2 6 4 4 2 5" xfId="30448" xr:uid="{00000000-0005-0000-0000-0000F3760000}"/>
    <cellStyle name="Normal 2 6 4 4 2 5 2" xfId="30449" xr:uid="{00000000-0005-0000-0000-0000F4760000}"/>
    <cellStyle name="Normal 2 6 4 4 2 6" xfId="30450" xr:uid="{00000000-0005-0000-0000-0000F5760000}"/>
    <cellStyle name="Normal 2 6 4 4 2 7" xfId="30451" xr:uid="{00000000-0005-0000-0000-0000F6760000}"/>
    <cellStyle name="Normal 2 6 4 4 2 8" xfId="30452" xr:uid="{00000000-0005-0000-0000-0000F7760000}"/>
    <cellStyle name="Normal 2 6 4 4 2 9" xfId="30453" xr:uid="{00000000-0005-0000-0000-0000F8760000}"/>
    <cellStyle name="Normal 2 6 4 4 3" xfId="30454" xr:uid="{00000000-0005-0000-0000-0000F9760000}"/>
    <cellStyle name="Normal 2 6 4 4 3 2" xfId="30455" xr:uid="{00000000-0005-0000-0000-0000FA760000}"/>
    <cellStyle name="Normal 2 6 4 4 3 2 2" xfId="30456" xr:uid="{00000000-0005-0000-0000-0000FB760000}"/>
    <cellStyle name="Normal 2 6 4 4 3 2 2 2" xfId="30457" xr:uid="{00000000-0005-0000-0000-0000FC760000}"/>
    <cellStyle name="Normal 2 6 4 4 3 2 2 3" xfId="30458" xr:uid="{00000000-0005-0000-0000-0000FD760000}"/>
    <cellStyle name="Normal 2 6 4 4 3 2 3" xfId="30459" xr:uid="{00000000-0005-0000-0000-0000FE760000}"/>
    <cellStyle name="Normal 2 6 4 4 3 2 4" xfId="30460" xr:uid="{00000000-0005-0000-0000-0000FF760000}"/>
    <cellStyle name="Normal 2 6 4 4 3 2 5" xfId="30461" xr:uid="{00000000-0005-0000-0000-000000770000}"/>
    <cellStyle name="Normal 2 6 4 4 3 2 6" xfId="30462" xr:uid="{00000000-0005-0000-0000-000001770000}"/>
    <cellStyle name="Normal 2 6 4 4 3 3" xfId="30463" xr:uid="{00000000-0005-0000-0000-000002770000}"/>
    <cellStyle name="Normal 2 6 4 4 3 3 2" xfId="30464" xr:uid="{00000000-0005-0000-0000-000003770000}"/>
    <cellStyle name="Normal 2 6 4 4 3 3 2 2" xfId="30465" xr:uid="{00000000-0005-0000-0000-000004770000}"/>
    <cellStyle name="Normal 2 6 4 4 3 3 3" xfId="30466" xr:uid="{00000000-0005-0000-0000-000005770000}"/>
    <cellStyle name="Normal 2 6 4 4 3 3 4" xfId="30467" xr:uid="{00000000-0005-0000-0000-000006770000}"/>
    <cellStyle name="Normal 2 6 4 4 3 3 5" xfId="30468" xr:uid="{00000000-0005-0000-0000-000007770000}"/>
    <cellStyle name="Normal 2 6 4 4 3 4" xfId="30469" xr:uid="{00000000-0005-0000-0000-000008770000}"/>
    <cellStyle name="Normal 2 6 4 4 3 4 2" xfId="30470" xr:uid="{00000000-0005-0000-0000-000009770000}"/>
    <cellStyle name="Normal 2 6 4 4 3 4 3" xfId="30471" xr:uid="{00000000-0005-0000-0000-00000A770000}"/>
    <cellStyle name="Normal 2 6 4 4 3 4 4" xfId="30472" xr:uid="{00000000-0005-0000-0000-00000B770000}"/>
    <cellStyle name="Normal 2 6 4 4 3 5" xfId="30473" xr:uid="{00000000-0005-0000-0000-00000C770000}"/>
    <cellStyle name="Normal 2 6 4 4 3 5 2" xfId="30474" xr:uid="{00000000-0005-0000-0000-00000D770000}"/>
    <cellStyle name="Normal 2 6 4 4 3 6" xfId="30475" xr:uid="{00000000-0005-0000-0000-00000E770000}"/>
    <cellStyle name="Normal 2 6 4 4 3 7" xfId="30476" xr:uid="{00000000-0005-0000-0000-00000F770000}"/>
    <cellStyle name="Normal 2 6 4 4 3 8" xfId="30477" xr:uid="{00000000-0005-0000-0000-000010770000}"/>
    <cellStyle name="Normal 2 6 4 4 3 9" xfId="30478" xr:uid="{00000000-0005-0000-0000-000011770000}"/>
    <cellStyle name="Normal 2 6 4 4 4" xfId="30479" xr:uid="{00000000-0005-0000-0000-000012770000}"/>
    <cellStyle name="Normal 2 6 4 4 4 2" xfId="30480" xr:uid="{00000000-0005-0000-0000-000013770000}"/>
    <cellStyle name="Normal 2 6 4 4 4 2 2" xfId="30481" xr:uid="{00000000-0005-0000-0000-000014770000}"/>
    <cellStyle name="Normal 2 6 4 4 4 2 3" xfId="30482" xr:uid="{00000000-0005-0000-0000-000015770000}"/>
    <cellStyle name="Normal 2 6 4 4 4 3" xfId="30483" xr:uid="{00000000-0005-0000-0000-000016770000}"/>
    <cellStyle name="Normal 2 6 4 4 4 4" xfId="30484" xr:uid="{00000000-0005-0000-0000-000017770000}"/>
    <cellStyle name="Normal 2 6 4 4 4 5" xfId="30485" xr:uid="{00000000-0005-0000-0000-000018770000}"/>
    <cellStyle name="Normal 2 6 4 4 4 6" xfId="30486" xr:uid="{00000000-0005-0000-0000-000019770000}"/>
    <cellStyle name="Normal 2 6 4 4 5" xfId="30487" xr:uid="{00000000-0005-0000-0000-00001A770000}"/>
    <cellStyle name="Normal 2 6 4 4 5 2" xfId="30488" xr:uid="{00000000-0005-0000-0000-00001B770000}"/>
    <cellStyle name="Normal 2 6 4 4 5 2 2" xfId="30489" xr:uid="{00000000-0005-0000-0000-00001C770000}"/>
    <cellStyle name="Normal 2 6 4 4 5 3" xfId="30490" xr:uid="{00000000-0005-0000-0000-00001D770000}"/>
    <cellStyle name="Normal 2 6 4 4 5 4" xfId="30491" xr:uid="{00000000-0005-0000-0000-00001E770000}"/>
    <cellStyle name="Normal 2 6 4 4 5 5" xfId="30492" xr:uid="{00000000-0005-0000-0000-00001F770000}"/>
    <cellStyle name="Normal 2 6 4 4 6" xfId="30493" xr:uid="{00000000-0005-0000-0000-000020770000}"/>
    <cellStyle name="Normal 2 6 4 4 6 2" xfId="30494" xr:uid="{00000000-0005-0000-0000-000021770000}"/>
    <cellStyle name="Normal 2 6 4 4 6 3" xfId="30495" xr:uid="{00000000-0005-0000-0000-000022770000}"/>
    <cellStyle name="Normal 2 6 4 4 6 4" xfId="30496" xr:uid="{00000000-0005-0000-0000-000023770000}"/>
    <cellStyle name="Normal 2 6 4 4 7" xfId="30497" xr:uid="{00000000-0005-0000-0000-000024770000}"/>
    <cellStyle name="Normal 2 6 4 4 7 2" xfId="30498" xr:uid="{00000000-0005-0000-0000-000025770000}"/>
    <cellStyle name="Normal 2 6 4 4 8" xfId="30499" xr:uid="{00000000-0005-0000-0000-000026770000}"/>
    <cellStyle name="Normal 2 6 4 4 9" xfId="30500" xr:uid="{00000000-0005-0000-0000-000027770000}"/>
    <cellStyle name="Normal 2 6 4 5" xfId="30501" xr:uid="{00000000-0005-0000-0000-000028770000}"/>
    <cellStyle name="Normal 2 6 4 5 10" xfId="30502" xr:uid="{00000000-0005-0000-0000-000029770000}"/>
    <cellStyle name="Normal 2 6 4 5 11" xfId="30503" xr:uid="{00000000-0005-0000-0000-00002A770000}"/>
    <cellStyle name="Normal 2 6 4 5 2" xfId="30504" xr:uid="{00000000-0005-0000-0000-00002B770000}"/>
    <cellStyle name="Normal 2 6 4 5 2 2" xfId="30505" xr:uid="{00000000-0005-0000-0000-00002C770000}"/>
    <cellStyle name="Normal 2 6 4 5 2 2 2" xfId="30506" xr:uid="{00000000-0005-0000-0000-00002D770000}"/>
    <cellStyle name="Normal 2 6 4 5 2 2 2 2" xfId="30507" xr:uid="{00000000-0005-0000-0000-00002E770000}"/>
    <cellStyle name="Normal 2 6 4 5 2 2 2 3" xfId="30508" xr:uid="{00000000-0005-0000-0000-00002F770000}"/>
    <cellStyle name="Normal 2 6 4 5 2 2 3" xfId="30509" xr:uid="{00000000-0005-0000-0000-000030770000}"/>
    <cellStyle name="Normal 2 6 4 5 2 2 4" xfId="30510" xr:uid="{00000000-0005-0000-0000-000031770000}"/>
    <cellStyle name="Normal 2 6 4 5 2 2 5" xfId="30511" xr:uid="{00000000-0005-0000-0000-000032770000}"/>
    <cellStyle name="Normal 2 6 4 5 2 2 6" xfId="30512" xr:uid="{00000000-0005-0000-0000-000033770000}"/>
    <cellStyle name="Normal 2 6 4 5 2 3" xfId="30513" xr:uid="{00000000-0005-0000-0000-000034770000}"/>
    <cellStyle name="Normal 2 6 4 5 2 3 2" xfId="30514" xr:uid="{00000000-0005-0000-0000-000035770000}"/>
    <cellStyle name="Normal 2 6 4 5 2 3 2 2" xfId="30515" xr:uid="{00000000-0005-0000-0000-000036770000}"/>
    <cellStyle name="Normal 2 6 4 5 2 3 3" xfId="30516" xr:uid="{00000000-0005-0000-0000-000037770000}"/>
    <cellStyle name="Normal 2 6 4 5 2 3 4" xfId="30517" xr:uid="{00000000-0005-0000-0000-000038770000}"/>
    <cellStyle name="Normal 2 6 4 5 2 3 5" xfId="30518" xr:uid="{00000000-0005-0000-0000-000039770000}"/>
    <cellStyle name="Normal 2 6 4 5 2 4" xfId="30519" xr:uid="{00000000-0005-0000-0000-00003A770000}"/>
    <cellStyle name="Normal 2 6 4 5 2 4 2" xfId="30520" xr:uid="{00000000-0005-0000-0000-00003B770000}"/>
    <cellStyle name="Normal 2 6 4 5 2 4 3" xfId="30521" xr:uid="{00000000-0005-0000-0000-00003C770000}"/>
    <cellStyle name="Normal 2 6 4 5 2 4 4" xfId="30522" xr:uid="{00000000-0005-0000-0000-00003D770000}"/>
    <cellStyle name="Normal 2 6 4 5 2 5" xfId="30523" xr:uid="{00000000-0005-0000-0000-00003E770000}"/>
    <cellStyle name="Normal 2 6 4 5 2 5 2" xfId="30524" xr:uid="{00000000-0005-0000-0000-00003F770000}"/>
    <cellStyle name="Normal 2 6 4 5 2 6" xfId="30525" xr:uid="{00000000-0005-0000-0000-000040770000}"/>
    <cellStyle name="Normal 2 6 4 5 2 7" xfId="30526" xr:uid="{00000000-0005-0000-0000-000041770000}"/>
    <cellStyle name="Normal 2 6 4 5 2 8" xfId="30527" xr:uid="{00000000-0005-0000-0000-000042770000}"/>
    <cellStyle name="Normal 2 6 4 5 2 9" xfId="30528" xr:uid="{00000000-0005-0000-0000-000043770000}"/>
    <cellStyle name="Normal 2 6 4 5 3" xfId="30529" xr:uid="{00000000-0005-0000-0000-000044770000}"/>
    <cellStyle name="Normal 2 6 4 5 3 2" xfId="30530" xr:uid="{00000000-0005-0000-0000-000045770000}"/>
    <cellStyle name="Normal 2 6 4 5 3 2 2" xfId="30531" xr:uid="{00000000-0005-0000-0000-000046770000}"/>
    <cellStyle name="Normal 2 6 4 5 3 2 2 2" xfId="30532" xr:uid="{00000000-0005-0000-0000-000047770000}"/>
    <cellStyle name="Normal 2 6 4 5 3 2 2 3" xfId="30533" xr:uid="{00000000-0005-0000-0000-000048770000}"/>
    <cellStyle name="Normal 2 6 4 5 3 2 3" xfId="30534" xr:uid="{00000000-0005-0000-0000-000049770000}"/>
    <cellStyle name="Normal 2 6 4 5 3 2 4" xfId="30535" xr:uid="{00000000-0005-0000-0000-00004A770000}"/>
    <cellStyle name="Normal 2 6 4 5 3 2 5" xfId="30536" xr:uid="{00000000-0005-0000-0000-00004B770000}"/>
    <cellStyle name="Normal 2 6 4 5 3 2 6" xfId="30537" xr:uid="{00000000-0005-0000-0000-00004C770000}"/>
    <cellStyle name="Normal 2 6 4 5 3 3" xfId="30538" xr:uid="{00000000-0005-0000-0000-00004D770000}"/>
    <cellStyle name="Normal 2 6 4 5 3 3 2" xfId="30539" xr:uid="{00000000-0005-0000-0000-00004E770000}"/>
    <cellStyle name="Normal 2 6 4 5 3 3 2 2" xfId="30540" xr:uid="{00000000-0005-0000-0000-00004F770000}"/>
    <cellStyle name="Normal 2 6 4 5 3 3 3" xfId="30541" xr:uid="{00000000-0005-0000-0000-000050770000}"/>
    <cellStyle name="Normal 2 6 4 5 3 3 4" xfId="30542" xr:uid="{00000000-0005-0000-0000-000051770000}"/>
    <cellStyle name="Normal 2 6 4 5 3 3 5" xfId="30543" xr:uid="{00000000-0005-0000-0000-000052770000}"/>
    <cellStyle name="Normal 2 6 4 5 3 4" xfId="30544" xr:uid="{00000000-0005-0000-0000-000053770000}"/>
    <cellStyle name="Normal 2 6 4 5 3 4 2" xfId="30545" xr:uid="{00000000-0005-0000-0000-000054770000}"/>
    <cellStyle name="Normal 2 6 4 5 3 4 3" xfId="30546" xr:uid="{00000000-0005-0000-0000-000055770000}"/>
    <cellStyle name="Normal 2 6 4 5 3 4 4" xfId="30547" xr:uid="{00000000-0005-0000-0000-000056770000}"/>
    <cellStyle name="Normal 2 6 4 5 3 5" xfId="30548" xr:uid="{00000000-0005-0000-0000-000057770000}"/>
    <cellStyle name="Normal 2 6 4 5 3 5 2" xfId="30549" xr:uid="{00000000-0005-0000-0000-000058770000}"/>
    <cellStyle name="Normal 2 6 4 5 3 6" xfId="30550" xr:uid="{00000000-0005-0000-0000-000059770000}"/>
    <cellStyle name="Normal 2 6 4 5 3 7" xfId="30551" xr:uid="{00000000-0005-0000-0000-00005A770000}"/>
    <cellStyle name="Normal 2 6 4 5 3 8" xfId="30552" xr:uid="{00000000-0005-0000-0000-00005B770000}"/>
    <cellStyle name="Normal 2 6 4 5 3 9" xfId="30553" xr:uid="{00000000-0005-0000-0000-00005C770000}"/>
    <cellStyle name="Normal 2 6 4 5 4" xfId="30554" xr:uid="{00000000-0005-0000-0000-00005D770000}"/>
    <cellStyle name="Normal 2 6 4 5 4 2" xfId="30555" xr:uid="{00000000-0005-0000-0000-00005E770000}"/>
    <cellStyle name="Normal 2 6 4 5 4 2 2" xfId="30556" xr:uid="{00000000-0005-0000-0000-00005F770000}"/>
    <cellStyle name="Normal 2 6 4 5 4 2 3" xfId="30557" xr:uid="{00000000-0005-0000-0000-000060770000}"/>
    <cellStyle name="Normal 2 6 4 5 4 3" xfId="30558" xr:uid="{00000000-0005-0000-0000-000061770000}"/>
    <cellStyle name="Normal 2 6 4 5 4 4" xfId="30559" xr:uid="{00000000-0005-0000-0000-000062770000}"/>
    <cellStyle name="Normal 2 6 4 5 4 5" xfId="30560" xr:uid="{00000000-0005-0000-0000-000063770000}"/>
    <cellStyle name="Normal 2 6 4 5 4 6" xfId="30561" xr:uid="{00000000-0005-0000-0000-000064770000}"/>
    <cellStyle name="Normal 2 6 4 5 5" xfId="30562" xr:uid="{00000000-0005-0000-0000-000065770000}"/>
    <cellStyle name="Normal 2 6 4 5 5 2" xfId="30563" xr:uid="{00000000-0005-0000-0000-000066770000}"/>
    <cellStyle name="Normal 2 6 4 5 5 2 2" xfId="30564" xr:uid="{00000000-0005-0000-0000-000067770000}"/>
    <cellStyle name="Normal 2 6 4 5 5 3" xfId="30565" xr:uid="{00000000-0005-0000-0000-000068770000}"/>
    <cellStyle name="Normal 2 6 4 5 5 4" xfId="30566" xr:uid="{00000000-0005-0000-0000-000069770000}"/>
    <cellStyle name="Normal 2 6 4 5 5 5" xfId="30567" xr:uid="{00000000-0005-0000-0000-00006A770000}"/>
    <cellStyle name="Normal 2 6 4 5 6" xfId="30568" xr:uid="{00000000-0005-0000-0000-00006B770000}"/>
    <cellStyle name="Normal 2 6 4 5 6 2" xfId="30569" xr:uid="{00000000-0005-0000-0000-00006C770000}"/>
    <cellStyle name="Normal 2 6 4 5 6 3" xfId="30570" xr:uid="{00000000-0005-0000-0000-00006D770000}"/>
    <cellStyle name="Normal 2 6 4 5 6 4" xfId="30571" xr:uid="{00000000-0005-0000-0000-00006E770000}"/>
    <cellStyle name="Normal 2 6 4 5 7" xfId="30572" xr:uid="{00000000-0005-0000-0000-00006F770000}"/>
    <cellStyle name="Normal 2 6 4 5 7 2" xfId="30573" xr:uid="{00000000-0005-0000-0000-000070770000}"/>
    <cellStyle name="Normal 2 6 4 5 8" xfId="30574" xr:uid="{00000000-0005-0000-0000-000071770000}"/>
    <cellStyle name="Normal 2 6 4 5 9" xfId="30575" xr:uid="{00000000-0005-0000-0000-000072770000}"/>
    <cellStyle name="Normal 2 6 4 6" xfId="30576" xr:uid="{00000000-0005-0000-0000-000073770000}"/>
    <cellStyle name="Normal 2 6 4 6 10" xfId="30577" xr:uid="{00000000-0005-0000-0000-000074770000}"/>
    <cellStyle name="Normal 2 6 4 6 11" xfId="30578" xr:uid="{00000000-0005-0000-0000-000075770000}"/>
    <cellStyle name="Normal 2 6 4 6 2" xfId="30579" xr:uid="{00000000-0005-0000-0000-000076770000}"/>
    <cellStyle name="Normal 2 6 4 6 2 2" xfId="30580" xr:uid="{00000000-0005-0000-0000-000077770000}"/>
    <cellStyle name="Normal 2 6 4 6 2 2 2" xfId="30581" xr:uid="{00000000-0005-0000-0000-000078770000}"/>
    <cellStyle name="Normal 2 6 4 6 2 2 2 2" xfId="30582" xr:uid="{00000000-0005-0000-0000-000079770000}"/>
    <cellStyle name="Normal 2 6 4 6 2 2 2 3" xfId="30583" xr:uid="{00000000-0005-0000-0000-00007A770000}"/>
    <cellStyle name="Normal 2 6 4 6 2 2 3" xfId="30584" xr:uid="{00000000-0005-0000-0000-00007B770000}"/>
    <cellStyle name="Normal 2 6 4 6 2 2 4" xfId="30585" xr:uid="{00000000-0005-0000-0000-00007C770000}"/>
    <cellStyle name="Normal 2 6 4 6 2 2 5" xfId="30586" xr:uid="{00000000-0005-0000-0000-00007D770000}"/>
    <cellStyle name="Normal 2 6 4 6 2 2 6" xfId="30587" xr:uid="{00000000-0005-0000-0000-00007E770000}"/>
    <cellStyle name="Normal 2 6 4 6 2 3" xfId="30588" xr:uid="{00000000-0005-0000-0000-00007F770000}"/>
    <cellStyle name="Normal 2 6 4 6 2 3 2" xfId="30589" xr:uid="{00000000-0005-0000-0000-000080770000}"/>
    <cellStyle name="Normal 2 6 4 6 2 3 2 2" xfId="30590" xr:uid="{00000000-0005-0000-0000-000081770000}"/>
    <cellStyle name="Normal 2 6 4 6 2 3 3" xfId="30591" xr:uid="{00000000-0005-0000-0000-000082770000}"/>
    <cellStyle name="Normal 2 6 4 6 2 3 4" xfId="30592" xr:uid="{00000000-0005-0000-0000-000083770000}"/>
    <cellStyle name="Normal 2 6 4 6 2 3 5" xfId="30593" xr:uid="{00000000-0005-0000-0000-000084770000}"/>
    <cellStyle name="Normal 2 6 4 6 2 4" xfId="30594" xr:uid="{00000000-0005-0000-0000-000085770000}"/>
    <cellStyle name="Normal 2 6 4 6 2 4 2" xfId="30595" xr:uid="{00000000-0005-0000-0000-000086770000}"/>
    <cellStyle name="Normal 2 6 4 6 2 4 3" xfId="30596" xr:uid="{00000000-0005-0000-0000-000087770000}"/>
    <cellStyle name="Normal 2 6 4 6 2 4 4" xfId="30597" xr:uid="{00000000-0005-0000-0000-000088770000}"/>
    <cellStyle name="Normal 2 6 4 6 2 5" xfId="30598" xr:uid="{00000000-0005-0000-0000-000089770000}"/>
    <cellStyle name="Normal 2 6 4 6 2 5 2" xfId="30599" xr:uid="{00000000-0005-0000-0000-00008A770000}"/>
    <cellStyle name="Normal 2 6 4 6 2 6" xfId="30600" xr:uid="{00000000-0005-0000-0000-00008B770000}"/>
    <cellStyle name="Normal 2 6 4 6 2 7" xfId="30601" xr:uid="{00000000-0005-0000-0000-00008C770000}"/>
    <cellStyle name="Normal 2 6 4 6 2 8" xfId="30602" xr:uid="{00000000-0005-0000-0000-00008D770000}"/>
    <cellStyle name="Normal 2 6 4 6 2 9" xfId="30603" xr:uid="{00000000-0005-0000-0000-00008E770000}"/>
    <cellStyle name="Normal 2 6 4 6 3" xfId="30604" xr:uid="{00000000-0005-0000-0000-00008F770000}"/>
    <cellStyle name="Normal 2 6 4 6 3 2" xfId="30605" xr:uid="{00000000-0005-0000-0000-000090770000}"/>
    <cellStyle name="Normal 2 6 4 6 3 2 2" xfId="30606" xr:uid="{00000000-0005-0000-0000-000091770000}"/>
    <cellStyle name="Normal 2 6 4 6 3 2 2 2" xfId="30607" xr:uid="{00000000-0005-0000-0000-000092770000}"/>
    <cellStyle name="Normal 2 6 4 6 3 2 2 3" xfId="30608" xr:uid="{00000000-0005-0000-0000-000093770000}"/>
    <cellStyle name="Normal 2 6 4 6 3 2 3" xfId="30609" xr:uid="{00000000-0005-0000-0000-000094770000}"/>
    <cellStyle name="Normal 2 6 4 6 3 2 4" xfId="30610" xr:uid="{00000000-0005-0000-0000-000095770000}"/>
    <cellStyle name="Normal 2 6 4 6 3 2 5" xfId="30611" xr:uid="{00000000-0005-0000-0000-000096770000}"/>
    <cellStyle name="Normal 2 6 4 6 3 2 6" xfId="30612" xr:uid="{00000000-0005-0000-0000-000097770000}"/>
    <cellStyle name="Normal 2 6 4 6 3 3" xfId="30613" xr:uid="{00000000-0005-0000-0000-000098770000}"/>
    <cellStyle name="Normal 2 6 4 6 3 3 2" xfId="30614" xr:uid="{00000000-0005-0000-0000-000099770000}"/>
    <cellStyle name="Normal 2 6 4 6 3 3 2 2" xfId="30615" xr:uid="{00000000-0005-0000-0000-00009A770000}"/>
    <cellStyle name="Normal 2 6 4 6 3 3 3" xfId="30616" xr:uid="{00000000-0005-0000-0000-00009B770000}"/>
    <cellStyle name="Normal 2 6 4 6 3 3 4" xfId="30617" xr:uid="{00000000-0005-0000-0000-00009C770000}"/>
    <cellStyle name="Normal 2 6 4 6 3 3 5" xfId="30618" xr:uid="{00000000-0005-0000-0000-00009D770000}"/>
    <cellStyle name="Normal 2 6 4 6 3 4" xfId="30619" xr:uid="{00000000-0005-0000-0000-00009E770000}"/>
    <cellStyle name="Normal 2 6 4 6 3 4 2" xfId="30620" xr:uid="{00000000-0005-0000-0000-00009F770000}"/>
    <cellStyle name="Normal 2 6 4 6 3 4 3" xfId="30621" xr:uid="{00000000-0005-0000-0000-0000A0770000}"/>
    <cellStyle name="Normal 2 6 4 6 3 4 4" xfId="30622" xr:uid="{00000000-0005-0000-0000-0000A1770000}"/>
    <cellStyle name="Normal 2 6 4 6 3 5" xfId="30623" xr:uid="{00000000-0005-0000-0000-0000A2770000}"/>
    <cellStyle name="Normal 2 6 4 6 3 5 2" xfId="30624" xr:uid="{00000000-0005-0000-0000-0000A3770000}"/>
    <cellStyle name="Normal 2 6 4 6 3 6" xfId="30625" xr:uid="{00000000-0005-0000-0000-0000A4770000}"/>
    <cellStyle name="Normal 2 6 4 6 3 7" xfId="30626" xr:uid="{00000000-0005-0000-0000-0000A5770000}"/>
    <cellStyle name="Normal 2 6 4 6 3 8" xfId="30627" xr:uid="{00000000-0005-0000-0000-0000A6770000}"/>
    <cellStyle name="Normal 2 6 4 6 3 9" xfId="30628" xr:uid="{00000000-0005-0000-0000-0000A7770000}"/>
    <cellStyle name="Normal 2 6 4 6 4" xfId="30629" xr:uid="{00000000-0005-0000-0000-0000A8770000}"/>
    <cellStyle name="Normal 2 6 4 6 4 2" xfId="30630" xr:uid="{00000000-0005-0000-0000-0000A9770000}"/>
    <cellStyle name="Normal 2 6 4 6 4 2 2" xfId="30631" xr:uid="{00000000-0005-0000-0000-0000AA770000}"/>
    <cellStyle name="Normal 2 6 4 6 4 2 3" xfId="30632" xr:uid="{00000000-0005-0000-0000-0000AB770000}"/>
    <cellStyle name="Normal 2 6 4 6 4 3" xfId="30633" xr:uid="{00000000-0005-0000-0000-0000AC770000}"/>
    <cellStyle name="Normal 2 6 4 6 4 4" xfId="30634" xr:uid="{00000000-0005-0000-0000-0000AD770000}"/>
    <cellStyle name="Normal 2 6 4 6 4 5" xfId="30635" xr:uid="{00000000-0005-0000-0000-0000AE770000}"/>
    <cellStyle name="Normal 2 6 4 6 4 6" xfId="30636" xr:uid="{00000000-0005-0000-0000-0000AF770000}"/>
    <cellStyle name="Normal 2 6 4 6 5" xfId="30637" xr:uid="{00000000-0005-0000-0000-0000B0770000}"/>
    <cellStyle name="Normal 2 6 4 6 5 2" xfId="30638" xr:uid="{00000000-0005-0000-0000-0000B1770000}"/>
    <cellStyle name="Normal 2 6 4 6 5 2 2" xfId="30639" xr:uid="{00000000-0005-0000-0000-0000B2770000}"/>
    <cellStyle name="Normal 2 6 4 6 5 3" xfId="30640" xr:uid="{00000000-0005-0000-0000-0000B3770000}"/>
    <cellStyle name="Normal 2 6 4 6 5 4" xfId="30641" xr:uid="{00000000-0005-0000-0000-0000B4770000}"/>
    <cellStyle name="Normal 2 6 4 6 5 5" xfId="30642" xr:uid="{00000000-0005-0000-0000-0000B5770000}"/>
    <cellStyle name="Normal 2 6 4 6 6" xfId="30643" xr:uid="{00000000-0005-0000-0000-0000B6770000}"/>
    <cellStyle name="Normal 2 6 4 6 6 2" xfId="30644" xr:uid="{00000000-0005-0000-0000-0000B7770000}"/>
    <cellStyle name="Normal 2 6 4 6 6 3" xfId="30645" xr:uid="{00000000-0005-0000-0000-0000B8770000}"/>
    <cellStyle name="Normal 2 6 4 6 6 4" xfId="30646" xr:uid="{00000000-0005-0000-0000-0000B9770000}"/>
    <cellStyle name="Normal 2 6 4 6 7" xfId="30647" xr:uid="{00000000-0005-0000-0000-0000BA770000}"/>
    <cellStyle name="Normal 2 6 4 6 7 2" xfId="30648" xr:uid="{00000000-0005-0000-0000-0000BB770000}"/>
    <cellStyle name="Normal 2 6 4 6 8" xfId="30649" xr:uid="{00000000-0005-0000-0000-0000BC770000}"/>
    <cellStyle name="Normal 2 6 4 6 9" xfId="30650" xr:uid="{00000000-0005-0000-0000-0000BD770000}"/>
    <cellStyle name="Normal 2 6 4 7" xfId="30651" xr:uid="{00000000-0005-0000-0000-0000BE770000}"/>
    <cellStyle name="Normal 2 6 4 7 10" xfId="30652" xr:uid="{00000000-0005-0000-0000-0000BF770000}"/>
    <cellStyle name="Normal 2 6 4 7 11" xfId="30653" xr:uid="{00000000-0005-0000-0000-0000C0770000}"/>
    <cellStyle name="Normal 2 6 4 7 2" xfId="30654" xr:uid="{00000000-0005-0000-0000-0000C1770000}"/>
    <cellStyle name="Normal 2 6 4 7 2 2" xfId="30655" xr:uid="{00000000-0005-0000-0000-0000C2770000}"/>
    <cellStyle name="Normal 2 6 4 7 2 2 2" xfId="30656" xr:uid="{00000000-0005-0000-0000-0000C3770000}"/>
    <cellStyle name="Normal 2 6 4 7 2 2 2 2" xfId="30657" xr:uid="{00000000-0005-0000-0000-0000C4770000}"/>
    <cellStyle name="Normal 2 6 4 7 2 2 2 3" xfId="30658" xr:uid="{00000000-0005-0000-0000-0000C5770000}"/>
    <cellStyle name="Normal 2 6 4 7 2 2 3" xfId="30659" xr:uid="{00000000-0005-0000-0000-0000C6770000}"/>
    <cellStyle name="Normal 2 6 4 7 2 2 4" xfId="30660" xr:uid="{00000000-0005-0000-0000-0000C7770000}"/>
    <cellStyle name="Normal 2 6 4 7 2 2 5" xfId="30661" xr:uid="{00000000-0005-0000-0000-0000C8770000}"/>
    <cellStyle name="Normal 2 6 4 7 2 2 6" xfId="30662" xr:uid="{00000000-0005-0000-0000-0000C9770000}"/>
    <cellStyle name="Normal 2 6 4 7 2 3" xfId="30663" xr:uid="{00000000-0005-0000-0000-0000CA770000}"/>
    <cellStyle name="Normal 2 6 4 7 2 3 2" xfId="30664" xr:uid="{00000000-0005-0000-0000-0000CB770000}"/>
    <cellStyle name="Normal 2 6 4 7 2 3 2 2" xfId="30665" xr:uid="{00000000-0005-0000-0000-0000CC770000}"/>
    <cellStyle name="Normal 2 6 4 7 2 3 3" xfId="30666" xr:uid="{00000000-0005-0000-0000-0000CD770000}"/>
    <cellStyle name="Normal 2 6 4 7 2 3 4" xfId="30667" xr:uid="{00000000-0005-0000-0000-0000CE770000}"/>
    <cellStyle name="Normal 2 6 4 7 2 3 5" xfId="30668" xr:uid="{00000000-0005-0000-0000-0000CF770000}"/>
    <cellStyle name="Normal 2 6 4 7 2 4" xfId="30669" xr:uid="{00000000-0005-0000-0000-0000D0770000}"/>
    <cellStyle name="Normal 2 6 4 7 2 4 2" xfId="30670" xr:uid="{00000000-0005-0000-0000-0000D1770000}"/>
    <cellStyle name="Normal 2 6 4 7 2 4 3" xfId="30671" xr:uid="{00000000-0005-0000-0000-0000D2770000}"/>
    <cellStyle name="Normal 2 6 4 7 2 4 4" xfId="30672" xr:uid="{00000000-0005-0000-0000-0000D3770000}"/>
    <cellStyle name="Normal 2 6 4 7 2 5" xfId="30673" xr:uid="{00000000-0005-0000-0000-0000D4770000}"/>
    <cellStyle name="Normal 2 6 4 7 2 5 2" xfId="30674" xr:uid="{00000000-0005-0000-0000-0000D5770000}"/>
    <cellStyle name="Normal 2 6 4 7 2 6" xfId="30675" xr:uid="{00000000-0005-0000-0000-0000D6770000}"/>
    <cellStyle name="Normal 2 6 4 7 2 7" xfId="30676" xr:uid="{00000000-0005-0000-0000-0000D7770000}"/>
    <cellStyle name="Normal 2 6 4 7 2 8" xfId="30677" xr:uid="{00000000-0005-0000-0000-0000D8770000}"/>
    <cellStyle name="Normal 2 6 4 7 2 9" xfId="30678" xr:uid="{00000000-0005-0000-0000-0000D9770000}"/>
    <cellStyle name="Normal 2 6 4 7 3" xfId="30679" xr:uid="{00000000-0005-0000-0000-0000DA770000}"/>
    <cellStyle name="Normal 2 6 4 7 3 2" xfId="30680" xr:uid="{00000000-0005-0000-0000-0000DB770000}"/>
    <cellStyle name="Normal 2 6 4 7 3 2 2" xfId="30681" xr:uid="{00000000-0005-0000-0000-0000DC770000}"/>
    <cellStyle name="Normal 2 6 4 7 3 2 2 2" xfId="30682" xr:uid="{00000000-0005-0000-0000-0000DD770000}"/>
    <cellStyle name="Normal 2 6 4 7 3 2 2 3" xfId="30683" xr:uid="{00000000-0005-0000-0000-0000DE770000}"/>
    <cellStyle name="Normal 2 6 4 7 3 2 3" xfId="30684" xr:uid="{00000000-0005-0000-0000-0000DF770000}"/>
    <cellStyle name="Normal 2 6 4 7 3 2 4" xfId="30685" xr:uid="{00000000-0005-0000-0000-0000E0770000}"/>
    <cellStyle name="Normal 2 6 4 7 3 2 5" xfId="30686" xr:uid="{00000000-0005-0000-0000-0000E1770000}"/>
    <cellStyle name="Normal 2 6 4 7 3 2 6" xfId="30687" xr:uid="{00000000-0005-0000-0000-0000E2770000}"/>
    <cellStyle name="Normal 2 6 4 7 3 3" xfId="30688" xr:uid="{00000000-0005-0000-0000-0000E3770000}"/>
    <cellStyle name="Normal 2 6 4 7 3 3 2" xfId="30689" xr:uid="{00000000-0005-0000-0000-0000E4770000}"/>
    <cellStyle name="Normal 2 6 4 7 3 3 2 2" xfId="30690" xr:uid="{00000000-0005-0000-0000-0000E5770000}"/>
    <cellStyle name="Normal 2 6 4 7 3 3 3" xfId="30691" xr:uid="{00000000-0005-0000-0000-0000E6770000}"/>
    <cellStyle name="Normal 2 6 4 7 3 3 4" xfId="30692" xr:uid="{00000000-0005-0000-0000-0000E7770000}"/>
    <cellStyle name="Normal 2 6 4 7 3 3 5" xfId="30693" xr:uid="{00000000-0005-0000-0000-0000E8770000}"/>
    <cellStyle name="Normal 2 6 4 7 3 4" xfId="30694" xr:uid="{00000000-0005-0000-0000-0000E9770000}"/>
    <cellStyle name="Normal 2 6 4 7 3 4 2" xfId="30695" xr:uid="{00000000-0005-0000-0000-0000EA770000}"/>
    <cellStyle name="Normal 2 6 4 7 3 4 3" xfId="30696" xr:uid="{00000000-0005-0000-0000-0000EB770000}"/>
    <cellStyle name="Normal 2 6 4 7 3 4 4" xfId="30697" xr:uid="{00000000-0005-0000-0000-0000EC770000}"/>
    <cellStyle name="Normal 2 6 4 7 3 5" xfId="30698" xr:uid="{00000000-0005-0000-0000-0000ED770000}"/>
    <cellStyle name="Normal 2 6 4 7 3 5 2" xfId="30699" xr:uid="{00000000-0005-0000-0000-0000EE770000}"/>
    <cellStyle name="Normal 2 6 4 7 3 6" xfId="30700" xr:uid="{00000000-0005-0000-0000-0000EF770000}"/>
    <cellStyle name="Normal 2 6 4 7 3 7" xfId="30701" xr:uid="{00000000-0005-0000-0000-0000F0770000}"/>
    <cellStyle name="Normal 2 6 4 7 3 8" xfId="30702" xr:uid="{00000000-0005-0000-0000-0000F1770000}"/>
    <cellStyle name="Normal 2 6 4 7 3 9" xfId="30703" xr:uid="{00000000-0005-0000-0000-0000F2770000}"/>
    <cellStyle name="Normal 2 6 4 7 4" xfId="30704" xr:uid="{00000000-0005-0000-0000-0000F3770000}"/>
    <cellStyle name="Normal 2 6 4 7 4 2" xfId="30705" xr:uid="{00000000-0005-0000-0000-0000F4770000}"/>
    <cellStyle name="Normal 2 6 4 7 4 2 2" xfId="30706" xr:uid="{00000000-0005-0000-0000-0000F5770000}"/>
    <cellStyle name="Normal 2 6 4 7 4 2 3" xfId="30707" xr:uid="{00000000-0005-0000-0000-0000F6770000}"/>
    <cellStyle name="Normal 2 6 4 7 4 3" xfId="30708" xr:uid="{00000000-0005-0000-0000-0000F7770000}"/>
    <cellStyle name="Normal 2 6 4 7 4 4" xfId="30709" xr:uid="{00000000-0005-0000-0000-0000F8770000}"/>
    <cellStyle name="Normal 2 6 4 7 4 5" xfId="30710" xr:uid="{00000000-0005-0000-0000-0000F9770000}"/>
    <cellStyle name="Normal 2 6 4 7 4 6" xfId="30711" xr:uid="{00000000-0005-0000-0000-0000FA770000}"/>
    <cellStyle name="Normal 2 6 4 7 5" xfId="30712" xr:uid="{00000000-0005-0000-0000-0000FB770000}"/>
    <cellStyle name="Normal 2 6 4 7 5 2" xfId="30713" xr:uid="{00000000-0005-0000-0000-0000FC770000}"/>
    <cellStyle name="Normal 2 6 4 7 5 2 2" xfId="30714" xr:uid="{00000000-0005-0000-0000-0000FD770000}"/>
    <cellStyle name="Normal 2 6 4 7 5 3" xfId="30715" xr:uid="{00000000-0005-0000-0000-0000FE770000}"/>
    <cellStyle name="Normal 2 6 4 7 5 4" xfId="30716" xr:uid="{00000000-0005-0000-0000-0000FF770000}"/>
    <cellStyle name="Normal 2 6 4 7 5 5" xfId="30717" xr:uid="{00000000-0005-0000-0000-000000780000}"/>
    <cellStyle name="Normal 2 6 4 7 6" xfId="30718" xr:uid="{00000000-0005-0000-0000-000001780000}"/>
    <cellStyle name="Normal 2 6 4 7 6 2" xfId="30719" xr:uid="{00000000-0005-0000-0000-000002780000}"/>
    <cellStyle name="Normal 2 6 4 7 6 3" xfId="30720" xr:uid="{00000000-0005-0000-0000-000003780000}"/>
    <cellStyle name="Normal 2 6 4 7 6 4" xfId="30721" xr:uid="{00000000-0005-0000-0000-000004780000}"/>
    <cellStyle name="Normal 2 6 4 7 7" xfId="30722" xr:uid="{00000000-0005-0000-0000-000005780000}"/>
    <cellStyle name="Normal 2 6 4 7 7 2" xfId="30723" xr:uid="{00000000-0005-0000-0000-000006780000}"/>
    <cellStyle name="Normal 2 6 4 7 8" xfId="30724" xr:uid="{00000000-0005-0000-0000-000007780000}"/>
    <cellStyle name="Normal 2 6 4 7 9" xfId="30725" xr:uid="{00000000-0005-0000-0000-000008780000}"/>
    <cellStyle name="Normal 2 6 4 8" xfId="30726" xr:uid="{00000000-0005-0000-0000-000009780000}"/>
    <cellStyle name="Normal 2 6 4 8 10" xfId="30727" xr:uid="{00000000-0005-0000-0000-00000A780000}"/>
    <cellStyle name="Normal 2 6 4 8 2" xfId="30728" xr:uid="{00000000-0005-0000-0000-00000B780000}"/>
    <cellStyle name="Normal 2 6 4 8 2 2" xfId="30729" xr:uid="{00000000-0005-0000-0000-00000C780000}"/>
    <cellStyle name="Normal 2 6 4 8 2 2 2" xfId="30730" xr:uid="{00000000-0005-0000-0000-00000D780000}"/>
    <cellStyle name="Normal 2 6 4 8 2 2 3" xfId="30731" xr:uid="{00000000-0005-0000-0000-00000E780000}"/>
    <cellStyle name="Normal 2 6 4 8 2 3" xfId="30732" xr:uid="{00000000-0005-0000-0000-00000F780000}"/>
    <cellStyle name="Normal 2 6 4 8 2 4" xfId="30733" xr:uid="{00000000-0005-0000-0000-000010780000}"/>
    <cellStyle name="Normal 2 6 4 8 2 5" xfId="30734" xr:uid="{00000000-0005-0000-0000-000011780000}"/>
    <cellStyle name="Normal 2 6 4 8 2 6" xfId="30735" xr:uid="{00000000-0005-0000-0000-000012780000}"/>
    <cellStyle name="Normal 2 6 4 8 3" xfId="30736" xr:uid="{00000000-0005-0000-0000-000013780000}"/>
    <cellStyle name="Normal 2 6 4 8 3 2" xfId="30737" xr:uid="{00000000-0005-0000-0000-000014780000}"/>
    <cellStyle name="Normal 2 6 4 8 3 2 2" xfId="30738" xr:uid="{00000000-0005-0000-0000-000015780000}"/>
    <cellStyle name="Normal 2 6 4 8 3 2 3" xfId="30739" xr:uid="{00000000-0005-0000-0000-000016780000}"/>
    <cellStyle name="Normal 2 6 4 8 3 3" xfId="30740" xr:uid="{00000000-0005-0000-0000-000017780000}"/>
    <cellStyle name="Normal 2 6 4 8 3 4" xfId="30741" xr:uid="{00000000-0005-0000-0000-000018780000}"/>
    <cellStyle name="Normal 2 6 4 8 3 5" xfId="30742" xr:uid="{00000000-0005-0000-0000-000019780000}"/>
    <cellStyle name="Normal 2 6 4 8 3 6" xfId="30743" xr:uid="{00000000-0005-0000-0000-00001A780000}"/>
    <cellStyle name="Normal 2 6 4 8 4" xfId="30744" xr:uid="{00000000-0005-0000-0000-00001B780000}"/>
    <cellStyle name="Normal 2 6 4 8 4 2" xfId="30745" xr:uid="{00000000-0005-0000-0000-00001C780000}"/>
    <cellStyle name="Normal 2 6 4 8 4 2 2" xfId="30746" xr:uid="{00000000-0005-0000-0000-00001D780000}"/>
    <cellStyle name="Normal 2 6 4 8 4 3" xfId="30747" xr:uid="{00000000-0005-0000-0000-00001E780000}"/>
    <cellStyle name="Normal 2 6 4 8 4 4" xfId="30748" xr:uid="{00000000-0005-0000-0000-00001F780000}"/>
    <cellStyle name="Normal 2 6 4 8 4 5" xfId="30749" xr:uid="{00000000-0005-0000-0000-000020780000}"/>
    <cellStyle name="Normal 2 6 4 8 5" xfId="30750" xr:uid="{00000000-0005-0000-0000-000021780000}"/>
    <cellStyle name="Normal 2 6 4 8 5 2" xfId="30751" xr:uid="{00000000-0005-0000-0000-000022780000}"/>
    <cellStyle name="Normal 2 6 4 8 5 3" xfId="30752" xr:uid="{00000000-0005-0000-0000-000023780000}"/>
    <cellStyle name="Normal 2 6 4 8 5 4" xfId="30753" xr:uid="{00000000-0005-0000-0000-000024780000}"/>
    <cellStyle name="Normal 2 6 4 8 6" xfId="30754" xr:uid="{00000000-0005-0000-0000-000025780000}"/>
    <cellStyle name="Normal 2 6 4 8 6 2" xfId="30755" xr:uid="{00000000-0005-0000-0000-000026780000}"/>
    <cellStyle name="Normal 2 6 4 8 7" xfId="30756" xr:uid="{00000000-0005-0000-0000-000027780000}"/>
    <cellStyle name="Normal 2 6 4 8 8" xfId="30757" xr:uid="{00000000-0005-0000-0000-000028780000}"/>
    <cellStyle name="Normal 2 6 4 8 9" xfId="30758" xr:uid="{00000000-0005-0000-0000-000029780000}"/>
    <cellStyle name="Normal 2 6 4 9" xfId="30759" xr:uid="{00000000-0005-0000-0000-00002A780000}"/>
    <cellStyle name="Normal 2 6 4 9 10" xfId="30760" xr:uid="{00000000-0005-0000-0000-00002B780000}"/>
    <cellStyle name="Normal 2 6 4 9 2" xfId="30761" xr:uid="{00000000-0005-0000-0000-00002C780000}"/>
    <cellStyle name="Normal 2 6 4 9 2 2" xfId="30762" xr:uid="{00000000-0005-0000-0000-00002D780000}"/>
    <cellStyle name="Normal 2 6 4 9 2 2 2" xfId="30763" xr:uid="{00000000-0005-0000-0000-00002E780000}"/>
    <cellStyle name="Normal 2 6 4 9 2 2 3" xfId="30764" xr:uid="{00000000-0005-0000-0000-00002F780000}"/>
    <cellStyle name="Normal 2 6 4 9 2 3" xfId="30765" xr:uid="{00000000-0005-0000-0000-000030780000}"/>
    <cellStyle name="Normal 2 6 4 9 2 4" xfId="30766" xr:uid="{00000000-0005-0000-0000-000031780000}"/>
    <cellStyle name="Normal 2 6 4 9 2 5" xfId="30767" xr:uid="{00000000-0005-0000-0000-000032780000}"/>
    <cellStyle name="Normal 2 6 4 9 2 6" xfId="30768" xr:uid="{00000000-0005-0000-0000-000033780000}"/>
    <cellStyle name="Normal 2 6 4 9 3" xfId="30769" xr:uid="{00000000-0005-0000-0000-000034780000}"/>
    <cellStyle name="Normal 2 6 4 9 3 2" xfId="30770" xr:uid="{00000000-0005-0000-0000-000035780000}"/>
    <cellStyle name="Normal 2 6 4 9 3 2 2" xfId="30771" xr:uid="{00000000-0005-0000-0000-000036780000}"/>
    <cellStyle name="Normal 2 6 4 9 3 2 3" xfId="30772" xr:uid="{00000000-0005-0000-0000-000037780000}"/>
    <cellStyle name="Normal 2 6 4 9 3 3" xfId="30773" xr:uid="{00000000-0005-0000-0000-000038780000}"/>
    <cellStyle name="Normal 2 6 4 9 3 4" xfId="30774" xr:uid="{00000000-0005-0000-0000-000039780000}"/>
    <cellStyle name="Normal 2 6 4 9 3 5" xfId="30775" xr:uid="{00000000-0005-0000-0000-00003A780000}"/>
    <cellStyle name="Normal 2 6 4 9 3 6" xfId="30776" xr:uid="{00000000-0005-0000-0000-00003B780000}"/>
    <cellStyle name="Normal 2 6 4 9 4" xfId="30777" xr:uid="{00000000-0005-0000-0000-00003C780000}"/>
    <cellStyle name="Normal 2 6 4 9 4 2" xfId="30778" xr:uid="{00000000-0005-0000-0000-00003D780000}"/>
    <cellStyle name="Normal 2 6 4 9 4 2 2" xfId="30779" xr:uid="{00000000-0005-0000-0000-00003E780000}"/>
    <cellStyle name="Normal 2 6 4 9 4 3" xfId="30780" xr:uid="{00000000-0005-0000-0000-00003F780000}"/>
    <cellStyle name="Normal 2 6 4 9 4 4" xfId="30781" xr:uid="{00000000-0005-0000-0000-000040780000}"/>
    <cellStyle name="Normal 2 6 4 9 4 5" xfId="30782" xr:uid="{00000000-0005-0000-0000-000041780000}"/>
    <cellStyle name="Normal 2 6 4 9 5" xfId="30783" xr:uid="{00000000-0005-0000-0000-000042780000}"/>
    <cellStyle name="Normal 2 6 4 9 5 2" xfId="30784" xr:uid="{00000000-0005-0000-0000-000043780000}"/>
    <cellStyle name="Normal 2 6 4 9 5 3" xfId="30785" xr:uid="{00000000-0005-0000-0000-000044780000}"/>
    <cellStyle name="Normal 2 6 4 9 5 4" xfId="30786" xr:uid="{00000000-0005-0000-0000-000045780000}"/>
    <cellStyle name="Normal 2 6 4 9 6" xfId="30787" xr:uid="{00000000-0005-0000-0000-000046780000}"/>
    <cellStyle name="Normal 2 6 4 9 6 2" xfId="30788" xr:uid="{00000000-0005-0000-0000-000047780000}"/>
    <cellStyle name="Normal 2 6 4 9 7" xfId="30789" xr:uid="{00000000-0005-0000-0000-000048780000}"/>
    <cellStyle name="Normal 2 6 4 9 8" xfId="30790" xr:uid="{00000000-0005-0000-0000-000049780000}"/>
    <cellStyle name="Normal 2 6 4 9 9" xfId="30791" xr:uid="{00000000-0005-0000-0000-00004A780000}"/>
    <cellStyle name="Normal 2 6 5" xfId="30792" xr:uid="{00000000-0005-0000-0000-00004B780000}"/>
    <cellStyle name="Normal 2 6 5 10" xfId="30793" xr:uid="{00000000-0005-0000-0000-00004C780000}"/>
    <cellStyle name="Normal 2 6 5 11" xfId="30794" xr:uid="{00000000-0005-0000-0000-00004D780000}"/>
    <cellStyle name="Normal 2 6 5 2" xfId="30795" xr:uid="{00000000-0005-0000-0000-00004E780000}"/>
    <cellStyle name="Normal 2 6 5 2 2" xfId="30796" xr:uid="{00000000-0005-0000-0000-00004F780000}"/>
    <cellStyle name="Normal 2 6 5 2 2 2" xfId="30797" xr:uid="{00000000-0005-0000-0000-000050780000}"/>
    <cellStyle name="Normal 2 6 5 2 2 2 2" xfId="30798" xr:uid="{00000000-0005-0000-0000-000051780000}"/>
    <cellStyle name="Normal 2 6 5 2 2 2 3" xfId="30799" xr:uid="{00000000-0005-0000-0000-000052780000}"/>
    <cellStyle name="Normal 2 6 5 2 2 3" xfId="30800" xr:uid="{00000000-0005-0000-0000-000053780000}"/>
    <cellStyle name="Normal 2 6 5 2 2 4" xfId="30801" xr:uid="{00000000-0005-0000-0000-000054780000}"/>
    <cellStyle name="Normal 2 6 5 2 2 5" xfId="30802" xr:uid="{00000000-0005-0000-0000-000055780000}"/>
    <cellStyle name="Normal 2 6 5 2 2 6" xfId="30803" xr:uid="{00000000-0005-0000-0000-000056780000}"/>
    <cellStyle name="Normal 2 6 5 2 3" xfId="30804" xr:uid="{00000000-0005-0000-0000-000057780000}"/>
    <cellStyle name="Normal 2 6 5 2 3 2" xfId="30805" xr:uid="{00000000-0005-0000-0000-000058780000}"/>
    <cellStyle name="Normal 2 6 5 2 3 2 2" xfId="30806" xr:uid="{00000000-0005-0000-0000-000059780000}"/>
    <cellStyle name="Normal 2 6 5 2 3 3" xfId="30807" xr:uid="{00000000-0005-0000-0000-00005A780000}"/>
    <cellStyle name="Normal 2 6 5 2 3 4" xfId="30808" xr:uid="{00000000-0005-0000-0000-00005B780000}"/>
    <cellStyle name="Normal 2 6 5 2 3 5" xfId="30809" xr:uid="{00000000-0005-0000-0000-00005C780000}"/>
    <cellStyle name="Normal 2 6 5 2 4" xfId="30810" xr:uid="{00000000-0005-0000-0000-00005D780000}"/>
    <cellStyle name="Normal 2 6 5 2 4 2" xfId="30811" xr:uid="{00000000-0005-0000-0000-00005E780000}"/>
    <cellStyle name="Normal 2 6 5 2 4 3" xfId="30812" xr:uid="{00000000-0005-0000-0000-00005F780000}"/>
    <cellStyle name="Normal 2 6 5 2 4 4" xfId="30813" xr:uid="{00000000-0005-0000-0000-000060780000}"/>
    <cellStyle name="Normal 2 6 5 2 5" xfId="30814" xr:uid="{00000000-0005-0000-0000-000061780000}"/>
    <cellStyle name="Normal 2 6 5 2 5 2" xfId="30815" xr:uid="{00000000-0005-0000-0000-000062780000}"/>
    <cellStyle name="Normal 2 6 5 2 6" xfId="30816" xr:uid="{00000000-0005-0000-0000-000063780000}"/>
    <cellStyle name="Normal 2 6 5 2 7" xfId="30817" xr:uid="{00000000-0005-0000-0000-000064780000}"/>
    <cellStyle name="Normal 2 6 5 2 8" xfId="30818" xr:uid="{00000000-0005-0000-0000-000065780000}"/>
    <cellStyle name="Normal 2 6 5 2 9" xfId="30819" xr:uid="{00000000-0005-0000-0000-000066780000}"/>
    <cellStyle name="Normal 2 6 5 3" xfId="30820" xr:uid="{00000000-0005-0000-0000-000067780000}"/>
    <cellStyle name="Normal 2 6 5 3 2" xfId="30821" xr:uid="{00000000-0005-0000-0000-000068780000}"/>
    <cellStyle name="Normal 2 6 5 3 2 2" xfId="30822" xr:uid="{00000000-0005-0000-0000-000069780000}"/>
    <cellStyle name="Normal 2 6 5 3 2 2 2" xfId="30823" xr:uid="{00000000-0005-0000-0000-00006A780000}"/>
    <cellStyle name="Normal 2 6 5 3 2 2 3" xfId="30824" xr:uid="{00000000-0005-0000-0000-00006B780000}"/>
    <cellStyle name="Normal 2 6 5 3 2 3" xfId="30825" xr:uid="{00000000-0005-0000-0000-00006C780000}"/>
    <cellStyle name="Normal 2 6 5 3 2 4" xfId="30826" xr:uid="{00000000-0005-0000-0000-00006D780000}"/>
    <cellStyle name="Normal 2 6 5 3 2 5" xfId="30827" xr:uid="{00000000-0005-0000-0000-00006E780000}"/>
    <cellStyle name="Normal 2 6 5 3 2 6" xfId="30828" xr:uid="{00000000-0005-0000-0000-00006F780000}"/>
    <cellStyle name="Normal 2 6 5 3 3" xfId="30829" xr:uid="{00000000-0005-0000-0000-000070780000}"/>
    <cellStyle name="Normal 2 6 5 3 3 2" xfId="30830" xr:uid="{00000000-0005-0000-0000-000071780000}"/>
    <cellStyle name="Normal 2 6 5 3 3 2 2" xfId="30831" xr:uid="{00000000-0005-0000-0000-000072780000}"/>
    <cellStyle name="Normal 2 6 5 3 3 3" xfId="30832" xr:uid="{00000000-0005-0000-0000-000073780000}"/>
    <cellStyle name="Normal 2 6 5 3 3 4" xfId="30833" xr:uid="{00000000-0005-0000-0000-000074780000}"/>
    <cellStyle name="Normal 2 6 5 3 3 5" xfId="30834" xr:uid="{00000000-0005-0000-0000-000075780000}"/>
    <cellStyle name="Normal 2 6 5 3 4" xfId="30835" xr:uid="{00000000-0005-0000-0000-000076780000}"/>
    <cellStyle name="Normal 2 6 5 3 4 2" xfId="30836" xr:uid="{00000000-0005-0000-0000-000077780000}"/>
    <cellStyle name="Normal 2 6 5 3 4 3" xfId="30837" xr:uid="{00000000-0005-0000-0000-000078780000}"/>
    <cellStyle name="Normal 2 6 5 3 4 4" xfId="30838" xr:uid="{00000000-0005-0000-0000-000079780000}"/>
    <cellStyle name="Normal 2 6 5 3 5" xfId="30839" xr:uid="{00000000-0005-0000-0000-00007A780000}"/>
    <cellStyle name="Normal 2 6 5 3 5 2" xfId="30840" xr:uid="{00000000-0005-0000-0000-00007B780000}"/>
    <cellStyle name="Normal 2 6 5 3 6" xfId="30841" xr:uid="{00000000-0005-0000-0000-00007C780000}"/>
    <cellStyle name="Normal 2 6 5 3 7" xfId="30842" xr:uid="{00000000-0005-0000-0000-00007D780000}"/>
    <cellStyle name="Normal 2 6 5 3 8" xfId="30843" xr:uid="{00000000-0005-0000-0000-00007E780000}"/>
    <cellStyle name="Normal 2 6 5 3 9" xfId="30844" xr:uid="{00000000-0005-0000-0000-00007F780000}"/>
    <cellStyle name="Normal 2 6 5 4" xfId="30845" xr:uid="{00000000-0005-0000-0000-000080780000}"/>
    <cellStyle name="Normal 2 6 5 4 2" xfId="30846" xr:uid="{00000000-0005-0000-0000-000081780000}"/>
    <cellStyle name="Normal 2 6 5 4 2 2" xfId="30847" xr:uid="{00000000-0005-0000-0000-000082780000}"/>
    <cellStyle name="Normal 2 6 5 4 2 3" xfId="30848" xr:uid="{00000000-0005-0000-0000-000083780000}"/>
    <cellStyle name="Normal 2 6 5 4 3" xfId="30849" xr:uid="{00000000-0005-0000-0000-000084780000}"/>
    <cellStyle name="Normal 2 6 5 4 4" xfId="30850" xr:uid="{00000000-0005-0000-0000-000085780000}"/>
    <cellStyle name="Normal 2 6 5 4 5" xfId="30851" xr:uid="{00000000-0005-0000-0000-000086780000}"/>
    <cellStyle name="Normal 2 6 5 4 6" xfId="30852" xr:uid="{00000000-0005-0000-0000-000087780000}"/>
    <cellStyle name="Normal 2 6 5 5" xfId="30853" xr:uid="{00000000-0005-0000-0000-000088780000}"/>
    <cellStyle name="Normal 2 6 5 5 2" xfId="30854" xr:uid="{00000000-0005-0000-0000-000089780000}"/>
    <cellStyle name="Normal 2 6 5 5 2 2" xfId="30855" xr:uid="{00000000-0005-0000-0000-00008A780000}"/>
    <cellStyle name="Normal 2 6 5 5 3" xfId="30856" xr:uid="{00000000-0005-0000-0000-00008B780000}"/>
    <cellStyle name="Normal 2 6 5 5 4" xfId="30857" xr:uid="{00000000-0005-0000-0000-00008C780000}"/>
    <cellStyle name="Normal 2 6 5 5 5" xfId="30858" xr:uid="{00000000-0005-0000-0000-00008D780000}"/>
    <cellStyle name="Normal 2 6 5 6" xfId="30859" xr:uid="{00000000-0005-0000-0000-00008E780000}"/>
    <cellStyle name="Normal 2 6 5 6 2" xfId="30860" xr:uid="{00000000-0005-0000-0000-00008F780000}"/>
    <cellStyle name="Normal 2 6 5 6 3" xfId="30861" xr:uid="{00000000-0005-0000-0000-000090780000}"/>
    <cellStyle name="Normal 2 6 5 6 4" xfId="30862" xr:uid="{00000000-0005-0000-0000-000091780000}"/>
    <cellStyle name="Normal 2 6 5 7" xfId="30863" xr:uid="{00000000-0005-0000-0000-000092780000}"/>
    <cellStyle name="Normal 2 6 5 7 2" xfId="30864" xr:uid="{00000000-0005-0000-0000-000093780000}"/>
    <cellStyle name="Normal 2 6 5 8" xfId="30865" xr:uid="{00000000-0005-0000-0000-000094780000}"/>
    <cellStyle name="Normal 2 6 5 9" xfId="30866" xr:uid="{00000000-0005-0000-0000-000095780000}"/>
    <cellStyle name="Normal 2 6 6" xfId="30867" xr:uid="{00000000-0005-0000-0000-000096780000}"/>
    <cellStyle name="Normal 2 6 6 10" xfId="30868" xr:uid="{00000000-0005-0000-0000-000097780000}"/>
    <cellStyle name="Normal 2 6 6 11" xfId="30869" xr:uid="{00000000-0005-0000-0000-000098780000}"/>
    <cellStyle name="Normal 2 6 6 2" xfId="30870" xr:uid="{00000000-0005-0000-0000-000099780000}"/>
    <cellStyle name="Normal 2 6 6 2 2" xfId="30871" xr:uid="{00000000-0005-0000-0000-00009A780000}"/>
    <cellStyle name="Normal 2 6 6 2 2 2" xfId="30872" xr:uid="{00000000-0005-0000-0000-00009B780000}"/>
    <cellStyle name="Normal 2 6 6 2 2 2 2" xfId="30873" xr:uid="{00000000-0005-0000-0000-00009C780000}"/>
    <cellStyle name="Normal 2 6 6 2 2 2 3" xfId="30874" xr:uid="{00000000-0005-0000-0000-00009D780000}"/>
    <cellStyle name="Normal 2 6 6 2 2 3" xfId="30875" xr:uid="{00000000-0005-0000-0000-00009E780000}"/>
    <cellStyle name="Normal 2 6 6 2 2 4" xfId="30876" xr:uid="{00000000-0005-0000-0000-00009F780000}"/>
    <cellStyle name="Normal 2 6 6 2 2 5" xfId="30877" xr:uid="{00000000-0005-0000-0000-0000A0780000}"/>
    <cellStyle name="Normal 2 6 6 2 2 6" xfId="30878" xr:uid="{00000000-0005-0000-0000-0000A1780000}"/>
    <cellStyle name="Normal 2 6 6 2 3" xfId="30879" xr:uid="{00000000-0005-0000-0000-0000A2780000}"/>
    <cellStyle name="Normal 2 6 6 2 3 2" xfId="30880" xr:uid="{00000000-0005-0000-0000-0000A3780000}"/>
    <cellStyle name="Normal 2 6 6 2 3 2 2" xfId="30881" xr:uid="{00000000-0005-0000-0000-0000A4780000}"/>
    <cellStyle name="Normal 2 6 6 2 3 3" xfId="30882" xr:uid="{00000000-0005-0000-0000-0000A5780000}"/>
    <cellStyle name="Normal 2 6 6 2 3 4" xfId="30883" xr:uid="{00000000-0005-0000-0000-0000A6780000}"/>
    <cellStyle name="Normal 2 6 6 2 3 5" xfId="30884" xr:uid="{00000000-0005-0000-0000-0000A7780000}"/>
    <cellStyle name="Normal 2 6 6 2 4" xfId="30885" xr:uid="{00000000-0005-0000-0000-0000A8780000}"/>
    <cellStyle name="Normal 2 6 6 2 4 2" xfId="30886" xr:uid="{00000000-0005-0000-0000-0000A9780000}"/>
    <cellStyle name="Normal 2 6 6 2 4 3" xfId="30887" xr:uid="{00000000-0005-0000-0000-0000AA780000}"/>
    <cellStyle name="Normal 2 6 6 2 4 4" xfId="30888" xr:uid="{00000000-0005-0000-0000-0000AB780000}"/>
    <cellStyle name="Normal 2 6 6 2 5" xfId="30889" xr:uid="{00000000-0005-0000-0000-0000AC780000}"/>
    <cellStyle name="Normal 2 6 6 2 5 2" xfId="30890" xr:uid="{00000000-0005-0000-0000-0000AD780000}"/>
    <cellStyle name="Normal 2 6 6 2 6" xfId="30891" xr:uid="{00000000-0005-0000-0000-0000AE780000}"/>
    <cellStyle name="Normal 2 6 6 2 7" xfId="30892" xr:uid="{00000000-0005-0000-0000-0000AF780000}"/>
    <cellStyle name="Normal 2 6 6 2 8" xfId="30893" xr:uid="{00000000-0005-0000-0000-0000B0780000}"/>
    <cellStyle name="Normal 2 6 6 2 9" xfId="30894" xr:uid="{00000000-0005-0000-0000-0000B1780000}"/>
    <cellStyle name="Normal 2 6 6 3" xfId="30895" xr:uid="{00000000-0005-0000-0000-0000B2780000}"/>
    <cellStyle name="Normal 2 6 6 3 2" xfId="30896" xr:uid="{00000000-0005-0000-0000-0000B3780000}"/>
    <cellStyle name="Normal 2 6 6 3 2 2" xfId="30897" xr:uid="{00000000-0005-0000-0000-0000B4780000}"/>
    <cellStyle name="Normal 2 6 6 3 2 2 2" xfId="30898" xr:uid="{00000000-0005-0000-0000-0000B5780000}"/>
    <cellStyle name="Normal 2 6 6 3 2 2 3" xfId="30899" xr:uid="{00000000-0005-0000-0000-0000B6780000}"/>
    <cellStyle name="Normal 2 6 6 3 2 3" xfId="30900" xr:uid="{00000000-0005-0000-0000-0000B7780000}"/>
    <cellStyle name="Normal 2 6 6 3 2 4" xfId="30901" xr:uid="{00000000-0005-0000-0000-0000B8780000}"/>
    <cellStyle name="Normal 2 6 6 3 2 5" xfId="30902" xr:uid="{00000000-0005-0000-0000-0000B9780000}"/>
    <cellStyle name="Normal 2 6 6 3 2 6" xfId="30903" xr:uid="{00000000-0005-0000-0000-0000BA780000}"/>
    <cellStyle name="Normal 2 6 6 3 3" xfId="30904" xr:uid="{00000000-0005-0000-0000-0000BB780000}"/>
    <cellStyle name="Normal 2 6 6 3 3 2" xfId="30905" xr:uid="{00000000-0005-0000-0000-0000BC780000}"/>
    <cellStyle name="Normal 2 6 6 3 3 2 2" xfId="30906" xr:uid="{00000000-0005-0000-0000-0000BD780000}"/>
    <cellStyle name="Normal 2 6 6 3 3 3" xfId="30907" xr:uid="{00000000-0005-0000-0000-0000BE780000}"/>
    <cellStyle name="Normal 2 6 6 3 3 4" xfId="30908" xr:uid="{00000000-0005-0000-0000-0000BF780000}"/>
    <cellStyle name="Normal 2 6 6 3 3 5" xfId="30909" xr:uid="{00000000-0005-0000-0000-0000C0780000}"/>
    <cellStyle name="Normal 2 6 6 3 4" xfId="30910" xr:uid="{00000000-0005-0000-0000-0000C1780000}"/>
    <cellStyle name="Normal 2 6 6 3 4 2" xfId="30911" xr:uid="{00000000-0005-0000-0000-0000C2780000}"/>
    <cellStyle name="Normal 2 6 6 3 4 3" xfId="30912" xr:uid="{00000000-0005-0000-0000-0000C3780000}"/>
    <cellStyle name="Normal 2 6 6 3 4 4" xfId="30913" xr:uid="{00000000-0005-0000-0000-0000C4780000}"/>
    <cellStyle name="Normal 2 6 6 3 5" xfId="30914" xr:uid="{00000000-0005-0000-0000-0000C5780000}"/>
    <cellStyle name="Normal 2 6 6 3 5 2" xfId="30915" xr:uid="{00000000-0005-0000-0000-0000C6780000}"/>
    <cellStyle name="Normal 2 6 6 3 6" xfId="30916" xr:uid="{00000000-0005-0000-0000-0000C7780000}"/>
    <cellStyle name="Normal 2 6 6 3 7" xfId="30917" xr:uid="{00000000-0005-0000-0000-0000C8780000}"/>
    <cellStyle name="Normal 2 6 6 3 8" xfId="30918" xr:uid="{00000000-0005-0000-0000-0000C9780000}"/>
    <cellStyle name="Normal 2 6 6 3 9" xfId="30919" xr:uid="{00000000-0005-0000-0000-0000CA780000}"/>
    <cellStyle name="Normal 2 6 6 4" xfId="30920" xr:uid="{00000000-0005-0000-0000-0000CB780000}"/>
    <cellStyle name="Normal 2 6 6 4 2" xfId="30921" xr:uid="{00000000-0005-0000-0000-0000CC780000}"/>
    <cellStyle name="Normal 2 6 6 4 2 2" xfId="30922" xr:uid="{00000000-0005-0000-0000-0000CD780000}"/>
    <cellStyle name="Normal 2 6 6 4 2 3" xfId="30923" xr:uid="{00000000-0005-0000-0000-0000CE780000}"/>
    <cellStyle name="Normal 2 6 6 4 3" xfId="30924" xr:uid="{00000000-0005-0000-0000-0000CF780000}"/>
    <cellStyle name="Normal 2 6 6 4 4" xfId="30925" xr:uid="{00000000-0005-0000-0000-0000D0780000}"/>
    <cellStyle name="Normal 2 6 6 4 5" xfId="30926" xr:uid="{00000000-0005-0000-0000-0000D1780000}"/>
    <cellStyle name="Normal 2 6 6 4 6" xfId="30927" xr:uid="{00000000-0005-0000-0000-0000D2780000}"/>
    <cellStyle name="Normal 2 6 6 5" xfId="30928" xr:uid="{00000000-0005-0000-0000-0000D3780000}"/>
    <cellStyle name="Normal 2 6 6 5 2" xfId="30929" xr:uid="{00000000-0005-0000-0000-0000D4780000}"/>
    <cellStyle name="Normal 2 6 6 5 2 2" xfId="30930" xr:uid="{00000000-0005-0000-0000-0000D5780000}"/>
    <cellStyle name="Normal 2 6 6 5 3" xfId="30931" xr:uid="{00000000-0005-0000-0000-0000D6780000}"/>
    <cellStyle name="Normal 2 6 6 5 4" xfId="30932" xr:uid="{00000000-0005-0000-0000-0000D7780000}"/>
    <cellStyle name="Normal 2 6 6 5 5" xfId="30933" xr:uid="{00000000-0005-0000-0000-0000D8780000}"/>
    <cellStyle name="Normal 2 6 6 6" xfId="30934" xr:uid="{00000000-0005-0000-0000-0000D9780000}"/>
    <cellStyle name="Normal 2 6 6 6 2" xfId="30935" xr:uid="{00000000-0005-0000-0000-0000DA780000}"/>
    <cellStyle name="Normal 2 6 6 6 3" xfId="30936" xr:uid="{00000000-0005-0000-0000-0000DB780000}"/>
    <cellStyle name="Normal 2 6 6 6 4" xfId="30937" xr:uid="{00000000-0005-0000-0000-0000DC780000}"/>
    <cellStyle name="Normal 2 6 6 7" xfId="30938" xr:uid="{00000000-0005-0000-0000-0000DD780000}"/>
    <cellStyle name="Normal 2 6 6 7 2" xfId="30939" xr:uid="{00000000-0005-0000-0000-0000DE780000}"/>
    <cellStyle name="Normal 2 6 6 8" xfId="30940" xr:uid="{00000000-0005-0000-0000-0000DF780000}"/>
    <cellStyle name="Normal 2 6 6 9" xfId="30941" xr:uid="{00000000-0005-0000-0000-0000E0780000}"/>
    <cellStyle name="Normal 2 6 7" xfId="30942" xr:uid="{00000000-0005-0000-0000-0000E1780000}"/>
    <cellStyle name="Normal 2 6 7 10" xfId="30943" xr:uid="{00000000-0005-0000-0000-0000E2780000}"/>
    <cellStyle name="Normal 2 6 7 11" xfId="30944" xr:uid="{00000000-0005-0000-0000-0000E3780000}"/>
    <cellStyle name="Normal 2 6 7 2" xfId="30945" xr:uid="{00000000-0005-0000-0000-0000E4780000}"/>
    <cellStyle name="Normal 2 6 7 2 2" xfId="30946" xr:uid="{00000000-0005-0000-0000-0000E5780000}"/>
    <cellStyle name="Normal 2 6 7 2 2 2" xfId="30947" xr:uid="{00000000-0005-0000-0000-0000E6780000}"/>
    <cellStyle name="Normal 2 6 7 2 2 2 2" xfId="30948" xr:uid="{00000000-0005-0000-0000-0000E7780000}"/>
    <cellStyle name="Normal 2 6 7 2 2 2 3" xfId="30949" xr:uid="{00000000-0005-0000-0000-0000E8780000}"/>
    <cellStyle name="Normal 2 6 7 2 2 3" xfId="30950" xr:uid="{00000000-0005-0000-0000-0000E9780000}"/>
    <cellStyle name="Normal 2 6 7 2 2 4" xfId="30951" xr:uid="{00000000-0005-0000-0000-0000EA780000}"/>
    <cellStyle name="Normal 2 6 7 2 2 5" xfId="30952" xr:uid="{00000000-0005-0000-0000-0000EB780000}"/>
    <cellStyle name="Normal 2 6 7 2 2 6" xfId="30953" xr:uid="{00000000-0005-0000-0000-0000EC780000}"/>
    <cellStyle name="Normal 2 6 7 2 3" xfId="30954" xr:uid="{00000000-0005-0000-0000-0000ED780000}"/>
    <cellStyle name="Normal 2 6 7 2 3 2" xfId="30955" xr:uid="{00000000-0005-0000-0000-0000EE780000}"/>
    <cellStyle name="Normal 2 6 7 2 3 2 2" xfId="30956" xr:uid="{00000000-0005-0000-0000-0000EF780000}"/>
    <cellStyle name="Normal 2 6 7 2 3 3" xfId="30957" xr:uid="{00000000-0005-0000-0000-0000F0780000}"/>
    <cellStyle name="Normal 2 6 7 2 3 4" xfId="30958" xr:uid="{00000000-0005-0000-0000-0000F1780000}"/>
    <cellStyle name="Normal 2 6 7 2 3 5" xfId="30959" xr:uid="{00000000-0005-0000-0000-0000F2780000}"/>
    <cellStyle name="Normal 2 6 7 2 4" xfId="30960" xr:uid="{00000000-0005-0000-0000-0000F3780000}"/>
    <cellStyle name="Normal 2 6 7 2 4 2" xfId="30961" xr:uid="{00000000-0005-0000-0000-0000F4780000}"/>
    <cellStyle name="Normal 2 6 7 2 4 3" xfId="30962" xr:uid="{00000000-0005-0000-0000-0000F5780000}"/>
    <cellStyle name="Normal 2 6 7 2 4 4" xfId="30963" xr:uid="{00000000-0005-0000-0000-0000F6780000}"/>
    <cellStyle name="Normal 2 6 7 2 5" xfId="30964" xr:uid="{00000000-0005-0000-0000-0000F7780000}"/>
    <cellStyle name="Normal 2 6 7 2 5 2" xfId="30965" xr:uid="{00000000-0005-0000-0000-0000F8780000}"/>
    <cellStyle name="Normal 2 6 7 2 6" xfId="30966" xr:uid="{00000000-0005-0000-0000-0000F9780000}"/>
    <cellStyle name="Normal 2 6 7 2 7" xfId="30967" xr:uid="{00000000-0005-0000-0000-0000FA780000}"/>
    <cellStyle name="Normal 2 6 7 2 8" xfId="30968" xr:uid="{00000000-0005-0000-0000-0000FB780000}"/>
    <cellStyle name="Normal 2 6 7 2 9" xfId="30969" xr:uid="{00000000-0005-0000-0000-0000FC780000}"/>
    <cellStyle name="Normal 2 6 7 3" xfId="30970" xr:uid="{00000000-0005-0000-0000-0000FD780000}"/>
    <cellStyle name="Normal 2 6 7 3 2" xfId="30971" xr:uid="{00000000-0005-0000-0000-0000FE780000}"/>
    <cellStyle name="Normal 2 6 7 3 2 2" xfId="30972" xr:uid="{00000000-0005-0000-0000-0000FF780000}"/>
    <cellStyle name="Normal 2 6 7 3 2 2 2" xfId="30973" xr:uid="{00000000-0005-0000-0000-000000790000}"/>
    <cellStyle name="Normal 2 6 7 3 2 2 3" xfId="30974" xr:uid="{00000000-0005-0000-0000-000001790000}"/>
    <cellStyle name="Normal 2 6 7 3 2 3" xfId="30975" xr:uid="{00000000-0005-0000-0000-000002790000}"/>
    <cellStyle name="Normal 2 6 7 3 2 4" xfId="30976" xr:uid="{00000000-0005-0000-0000-000003790000}"/>
    <cellStyle name="Normal 2 6 7 3 2 5" xfId="30977" xr:uid="{00000000-0005-0000-0000-000004790000}"/>
    <cellStyle name="Normal 2 6 7 3 2 6" xfId="30978" xr:uid="{00000000-0005-0000-0000-000005790000}"/>
    <cellStyle name="Normal 2 6 7 3 3" xfId="30979" xr:uid="{00000000-0005-0000-0000-000006790000}"/>
    <cellStyle name="Normal 2 6 7 3 3 2" xfId="30980" xr:uid="{00000000-0005-0000-0000-000007790000}"/>
    <cellStyle name="Normal 2 6 7 3 3 2 2" xfId="30981" xr:uid="{00000000-0005-0000-0000-000008790000}"/>
    <cellStyle name="Normal 2 6 7 3 3 3" xfId="30982" xr:uid="{00000000-0005-0000-0000-000009790000}"/>
    <cellStyle name="Normal 2 6 7 3 3 4" xfId="30983" xr:uid="{00000000-0005-0000-0000-00000A790000}"/>
    <cellStyle name="Normal 2 6 7 3 3 5" xfId="30984" xr:uid="{00000000-0005-0000-0000-00000B790000}"/>
    <cellStyle name="Normal 2 6 7 3 4" xfId="30985" xr:uid="{00000000-0005-0000-0000-00000C790000}"/>
    <cellStyle name="Normal 2 6 7 3 4 2" xfId="30986" xr:uid="{00000000-0005-0000-0000-00000D790000}"/>
    <cellStyle name="Normal 2 6 7 3 4 3" xfId="30987" xr:uid="{00000000-0005-0000-0000-00000E790000}"/>
    <cellStyle name="Normal 2 6 7 3 4 4" xfId="30988" xr:uid="{00000000-0005-0000-0000-00000F790000}"/>
    <cellStyle name="Normal 2 6 7 3 5" xfId="30989" xr:uid="{00000000-0005-0000-0000-000010790000}"/>
    <cellStyle name="Normal 2 6 7 3 5 2" xfId="30990" xr:uid="{00000000-0005-0000-0000-000011790000}"/>
    <cellStyle name="Normal 2 6 7 3 6" xfId="30991" xr:uid="{00000000-0005-0000-0000-000012790000}"/>
    <cellStyle name="Normal 2 6 7 3 7" xfId="30992" xr:uid="{00000000-0005-0000-0000-000013790000}"/>
    <cellStyle name="Normal 2 6 7 3 8" xfId="30993" xr:uid="{00000000-0005-0000-0000-000014790000}"/>
    <cellStyle name="Normal 2 6 7 3 9" xfId="30994" xr:uid="{00000000-0005-0000-0000-000015790000}"/>
    <cellStyle name="Normal 2 6 7 4" xfId="30995" xr:uid="{00000000-0005-0000-0000-000016790000}"/>
    <cellStyle name="Normal 2 6 7 4 2" xfId="30996" xr:uid="{00000000-0005-0000-0000-000017790000}"/>
    <cellStyle name="Normal 2 6 7 4 2 2" xfId="30997" xr:uid="{00000000-0005-0000-0000-000018790000}"/>
    <cellStyle name="Normal 2 6 7 4 2 3" xfId="30998" xr:uid="{00000000-0005-0000-0000-000019790000}"/>
    <cellStyle name="Normal 2 6 7 4 3" xfId="30999" xr:uid="{00000000-0005-0000-0000-00001A790000}"/>
    <cellStyle name="Normal 2 6 7 4 4" xfId="31000" xr:uid="{00000000-0005-0000-0000-00001B790000}"/>
    <cellStyle name="Normal 2 6 7 4 5" xfId="31001" xr:uid="{00000000-0005-0000-0000-00001C790000}"/>
    <cellStyle name="Normal 2 6 7 4 6" xfId="31002" xr:uid="{00000000-0005-0000-0000-00001D790000}"/>
    <cellStyle name="Normal 2 6 7 5" xfId="31003" xr:uid="{00000000-0005-0000-0000-00001E790000}"/>
    <cellStyle name="Normal 2 6 7 5 2" xfId="31004" xr:uid="{00000000-0005-0000-0000-00001F790000}"/>
    <cellStyle name="Normal 2 6 7 5 2 2" xfId="31005" xr:uid="{00000000-0005-0000-0000-000020790000}"/>
    <cellStyle name="Normal 2 6 7 5 3" xfId="31006" xr:uid="{00000000-0005-0000-0000-000021790000}"/>
    <cellStyle name="Normal 2 6 7 5 4" xfId="31007" xr:uid="{00000000-0005-0000-0000-000022790000}"/>
    <cellStyle name="Normal 2 6 7 5 5" xfId="31008" xr:uid="{00000000-0005-0000-0000-000023790000}"/>
    <cellStyle name="Normal 2 6 7 6" xfId="31009" xr:uid="{00000000-0005-0000-0000-000024790000}"/>
    <cellStyle name="Normal 2 6 7 6 2" xfId="31010" xr:uid="{00000000-0005-0000-0000-000025790000}"/>
    <cellStyle name="Normal 2 6 7 6 3" xfId="31011" xr:uid="{00000000-0005-0000-0000-000026790000}"/>
    <cellStyle name="Normal 2 6 7 6 4" xfId="31012" xr:uid="{00000000-0005-0000-0000-000027790000}"/>
    <cellStyle name="Normal 2 6 7 7" xfId="31013" xr:uid="{00000000-0005-0000-0000-000028790000}"/>
    <cellStyle name="Normal 2 6 7 7 2" xfId="31014" xr:uid="{00000000-0005-0000-0000-000029790000}"/>
    <cellStyle name="Normal 2 6 7 8" xfId="31015" xr:uid="{00000000-0005-0000-0000-00002A790000}"/>
    <cellStyle name="Normal 2 6 7 9" xfId="31016" xr:uid="{00000000-0005-0000-0000-00002B790000}"/>
    <cellStyle name="Normal 2 6 8" xfId="31017" xr:uid="{00000000-0005-0000-0000-00002C790000}"/>
    <cellStyle name="Normal 2 6 8 10" xfId="31018" xr:uid="{00000000-0005-0000-0000-00002D790000}"/>
    <cellStyle name="Normal 2 6 8 11" xfId="31019" xr:uid="{00000000-0005-0000-0000-00002E790000}"/>
    <cellStyle name="Normal 2 6 8 2" xfId="31020" xr:uid="{00000000-0005-0000-0000-00002F790000}"/>
    <cellStyle name="Normal 2 6 8 2 2" xfId="31021" xr:uid="{00000000-0005-0000-0000-000030790000}"/>
    <cellStyle name="Normal 2 6 8 2 2 2" xfId="31022" xr:uid="{00000000-0005-0000-0000-000031790000}"/>
    <cellStyle name="Normal 2 6 8 2 2 2 2" xfId="31023" xr:uid="{00000000-0005-0000-0000-000032790000}"/>
    <cellStyle name="Normal 2 6 8 2 2 2 3" xfId="31024" xr:uid="{00000000-0005-0000-0000-000033790000}"/>
    <cellStyle name="Normal 2 6 8 2 2 3" xfId="31025" xr:uid="{00000000-0005-0000-0000-000034790000}"/>
    <cellStyle name="Normal 2 6 8 2 2 4" xfId="31026" xr:uid="{00000000-0005-0000-0000-000035790000}"/>
    <cellStyle name="Normal 2 6 8 2 2 5" xfId="31027" xr:uid="{00000000-0005-0000-0000-000036790000}"/>
    <cellStyle name="Normal 2 6 8 2 2 6" xfId="31028" xr:uid="{00000000-0005-0000-0000-000037790000}"/>
    <cellStyle name="Normal 2 6 8 2 3" xfId="31029" xr:uid="{00000000-0005-0000-0000-000038790000}"/>
    <cellStyle name="Normal 2 6 8 2 3 2" xfId="31030" xr:uid="{00000000-0005-0000-0000-000039790000}"/>
    <cellStyle name="Normal 2 6 8 2 3 2 2" xfId="31031" xr:uid="{00000000-0005-0000-0000-00003A790000}"/>
    <cellStyle name="Normal 2 6 8 2 3 3" xfId="31032" xr:uid="{00000000-0005-0000-0000-00003B790000}"/>
    <cellStyle name="Normal 2 6 8 2 3 4" xfId="31033" xr:uid="{00000000-0005-0000-0000-00003C790000}"/>
    <cellStyle name="Normal 2 6 8 2 3 5" xfId="31034" xr:uid="{00000000-0005-0000-0000-00003D790000}"/>
    <cellStyle name="Normal 2 6 8 2 4" xfId="31035" xr:uid="{00000000-0005-0000-0000-00003E790000}"/>
    <cellStyle name="Normal 2 6 8 2 4 2" xfId="31036" xr:uid="{00000000-0005-0000-0000-00003F790000}"/>
    <cellStyle name="Normal 2 6 8 2 4 3" xfId="31037" xr:uid="{00000000-0005-0000-0000-000040790000}"/>
    <cellStyle name="Normal 2 6 8 2 4 4" xfId="31038" xr:uid="{00000000-0005-0000-0000-000041790000}"/>
    <cellStyle name="Normal 2 6 8 2 5" xfId="31039" xr:uid="{00000000-0005-0000-0000-000042790000}"/>
    <cellStyle name="Normal 2 6 8 2 5 2" xfId="31040" xr:uid="{00000000-0005-0000-0000-000043790000}"/>
    <cellStyle name="Normal 2 6 8 2 6" xfId="31041" xr:uid="{00000000-0005-0000-0000-000044790000}"/>
    <cellStyle name="Normal 2 6 8 2 7" xfId="31042" xr:uid="{00000000-0005-0000-0000-000045790000}"/>
    <cellStyle name="Normal 2 6 8 2 8" xfId="31043" xr:uid="{00000000-0005-0000-0000-000046790000}"/>
    <cellStyle name="Normal 2 6 8 2 9" xfId="31044" xr:uid="{00000000-0005-0000-0000-000047790000}"/>
    <cellStyle name="Normal 2 6 8 3" xfId="31045" xr:uid="{00000000-0005-0000-0000-000048790000}"/>
    <cellStyle name="Normal 2 6 8 3 2" xfId="31046" xr:uid="{00000000-0005-0000-0000-000049790000}"/>
    <cellStyle name="Normal 2 6 8 3 2 2" xfId="31047" xr:uid="{00000000-0005-0000-0000-00004A790000}"/>
    <cellStyle name="Normal 2 6 8 3 2 2 2" xfId="31048" xr:uid="{00000000-0005-0000-0000-00004B790000}"/>
    <cellStyle name="Normal 2 6 8 3 2 2 3" xfId="31049" xr:uid="{00000000-0005-0000-0000-00004C790000}"/>
    <cellStyle name="Normal 2 6 8 3 2 3" xfId="31050" xr:uid="{00000000-0005-0000-0000-00004D790000}"/>
    <cellStyle name="Normal 2 6 8 3 2 4" xfId="31051" xr:uid="{00000000-0005-0000-0000-00004E790000}"/>
    <cellStyle name="Normal 2 6 8 3 2 5" xfId="31052" xr:uid="{00000000-0005-0000-0000-00004F790000}"/>
    <cellStyle name="Normal 2 6 8 3 2 6" xfId="31053" xr:uid="{00000000-0005-0000-0000-000050790000}"/>
    <cellStyle name="Normal 2 6 8 3 3" xfId="31054" xr:uid="{00000000-0005-0000-0000-000051790000}"/>
    <cellStyle name="Normal 2 6 8 3 3 2" xfId="31055" xr:uid="{00000000-0005-0000-0000-000052790000}"/>
    <cellStyle name="Normal 2 6 8 3 3 2 2" xfId="31056" xr:uid="{00000000-0005-0000-0000-000053790000}"/>
    <cellStyle name="Normal 2 6 8 3 3 3" xfId="31057" xr:uid="{00000000-0005-0000-0000-000054790000}"/>
    <cellStyle name="Normal 2 6 8 3 3 4" xfId="31058" xr:uid="{00000000-0005-0000-0000-000055790000}"/>
    <cellStyle name="Normal 2 6 8 3 3 5" xfId="31059" xr:uid="{00000000-0005-0000-0000-000056790000}"/>
    <cellStyle name="Normal 2 6 8 3 4" xfId="31060" xr:uid="{00000000-0005-0000-0000-000057790000}"/>
    <cellStyle name="Normal 2 6 8 3 4 2" xfId="31061" xr:uid="{00000000-0005-0000-0000-000058790000}"/>
    <cellStyle name="Normal 2 6 8 3 4 3" xfId="31062" xr:uid="{00000000-0005-0000-0000-000059790000}"/>
    <cellStyle name="Normal 2 6 8 3 4 4" xfId="31063" xr:uid="{00000000-0005-0000-0000-00005A790000}"/>
    <cellStyle name="Normal 2 6 8 3 5" xfId="31064" xr:uid="{00000000-0005-0000-0000-00005B790000}"/>
    <cellStyle name="Normal 2 6 8 3 5 2" xfId="31065" xr:uid="{00000000-0005-0000-0000-00005C790000}"/>
    <cellStyle name="Normal 2 6 8 3 6" xfId="31066" xr:uid="{00000000-0005-0000-0000-00005D790000}"/>
    <cellStyle name="Normal 2 6 8 3 7" xfId="31067" xr:uid="{00000000-0005-0000-0000-00005E790000}"/>
    <cellStyle name="Normal 2 6 8 3 8" xfId="31068" xr:uid="{00000000-0005-0000-0000-00005F790000}"/>
    <cellStyle name="Normal 2 6 8 3 9" xfId="31069" xr:uid="{00000000-0005-0000-0000-000060790000}"/>
    <cellStyle name="Normal 2 6 8 4" xfId="31070" xr:uid="{00000000-0005-0000-0000-000061790000}"/>
    <cellStyle name="Normal 2 6 8 4 2" xfId="31071" xr:uid="{00000000-0005-0000-0000-000062790000}"/>
    <cellStyle name="Normal 2 6 8 4 2 2" xfId="31072" xr:uid="{00000000-0005-0000-0000-000063790000}"/>
    <cellStyle name="Normal 2 6 8 4 2 3" xfId="31073" xr:uid="{00000000-0005-0000-0000-000064790000}"/>
    <cellStyle name="Normal 2 6 8 4 3" xfId="31074" xr:uid="{00000000-0005-0000-0000-000065790000}"/>
    <cellStyle name="Normal 2 6 8 4 4" xfId="31075" xr:uid="{00000000-0005-0000-0000-000066790000}"/>
    <cellStyle name="Normal 2 6 8 4 5" xfId="31076" xr:uid="{00000000-0005-0000-0000-000067790000}"/>
    <cellStyle name="Normal 2 6 8 4 6" xfId="31077" xr:uid="{00000000-0005-0000-0000-000068790000}"/>
    <cellStyle name="Normal 2 6 8 5" xfId="31078" xr:uid="{00000000-0005-0000-0000-000069790000}"/>
    <cellStyle name="Normal 2 6 8 5 2" xfId="31079" xr:uid="{00000000-0005-0000-0000-00006A790000}"/>
    <cellStyle name="Normal 2 6 8 5 2 2" xfId="31080" xr:uid="{00000000-0005-0000-0000-00006B790000}"/>
    <cellStyle name="Normal 2 6 8 5 3" xfId="31081" xr:uid="{00000000-0005-0000-0000-00006C790000}"/>
    <cellStyle name="Normal 2 6 8 5 4" xfId="31082" xr:uid="{00000000-0005-0000-0000-00006D790000}"/>
    <cellStyle name="Normal 2 6 8 5 5" xfId="31083" xr:uid="{00000000-0005-0000-0000-00006E790000}"/>
    <cellStyle name="Normal 2 6 8 6" xfId="31084" xr:uid="{00000000-0005-0000-0000-00006F790000}"/>
    <cellStyle name="Normal 2 6 8 6 2" xfId="31085" xr:uid="{00000000-0005-0000-0000-000070790000}"/>
    <cellStyle name="Normal 2 6 8 6 3" xfId="31086" xr:uid="{00000000-0005-0000-0000-000071790000}"/>
    <cellStyle name="Normal 2 6 8 6 4" xfId="31087" xr:uid="{00000000-0005-0000-0000-000072790000}"/>
    <cellStyle name="Normal 2 6 8 7" xfId="31088" xr:uid="{00000000-0005-0000-0000-000073790000}"/>
    <cellStyle name="Normal 2 6 8 7 2" xfId="31089" xr:uid="{00000000-0005-0000-0000-000074790000}"/>
    <cellStyle name="Normal 2 6 8 8" xfId="31090" xr:uid="{00000000-0005-0000-0000-000075790000}"/>
    <cellStyle name="Normal 2 6 8 9" xfId="31091" xr:uid="{00000000-0005-0000-0000-000076790000}"/>
    <cellStyle name="Normal 2 6 9" xfId="31092" xr:uid="{00000000-0005-0000-0000-000077790000}"/>
    <cellStyle name="Normal 2 6 9 10" xfId="31093" xr:uid="{00000000-0005-0000-0000-000078790000}"/>
    <cellStyle name="Normal 2 6 9 11" xfId="31094" xr:uid="{00000000-0005-0000-0000-000079790000}"/>
    <cellStyle name="Normal 2 6 9 2" xfId="31095" xr:uid="{00000000-0005-0000-0000-00007A790000}"/>
    <cellStyle name="Normal 2 6 9 2 2" xfId="31096" xr:uid="{00000000-0005-0000-0000-00007B790000}"/>
    <cellStyle name="Normal 2 6 9 2 2 2" xfId="31097" xr:uid="{00000000-0005-0000-0000-00007C790000}"/>
    <cellStyle name="Normal 2 6 9 2 2 2 2" xfId="31098" xr:uid="{00000000-0005-0000-0000-00007D790000}"/>
    <cellStyle name="Normal 2 6 9 2 2 2 3" xfId="31099" xr:uid="{00000000-0005-0000-0000-00007E790000}"/>
    <cellStyle name="Normal 2 6 9 2 2 3" xfId="31100" xr:uid="{00000000-0005-0000-0000-00007F790000}"/>
    <cellStyle name="Normal 2 6 9 2 2 4" xfId="31101" xr:uid="{00000000-0005-0000-0000-000080790000}"/>
    <cellStyle name="Normal 2 6 9 2 2 5" xfId="31102" xr:uid="{00000000-0005-0000-0000-000081790000}"/>
    <cellStyle name="Normal 2 6 9 2 2 6" xfId="31103" xr:uid="{00000000-0005-0000-0000-000082790000}"/>
    <cellStyle name="Normal 2 6 9 2 3" xfId="31104" xr:uid="{00000000-0005-0000-0000-000083790000}"/>
    <cellStyle name="Normal 2 6 9 2 3 2" xfId="31105" xr:uid="{00000000-0005-0000-0000-000084790000}"/>
    <cellStyle name="Normal 2 6 9 2 3 2 2" xfId="31106" xr:uid="{00000000-0005-0000-0000-000085790000}"/>
    <cellStyle name="Normal 2 6 9 2 3 3" xfId="31107" xr:uid="{00000000-0005-0000-0000-000086790000}"/>
    <cellStyle name="Normal 2 6 9 2 3 4" xfId="31108" xr:uid="{00000000-0005-0000-0000-000087790000}"/>
    <cellStyle name="Normal 2 6 9 2 3 5" xfId="31109" xr:uid="{00000000-0005-0000-0000-000088790000}"/>
    <cellStyle name="Normal 2 6 9 2 4" xfId="31110" xr:uid="{00000000-0005-0000-0000-000089790000}"/>
    <cellStyle name="Normal 2 6 9 2 4 2" xfId="31111" xr:uid="{00000000-0005-0000-0000-00008A790000}"/>
    <cellStyle name="Normal 2 6 9 2 4 3" xfId="31112" xr:uid="{00000000-0005-0000-0000-00008B790000}"/>
    <cellStyle name="Normal 2 6 9 2 4 4" xfId="31113" xr:uid="{00000000-0005-0000-0000-00008C790000}"/>
    <cellStyle name="Normal 2 6 9 2 5" xfId="31114" xr:uid="{00000000-0005-0000-0000-00008D790000}"/>
    <cellStyle name="Normal 2 6 9 2 5 2" xfId="31115" xr:uid="{00000000-0005-0000-0000-00008E790000}"/>
    <cellStyle name="Normal 2 6 9 2 6" xfId="31116" xr:uid="{00000000-0005-0000-0000-00008F790000}"/>
    <cellStyle name="Normal 2 6 9 2 7" xfId="31117" xr:uid="{00000000-0005-0000-0000-000090790000}"/>
    <cellStyle name="Normal 2 6 9 2 8" xfId="31118" xr:uid="{00000000-0005-0000-0000-000091790000}"/>
    <cellStyle name="Normal 2 6 9 2 9" xfId="31119" xr:uid="{00000000-0005-0000-0000-000092790000}"/>
    <cellStyle name="Normal 2 6 9 3" xfId="31120" xr:uid="{00000000-0005-0000-0000-000093790000}"/>
    <cellStyle name="Normal 2 6 9 3 2" xfId="31121" xr:uid="{00000000-0005-0000-0000-000094790000}"/>
    <cellStyle name="Normal 2 6 9 3 2 2" xfId="31122" xr:uid="{00000000-0005-0000-0000-000095790000}"/>
    <cellStyle name="Normal 2 6 9 3 2 2 2" xfId="31123" xr:uid="{00000000-0005-0000-0000-000096790000}"/>
    <cellStyle name="Normal 2 6 9 3 2 2 3" xfId="31124" xr:uid="{00000000-0005-0000-0000-000097790000}"/>
    <cellStyle name="Normal 2 6 9 3 2 3" xfId="31125" xr:uid="{00000000-0005-0000-0000-000098790000}"/>
    <cellStyle name="Normal 2 6 9 3 2 4" xfId="31126" xr:uid="{00000000-0005-0000-0000-000099790000}"/>
    <cellStyle name="Normal 2 6 9 3 2 5" xfId="31127" xr:uid="{00000000-0005-0000-0000-00009A790000}"/>
    <cellStyle name="Normal 2 6 9 3 2 6" xfId="31128" xr:uid="{00000000-0005-0000-0000-00009B790000}"/>
    <cellStyle name="Normal 2 6 9 3 3" xfId="31129" xr:uid="{00000000-0005-0000-0000-00009C790000}"/>
    <cellStyle name="Normal 2 6 9 3 3 2" xfId="31130" xr:uid="{00000000-0005-0000-0000-00009D790000}"/>
    <cellStyle name="Normal 2 6 9 3 3 2 2" xfId="31131" xr:uid="{00000000-0005-0000-0000-00009E790000}"/>
    <cellStyle name="Normal 2 6 9 3 3 3" xfId="31132" xr:uid="{00000000-0005-0000-0000-00009F790000}"/>
    <cellStyle name="Normal 2 6 9 3 3 4" xfId="31133" xr:uid="{00000000-0005-0000-0000-0000A0790000}"/>
    <cellStyle name="Normal 2 6 9 3 3 5" xfId="31134" xr:uid="{00000000-0005-0000-0000-0000A1790000}"/>
    <cellStyle name="Normal 2 6 9 3 4" xfId="31135" xr:uid="{00000000-0005-0000-0000-0000A2790000}"/>
    <cellStyle name="Normal 2 6 9 3 4 2" xfId="31136" xr:uid="{00000000-0005-0000-0000-0000A3790000}"/>
    <cellStyle name="Normal 2 6 9 3 4 3" xfId="31137" xr:uid="{00000000-0005-0000-0000-0000A4790000}"/>
    <cellStyle name="Normal 2 6 9 3 4 4" xfId="31138" xr:uid="{00000000-0005-0000-0000-0000A5790000}"/>
    <cellStyle name="Normal 2 6 9 3 5" xfId="31139" xr:uid="{00000000-0005-0000-0000-0000A6790000}"/>
    <cellStyle name="Normal 2 6 9 3 5 2" xfId="31140" xr:uid="{00000000-0005-0000-0000-0000A7790000}"/>
    <cellStyle name="Normal 2 6 9 3 6" xfId="31141" xr:uid="{00000000-0005-0000-0000-0000A8790000}"/>
    <cellStyle name="Normal 2 6 9 3 7" xfId="31142" xr:uid="{00000000-0005-0000-0000-0000A9790000}"/>
    <cellStyle name="Normal 2 6 9 3 8" xfId="31143" xr:uid="{00000000-0005-0000-0000-0000AA790000}"/>
    <cellStyle name="Normal 2 6 9 3 9" xfId="31144" xr:uid="{00000000-0005-0000-0000-0000AB790000}"/>
    <cellStyle name="Normal 2 6 9 4" xfId="31145" xr:uid="{00000000-0005-0000-0000-0000AC790000}"/>
    <cellStyle name="Normal 2 6 9 4 2" xfId="31146" xr:uid="{00000000-0005-0000-0000-0000AD790000}"/>
    <cellStyle name="Normal 2 6 9 4 2 2" xfId="31147" xr:uid="{00000000-0005-0000-0000-0000AE790000}"/>
    <cellStyle name="Normal 2 6 9 4 2 3" xfId="31148" xr:uid="{00000000-0005-0000-0000-0000AF790000}"/>
    <cellStyle name="Normal 2 6 9 4 3" xfId="31149" xr:uid="{00000000-0005-0000-0000-0000B0790000}"/>
    <cellStyle name="Normal 2 6 9 4 4" xfId="31150" xr:uid="{00000000-0005-0000-0000-0000B1790000}"/>
    <cellStyle name="Normal 2 6 9 4 5" xfId="31151" xr:uid="{00000000-0005-0000-0000-0000B2790000}"/>
    <cellStyle name="Normal 2 6 9 4 6" xfId="31152" xr:uid="{00000000-0005-0000-0000-0000B3790000}"/>
    <cellStyle name="Normal 2 6 9 5" xfId="31153" xr:uid="{00000000-0005-0000-0000-0000B4790000}"/>
    <cellStyle name="Normal 2 6 9 5 2" xfId="31154" xr:uid="{00000000-0005-0000-0000-0000B5790000}"/>
    <cellStyle name="Normal 2 6 9 5 2 2" xfId="31155" xr:uid="{00000000-0005-0000-0000-0000B6790000}"/>
    <cellStyle name="Normal 2 6 9 5 3" xfId="31156" xr:uid="{00000000-0005-0000-0000-0000B7790000}"/>
    <cellStyle name="Normal 2 6 9 5 4" xfId="31157" xr:uid="{00000000-0005-0000-0000-0000B8790000}"/>
    <cellStyle name="Normal 2 6 9 5 5" xfId="31158" xr:uid="{00000000-0005-0000-0000-0000B9790000}"/>
    <cellStyle name="Normal 2 6 9 6" xfId="31159" xr:uid="{00000000-0005-0000-0000-0000BA790000}"/>
    <cellStyle name="Normal 2 6 9 6 2" xfId="31160" xr:uid="{00000000-0005-0000-0000-0000BB790000}"/>
    <cellStyle name="Normal 2 6 9 6 3" xfId="31161" xr:uid="{00000000-0005-0000-0000-0000BC790000}"/>
    <cellStyle name="Normal 2 6 9 6 4" xfId="31162" xr:uid="{00000000-0005-0000-0000-0000BD790000}"/>
    <cellStyle name="Normal 2 6 9 7" xfId="31163" xr:uid="{00000000-0005-0000-0000-0000BE790000}"/>
    <cellStyle name="Normal 2 6 9 7 2" xfId="31164" xr:uid="{00000000-0005-0000-0000-0000BF790000}"/>
    <cellStyle name="Normal 2 6 9 8" xfId="31165" xr:uid="{00000000-0005-0000-0000-0000C0790000}"/>
    <cellStyle name="Normal 2 6 9 9" xfId="31166" xr:uid="{00000000-0005-0000-0000-0000C1790000}"/>
    <cellStyle name="Normal 2 60" xfId="31167" xr:uid="{00000000-0005-0000-0000-0000C2790000}"/>
    <cellStyle name="Normal 2 60 10" xfId="31168" xr:uid="{00000000-0005-0000-0000-0000C3790000}"/>
    <cellStyle name="Normal 2 60 2" xfId="31169" xr:uid="{00000000-0005-0000-0000-0000C4790000}"/>
    <cellStyle name="Normal 2 60 2 2" xfId="31170" xr:uid="{00000000-0005-0000-0000-0000C5790000}"/>
    <cellStyle name="Normal 2 60 2 2 2" xfId="31171" xr:uid="{00000000-0005-0000-0000-0000C6790000}"/>
    <cellStyle name="Normal 2 60 2 2 3" xfId="31172" xr:uid="{00000000-0005-0000-0000-0000C7790000}"/>
    <cellStyle name="Normal 2 60 2 3" xfId="31173" xr:uid="{00000000-0005-0000-0000-0000C8790000}"/>
    <cellStyle name="Normal 2 60 2 4" xfId="31174" xr:uid="{00000000-0005-0000-0000-0000C9790000}"/>
    <cellStyle name="Normal 2 60 2 5" xfId="31175" xr:uid="{00000000-0005-0000-0000-0000CA790000}"/>
    <cellStyle name="Normal 2 60 2 6" xfId="31176" xr:uid="{00000000-0005-0000-0000-0000CB790000}"/>
    <cellStyle name="Normal 2 60 3" xfId="31177" xr:uid="{00000000-0005-0000-0000-0000CC790000}"/>
    <cellStyle name="Normal 2 60 3 2" xfId="31178" xr:uid="{00000000-0005-0000-0000-0000CD790000}"/>
    <cellStyle name="Normal 2 60 3 2 2" xfId="31179" xr:uid="{00000000-0005-0000-0000-0000CE790000}"/>
    <cellStyle name="Normal 2 60 3 2 3" xfId="31180" xr:uid="{00000000-0005-0000-0000-0000CF790000}"/>
    <cellStyle name="Normal 2 60 3 3" xfId="31181" xr:uid="{00000000-0005-0000-0000-0000D0790000}"/>
    <cellStyle name="Normal 2 60 3 4" xfId="31182" xr:uid="{00000000-0005-0000-0000-0000D1790000}"/>
    <cellStyle name="Normal 2 60 3 5" xfId="31183" xr:uid="{00000000-0005-0000-0000-0000D2790000}"/>
    <cellStyle name="Normal 2 60 3 6" xfId="31184" xr:uid="{00000000-0005-0000-0000-0000D3790000}"/>
    <cellStyle name="Normal 2 60 4" xfId="31185" xr:uid="{00000000-0005-0000-0000-0000D4790000}"/>
    <cellStyle name="Normal 2 60 4 2" xfId="31186" xr:uid="{00000000-0005-0000-0000-0000D5790000}"/>
    <cellStyle name="Normal 2 60 4 2 2" xfId="31187" xr:uid="{00000000-0005-0000-0000-0000D6790000}"/>
    <cellStyle name="Normal 2 60 4 3" xfId="31188" xr:uid="{00000000-0005-0000-0000-0000D7790000}"/>
    <cellStyle name="Normal 2 60 4 4" xfId="31189" xr:uid="{00000000-0005-0000-0000-0000D8790000}"/>
    <cellStyle name="Normal 2 60 4 5" xfId="31190" xr:uid="{00000000-0005-0000-0000-0000D9790000}"/>
    <cellStyle name="Normal 2 60 5" xfId="31191" xr:uid="{00000000-0005-0000-0000-0000DA790000}"/>
    <cellStyle name="Normal 2 60 5 2" xfId="31192" xr:uid="{00000000-0005-0000-0000-0000DB790000}"/>
    <cellStyle name="Normal 2 60 5 3" xfId="31193" xr:uid="{00000000-0005-0000-0000-0000DC790000}"/>
    <cellStyle name="Normal 2 60 5 4" xfId="31194" xr:uid="{00000000-0005-0000-0000-0000DD790000}"/>
    <cellStyle name="Normal 2 60 6" xfId="31195" xr:uid="{00000000-0005-0000-0000-0000DE790000}"/>
    <cellStyle name="Normal 2 60 6 2" xfId="31196" xr:uid="{00000000-0005-0000-0000-0000DF790000}"/>
    <cellStyle name="Normal 2 60 7" xfId="31197" xr:uid="{00000000-0005-0000-0000-0000E0790000}"/>
    <cellStyle name="Normal 2 60 8" xfId="31198" xr:uid="{00000000-0005-0000-0000-0000E1790000}"/>
    <cellStyle name="Normal 2 60 9" xfId="31199" xr:uid="{00000000-0005-0000-0000-0000E2790000}"/>
    <cellStyle name="Normal 2 61" xfId="31200" xr:uid="{00000000-0005-0000-0000-0000E3790000}"/>
    <cellStyle name="Normal 2 61 2" xfId="31201" xr:uid="{00000000-0005-0000-0000-0000E4790000}"/>
    <cellStyle name="Normal 2 61 2 2" xfId="31202" xr:uid="{00000000-0005-0000-0000-0000E5790000}"/>
    <cellStyle name="Normal 2 61 2 2 2" xfId="31203" xr:uid="{00000000-0005-0000-0000-0000E6790000}"/>
    <cellStyle name="Normal 2 61 2 2 3" xfId="31204" xr:uid="{00000000-0005-0000-0000-0000E7790000}"/>
    <cellStyle name="Normal 2 61 2 3" xfId="31205" xr:uid="{00000000-0005-0000-0000-0000E8790000}"/>
    <cellStyle name="Normal 2 61 2 4" xfId="31206" xr:uid="{00000000-0005-0000-0000-0000E9790000}"/>
    <cellStyle name="Normal 2 61 2 5" xfId="31207" xr:uid="{00000000-0005-0000-0000-0000EA790000}"/>
    <cellStyle name="Normal 2 61 2 6" xfId="31208" xr:uid="{00000000-0005-0000-0000-0000EB790000}"/>
    <cellStyle name="Normal 2 61 3" xfId="31209" xr:uid="{00000000-0005-0000-0000-0000EC790000}"/>
    <cellStyle name="Normal 2 61 3 2" xfId="31210" xr:uid="{00000000-0005-0000-0000-0000ED790000}"/>
    <cellStyle name="Normal 2 61 3 2 2" xfId="31211" xr:uid="{00000000-0005-0000-0000-0000EE790000}"/>
    <cellStyle name="Normal 2 61 3 3" xfId="31212" xr:uid="{00000000-0005-0000-0000-0000EF790000}"/>
    <cellStyle name="Normal 2 61 3 4" xfId="31213" xr:uid="{00000000-0005-0000-0000-0000F0790000}"/>
    <cellStyle name="Normal 2 61 3 5" xfId="31214" xr:uid="{00000000-0005-0000-0000-0000F1790000}"/>
    <cellStyle name="Normal 2 61 4" xfId="31215" xr:uid="{00000000-0005-0000-0000-0000F2790000}"/>
    <cellStyle name="Normal 2 61 4 2" xfId="31216" xr:uid="{00000000-0005-0000-0000-0000F3790000}"/>
    <cellStyle name="Normal 2 61 4 3" xfId="31217" xr:uid="{00000000-0005-0000-0000-0000F4790000}"/>
    <cellStyle name="Normal 2 61 4 4" xfId="31218" xr:uid="{00000000-0005-0000-0000-0000F5790000}"/>
    <cellStyle name="Normal 2 61 5" xfId="31219" xr:uid="{00000000-0005-0000-0000-0000F6790000}"/>
    <cellStyle name="Normal 2 61 5 2" xfId="31220" xr:uid="{00000000-0005-0000-0000-0000F7790000}"/>
    <cellStyle name="Normal 2 61 6" xfId="31221" xr:uid="{00000000-0005-0000-0000-0000F8790000}"/>
    <cellStyle name="Normal 2 61 7" xfId="31222" xr:uid="{00000000-0005-0000-0000-0000F9790000}"/>
    <cellStyle name="Normal 2 61 8" xfId="31223" xr:uid="{00000000-0005-0000-0000-0000FA790000}"/>
    <cellStyle name="Normal 2 61 9" xfId="31224" xr:uid="{00000000-0005-0000-0000-0000FB790000}"/>
    <cellStyle name="Normal 2 62" xfId="31225" xr:uid="{00000000-0005-0000-0000-0000FC790000}"/>
    <cellStyle name="Normal 2 62 2" xfId="31226" xr:uid="{00000000-0005-0000-0000-0000FD790000}"/>
    <cellStyle name="Normal 2 62 2 2" xfId="31227" xr:uid="{00000000-0005-0000-0000-0000FE790000}"/>
    <cellStyle name="Normal 2 62 2 2 2" xfId="31228" xr:uid="{00000000-0005-0000-0000-0000FF790000}"/>
    <cellStyle name="Normal 2 62 2 3" xfId="31229" xr:uid="{00000000-0005-0000-0000-0000007A0000}"/>
    <cellStyle name="Normal 2 62 2 4" xfId="31230" xr:uid="{00000000-0005-0000-0000-0000017A0000}"/>
    <cellStyle name="Normal 2 62 2 5" xfId="31231" xr:uid="{00000000-0005-0000-0000-0000027A0000}"/>
    <cellStyle name="Normal 2 62 3" xfId="31232" xr:uid="{00000000-0005-0000-0000-0000037A0000}"/>
    <cellStyle name="Normal 2 62 3 2" xfId="31233" xr:uid="{00000000-0005-0000-0000-0000047A0000}"/>
    <cellStyle name="Normal 2 62 3 3" xfId="31234" xr:uid="{00000000-0005-0000-0000-0000057A0000}"/>
    <cellStyle name="Normal 2 62 3 4" xfId="31235" xr:uid="{00000000-0005-0000-0000-0000067A0000}"/>
    <cellStyle name="Normal 2 62 4" xfId="31236" xr:uid="{00000000-0005-0000-0000-0000077A0000}"/>
    <cellStyle name="Normal 2 62 4 2" xfId="31237" xr:uid="{00000000-0005-0000-0000-0000087A0000}"/>
    <cellStyle name="Normal 2 62 5" xfId="31238" xr:uid="{00000000-0005-0000-0000-0000097A0000}"/>
    <cellStyle name="Normal 2 62 6" xfId="31239" xr:uid="{00000000-0005-0000-0000-00000A7A0000}"/>
    <cellStyle name="Normal 2 62 7" xfId="31240" xr:uid="{00000000-0005-0000-0000-00000B7A0000}"/>
    <cellStyle name="Normal 2 62 8" xfId="31241" xr:uid="{00000000-0005-0000-0000-00000C7A0000}"/>
    <cellStyle name="Normal 2 63" xfId="31242" xr:uid="{00000000-0005-0000-0000-00000D7A0000}"/>
    <cellStyle name="Normal 2 63 2" xfId="31243" xr:uid="{00000000-0005-0000-0000-00000E7A0000}"/>
    <cellStyle name="Normal 2 63 2 2" xfId="31244" xr:uid="{00000000-0005-0000-0000-00000F7A0000}"/>
    <cellStyle name="Normal 2 63 2 3" xfId="31245" xr:uid="{00000000-0005-0000-0000-0000107A0000}"/>
    <cellStyle name="Normal 2 63 2 4" xfId="31246" xr:uid="{00000000-0005-0000-0000-0000117A0000}"/>
    <cellStyle name="Normal 2 63 3" xfId="31247" xr:uid="{00000000-0005-0000-0000-0000127A0000}"/>
    <cellStyle name="Normal 2 63 3 2" xfId="31248" xr:uid="{00000000-0005-0000-0000-0000137A0000}"/>
    <cellStyle name="Normal 2 63 4" xfId="31249" xr:uid="{00000000-0005-0000-0000-0000147A0000}"/>
    <cellStyle name="Normal 2 63 5" xfId="31250" xr:uid="{00000000-0005-0000-0000-0000157A0000}"/>
    <cellStyle name="Normal 2 63 6" xfId="31251" xr:uid="{00000000-0005-0000-0000-0000167A0000}"/>
    <cellStyle name="Normal 2 63 7" xfId="31252" xr:uid="{00000000-0005-0000-0000-0000177A0000}"/>
    <cellStyle name="Normal 2 64" xfId="31253" xr:uid="{00000000-0005-0000-0000-0000187A0000}"/>
    <cellStyle name="Normal 2 64 2" xfId="31254" xr:uid="{00000000-0005-0000-0000-0000197A0000}"/>
    <cellStyle name="Normal 2 64 2 2" xfId="31255" xr:uid="{00000000-0005-0000-0000-00001A7A0000}"/>
    <cellStyle name="Normal 2 64 3" xfId="31256" xr:uid="{00000000-0005-0000-0000-00001B7A0000}"/>
    <cellStyle name="Normal 2 64 4" xfId="31257" xr:uid="{00000000-0005-0000-0000-00001C7A0000}"/>
    <cellStyle name="Normal 2 64 5" xfId="31258" xr:uid="{00000000-0005-0000-0000-00001D7A0000}"/>
    <cellStyle name="Normal 2 65" xfId="31259" xr:uid="{00000000-0005-0000-0000-00001E7A0000}"/>
    <cellStyle name="Normal 2 65 2" xfId="31260" xr:uid="{00000000-0005-0000-0000-00001F7A0000}"/>
    <cellStyle name="Normal 2 65 3" xfId="31261" xr:uid="{00000000-0005-0000-0000-0000207A0000}"/>
    <cellStyle name="Normal 2 65 4" xfId="31262" xr:uid="{00000000-0005-0000-0000-0000217A0000}"/>
    <cellStyle name="Normal 2 66" xfId="31263" xr:uid="{00000000-0005-0000-0000-0000227A0000}"/>
    <cellStyle name="Normal 2 66 2" xfId="31264" xr:uid="{00000000-0005-0000-0000-0000237A0000}"/>
    <cellStyle name="Normal 2 67" xfId="31265" xr:uid="{00000000-0005-0000-0000-0000247A0000}"/>
    <cellStyle name="Normal 2 68" xfId="31266" xr:uid="{00000000-0005-0000-0000-0000257A0000}"/>
    <cellStyle name="Normal 2 69" xfId="31267" xr:uid="{00000000-0005-0000-0000-0000267A0000}"/>
    <cellStyle name="Normal 2 7" xfId="31268" xr:uid="{00000000-0005-0000-0000-0000277A0000}"/>
    <cellStyle name="Normal 2 7 10" xfId="31269" xr:uid="{00000000-0005-0000-0000-0000287A0000}"/>
    <cellStyle name="Normal 2 7 10 10" xfId="31270" xr:uid="{00000000-0005-0000-0000-0000297A0000}"/>
    <cellStyle name="Normal 2 7 10 11" xfId="31271" xr:uid="{00000000-0005-0000-0000-00002A7A0000}"/>
    <cellStyle name="Normal 2 7 10 2" xfId="31272" xr:uid="{00000000-0005-0000-0000-00002B7A0000}"/>
    <cellStyle name="Normal 2 7 10 2 2" xfId="31273" xr:uid="{00000000-0005-0000-0000-00002C7A0000}"/>
    <cellStyle name="Normal 2 7 10 2 2 2" xfId="31274" xr:uid="{00000000-0005-0000-0000-00002D7A0000}"/>
    <cellStyle name="Normal 2 7 10 2 2 2 2" xfId="31275" xr:uid="{00000000-0005-0000-0000-00002E7A0000}"/>
    <cellStyle name="Normal 2 7 10 2 2 2 3" xfId="31276" xr:uid="{00000000-0005-0000-0000-00002F7A0000}"/>
    <cellStyle name="Normal 2 7 10 2 2 3" xfId="31277" xr:uid="{00000000-0005-0000-0000-0000307A0000}"/>
    <cellStyle name="Normal 2 7 10 2 2 4" xfId="31278" xr:uid="{00000000-0005-0000-0000-0000317A0000}"/>
    <cellStyle name="Normal 2 7 10 2 2 5" xfId="31279" xr:uid="{00000000-0005-0000-0000-0000327A0000}"/>
    <cellStyle name="Normal 2 7 10 2 2 6" xfId="31280" xr:uid="{00000000-0005-0000-0000-0000337A0000}"/>
    <cellStyle name="Normal 2 7 10 2 3" xfId="31281" xr:uid="{00000000-0005-0000-0000-0000347A0000}"/>
    <cellStyle name="Normal 2 7 10 2 3 2" xfId="31282" xr:uid="{00000000-0005-0000-0000-0000357A0000}"/>
    <cellStyle name="Normal 2 7 10 2 3 2 2" xfId="31283" xr:uid="{00000000-0005-0000-0000-0000367A0000}"/>
    <cellStyle name="Normal 2 7 10 2 3 3" xfId="31284" xr:uid="{00000000-0005-0000-0000-0000377A0000}"/>
    <cellStyle name="Normal 2 7 10 2 3 4" xfId="31285" xr:uid="{00000000-0005-0000-0000-0000387A0000}"/>
    <cellStyle name="Normal 2 7 10 2 3 5" xfId="31286" xr:uid="{00000000-0005-0000-0000-0000397A0000}"/>
    <cellStyle name="Normal 2 7 10 2 4" xfId="31287" xr:uid="{00000000-0005-0000-0000-00003A7A0000}"/>
    <cellStyle name="Normal 2 7 10 2 4 2" xfId="31288" xr:uid="{00000000-0005-0000-0000-00003B7A0000}"/>
    <cellStyle name="Normal 2 7 10 2 4 3" xfId="31289" xr:uid="{00000000-0005-0000-0000-00003C7A0000}"/>
    <cellStyle name="Normal 2 7 10 2 4 4" xfId="31290" xr:uid="{00000000-0005-0000-0000-00003D7A0000}"/>
    <cellStyle name="Normal 2 7 10 2 5" xfId="31291" xr:uid="{00000000-0005-0000-0000-00003E7A0000}"/>
    <cellStyle name="Normal 2 7 10 2 5 2" xfId="31292" xr:uid="{00000000-0005-0000-0000-00003F7A0000}"/>
    <cellStyle name="Normal 2 7 10 2 6" xfId="31293" xr:uid="{00000000-0005-0000-0000-0000407A0000}"/>
    <cellStyle name="Normal 2 7 10 2 7" xfId="31294" xr:uid="{00000000-0005-0000-0000-0000417A0000}"/>
    <cellStyle name="Normal 2 7 10 2 8" xfId="31295" xr:uid="{00000000-0005-0000-0000-0000427A0000}"/>
    <cellStyle name="Normal 2 7 10 2 9" xfId="31296" xr:uid="{00000000-0005-0000-0000-0000437A0000}"/>
    <cellStyle name="Normal 2 7 10 3" xfId="31297" xr:uid="{00000000-0005-0000-0000-0000447A0000}"/>
    <cellStyle name="Normal 2 7 10 3 2" xfId="31298" xr:uid="{00000000-0005-0000-0000-0000457A0000}"/>
    <cellStyle name="Normal 2 7 10 3 2 2" xfId="31299" xr:uid="{00000000-0005-0000-0000-0000467A0000}"/>
    <cellStyle name="Normal 2 7 10 3 2 2 2" xfId="31300" xr:uid="{00000000-0005-0000-0000-0000477A0000}"/>
    <cellStyle name="Normal 2 7 10 3 2 2 3" xfId="31301" xr:uid="{00000000-0005-0000-0000-0000487A0000}"/>
    <cellStyle name="Normal 2 7 10 3 2 3" xfId="31302" xr:uid="{00000000-0005-0000-0000-0000497A0000}"/>
    <cellStyle name="Normal 2 7 10 3 2 4" xfId="31303" xr:uid="{00000000-0005-0000-0000-00004A7A0000}"/>
    <cellStyle name="Normal 2 7 10 3 2 5" xfId="31304" xr:uid="{00000000-0005-0000-0000-00004B7A0000}"/>
    <cellStyle name="Normal 2 7 10 3 2 6" xfId="31305" xr:uid="{00000000-0005-0000-0000-00004C7A0000}"/>
    <cellStyle name="Normal 2 7 10 3 3" xfId="31306" xr:uid="{00000000-0005-0000-0000-00004D7A0000}"/>
    <cellStyle name="Normal 2 7 10 3 3 2" xfId="31307" xr:uid="{00000000-0005-0000-0000-00004E7A0000}"/>
    <cellStyle name="Normal 2 7 10 3 3 2 2" xfId="31308" xr:uid="{00000000-0005-0000-0000-00004F7A0000}"/>
    <cellStyle name="Normal 2 7 10 3 3 3" xfId="31309" xr:uid="{00000000-0005-0000-0000-0000507A0000}"/>
    <cellStyle name="Normal 2 7 10 3 3 4" xfId="31310" xr:uid="{00000000-0005-0000-0000-0000517A0000}"/>
    <cellStyle name="Normal 2 7 10 3 3 5" xfId="31311" xr:uid="{00000000-0005-0000-0000-0000527A0000}"/>
    <cellStyle name="Normal 2 7 10 3 4" xfId="31312" xr:uid="{00000000-0005-0000-0000-0000537A0000}"/>
    <cellStyle name="Normal 2 7 10 3 4 2" xfId="31313" xr:uid="{00000000-0005-0000-0000-0000547A0000}"/>
    <cellStyle name="Normal 2 7 10 3 4 3" xfId="31314" xr:uid="{00000000-0005-0000-0000-0000557A0000}"/>
    <cellStyle name="Normal 2 7 10 3 4 4" xfId="31315" xr:uid="{00000000-0005-0000-0000-0000567A0000}"/>
    <cellStyle name="Normal 2 7 10 3 5" xfId="31316" xr:uid="{00000000-0005-0000-0000-0000577A0000}"/>
    <cellStyle name="Normal 2 7 10 3 5 2" xfId="31317" xr:uid="{00000000-0005-0000-0000-0000587A0000}"/>
    <cellStyle name="Normal 2 7 10 3 6" xfId="31318" xr:uid="{00000000-0005-0000-0000-0000597A0000}"/>
    <cellStyle name="Normal 2 7 10 3 7" xfId="31319" xr:uid="{00000000-0005-0000-0000-00005A7A0000}"/>
    <cellStyle name="Normal 2 7 10 3 8" xfId="31320" xr:uid="{00000000-0005-0000-0000-00005B7A0000}"/>
    <cellStyle name="Normal 2 7 10 3 9" xfId="31321" xr:uid="{00000000-0005-0000-0000-00005C7A0000}"/>
    <cellStyle name="Normal 2 7 10 4" xfId="31322" xr:uid="{00000000-0005-0000-0000-00005D7A0000}"/>
    <cellStyle name="Normal 2 7 10 4 2" xfId="31323" xr:uid="{00000000-0005-0000-0000-00005E7A0000}"/>
    <cellStyle name="Normal 2 7 10 4 2 2" xfId="31324" xr:uid="{00000000-0005-0000-0000-00005F7A0000}"/>
    <cellStyle name="Normal 2 7 10 4 2 3" xfId="31325" xr:uid="{00000000-0005-0000-0000-0000607A0000}"/>
    <cellStyle name="Normal 2 7 10 4 3" xfId="31326" xr:uid="{00000000-0005-0000-0000-0000617A0000}"/>
    <cellStyle name="Normal 2 7 10 4 4" xfId="31327" xr:uid="{00000000-0005-0000-0000-0000627A0000}"/>
    <cellStyle name="Normal 2 7 10 4 5" xfId="31328" xr:uid="{00000000-0005-0000-0000-0000637A0000}"/>
    <cellStyle name="Normal 2 7 10 4 6" xfId="31329" xr:uid="{00000000-0005-0000-0000-0000647A0000}"/>
    <cellStyle name="Normal 2 7 10 5" xfId="31330" xr:uid="{00000000-0005-0000-0000-0000657A0000}"/>
    <cellStyle name="Normal 2 7 10 5 2" xfId="31331" xr:uid="{00000000-0005-0000-0000-0000667A0000}"/>
    <cellStyle name="Normal 2 7 10 5 2 2" xfId="31332" xr:uid="{00000000-0005-0000-0000-0000677A0000}"/>
    <cellStyle name="Normal 2 7 10 5 3" xfId="31333" xr:uid="{00000000-0005-0000-0000-0000687A0000}"/>
    <cellStyle name="Normal 2 7 10 5 4" xfId="31334" xr:uid="{00000000-0005-0000-0000-0000697A0000}"/>
    <cellStyle name="Normal 2 7 10 5 5" xfId="31335" xr:uid="{00000000-0005-0000-0000-00006A7A0000}"/>
    <cellStyle name="Normal 2 7 10 6" xfId="31336" xr:uid="{00000000-0005-0000-0000-00006B7A0000}"/>
    <cellStyle name="Normal 2 7 10 6 2" xfId="31337" xr:uid="{00000000-0005-0000-0000-00006C7A0000}"/>
    <cellStyle name="Normal 2 7 10 6 3" xfId="31338" xr:uid="{00000000-0005-0000-0000-00006D7A0000}"/>
    <cellStyle name="Normal 2 7 10 6 4" xfId="31339" xr:uid="{00000000-0005-0000-0000-00006E7A0000}"/>
    <cellStyle name="Normal 2 7 10 7" xfId="31340" xr:uid="{00000000-0005-0000-0000-00006F7A0000}"/>
    <cellStyle name="Normal 2 7 10 7 2" xfId="31341" xr:uid="{00000000-0005-0000-0000-0000707A0000}"/>
    <cellStyle name="Normal 2 7 10 8" xfId="31342" xr:uid="{00000000-0005-0000-0000-0000717A0000}"/>
    <cellStyle name="Normal 2 7 10 9" xfId="31343" xr:uid="{00000000-0005-0000-0000-0000727A0000}"/>
    <cellStyle name="Normal 2 7 11" xfId="31344" xr:uid="{00000000-0005-0000-0000-0000737A0000}"/>
    <cellStyle name="Normal 2 7 11 10" xfId="31345" xr:uid="{00000000-0005-0000-0000-0000747A0000}"/>
    <cellStyle name="Normal 2 7 11 2" xfId="31346" xr:uid="{00000000-0005-0000-0000-0000757A0000}"/>
    <cellStyle name="Normal 2 7 11 2 2" xfId="31347" xr:uid="{00000000-0005-0000-0000-0000767A0000}"/>
    <cellStyle name="Normal 2 7 11 2 2 2" xfId="31348" xr:uid="{00000000-0005-0000-0000-0000777A0000}"/>
    <cellStyle name="Normal 2 7 11 2 2 3" xfId="31349" xr:uid="{00000000-0005-0000-0000-0000787A0000}"/>
    <cellStyle name="Normal 2 7 11 2 3" xfId="31350" xr:uid="{00000000-0005-0000-0000-0000797A0000}"/>
    <cellStyle name="Normal 2 7 11 2 4" xfId="31351" xr:uid="{00000000-0005-0000-0000-00007A7A0000}"/>
    <cellStyle name="Normal 2 7 11 2 5" xfId="31352" xr:uid="{00000000-0005-0000-0000-00007B7A0000}"/>
    <cellStyle name="Normal 2 7 11 2 6" xfId="31353" xr:uid="{00000000-0005-0000-0000-00007C7A0000}"/>
    <cellStyle name="Normal 2 7 11 3" xfId="31354" xr:uid="{00000000-0005-0000-0000-00007D7A0000}"/>
    <cellStyle name="Normal 2 7 11 3 2" xfId="31355" xr:uid="{00000000-0005-0000-0000-00007E7A0000}"/>
    <cellStyle name="Normal 2 7 11 3 2 2" xfId="31356" xr:uid="{00000000-0005-0000-0000-00007F7A0000}"/>
    <cellStyle name="Normal 2 7 11 3 2 3" xfId="31357" xr:uid="{00000000-0005-0000-0000-0000807A0000}"/>
    <cellStyle name="Normal 2 7 11 3 3" xfId="31358" xr:uid="{00000000-0005-0000-0000-0000817A0000}"/>
    <cellStyle name="Normal 2 7 11 3 4" xfId="31359" xr:uid="{00000000-0005-0000-0000-0000827A0000}"/>
    <cellStyle name="Normal 2 7 11 3 5" xfId="31360" xr:uid="{00000000-0005-0000-0000-0000837A0000}"/>
    <cellStyle name="Normal 2 7 11 3 6" xfId="31361" xr:uid="{00000000-0005-0000-0000-0000847A0000}"/>
    <cellStyle name="Normal 2 7 11 4" xfId="31362" xr:uid="{00000000-0005-0000-0000-0000857A0000}"/>
    <cellStyle name="Normal 2 7 11 4 2" xfId="31363" xr:uid="{00000000-0005-0000-0000-0000867A0000}"/>
    <cellStyle name="Normal 2 7 11 4 2 2" xfId="31364" xr:uid="{00000000-0005-0000-0000-0000877A0000}"/>
    <cellStyle name="Normal 2 7 11 4 3" xfId="31365" xr:uid="{00000000-0005-0000-0000-0000887A0000}"/>
    <cellStyle name="Normal 2 7 11 4 4" xfId="31366" xr:uid="{00000000-0005-0000-0000-0000897A0000}"/>
    <cellStyle name="Normal 2 7 11 4 5" xfId="31367" xr:uid="{00000000-0005-0000-0000-00008A7A0000}"/>
    <cellStyle name="Normal 2 7 11 5" xfId="31368" xr:uid="{00000000-0005-0000-0000-00008B7A0000}"/>
    <cellStyle name="Normal 2 7 11 5 2" xfId="31369" xr:uid="{00000000-0005-0000-0000-00008C7A0000}"/>
    <cellStyle name="Normal 2 7 11 5 3" xfId="31370" xr:uid="{00000000-0005-0000-0000-00008D7A0000}"/>
    <cellStyle name="Normal 2 7 11 5 4" xfId="31371" xr:uid="{00000000-0005-0000-0000-00008E7A0000}"/>
    <cellStyle name="Normal 2 7 11 6" xfId="31372" xr:uid="{00000000-0005-0000-0000-00008F7A0000}"/>
    <cellStyle name="Normal 2 7 11 6 2" xfId="31373" xr:uid="{00000000-0005-0000-0000-0000907A0000}"/>
    <cellStyle name="Normal 2 7 11 7" xfId="31374" xr:uid="{00000000-0005-0000-0000-0000917A0000}"/>
    <cellStyle name="Normal 2 7 11 8" xfId="31375" xr:uid="{00000000-0005-0000-0000-0000927A0000}"/>
    <cellStyle name="Normal 2 7 11 9" xfId="31376" xr:uid="{00000000-0005-0000-0000-0000937A0000}"/>
    <cellStyle name="Normal 2 7 12" xfId="31377" xr:uid="{00000000-0005-0000-0000-0000947A0000}"/>
    <cellStyle name="Normal 2 7 12 10" xfId="31378" xr:uid="{00000000-0005-0000-0000-0000957A0000}"/>
    <cellStyle name="Normal 2 7 12 2" xfId="31379" xr:uid="{00000000-0005-0000-0000-0000967A0000}"/>
    <cellStyle name="Normal 2 7 12 2 2" xfId="31380" xr:uid="{00000000-0005-0000-0000-0000977A0000}"/>
    <cellStyle name="Normal 2 7 12 2 2 2" xfId="31381" xr:uid="{00000000-0005-0000-0000-0000987A0000}"/>
    <cellStyle name="Normal 2 7 12 2 2 3" xfId="31382" xr:uid="{00000000-0005-0000-0000-0000997A0000}"/>
    <cellStyle name="Normal 2 7 12 2 3" xfId="31383" xr:uid="{00000000-0005-0000-0000-00009A7A0000}"/>
    <cellStyle name="Normal 2 7 12 2 4" xfId="31384" xr:uid="{00000000-0005-0000-0000-00009B7A0000}"/>
    <cellStyle name="Normal 2 7 12 2 5" xfId="31385" xr:uid="{00000000-0005-0000-0000-00009C7A0000}"/>
    <cellStyle name="Normal 2 7 12 2 6" xfId="31386" xr:uid="{00000000-0005-0000-0000-00009D7A0000}"/>
    <cellStyle name="Normal 2 7 12 3" xfId="31387" xr:uid="{00000000-0005-0000-0000-00009E7A0000}"/>
    <cellStyle name="Normal 2 7 12 3 2" xfId="31388" xr:uid="{00000000-0005-0000-0000-00009F7A0000}"/>
    <cellStyle name="Normal 2 7 12 3 2 2" xfId="31389" xr:uid="{00000000-0005-0000-0000-0000A07A0000}"/>
    <cellStyle name="Normal 2 7 12 3 2 3" xfId="31390" xr:uid="{00000000-0005-0000-0000-0000A17A0000}"/>
    <cellStyle name="Normal 2 7 12 3 3" xfId="31391" xr:uid="{00000000-0005-0000-0000-0000A27A0000}"/>
    <cellStyle name="Normal 2 7 12 3 4" xfId="31392" xr:uid="{00000000-0005-0000-0000-0000A37A0000}"/>
    <cellStyle name="Normal 2 7 12 3 5" xfId="31393" xr:uid="{00000000-0005-0000-0000-0000A47A0000}"/>
    <cellStyle name="Normal 2 7 12 3 6" xfId="31394" xr:uid="{00000000-0005-0000-0000-0000A57A0000}"/>
    <cellStyle name="Normal 2 7 12 4" xfId="31395" xr:uid="{00000000-0005-0000-0000-0000A67A0000}"/>
    <cellStyle name="Normal 2 7 12 4 2" xfId="31396" xr:uid="{00000000-0005-0000-0000-0000A77A0000}"/>
    <cellStyle name="Normal 2 7 12 4 2 2" xfId="31397" xr:uid="{00000000-0005-0000-0000-0000A87A0000}"/>
    <cellStyle name="Normal 2 7 12 4 3" xfId="31398" xr:uid="{00000000-0005-0000-0000-0000A97A0000}"/>
    <cellStyle name="Normal 2 7 12 4 4" xfId="31399" xr:uid="{00000000-0005-0000-0000-0000AA7A0000}"/>
    <cellStyle name="Normal 2 7 12 4 5" xfId="31400" xr:uid="{00000000-0005-0000-0000-0000AB7A0000}"/>
    <cellStyle name="Normal 2 7 12 5" xfId="31401" xr:uid="{00000000-0005-0000-0000-0000AC7A0000}"/>
    <cellStyle name="Normal 2 7 12 5 2" xfId="31402" xr:uid="{00000000-0005-0000-0000-0000AD7A0000}"/>
    <cellStyle name="Normal 2 7 12 5 3" xfId="31403" xr:uid="{00000000-0005-0000-0000-0000AE7A0000}"/>
    <cellStyle name="Normal 2 7 12 5 4" xfId="31404" xr:uid="{00000000-0005-0000-0000-0000AF7A0000}"/>
    <cellStyle name="Normal 2 7 12 6" xfId="31405" xr:uid="{00000000-0005-0000-0000-0000B07A0000}"/>
    <cellStyle name="Normal 2 7 12 6 2" xfId="31406" xr:uid="{00000000-0005-0000-0000-0000B17A0000}"/>
    <cellStyle name="Normal 2 7 12 7" xfId="31407" xr:uid="{00000000-0005-0000-0000-0000B27A0000}"/>
    <cellStyle name="Normal 2 7 12 8" xfId="31408" xr:uid="{00000000-0005-0000-0000-0000B37A0000}"/>
    <cellStyle name="Normal 2 7 12 9" xfId="31409" xr:uid="{00000000-0005-0000-0000-0000B47A0000}"/>
    <cellStyle name="Normal 2 7 13" xfId="31410" xr:uid="{00000000-0005-0000-0000-0000B57A0000}"/>
    <cellStyle name="Normal 2 7 13 10" xfId="31411" xr:uid="{00000000-0005-0000-0000-0000B67A0000}"/>
    <cellStyle name="Normal 2 7 13 2" xfId="31412" xr:uid="{00000000-0005-0000-0000-0000B77A0000}"/>
    <cellStyle name="Normal 2 7 13 2 2" xfId="31413" xr:uid="{00000000-0005-0000-0000-0000B87A0000}"/>
    <cellStyle name="Normal 2 7 13 2 2 2" xfId="31414" xr:uid="{00000000-0005-0000-0000-0000B97A0000}"/>
    <cellStyle name="Normal 2 7 13 2 2 3" xfId="31415" xr:uid="{00000000-0005-0000-0000-0000BA7A0000}"/>
    <cellStyle name="Normal 2 7 13 2 3" xfId="31416" xr:uid="{00000000-0005-0000-0000-0000BB7A0000}"/>
    <cellStyle name="Normal 2 7 13 2 4" xfId="31417" xr:uid="{00000000-0005-0000-0000-0000BC7A0000}"/>
    <cellStyle name="Normal 2 7 13 2 5" xfId="31418" xr:uid="{00000000-0005-0000-0000-0000BD7A0000}"/>
    <cellStyle name="Normal 2 7 13 2 6" xfId="31419" xr:uid="{00000000-0005-0000-0000-0000BE7A0000}"/>
    <cellStyle name="Normal 2 7 13 3" xfId="31420" xr:uid="{00000000-0005-0000-0000-0000BF7A0000}"/>
    <cellStyle name="Normal 2 7 13 3 2" xfId="31421" xr:uid="{00000000-0005-0000-0000-0000C07A0000}"/>
    <cellStyle name="Normal 2 7 13 3 2 2" xfId="31422" xr:uid="{00000000-0005-0000-0000-0000C17A0000}"/>
    <cellStyle name="Normal 2 7 13 3 2 3" xfId="31423" xr:uid="{00000000-0005-0000-0000-0000C27A0000}"/>
    <cellStyle name="Normal 2 7 13 3 3" xfId="31424" xr:uid="{00000000-0005-0000-0000-0000C37A0000}"/>
    <cellStyle name="Normal 2 7 13 3 4" xfId="31425" xr:uid="{00000000-0005-0000-0000-0000C47A0000}"/>
    <cellStyle name="Normal 2 7 13 3 5" xfId="31426" xr:uid="{00000000-0005-0000-0000-0000C57A0000}"/>
    <cellStyle name="Normal 2 7 13 3 6" xfId="31427" xr:uid="{00000000-0005-0000-0000-0000C67A0000}"/>
    <cellStyle name="Normal 2 7 13 4" xfId="31428" xr:uid="{00000000-0005-0000-0000-0000C77A0000}"/>
    <cellStyle name="Normal 2 7 13 4 2" xfId="31429" xr:uid="{00000000-0005-0000-0000-0000C87A0000}"/>
    <cellStyle name="Normal 2 7 13 4 2 2" xfId="31430" xr:uid="{00000000-0005-0000-0000-0000C97A0000}"/>
    <cellStyle name="Normal 2 7 13 4 3" xfId="31431" xr:uid="{00000000-0005-0000-0000-0000CA7A0000}"/>
    <cellStyle name="Normal 2 7 13 4 4" xfId="31432" xr:uid="{00000000-0005-0000-0000-0000CB7A0000}"/>
    <cellStyle name="Normal 2 7 13 4 5" xfId="31433" xr:uid="{00000000-0005-0000-0000-0000CC7A0000}"/>
    <cellStyle name="Normal 2 7 13 5" xfId="31434" xr:uid="{00000000-0005-0000-0000-0000CD7A0000}"/>
    <cellStyle name="Normal 2 7 13 5 2" xfId="31435" xr:uid="{00000000-0005-0000-0000-0000CE7A0000}"/>
    <cellStyle name="Normal 2 7 13 5 3" xfId="31436" xr:uid="{00000000-0005-0000-0000-0000CF7A0000}"/>
    <cellStyle name="Normal 2 7 13 5 4" xfId="31437" xr:uid="{00000000-0005-0000-0000-0000D07A0000}"/>
    <cellStyle name="Normal 2 7 13 6" xfId="31438" xr:uid="{00000000-0005-0000-0000-0000D17A0000}"/>
    <cellStyle name="Normal 2 7 13 6 2" xfId="31439" xr:uid="{00000000-0005-0000-0000-0000D27A0000}"/>
    <cellStyle name="Normal 2 7 13 7" xfId="31440" xr:uid="{00000000-0005-0000-0000-0000D37A0000}"/>
    <cellStyle name="Normal 2 7 13 8" xfId="31441" xr:uid="{00000000-0005-0000-0000-0000D47A0000}"/>
    <cellStyle name="Normal 2 7 13 9" xfId="31442" xr:uid="{00000000-0005-0000-0000-0000D57A0000}"/>
    <cellStyle name="Normal 2 7 14" xfId="31443" xr:uid="{00000000-0005-0000-0000-0000D67A0000}"/>
    <cellStyle name="Normal 2 7 14 10" xfId="31444" xr:uid="{00000000-0005-0000-0000-0000D77A0000}"/>
    <cellStyle name="Normal 2 7 14 2" xfId="31445" xr:uid="{00000000-0005-0000-0000-0000D87A0000}"/>
    <cellStyle name="Normal 2 7 14 2 2" xfId="31446" xr:uid="{00000000-0005-0000-0000-0000D97A0000}"/>
    <cellStyle name="Normal 2 7 14 2 2 2" xfId="31447" xr:uid="{00000000-0005-0000-0000-0000DA7A0000}"/>
    <cellStyle name="Normal 2 7 14 2 2 3" xfId="31448" xr:uid="{00000000-0005-0000-0000-0000DB7A0000}"/>
    <cellStyle name="Normal 2 7 14 2 3" xfId="31449" xr:uid="{00000000-0005-0000-0000-0000DC7A0000}"/>
    <cellStyle name="Normal 2 7 14 2 4" xfId="31450" xr:uid="{00000000-0005-0000-0000-0000DD7A0000}"/>
    <cellStyle name="Normal 2 7 14 2 5" xfId="31451" xr:uid="{00000000-0005-0000-0000-0000DE7A0000}"/>
    <cellStyle name="Normal 2 7 14 2 6" xfId="31452" xr:uid="{00000000-0005-0000-0000-0000DF7A0000}"/>
    <cellStyle name="Normal 2 7 14 3" xfId="31453" xr:uid="{00000000-0005-0000-0000-0000E07A0000}"/>
    <cellStyle name="Normal 2 7 14 3 2" xfId="31454" xr:uid="{00000000-0005-0000-0000-0000E17A0000}"/>
    <cellStyle name="Normal 2 7 14 3 2 2" xfId="31455" xr:uid="{00000000-0005-0000-0000-0000E27A0000}"/>
    <cellStyle name="Normal 2 7 14 3 2 3" xfId="31456" xr:uid="{00000000-0005-0000-0000-0000E37A0000}"/>
    <cellStyle name="Normal 2 7 14 3 3" xfId="31457" xr:uid="{00000000-0005-0000-0000-0000E47A0000}"/>
    <cellStyle name="Normal 2 7 14 3 4" xfId="31458" xr:uid="{00000000-0005-0000-0000-0000E57A0000}"/>
    <cellStyle name="Normal 2 7 14 3 5" xfId="31459" xr:uid="{00000000-0005-0000-0000-0000E67A0000}"/>
    <cellStyle name="Normal 2 7 14 3 6" xfId="31460" xr:uid="{00000000-0005-0000-0000-0000E77A0000}"/>
    <cellStyle name="Normal 2 7 14 4" xfId="31461" xr:uid="{00000000-0005-0000-0000-0000E87A0000}"/>
    <cellStyle name="Normal 2 7 14 4 2" xfId="31462" xr:uid="{00000000-0005-0000-0000-0000E97A0000}"/>
    <cellStyle name="Normal 2 7 14 4 2 2" xfId="31463" xr:uid="{00000000-0005-0000-0000-0000EA7A0000}"/>
    <cellStyle name="Normal 2 7 14 4 3" xfId="31464" xr:uid="{00000000-0005-0000-0000-0000EB7A0000}"/>
    <cellStyle name="Normal 2 7 14 4 4" xfId="31465" xr:uid="{00000000-0005-0000-0000-0000EC7A0000}"/>
    <cellStyle name="Normal 2 7 14 4 5" xfId="31466" xr:uid="{00000000-0005-0000-0000-0000ED7A0000}"/>
    <cellStyle name="Normal 2 7 14 5" xfId="31467" xr:uid="{00000000-0005-0000-0000-0000EE7A0000}"/>
    <cellStyle name="Normal 2 7 14 5 2" xfId="31468" xr:uid="{00000000-0005-0000-0000-0000EF7A0000}"/>
    <cellStyle name="Normal 2 7 14 5 3" xfId="31469" xr:uid="{00000000-0005-0000-0000-0000F07A0000}"/>
    <cellStyle name="Normal 2 7 14 5 4" xfId="31470" xr:uid="{00000000-0005-0000-0000-0000F17A0000}"/>
    <cellStyle name="Normal 2 7 14 6" xfId="31471" xr:uid="{00000000-0005-0000-0000-0000F27A0000}"/>
    <cellStyle name="Normal 2 7 14 6 2" xfId="31472" xr:uid="{00000000-0005-0000-0000-0000F37A0000}"/>
    <cellStyle name="Normal 2 7 14 7" xfId="31473" xr:uid="{00000000-0005-0000-0000-0000F47A0000}"/>
    <cellStyle name="Normal 2 7 14 8" xfId="31474" xr:uid="{00000000-0005-0000-0000-0000F57A0000}"/>
    <cellStyle name="Normal 2 7 14 9" xfId="31475" xr:uid="{00000000-0005-0000-0000-0000F67A0000}"/>
    <cellStyle name="Normal 2 7 15" xfId="31476" xr:uid="{00000000-0005-0000-0000-0000F77A0000}"/>
    <cellStyle name="Normal 2 7 15 10" xfId="31477" xr:uid="{00000000-0005-0000-0000-0000F87A0000}"/>
    <cellStyle name="Normal 2 7 15 2" xfId="31478" xr:uid="{00000000-0005-0000-0000-0000F97A0000}"/>
    <cellStyle name="Normal 2 7 15 2 2" xfId="31479" xr:uid="{00000000-0005-0000-0000-0000FA7A0000}"/>
    <cellStyle name="Normal 2 7 15 2 2 2" xfId="31480" xr:uid="{00000000-0005-0000-0000-0000FB7A0000}"/>
    <cellStyle name="Normal 2 7 15 2 2 3" xfId="31481" xr:uid="{00000000-0005-0000-0000-0000FC7A0000}"/>
    <cellStyle name="Normal 2 7 15 2 3" xfId="31482" xr:uid="{00000000-0005-0000-0000-0000FD7A0000}"/>
    <cellStyle name="Normal 2 7 15 2 4" xfId="31483" xr:uid="{00000000-0005-0000-0000-0000FE7A0000}"/>
    <cellStyle name="Normal 2 7 15 2 5" xfId="31484" xr:uid="{00000000-0005-0000-0000-0000FF7A0000}"/>
    <cellStyle name="Normal 2 7 15 2 6" xfId="31485" xr:uid="{00000000-0005-0000-0000-0000007B0000}"/>
    <cellStyle name="Normal 2 7 15 3" xfId="31486" xr:uid="{00000000-0005-0000-0000-0000017B0000}"/>
    <cellStyle name="Normal 2 7 15 3 2" xfId="31487" xr:uid="{00000000-0005-0000-0000-0000027B0000}"/>
    <cellStyle name="Normal 2 7 15 3 2 2" xfId="31488" xr:uid="{00000000-0005-0000-0000-0000037B0000}"/>
    <cellStyle name="Normal 2 7 15 3 2 3" xfId="31489" xr:uid="{00000000-0005-0000-0000-0000047B0000}"/>
    <cellStyle name="Normal 2 7 15 3 3" xfId="31490" xr:uid="{00000000-0005-0000-0000-0000057B0000}"/>
    <cellStyle name="Normal 2 7 15 3 4" xfId="31491" xr:uid="{00000000-0005-0000-0000-0000067B0000}"/>
    <cellStyle name="Normal 2 7 15 3 5" xfId="31492" xr:uid="{00000000-0005-0000-0000-0000077B0000}"/>
    <cellStyle name="Normal 2 7 15 3 6" xfId="31493" xr:uid="{00000000-0005-0000-0000-0000087B0000}"/>
    <cellStyle name="Normal 2 7 15 4" xfId="31494" xr:uid="{00000000-0005-0000-0000-0000097B0000}"/>
    <cellStyle name="Normal 2 7 15 4 2" xfId="31495" xr:uid="{00000000-0005-0000-0000-00000A7B0000}"/>
    <cellStyle name="Normal 2 7 15 4 2 2" xfId="31496" xr:uid="{00000000-0005-0000-0000-00000B7B0000}"/>
    <cellStyle name="Normal 2 7 15 4 3" xfId="31497" xr:uid="{00000000-0005-0000-0000-00000C7B0000}"/>
    <cellStyle name="Normal 2 7 15 4 4" xfId="31498" xr:uid="{00000000-0005-0000-0000-00000D7B0000}"/>
    <cellStyle name="Normal 2 7 15 4 5" xfId="31499" xr:uid="{00000000-0005-0000-0000-00000E7B0000}"/>
    <cellStyle name="Normal 2 7 15 5" xfId="31500" xr:uid="{00000000-0005-0000-0000-00000F7B0000}"/>
    <cellStyle name="Normal 2 7 15 5 2" xfId="31501" xr:uid="{00000000-0005-0000-0000-0000107B0000}"/>
    <cellStyle name="Normal 2 7 15 5 3" xfId="31502" xr:uid="{00000000-0005-0000-0000-0000117B0000}"/>
    <cellStyle name="Normal 2 7 15 5 4" xfId="31503" xr:uid="{00000000-0005-0000-0000-0000127B0000}"/>
    <cellStyle name="Normal 2 7 15 6" xfId="31504" xr:uid="{00000000-0005-0000-0000-0000137B0000}"/>
    <cellStyle name="Normal 2 7 15 6 2" xfId="31505" xr:uid="{00000000-0005-0000-0000-0000147B0000}"/>
    <cellStyle name="Normal 2 7 15 7" xfId="31506" xr:uid="{00000000-0005-0000-0000-0000157B0000}"/>
    <cellStyle name="Normal 2 7 15 8" xfId="31507" xr:uid="{00000000-0005-0000-0000-0000167B0000}"/>
    <cellStyle name="Normal 2 7 15 9" xfId="31508" xr:uid="{00000000-0005-0000-0000-0000177B0000}"/>
    <cellStyle name="Normal 2 7 16" xfId="31509" xr:uid="{00000000-0005-0000-0000-0000187B0000}"/>
    <cellStyle name="Normal 2 7 16 10" xfId="31510" xr:uid="{00000000-0005-0000-0000-0000197B0000}"/>
    <cellStyle name="Normal 2 7 16 2" xfId="31511" xr:uid="{00000000-0005-0000-0000-00001A7B0000}"/>
    <cellStyle name="Normal 2 7 16 2 2" xfId="31512" xr:uid="{00000000-0005-0000-0000-00001B7B0000}"/>
    <cellStyle name="Normal 2 7 16 2 2 2" xfId="31513" xr:uid="{00000000-0005-0000-0000-00001C7B0000}"/>
    <cellStyle name="Normal 2 7 16 2 2 3" xfId="31514" xr:uid="{00000000-0005-0000-0000-00001D7B0000}"/>
    <cellStyle name="Normal 2 7 16 2 3" xfId="31515" xr:uid="{00000000-0005-0000-0000-00001E7B0000}"/>
    <cellStyle name="Normal 2 7 16 2 4" xfId="31516" xr:uid="{00000000-0005-0000-0000-00001F7B0000}"/>
    <cellStyle name="Normal 2 7 16 2 5" xfId="31517" xr:uid="{00000000-0005-0000-0000-0000207B0000}"/>
    <cellStyle name="Normal 2 7 16 2 6" xfId="31518" xr:uid="{00000000-0005-0000-0000-0000217B0000}"/>
    <cellStyle name="Normal 2 7 16 3" xfId="31519" xr:uid="{00000000-0005-0000-0000-0000227B0000}"/>
    <cellStyle name="Normal 2 7 16 3 2" xfId="31520" xr:uid="{00000000-0005-0000-0000-0000237B0000}"/>
    <cellStyle name="Normal 2 7 16 3 2 2" xfId="31521" xr:uid="{00000000-0005-0000-0000-0000247B0000}"/>
    <cellStyle name="Normal 2 7 16 3 2 3" xfId="31522" xr:uid="{00000000-0005-0000-0000-0000257B0000}"/>
    <cellStyle name="Normal 2 7 16 3 3" xfId="31523" xr:uid="{00000000-0005-0000-0000-0000267B0000}"/>
    <cellStyle name="Normal 2 7 16 3 4" xfId="31524" xr:uid="{00000000-0005-0000-0000-0000277B0000}"/>
    <cellStyle name="Normal 2 7 16 3 5" xfId="31525" xr:uid="{00000000-0005-0000-0000-0000287B0000}"/>
    <cellStyle name="Normal 2 7 16 3 6" xfId="31526" xr:uid="{00000000-0005-0000-0000-0000297B0000}"/>
    <cellStyle name="Normal 2 7 16 4" xfId="31527" xr:uid="{00000000-0005-0000-0000-00002A7B0000}"/>
    <cellStyle name="Normal 2 7 16 4 2" xfId="31528" xr:uid="{00000000-0005-0000-0000-00002B7B0000}"/>
    <cellStyle name="Normal 2 7 16 4 2 2" xfId="31529" xr:uid="{00000000-0005-0000-0000-00002C7B0000}"/>
    <cellStyle name="Normal 2 7 16 4 3" xfId="31530" xr:uid="{00000000-0005-0000-0000-00002D7B0000}"/>
    <cellStyle name="Normal 2 7 16 4 4" xfId="31531" xr:uid="{00000000-0005-0000-0000-00002E7B0000}"/>
    <cellStyle name="Normal 2 7 16 4 5" xfId="31532" xr:uid="{00000000-0005-0000-0000-00002F7B0000}"/>
    <cellStyle name="Normal 2 7 16 5" xfId="31533" xr:uid="{00000000-0005-0000-0000-0000307B0000}"/>
    <cellStyle name="Normal 2 7 16 5 2" xfId="31534" xr:uid="{00000000-0005-0000-0000-0000317B0000}"/>
    <cellStyle name="Normal 2 7 16 5 3" xfId="31535" xr:uid="{00000000-0005-0000-0000-0000327B0000}"/>
    <cellStyle name="Normal 2 7 16 5 4" xfId="31536" xr:uid="{00000000-0005-0000-0000-0000337B0000}"/>
    <cellStyle name="Normal 2 7 16 6" xfId="31537" xr:uid="{00000000-0005-0000-0000-0000347B0000}"/>
    <cellStyle name="Normal 2 7 16 6 2" xfId="31538" xr:uid="{00000000-0005-0000-0000-0000357B0000}"/>
    <cellStyle name="Normal 2 7 16 7" xfId="31539" xr:uid="{00000000-0005-0000-0000-0000367B0000}"/>
    <cellStyle name="Normal 2 7 16 8" xfId="31540" xr:uid="{00000000-0005-0000-0000-0000377B0000}"/>
    <cellStyle name="Normal 2 7 16 9" xfId="31541" xr:uid="{00000000-0005-0000-0000-0000387B0000}"/>
    <cellStyle name="Normal 2 7 17" xfId="31542" xr:uid="{00000000-0005-0000-0000-0000397B0000}"/>
    <cellStyle name="Normal 2 7 17 10" xfId="31543" xr:uid="{00000000-0005-0000-0000-00003A7B0000}"/>
    <cellStyle name="Normal 2 7 17 2" xfId="31544" xr:uid="{00000000-0005-0000-0000-00003B7B0000}"/>
    <cellStyle name="Normal 2 7 17 2 2" xfId="31545" xr:uid="{00000000-0005-0000-0000-00003C7B0000}"/>
    <cellStyle name="Normal 2 7 17 2 2 2" xfId="31546" xr:uid="{00000000-0005-0000-0000-00003D7B0000}"/>
    <cellStyle name="Normal 2 7 17 2 2 3" xfId="31547" xr:uid="{00000000-0005-0000-0000-00003E7B0000}"/>
    <cellStyle name="Normal 2 7 17 2 3" xfId="31548" xr:uid="{00000000-0005-0000-0000-00003F7B0000}"/>
    <cellStyle name="Normal 2 7 17 2 4" xfId="31549" xr:uid="{00000000-0005-0000-0000-0000407B0000}"/>
    <cellStyle name="Normal 2 7 17 2 5" xfId="31550" xr:uid="{00000000-0005-0000-0000-0000417B0000}"/>
    <cellStyle name="Normal 2 7 17 2 6" xfId="31551" xr:uid="{00000000-0005-0000-0000-0000427B0000}"/>
    <cellStyle name="Normal 2 7 17 3" xfId="31552" xr:uid="{00000000-0005-0000-0000-0000437B0000}"/>
    <cellStyle name="Normal 2 7 17 3 2" xfId="31553" xr:uid="{00000000-0005-0000-0000-0000447B0000}"/>
    <cellStyle name="Normal 2 7 17 3 2 2" xfId="31554" xr:uid="{00000000-0005-0000-0000-0000457B0000}"/>
    <cellStyle name="Normal 2 7 17 3 2 3" xfId="31555" xr:uid="{00000000-0005-0000-0000-0000467B0000}"/>
    <cellStyle name="Normal 2 7 17 3 3" xfId="31556" xr:uid="{00000000-0005-0000-0000-0000477B0000}"/>
    <cellStyle name="Normal 2 7 17 3 4" xfId="31557" xr:uid="{00000000-0005-0000-0000-0000487B0000}"/>
    <cellStyle name="Normal 2 7 17 3 5" xfId="31558" xr:uid="{00000000-0005-0000-0000-0000497B0000}"/>
    <cellStyle name="Normal 2 7 17 3 6" xfId="31559" xr:uid="{00000000-0005-0000-0000-00004A7B0000}"/>
    <cellStyle name="Normal 2 7 17 4" xfId="31560" xr:uid="{00000000-0005-0000-0000-00004B7B0000}"/>
    <cellStyle name="Normal 2 7 17 4 2" xfId="31561" xr:uid="{00000000-0005-0000-0000-00004C7B0000}"/>
    <cellStyle name="Normal 2 7 17 4 2 2" xfId="31562" xr:uid="{00000000-0005-0000-0000-00004D7B0000}"/>
    <cellStyle name="Normal 2 7 17 4 3" xfId="31563" xr:uid="{00000000-0005-0000-0000-00004E7B0000}"/>
    <cellStyle name="Normal 2 7 17 4 4" xfId="31564" xr:uid="{00000000-0005-0000-0000-00004F7B0000}"/>
    <cellStyle name="Normal 2 7 17 4 5" xfId="31565" xr:uid="{00000000-0005-0000-0000-0000507B0000}"/>
    <cellStyle name="Normal 2 7 17 5" xfId="31566" xr:uid="{00000000-0005-0000-0000-0000517B0000}"/>
    <cellStyle name="Normal 2 7 17 5 2" xfId="31567" xr:uid="{00000000-0005-0000-0000-0000527B0000}"/>
    <cellStyle name="Normal 2 7 17 5 3" xfId="31568" xr:uid="{00000000-0005-0000-0000-0000537B0000}"/>
    <cellStyle name="Normal 2 7 17 5 4" xfId="31569" xr:uid="{00000000-0005-0000-0000-0000547B0000}"/>
    <cellStyle name="Normal 2 7 17 6" xfId="31570" xr:uid="{00000000-0005-0000-0000-0000557B0000}"/>
    <cellStyle name="Normal 2 7 17 6 2" xfId="31571" xr:uid="{00000000-0005-0000-0000-0000567B0000}"/>
    <cellStyle name="Normal 2 7 17 7" xfId="31572" xr:uid="{00000000-0005-0000-0000-0000577B0000}"/>
    <cellStyle name="Normal 2 7 17 8" xfId="31573" xr:uid="{00000000-0005-0000-0000-0000587B0000}"/>
    <cellStyle name="Normal 2 7 17 9" xfId="31574" xr:uid="{00000000-0005-0000-0000-0000597B0000}"/>
    <cellStyle name="Normal 2 7 18" xfId="31575" xr:uid="{00000000-0005-0000-0000-00005A7B0000}"/>
    <cellStyle name="Normal 2 7 18 10" xfId="31576" xr:uid="{00000000-0005-0000-0000-00005B7B0000}"/>
    <cellStyle name="Normal 2 7 18 2" xfId="31577" xr:uid="{00000000-0005-0000-0000-00005C7B0000}"/>
    <cellStyle name="Normal 2 7 18 2 2" xfId="31578" xr:uid="{00000000-0005-0000-0000-00005D7B0000}"/>
    <cellStyle name="Normal 2 7 18 2 2 2" xfId="31579" xr:uid="{00000000-0005-0000-0000-00005E7B0000}"/>
    <cellStyle name="Normal 2 7 18 2 2 3" xfId="31580" xr:uid="{00000000-0005-0000-0000-00005F7B0000}"/>
    <cellStyle name="Normal 2 7 18 2 3" xfId="31581" xr:uid="{00000000-0005-0000-0000-0000607B0000}"/>
    <cellStyle name="Normal 2 7 18 2 4" xfId="31582" xr:uid="{00000000-0005-0000-0000-0000617B0000}"/>
    <cellStyle name="Normal 2 7 18 2 5" xfId="31583" xr:uid="{00000000-0005-0000-0000-0000627B0000}"/>
    <cellStyle name="Normal 2 7 18 2 6" xfId="31584" xr:uid="{00000000-0005-0000-0000-0000637B0000}"/>
    <cellStyle name="Normal 2 7 18 3" xfId="31585" xr:uid="{00000000-0005-0000-0000-0000647B0000}"/>
    <cellStyle name="Normal 2 7 18 3 2" xfId="31586" xr:uid="{00000000-0005-0000-0000-0000657B0000}"/>
    <cellStyle name="Normal 2 7 18 3 2 2" xfId="31587" xr:uid="{00000000-0005-0000-0000-0000667B0000}"/>
    <cellStyle name="Normal 2 7 18 3 2 3" xfId="31588" xr:uid="{00000000-0005-0000-0000-0000677B0000}"/>
    <cellStyle name="Normal 2 7 18 3 3" xfId="31589" xr:uid="{00000000-0005-0000-0000-0000687B0000}"/>
    <cellStyle name="Normal 2 7 18 3 4" xfId="31590" xr:uid="{00000000-0005-0000-0000-0000697B0000}"/>
    <cellStyle name="Normal 2 7 18 3 5" xfId="31591" xr:uid="{00000000-0005-0000-0000-00006A7B0000}"/>
    <cellStyle name="Normal 2 7 18 3 6" xfId="31592" xr:uid="{00000000-0005-0000-0000-00006B7B0000}"/>
    <cellStyle name="Normal 2 7 18 4" xfId="31593" xr:uid="{00000000-0005-0000-0000-00006C7B0000}"/>
    <cellStyle name="Normal 2 7 18 4 2" xfId="31594" xr:uid="{00000000-0005-0000-0000-00006D7B0000}"/>
    <cellStyle name="Normal 2 7 18 4 2 2" xfId="31595" xr:uid="{00000000-0005-0000-0000-00006E7B0000}"/>
    <cellStyle name="Normal 2 7 18 4 3" xfId="31596" xr:uid="{00000000-0005-0000-0000-00006F7B0000}"/>
    <cellStyle name="Normal 2 7 18 4 4" xfId="31597" xr:uid="{00000000-0005-0000-0000-0000707B0000}"/>
    <cellStyle name="Normal 2 7 18 4 5" xfId="31598" xr:uid="{00000000-0005-0000-0000-0000717B0000}"/>
    <cellStyle name="Normal 2 7 18 5" xfId="31599" xr:uid="{00000000-0005-0000-0000-0000727B0000}"/>
    <cellStyle name="Normal 2 7 18 5 2" xfId="31600" xr:uid="{00000000-0005-0000-0000-0000737B0000}"/>
    <cellStyle name="Normal 2 7 18 5 3" xfId="31601" xr:uid="{00000000-0005-0000-0000-0000747B0000}"/>
    <cellStyle name="Normal 2 7 18 5 4" xfId="31602" xr:uid="{00000000-0005-0000-0000-0000757B0000}"/>
    <cellStyle name="Normal 2 7 18 6" xfId="31603" xr:uid="{00000000-0005-0000-0000-0000767B0000}"/>
    <cellStyle name="Normal 2 7 18 6 2" xfId="31604" xr:uid="{00000000-0005-0000-0000-0000777B0000}"/>
    <cellStyle name="Normal 2 7 18 7" xfId="31605" xr:uid="{00000000-0005-0000-0000-0000787B0000}"/>
    <cellStyle name="Normal 2 7 18 8" xfId="31606" xr:uid="{00000000-0005-0000-0000-0000797B0000}"/>
    <cellStyle name="Normal 2 7 18 9" xfId="31607" xr:uid="{00000000-0005-0000-0000-00007A7B0000}"/>
    <cellStyle name="Normal 2 7 19" xfId="31608" xr:uid="{00000000-0005-0000-0000-00007B7B0000}"/>
    <cellStyle name="Normal 2 7 19 10" xfId="31609" xr:uid="{00000000-0005-0000-0000-00007C7B0000}"/>
    <cellStyle name="Normal 2 7 19 2" xfId="31610" xr:uid="{00000000-0005-0000-0000-00007D7B0000}"/>
    <cellStyle name="Normal 2 7 19 2 2" xfId="31611" xr:uid="{00000000-0005-0000-0000-00007E7B0000}"/>
    <cellStyle name="Normal 2 7 19 2 2 2" xfId="31612" xr:uid="{00000000-0005-0000-0000-00007F7B0000}"/>
    <cellStyle name="Normal 2 7 19 2 2 3" xfId="31613" xr:uid="{00000000-0005-0000-0000-0000807B0000}"/>
    <cellStyle name="Normal 2 7 19 2 3" xfId="31614" xr:uid="{00000000-0005-0000-0000-0000817B0000}"/>
    <cellStyle name="Normal 2 7 19 2 4" xfId="31615" xr:uid="{00000000-0005-0000-0000-0000827B0000}"/>
    <cellStyle name="Normal 2 7 19 2 5" xfId="31616" xr:uid="{00000000-0005-0000-0000-0000837B0000}"/>
    <cellStyle name="Normal 2 7 19 2 6" xfId="31617" xr:uid="{00000000-0005-0000-0000-0000847B0000}"/>
    <cellStyle name="Normal 2 7 19 3" xfId="31618" xr:uid="{00000000-0005-0000-0000-0000857B0000}"/>
    <cellStyle name="Normal 2 7 19 3 2" xfId="31619" xr:uid="{00000000-0005-0000-0000-0000867B0000}"/>
    <cellStyle name="Normal 2 7 19 3 2 2" xfId="31620" xr:uid="{00000000-0005-0000-0000-0000877B0000}"/>
    <cellStyle name="Normal 2 7 19 3 2 3" xfId="31621" xr:uid="{00000000-0005-0000-0000-0000887B0000}"/>
    <cellStyle name="Normal 2 7 19 3 3" xfId="31622" xr:uid="{00000000-0005-0000-0000-0000897B0000}"/>
    <cellStyle name="Normal 2 7 19 3 4" xfId="31623" xr:uid="{00000000-0005-0000-0000-00008A7B0000}"/>
    <cellStyle name="Normal 2 7 19 3 5" xfId="31624" xr:uid="{00000000-0005-0000-0000-00008B7B0000}"/>
    <cellStyle name="Normal 2 7 19 3 6" xfId="31625" xr:uid="{00000000-0005-0000-0000-00008C7B0000}"/>
    <cellStyle name="Normal 2 7 19 4" xfId="31626" xr:uid="{00000000-0005-0000-0000-00008D7B0000}"/>
    <cellStyle name="Normal 2 7 19 4 2" xfId="31627" xr:uid="{00000000-0005-0000-0000-00008E7B0000}"/>
    <cellStyle name="Normal 2 7 19 4 2 2" xfId="31628" xr:uid="{00000000-0005-0000-0000-00008F7B0000}"/>
    <cellStyle name="Normal 2 7 19 4 3" xfId="31629" xr:uid="{00000000-0005-0000-0000-0000907B0000}"/>
    <cellStyle name="Normal 2 7 19 4 4" xfId="31630" xr:uid="{00000000-0005-0000-0000-0000917B0000}"/>
    <cellStyle name="Normal 2 7 19 4 5" xfId="31631" xr:uid="{00000000-0005-0000-0000-0000927B0000}"/>
    <cellStyle name="Normal 2 7 19 5" xfId="31632" xr:uid="{00000000-0005-0000-0000-0000937B0000}"/>
    <cellStyle name="Normal 2 7 19 5 2" xfId="31633" xr:uid="{00000000-0005-0000-0000-0000947B0000}"/>
    <cellStyle name="Normal 2 7 19 5 3" xfId="31634" xr:uid="{00000000-0005-0000-0000-0000957B0000}"/>
    <cellStyle name="Normal 2 7 19 5 4" xfId="31635" xr:uid="{00000000-0005-0000-0000-0000967B0000}"/>
    <cellStyle name="Normal 2 7 19 6" xfId="31636" xr:uid="{00000000-0005-0000-0000-0000977B0000}"/>
    <cellStyle name="Normal 2 7 19 6 2" xfId="31637" xr:uid="{00000000-0005-0000-0000-0000987B0000}"/>
    <cellStyle name="Normal 2 7 19 7" xfId="31638" xr:uid="{00000000-0005-0000-0000-0000997B0000}"/>
    <cellStyle name="Normal 2 7 19 8" xfId="31639" xr:uid="{00000000-0005-0000-0000-00009A7B0000}"/>
    <cellStyle name="Normal 2 7 19 9" xfId="31640" xr:uid="{00000000-0005-0000-0000-00009B7B0000}"/>
    <cellStyle name="Normal 2 7 2" xfId="31641" xr:uid="{00000000-0005-0000-0000-00009C7B0000}"/>
    <cellStyle name="Normal 2 7 2 10" xfId="31642" xr:uid="{00000000-0005-0000-0000-00009D7B0000}"/>
    <cellStyle name="Normal 2 7 2 10 10" xfId="31643" xr:uid="{00000000-0005-0000-0000-00009E7B0000}"/>
    <cellStyle name="Normal 2 7 2 10 2" xfId="31644" xr:uid="{00000000-0005-0000-0000-00009F7B0000}"/>
    <cellStyle name="Normal 2 7 2 10 2 2" xfId="31645" xr:uid="{00000000-0005-0000-0000-0000A07B0000}"/>
    <cellStyle name="Normal 2 7 2 10 2 2 2" xfId="31646" xr:uid="{00000000-0005-0000-0000-0000A17B0000}"/>
    <cellStyle name="Normal 2 7 2 10 2 2 3" xfId="31647" xr:uid="{00000000-0005-0000-0000-0000A27B0000}"/>
    <cellStyle name="Normal 2 7 2 10 2 3" xfId="31648" xr:uid="{00000000-0005-0000-0000-0000A37B0000}"/>
    <cellStyle name="Normal 2 7 2 10 2 4" xfId="31649" xr:uid="{00000000-0005-0000-0000-0000A47B0000}"/>
    <cellStyle name="Normal 2 7 2 10 2 5" xfId="31650" xr:uid="{00000000-0005-0000-0000-0000A57B0000}"/>
    <cellStyle name="Normal 2 7 2 10 2 6" xfId="31651" xr:uid="{00000000-0005-0000-0000-0000A67B0000}"/>
    <cellStyle name="Normal 2 7 2 10 3" xfId="31652" xr:uid="{00000000-0005-0000-0000-0000A77B0000}"/>
    <cellStyle name="Normal 2 7 2 10 3 2" xfId="31653" xr:uid="{00000000-0005-0000-0000-0000A87B0000}"/>
    <cellStyle name="Normal 2 7 2 10 3 2 2" xfId="31654" xr:uid="{00000000-0005-0000-0000-0000A97B0000}"/>
    <cellStyle name="Normal 2 7 2 10 3 2 3" xfId="31655" xr:uid="{00000000-0005-0000-0000-0000AA7B0000}"/>
    <cellStyle name="Normal 2 7 2 10 3 3" xfId="31656" xr:uid="{00000000-0005-0000-0000-0000AB7B0000}"/>
    <cellStyle name="Normal 2 7 2 10 3 4" xfId="31657" xr:uid="{00000000-0005-0000-0000-0000AC7B0000}"/>
    <cellStyle name="Normal 2 7 2 10 3 5" xfId="31658" xr:uid="{00000000-0005-0000-0000-0000AD7B0000}"/>
    <cellStyle name="Normal 2 7 2 10 3 6" xfId="31659" xr:uid="{00000000-0005-0000-0000-0000AE7B0000}"/>
    <cellStyle name="Normal 2 7 2 10 4" xfId="31660" xr:uid="{00000000-0005-0000-0000-0000AF7B0000}"/>
    <cellStyle name="Normal 2 7 2 10 4 2" xfId="31661" xr:uid="{00000000-0005-0000-0000-0000B07B0000}"/>
    <cellStyle name="Normal 2 7 2 10 4 2 2" xfId="31662" xr:uid="{00000000-0005-0000-0000-0000B17B0000}"/>
    <cellStyle name="Normal 2 7 2 10 4 3" xfId="31663" xr:uid="{00000000-0005-0000-0000-0000B27B0000}"/>
    <cellStyle name="Normal 2 7 2 10 4 4" xfId="31664" xr:uid="{00000000-0005-0000-0000-0000B37B0000}"/>
    <cellStyle name="Normal 2 7 2 10 4 5" xfId="31665" xr:uid="{00000000-0005-0000-0000-0000B47B0000}"/>
    <cellStyle name="Normal 2 7 2 10 5" xfId="31666" xr:uid="{00000000-0005-0000-0000-0000B57B0000}"/>
    <cellStyle name="Normal 2 7 2 10 5 2" xfId="31667" xr:uid="{00000000-0005-0000-0000-0000B67B0000}"/>
    <cellStyle name="Normal 2 7 2 10 5 3" xfId="31668" xr:uid="{00000000-0005-0000-0000-0000B77B0000}"/>
    <cellStyle name="Normal 2 7 2 10 5 4" xfId="31669" xr:uid="{00000000-0005-0000-0000-0000B87B0000}"/>
    <cellStyle name="Normal 2 7 2 10 6" xfId="31670" xr:uid="{00000000-0005-0000-0000-0000B97B0000}"/>
    <cellStyle name="Normal 2 7 2 10 6 2" xfId="31671" xr:uid="{00000000-0005-0000-0000-0000BA7B0000}"/>
    <cellStyle name="Normal 2 7 2 10 7" xfId="31672" xr:uid="{00000000-0005-0000-0000-0000BB7B0000}"/>
    <cellStyle name="Normal 2 7 2 10 8" xfId="31673" xr:uid="{00000000-0005-0000-0000-0000BC7B0000}"/>
    <cellStyle name="Normal 2 7 2 10 9" xfId="31674" xr:uid="{00000000-0005-0000-0000-0000BD7B0000}"/>
    <cellStyle name="Normal 2 7 2 11" xfId="31675" xr:uid="{00000000-0005-0000-0000-0000BE7B0000}"/>
    <cellStyle name="Normal 2 7 2 11 10" xfId="31676" xr:uid="{00000000-0005-0000-0000-0000BF7B0000}"/>
    <cellStyle name="Normal 2 7 2 11 2" xfId="31677" xr:uid="{00000000-0005-0000-0000-0000C07B0000}"/>
    <cellStyle name="Normal 2 7 2 11 2 2" xfId="31678" xr:uid="{00000000-0005-0000-0000-0000C17B0000}"/>
    <cellStyle name="Normal 2 7 2 11 2 2 2" xfId="31679" xr:uid="{00000000-0005-0000-0000-0000C27B0000}"/>
    <cellStyle name="Normal 2 7 2 11 2 2 3" xfId="31680" xr:uid="{00000000-0005-0000-0000-0000C37B0000}"/>
    <cellStyle name="Normal 2 7 2 11 2 3" xfId="31681" xr:uid="{00000000-0005-0000-0000-0000C47B0000}"/>
    <cellStyle name="Normal 2 7 2 11 2 4" xfId="31682" xr:uid="{00000000-0005-0000-0000-0000C57B0000}"/>
    <cellStyle name="Normal 2 7 2 11 2 5" xfId="31683" xr:uid="{00000000-0005-0000-0000-0000C67B0000}"/>
    <cellStyle name="Normal 2 7 2 11 2 6" xfId="31684" xr:uid="{00000000-0005-0000-0000-0000C77B0000}"/>
    <cellStyle name="Normal 2 7 2 11 3" xfId="31685" xr:uid="{00000000-0005-0000-0000-0000C87B0000}"/>
    <cellStyle name="Normal 2 7 2 11 3 2" xfId="31686" xr:uid="{00000000-0005-0000-0000-0000C97B0000}"/>
    <cellStyle name="Normal 2 7 2 11 3 2 2" xfId="31687" xr:uid="{00000000-0005-0000-0000-0000CA7B0000}"/>
    <cellStyle name="Normal 2 7 2 11 3 2 3" xfId="31688" xr:uid="{00000000-0005-0000-0000-0000CB7B0000}"/>
    <cellStyle name="Normal 2 7 2 11 3 3" xfId="31689" xr:uid="{00000000-0005-0000-0000-0000CC7B0000}"/>
    <cellStyle name="Normal 2 7 2 11 3 4" xfId="31690" xr:uid="{00000000-0005-0000-0000-0000CD7B0000}"/>
    <cellStyle name="Normal 2 7 2 11 3 5" xfId="31691" xr:uid="{00000000-0005-0000-0000-0000CE7B0000}"/>
    <cellStyle name="Normal 2 7 2 11 3 6" xfId="31692" xr:uid="{00000000-0005-0000-0000-0000CF7B0000}"/>
    <cellStyle name="Normal 2 7 2 11 4" xfId="31693" xr:uid="{00000000-0005-0000-0000-0000D07B0000}"/>
    <cellStyle name="Normal 2 7 2 11 4 2" xfId="31694" xr:uid="{00000000-0005-0000-0000-0000D17B0000}"/>
    <cellStyle name="Normal 2 7 2 11 4 2 2" xfId="31695" xr:uid="{00000000-0005-0000-0000-0000D27B0000}"/>
    <cellStyle name="Normal 2 7 2 11 4 3" xfId="31696" xr:uid="{00000000-0005-0000-0000-0000D37B0000}"/>
    <cellStyle name="Normal 2 7 2 11 4 4" xfId="31697" xr:uid="{00000000-0005-0000-0000-0000D47B0000}"/>
    <cellStyle name="Normal 2 7 2 11 4 5" xfId="31698" xr:uid="{00000000-0005-0000-0000-0000D57B0000}"/>
    <cellStyle name="Normal 2 7 2 11 5" xfId="31699" xr:uid="{00000000-0005-0000-0000-0000D67B0000}"/>
    <cellStyle name="Normal 2 7 2 11 5 2" xfId="31700" xr:uid="{00000000-0005-0000-0000-0000D77B0000}"/>
    <cellStyle name="Normal 2 7 2 11 5 3" xfId="31701" xr:uid="{00000000-0005-0000-0000-0000D87B0000}"/>
    <cellStyle name="Normal 2 7 2 11 5 4" xfId="31702" xr:uid="{00000000-0005-0000-0000-0000D97B0000}"/>
    <cellStyle name="Normal 2 7 2 11 6" xfId="31703" xr:uid="{00000000-0005-0000-0000-0000DA7B0000}"/>
    <cellStyle name="Normal 2 7 2 11 6 2" xfId="31704" xr:uid="{00000000-0005-0000-0000-0000DB7B0000}"/>
    <cellStyle name="Normal 2 7 2 11 7" xfId="31705" xr:uid="{00000000-0005-0000-0000-0000DC7B0000}"/>
    <cellStyle name="Normal 2 7 2 11 8" xfId="31706" xr:uid="{00000000-0005-0000-0000-0000DD7B0000}"/>
    <cellStyle name="Normal 2 7 2 11 9" xfId="31707" xr:uid="{00000000-0005-0000-0000-0000DE7B0000}"/>
    <cellStyle name="Normal 2 7 2 12" xfId="31708" xr:uid="{00000000-0005-0000-0000-0000DF7B0000}"/>
    <cellStyle name="Normal 2 7 2 12 10" xfId="31709" xr:uid="{00000000-0005-0000-0000-0000E07B0000}"/>
    <cellStyle name="Normal 2 7 2 12 2" xfId="31710" xr:uid="{00000000-0005-0000-0000-0000E17B0000}"/>
    <cellStyle name="Normal 2 7 2 12 2 2" xfId="31711" xr:uid="{00000000-0005-0000-0000-0000E27B0000}"/>
    <cellStyle name="Normal 2 7 2 12 2 2 2" xfId="31712" xr:uid="{00000000-0005-0000-0000-0000E37B0000}"/>
    <cellStyle name="Normal 2 7 2 12 2 2 3" xfId="31713" xr:uid="{00000000-0005-0000-0000-0000E47B0000}"/>
    <cellStyle name="Normal 2 7 2 12 2 3" xfId="31714" xr:uid="{00000000-0005-0000-0000-0000E57B0000}"/>
    <cellStyle name="Normal 2 7 2 12 2 4" xfId="31715" xr:uid="{00000000-0005-0000-0000-0000E67B0000}"/>
    <cellStyle name="Normal 2 7 2 12 2 5" xfId="31716" xr:uid="{00000000-0005-0000-0000-0000E77B0000}"/>
    <cellStyle name="Normal 2 7 2 12 2 6" xfId="31717" xr:uid="{00000000-0005-0000-0000-0000E87B0000}"/>
    <cellStyle name="Normal 2 7 2 12 3" xfId="31718" xr:uid="{00000000-0005-0000-0000-0000E97B0000}"/>
    <cellStyle name="Normal 2 7 2 12 3 2" xfId="31719" xr:uid="{00000000-0005-0000-0000-0000EA7B0000}"/>
    <cellStyle name="Normal 2 7 2 12 3 2 2" xfId="31720" xr:uid="{00000000-0005-0000-0000-0000EB7B0000}"/>
    <cellStyle name="Normal 2 7 2 12 3 2 3" xfId="31721" xr:uid="{00000000-0005-0000-0000-0000EC7B0000}"/>
    <cellStyle name="Normal 2 7 2 12 3 3" xfId="31722" xr:uid="{00000000-0005-0000-0000-0000ED7B0000}"/>
    <cellStyle name="Normal 2 7 2 12 3 4" xfId="31723" xr:uid="{00000000-0005-0000-0000-0000EE7B0000}"/>
    <cellStyle name="Normal 2 7 2 12 3 5" xfId="31724" xr:uid="{00000000-0005-0000-0000-0000EF7B0000}"/>
    <cellStyle name="Normal 2 7 2 12 3 6" xfId="31725" xr:uid="{00000000-0005-0000-0000-0000F07B0000}"/>
    <cellStyle name="Normal 2 7 2 12 4" xfId="31726" xr:uid="{00000000-0005-0000-0000-0000F17B0000}"/>
    <cellStyle name="Normal 2 7 2 12 4 2" xfId="31727" xr:uid="{00000000-0005-0000-0000-0000F27B0000}"/>
    <cellStyle name="Normal 2 7 2 12 4 2 2" xfId="31728" xr:uid="{00000000-0005-0000-0000-0000F37B0000}"/>
    <cellStyle name="Normal 2 7 2 12 4 3" xfId="31729" xr:uid="{00000000-0005-0000-0000-0000F47B0000}"/>
    <cellStyle name="Normal 2 7 2 12 4 4" xfId="31730" xr:uid="{00000000-0005-0000-0000-0000F57B0000}"/>
    <cellStyle name="Normal 2 7 2 12 4 5" xfId="31731" xr:uid="{00000000-0005-0000-0000-0000F67B0000}"/>
    <cellStyle name="Normal 2 7 2 12 5" xfId="31732" xr:uid="{00000000-0005-0000-0000-0000F77B0000}"/>
    <cellStyle name="Normal 2 7 2 12 5 2" xfId="31733" xr:uid="{00000000-0005-0000-0000-0000F87B0000}"/>
    <cellStyle name="Normal 2 7 2 12 5 3" xfId="31734" xr:uid="{00000000-0005-0000-0000-0000F97B0000}"/>
    <cellStyle name="Normal 2 7 2 12 5 4" xfId="31735" xr:uid="{00000000-0005-0000-0000-0000FA7B0000}"/>
    <cellStyle name="Normal 2 7 2 12 6" xfId="31736" xr:uid="{00000000-0005-0000-0000-0000FB7B0000}"/>
    <cellStyle name="Normal 2 7 2 12 6 2" xfId="31737" xr:uid="{00000000-0005-0000-0000-0000FC7B0000}"/>
    <cellStyle name="Normal 2 7 2 12 7" xfId="31738" xr:uid="{00000000-0005-0000-0000-0000FD7B0000}"/>
    <cellStyle name="Normal 2 7 2 12 8" xfId="31739" xr:uid="{00000000-0005-0000-0000-0000FE7B0000}"/>
    <cellStyle name="Normal 2 7 2 12 9" xfId="31740" xr:uid="{00000000-0005-0000-0000-0000FF7B0000}"/>
    <cellStyle name="Normal 2 7 2 13" xfId="31741" xr:uid="{00000000-0005-0000-0000-0000007C0000}"/>
    <cellStyle name="Normal 2 7 2 13 2" xfId="31742" xr:uid="{00000000-0005-0000-0000-0000017C0000}"/>
    <cellStyle name="Normal 2 7 2 13 2 2" xfId="31743" xr:uid="{00000000-0005-0000-0000-0000027C0000}"/>
    <cellStyle name="Normal 2 7 2 13 2 2 2" xfId="31744" xr:uid="{00000000-0005-0000-0000-0000037C0000}"/>
    <cellStyle name="Normal 2 7 2 13 2 2 3" xfId="31745" xr:uid="{00000000-0005-0000-0000-0000047C0000}"/>
    <cellStyle name="Normal 2 7 2 13 2 3" xfId="31746" xr:uid="{00000000-0005-0000-0000-0000057C0000}"/>
    <cellStyle name="Normal 2 7 2 13 2 4" xfId="31747" xr:uid="{00000000-0005-0000-0000-0000067C0000}"/>
    <cellStyle name="Normal 2 7 2 13 2 5" xfId="31748" xr:uid="{00000000-0005-0000-0000-0000077C0000}"/>
    <cellStyle name="Normal 2 7 2 13 2 6" xfId="31749" xr:uid="{00000000-0005-0000-0000-0000087C0000}"/>
    <cellStyle name="Normal 2 7 2 13 3" xfId="31750" xr:uid="{00000000-0005-0000-0000-0000097C0000}"/>
    <cellStyle name="Normal 2 7 2 13 3 2" xfId="31751" xr:uid="{00000000-0005-0000-0000-00000A7C0000}"/>
    <cellStyle name="Normal 2 7 2 13 3 2 2" xfId="31752" xr:uid="{00000000-0005-0000-0000-00000B7C0000}"/>
    <cellStyle name="Normal 2 7 2 13 3 3" xfId="31753" xr:uid="{00000000-0005-0000-0000-00000C7C0000}"/>
    <cellStyle name="Normal 2 7 2 13 3 4" xfId="31754" xr:uid="{00000000-0005-0000-0000-00000D7C0000}"/>
    <cellStyle name="Normal 2 7 2 13 3 5" xfId="31755" xr:uid="{00000000-0005-0000-0000-00000E7C0000}"/>
    <cellStyle name="Normal 2 7 2 13 4" xfId="31756" xr:uid="{00000000-0005-0000-0000-00000F7C0000}"/>
    <cellStyle name="Normal 2 7 2 13 4 2" xfId="31757" xr:uid="{00000000-0005-0000-0000-0000107C0000}"/>
    <cellStyle name="Normal 2 7 2 13 4 3" xfId="31758" xr:uid="{00000000-0005-0000-0000-0000117C0000}"/>
    <cellStyle name="Normal 2 7 2 13 4 4" xfId="31759" xr:uid="{00000000-0005-0000-0000-0000127C0000}"/>
    <cellStyle name="Normal 2 7 2 13 5" xfId="31760" xr:uid="{00000000-0005-0000-0000-0000137C0000}"/>
    <cellStyle name="Normal 2 7 2 13 5 2" xfId="31761" xr:uid="{00000000-0005-0000-0000-0000147C0000}"/>
    <cellStyle name="Normal 2 7 2 13 6" xfId="31762" xr:uid="{00000000-0005-0000-0000-0000157C0000}"/>
    <cellStyle name="Normal 2 7 2 13 7" xfId="31763" xr:uid="{00000000-0005-0000-0000-0000167C0000}"/>
    <cellStyle name="Normal 2 7 2 13 8" xfId="31764" xr:uid="{00000000-0005-0000-0000-0000177C0000}"/>
    <cellStyle name="Normal 2 7 2 13 9" xfId="31765" xr:uid="{00000000-0005-0000-0000-0000187C0000}"/>
    <cellStyle name="Normal 2 7 2 14" xfId="31766" xr:uid="{00000000-0005-0000-0000-0000197C0000}"/>
    <cellStyle name="Normal 2 7 2 14 2" xfId="31767" xr:uid="{00000000-0005-0000-0000-00001A7C0000}"/>
    <cellStyle name="Normal 2 7 2 14 2 2" xfId="31768" xr:uid="{00000000-0005-0000-0000-00001B7C0000}"/>
    <cellStyle name="Normal 2 7 2 14 2 2 2" xfId="31769" xr:uid="{00000000-0005-0000-0000-00001C7C0000}"/>
    <cellStyle name="Normal 2 7 2 14 2 2 3" xfId="31770" xr:uid="{00000000-0005-0000-0000-00001D7C0000}"/>
    <cellStyle name="Normal 2 7 2 14 2 3" xfId="31771" xr:uid="{00000000-0005-0000-0000-00001E7C0000}"/>
    <cellStyle name="Normal 2 7 2 14 2 4" xfId="31772" xr:uid="{00000000-0005-0000-0000-00001F7C0000}"/>
    <cellStyle name="Normal 2 7 2 14 2 5" xfId="31773" xr:uid="{00000000-0005-0000-0000-0000207C0000}"/>
    <cellStyle name="Normal 2 7 2 14 2 6" xfId="31774" xr:uid="{00000000-0005-0000-0000-0000217C0000}"/>
    <cellStyle name="Normal 2 7 2 14 3" xfId="31775" xr:uid="{00000000-0005-0000-0000-0000227C0000}"/>
    <cellStyle name="Normal 2 7 2 14 3 2" xfId="31776" xr:uid="{00000000-0005-0000-0000-0000237C0000}"/>
    <cellStyle name="Normal 2 7 2 14 3 2 2" xfId="31777" xr:uid="{00000000-0005-0000-0000-0000247C0000}"/>
    <cellStyle name="Normal 2 7 2 14 3 3" xfId="31778" xr:uid="{00000000-0005-0000-0000-0000257C0000}"/>
    <cellStyle name="Normal 2 7 2 14 3 4" xfId="31779" xr:uid="{00000000-0005-0000-0000-0000267C0000}"/>
    <cellStyle name="Normal 2 7 2 14 3 5" xfId="31780" xr:uid="{00000000-0005-0000-0000-0000277C0000}"/>
    <cellStyle name="Normal 2 7 2 14 4" xfId="31781" xr:uid="{00000000-0005-0000-0000-0000287C0000}"/>
    <cellStyle name="Normal 2 7 2 14 4 2" xfId="31782" xr:uid="{00000000-0005-0000-0000-0000297C0000}"/>
    <cellStyle name="Normal 2 7 2 14 4 3" xfId="31783" xr:uid="{00000000-0005-0000-0000-00002A7C0000}"/>
    <cellStyle name="Normal 2 7 2 14 4 4" xfId="31784" xr:uid="{00000000-0005-0000-0000-00002B7C0000}"/>
    <cellStyle name="Normal 2 7 2 14 5" xfId="31785" xr:uid="{00000000-0005-0000-0000-00002C7C0000}"/>
    <cellStyle name="Normal 2 7 2 14 5 2" xfId="31786" xr:uid="{00000000-0005-0000-0000-00002D7C0000}"/>
    <cellStyle name="Normal 2 7 2 14 6" xfId="31787" xr:uid="{00000000-0005-0000-0000-00002E7C0000}"/>
    <cellStyle name="Normal 2 7 2 14 7" xfId="31788" xr:uid="{00000000-0005-0000-0000-00002F7C0000}"/>
    <cellStyle name="Normal 2 7 2 14 8" xfId="31789" xr:uid="{00000000-0005-0000-0000-0000307C0000}"/>
    <cellStyle name="Normal 2 7 2 14 9" xfId="31790" xr:uid="{00000000-0005-0000-0000-0000317C0000}"/>
    <cellStyle name="Normal 2 7 2 15" xfId="31791" xr:uid="{00000000-0005-0000-0000-0000327C0000}"/>
    <cellStyle name="Normal 2 7 2 15 2" xfId="31792" xr:uid="{00000000-0005-0000-0000-0000337C0000}"/>
    <cellStyle name="Normal 2 7 2 15 2 2" xfId="31793" xr:uid="{00000000-0005-0000-0000-0000347C0000}"/>
    <cellStyle name="Normal 2 7 2 15 2 3" xfId="31794" xr:uid="{00000000-0005-0000-0000-0000357C0000}"/>
    <cellStyle name="Normal 2 7 2 15 3" xfId="31795" xr:uid="{00000000-0005-0000-0000-0000367C0000}"/>
    <cellStyle name="Normal 2 7 2 15 4" xfId="31796" xr:uid="{00000000-0005-0000-0000-0000377C0000}"/>
    <cellStyle name="Normal 2 7 2 15 5" xfId="31797" xr:uid="{00000000-0005-0000-0000-0000387C0000}"/>
    <cellStyle name="Normal 2 7 2 15 6" xfId="31798" xr:uid="{00000000-0005-0000-0000-0000397C0000}"/>
    <cellStyle name="Normal 2 7 2 16" xfId="31799" xr:uid="{00000000-0005-0000-0000-00003A7C0000}"/>
    <cellStyle name="Normal 2 7 2 16 2" xfId="31800" xr:uid="{00000000-0005-0000-0000-00003B7C0000}"/>
    <cellStyle name="Normal 2 7 2 16 2 2" xfId="31801" xr:uid="{00000000-0005-0000-0000-00003C7C0000}"/>
    <cellStyle name="Normal 2 7 2 16 3" xfId="31802" xr:uid="{00000000-0005-0000-0000-00003D7C0000}"/>
    <cellStyle name="Normal 2 7 2 16 4" xfId="31803" xr:uid="{00000000-0005-0000-0000-00003E7C0000}"/>
    <cellStyle name="Normal 2 7 2 16 5" xfId="31804" xr:uid="{00000000-0005-0000-0000-00003F7C0000}"/>
    <cellStyle name="Normal 2 7 2 17" xfId="31805" xr:uid="{00000000-0005-0000-0000-0000407C0000}"/>
    <cellStyle name="Normal 2 7 2 17 2" xfId="31806" xr:uid="{00000000-0005-0000-0000-0000417C0000}"/>
    <cellStyle name="Normal 2 7 2 17 2 2" xfId="31807" xr:uid="{00000000-0005-0000-0000-0000427C0000}"/>
    <cellStyle name="Normal 2 7 2 17 3" xfId="31808" xr:uid="{00000000-0005-0000-0000-0000437C0000}"/>
    <cellStyle name="Normal 2 7 2 17 4" xfId="31809" xr:uid="{00000000-0005-0000-0000-0000447C0000}"/>
    <cellStyle name="Normal 2 7 2 17 5" xfId="31810" xr:uid="{00000000-0005-0000-0000-0000457C0000}"/>
    <cellStyle name="Normal 2 7 2 18" xfId="31811" xr:uid="{00000000-0005-0000-0000-0000467C0000}"/>
    <cellStyle name="Normal 2 7 2 18 2" xfId="31812" xr:uid="{00000000-0005-0000-0000-0000477C0000}"/>
    <cellStyle name="Normal 2 7 2 19" xfId="31813" xr:uid="{00000000-0005-0000-0000-0000487C0000}"/>
    <cellStyle name="Normal 2 7 2 2" xfId="31814" xr:uid="{00000000-0005-0000-0000-0000497C0000}"/>
    <cellStyle name="Normal 2 7 2 2 10" xfId="31815" xr:uid="{00000000-0005-0000-0000-00004A7C0000}"/>
    <cellStyle name="Normal 2 7 2 2 11" xfId="31816" xr:uid="{00000000-0005-0000-0000-00004B7C0000}"/>
    <cellStyle name="Normal 2 7 2 2 2" xfId="31817" xr:uid="{00000000-0005-0000-0000-00004C7C0000}"/>
    <cellStyle name="Normal 2 7 2 2 2 2" xfId="31818" xr:uid="{00000000-0005-0000-0000-00004D7C0000}"/>
    <cellStyle name="Normal 2 7 2 2 2 2 2" xfId="31819" xr:uid="{00000000-0005-0000-0000-00004E7C0000}"/>
    <cellStyle name="Normal 2 7 2 2 2 2 2 2" xfId="31820" xr:uid="{00000000-0005-0000-0000-00004F7C0000}"/>
    <cellStyle name="Normal 2 7 2 2 2 2 2 3" xfId="31821" xr:uid="{00000000-0005-0000-0000-0000507C0000}"/>
    <cellStyle name="Normal 2 7 2 2 2 2 3" xfId="31822" xr:uid="{00000000-0005-0000-0000-0000517C0000}"/>
    <cellStyle name="Normal 2 7 2 2 2 2 4" xfId="31823" xr:uid="{00000000-0005-0000-0000-0000527C0000}"/>
    <cellStyle name="Normal 2 7 2 2 2 2 5" xfId="31824" xr:uid="{00000000-0005-0000-0000-0000537C0000}"/>
    <cellStyle name="Normal 2 7 2 2 2 2 6" xfId="31825" xr:uid="{00000000-0005-0000-0000-0000547C0000}"/>
    <cellStyle name="Normal 2 7 2 2 2 3" xfId="31826" xr:uid="{00000000-0005-0000-0000-0000557C0000}"/>
    <cellStyle name="Normal 2 7 2 2 2 3 2" xfId="31827" xr:uid="{00000000-0005-0000-0000-0000567C0000}"/>
    <cellStyle name="Normal 2 7 2 2 2 3 2 2" xfId="31828" xr:uid="{00000000-0005-0000-0000-0000577C0000}"/>
    <cellStyle name="Normal 2 7 2 2 2 3 3" xfId="31829" xr:uid="{00000000-0005-0000-0000-0000587C0000}"/>
    <cellStyle name="Normal 2 7 2 2 2 3 4" xfId="31830" xr:uid="{00000000-0005-0000-0000-0000597C0000}"/>
    <cellStyle name="Normal 2 7 2 2 2 3 5" xfId="31831" xr:uid="{00000000-0005-0000-0000-00005A7C0000}"/>
    <cellStyle name="Normal 2 7 2 2 2 4" xfId="31832" xr:uid="{00000000-0005-0000-0000-00005B7C0000}"/>
    <cellStyle name="Normal 2 7 2 2 2 4 2" xfId="31833" xr:uid="{00000000-0005-0000-0000-00005C7C0000}"/>
    <cellStyle name="Normal 2 7 2 2 2 4 3" xfId="31834" xr:uid="{00000000-0005-0000-0000-00005D7C0000}"/>
    <cellStyle name="Normal 2 7 2 2 2 4 4" xfId="31835" xr:uid="{00000000-0005-0000-0000-00005E7C0000}"/>
    <cellStyle name="Normal 2 7 2 2 2 5" xfId="31836" xr:uid="{00000000-0005-0000-0000-00005F7C0000}"/>
    <cellStyle name="Normal 2 7 2 2 2 5 2" xfId="31837" xr:uid="{00000000-0005-0000-0000-0000607C0000}"/>
    <cellStyle name="Normal 2 7 2 2 2 6" xfId="31838" xr:uid="{00000000-0005-0000-0000-0000617C0000}"/>
    <cellStyle name="Normal 2 7 2 2 2 7" xfId="31839" xr:uid="{00000000-0005-0000-0000-0000627C0000}"/>
    <cellStyle name="Normal 2 7 2 2 2 8" xfId="31840" xr:uid="{00000000-0005-0000-0000-0000637C0000}"/>
    <cellStyle name="Normal 2 7 2 2 2 9" xfId="31841" xr:uid="{00000000-0005-0000-0000-0000647C0000}"/>
    <cellStyle name="Normal 2 7 2 2 3" xfId="31842" xr:uid="{00000000-0005-0000-0000-0000657C0000}"/>
    <cellStyle name="Normal 2 7 2 2 3 2" xfId="31843" xr:uid="{00000000-0005-0000-0000-0000667C0000}"/>
    <cellStyle name="Normal 2 7 2 2 3 2 2" xfId="31844" xr:uid="{00000000-0005-0000-0000-0000677C0000}"/>
    <cellStyle name="Normal 2 7 2 2 3 2 2 2" xfId="31845" xr:uid="{00000000-0005-0000-0000-0000687C0000}"/>
    <cellStyle name="Normal 2 7 2 2 3 2 2 3" xfId="31846" xr:uid="{00000000-0005-0000-0000-0000697C0000}"/>
    <cellStyle name="Normal 2 7 2 2 3 2 3" xfId="31847" xr:uid="{00000000-0005-0000-0000-00006A7C0000}"/>
    <cellStyle name="Normal 2 7 2 2 3 2 4" xfId="31848" xr:uid="{00000000-0005-0000-0000-00006B7C0000}"/>
    <cellStyle name="Normal 2 7 2 2 3 2 5" xfId="31849" xr:uid="{00000000-0005-0000-0000-00006C7C0000}"/>
    <cellStyle name="Normal 2 7 2 2 3 2 6" xfId="31850" xr:uid="{00000000-0005-0000-0000-00006D7C0000}"/>
    <cellStyle name="Normal 2 7 2 2 3 3" xfId="31851" xr:uid="{00000000-0005-0000-0000-00006E7C0000}"/>
    <cellStyle name="Normal 2 7 2 2 3 3 2" xfId="31852" xr:uid="{00000000-0005-0000-0000-00006F7C0000}"/>
    <cellStyle name="Normal 2 7 2 2 3 3 2 2" xfId="31853" xr:uid="{00000000-0005-0000-0000-0000707C0000}"/>
    <cellStyle name="Normal 2 7 2 2 3 3 3" xfId="31854" xr:uid="{00000000-0005-0000-0000-0000717C0000}"/>
    <cellStyle name="Normal 2 7 2 2 3 3 4" xfId="31855" xr:uid="{00000000-0005-0000-0000-0000727C0000}"/>
    <cellStyle name="Normal 2 7 2 2 3 3 5" xfId="31856" xr:uid="{00000000-0005-0000-0000-0000737C0000}"/>
    <cellStyle name="Normal 2 7 2 2 3 4" xfId="31857" xr:uid="{00000000-0005-0000-0000-0000747C0000}"/>
    <cellStyle name="Normal 2 7 2 2 3 4 2" xfId="31858" xr:uid="{00000000-0005-0000-0000-0000757C0000}"/>
    <cellStyle name="Normal 2 7 2 2 3 4 3" xfId="31859" xr:uid="{00000000-0005-0000-0000-0000767C0000}"/>
    <cellStyle name="Normal 2 7 2 2 3 4 4" xfId="31860" xr:uid="{00000000-0005-0000-0000-0000777C0000}"/>
    <cellStyle name="Normal 2 7 2 2 3 5" xfId="31861" xr:uid="{00000000-0005-0000-0000-0000787C0000}"/>
    <cellStyle name="Normal 2 7 2 2 3 5 2" xfId="31862" xr:uid="{00000000-0005-0000-0000-0000797C0000}"/>
    <cellStyle name="Normal 2 7 2 2 3 6" xfId="31863" xr:uid="{00000000-0005-0000-0000-00007A7C0000}"/>
    <cellStyle name="Normal 2 7 2 2 3 7" xfId="31864" xr:uid="{00000000-0005-0000-0000-00007B7C0000}"/>
    <cellStyle name="Normal 2 7 2 2 3 8" xfId="31865" xr:uid="{00000000-0005-0000-0000-00007C7C0000}"/>
    <cellStyle name="Normal 2 7 2 2 3 9" xfId="31866" xr:uid="{00000000-0005-0000-0000-00007D7C0000}"/>
    <cellStyle name="Normal 2 7 2 2 4" xfId="31867" xr:uid="{00000000-0005-0000-0000-00007E7C0000}"/>
    <cellStyle name="Normal 2 7 2 2 4 2" xfId="31868" xr:uid="{00000000-0005-0000-0000-00007F7C0000}"/>
    <cellStyle name="Normal 2 7 2 2 4 2 2" xfId="31869" xr:uid="{00000000-0005-0000-0000-0000807C0000}"/>
    <cellStyle name="Normal 2 7 2 2 4 2 3" xfId="31870" xr:uid="{00000000-0005-0000-0000-0000817C0000}"/>
    <cellStyle name="Normal 2 7 2 2 4 3" xfId="31871" xr:uid="{00000000-0005-0000-0000-0000827C0000}"/>
    <cellStyle name="Normal 2 7 2 2 4 4" xfId="31872" xr:uid="{00000000-0005-0000-0000-0000837C0000}"/>
    <cellStyle name="Normal 2 7 2 2 4 5" xfId="31873" xr:uid="{00000000-0005-0000-0000-0000847C0000}"/>
    <cellStyle name="Normal 2 7 2 2 4 6" xfId="31874" xr:uid="{00000000-0005-0000-0000-0000857C0000}"/>
    <cellStyle name="Normal 2 7 2 2 5" xfId="31875" xr:uid="{00000000-0005-0000-0000-0000867C0000}"/>
    <cellStyle name="Normal 2 7 2 2 5 2" xfId="31876" xr:uid="{00000000-0005-0000-0000-0000877C0000}"/>
    <cellStyle name="Normal 2 7 2 2 5 2 2" xfId="31877" xr:uid="{00000000-0005-0000-0000-0000887C0000}"/>
    <cellStyle name="Normal 2 7 2 2 5 3" xfId="31878" xr:uid="{00000000-0005-0000-0000-0000897C0000}"/>
    <cellStyle name="Normal 2 7 2 2 5 4" xfId="31879" xr:uid="{00000000-0005-0000-0000-00008A7C0000}"/>
    <cellStyle name="Normal 2 7 2 2 5 5" xfId="31880" xr:uid="{00000000-0005-0000-0000-00008B7C0000}"/>
    <cellStyle name="Normal 2 7 2 2 6" xfId="31881" xr:uid="{00000000-0005-0000-0000-00008C7C0000}"/>
    <cellStyle name="Normal 2 7 2 2 6 2" xfId="31882" xr:uid="{00000000-0005-0000-0000-00008D7C0000}"/>
    <cellStyle name="Normal 2 7 2 2 6 3" xfId="31883" xr:uid="{00000000-0005-0000-0000-00008E7C0000}"/>
    <cellStyle name="Normal 2 7 2 2 6 4" xfId="31884" xr:uid="{00000000-0005-0000-0000-00008F7C0000}"/>
    <cellStyle name="Normal 2 7 2 2 7" xfId="31885" xr:uid="{00000000-0005-0000-0000-0000907C0000}"/>
    <cellStyle name="Normal 2 7 2 2 7 2" xfId="31886" xr:uid="{00000000-0005-0000-0000-0000917C0000}"/>
    <cellStyle name="Normal 2 7 2 2 8" xfId="31887" xr:uid="{00000000-0005-0000-0000-0000927C0000}"/>
    <cellStyle name="Normal 2 7 2 2 9" xfId="31888" xr:uid="{00000000-0005-0000-0000-0000937C0000}"/>
    <cellStyle name="Normal 2 7 2 20" xfId="31889" xr:uid="{00000000-0005-0000-0000-0000947C0000}"/>
    <cellStyle name="Normal 2 7 2 21" xfId="31890" xr:uid="{00000000-0005-0000-0000-0000957C0000}"/>
    <cellStyle name="Normal 2 7 2 22" xfId="31891" xr:uid="{00000000-0005-0000-0000-0000967C0000}"/>
    <cellStyle name="Normal 2 7 2 3" xfId="31892" xr:uid="{00000000-0005-0000-0000-0000977C0000}"/>
    <cellStyle name="Normal 2 7 2 3 10" xfId="31893" xr:uid="{00000000-0005-0000-0000-0000987C0000}"/>
    <cellStyle name="Normal 2 7 2 3 11" xfId="31894" xr:uid="{00000000-0005-0000-0000-0000997C0000}"/>
    <cellStyle name="Normal 2 7 2 3 2" xfId="31895" xr:uid="{00000000-0005-0000-0000-00009A7C0000}"/>
    <cellStyle name="Normal 2 7 2 3 2 2" xfId="31896" xr:uid="{00000000-0005-0000-0000-00009B7C0000}"/>
    <cellStyle name="Normal 2 7 2 3 2 2 2" xfId="31897" xr:uid="{00000000-0005-0000-0000-00009C7C0000}"/>
    <cellStyle name="Normal 2 7 2 3 2 2 2 2" xfId="31898" xr:uid="{00000000-0005-0000-0000-00009D7C0000}"/>
    <cellStyle name="Normal 2 7 2 3 2 2 2 3" xfId="31899" xr:uid="{00000000-0005-0000-0000-00009E7C0000}"/>
    <cellStyle name="Normal 2 7 2 3 2 2 3" xfId="31900" xr:uid="{00000000-0005-0000-0000-00009F7C0000}"/>
    <cellStyle name="Normal 2 7 2 3 2 2 4" xfId="31901" xr:uid="{00000000-0005-0000-0000-0000A07C0000}"/>
    <cellStyle name="Normal 2 7 2 3 2 2 5" xfId="31902" xr:uid="{00000000-0005-0000-0000-0000A17C0000}"/>
    <cellStyle name="Normal 2 7 2 3 2 2 6" xfId="31903" xr:uid="{00000000-0005-0000-0000-0000A27C0000}"/>
    <cellStyle name="Normal 2 7 2 3 2 3" xfId="31904" xr:uid="{00000000-0005-0000-0000-0000A37C0000}"/>
    <cellStyle name="Normal 2 7 2 3 2 3 2" xfId="31905" xr:uid="{00000000-0005-0000-0000-0000A47C0000}"/>
    <cellStyle name="Normal 2 7 2 3 2 3 2 2" xfId="31906" xr:uid="{00000000-0005-0000-0000-0000A57C0000}"/>
    <cellStyle name="Normal 2 7 2 3 2 3 3" xfId="31907" xr:uid="{00000000-0005-0000-0000-0000A67C0000}"/>
    <cellStyle name="Normal 2 7 2 3 2 3 4" xfId="31908" xr:uid="{00000000-0005-0000-0000-0000A77C0000}"/>
    <cellStyle name="Normal 2 7 2 3 2 3 5" xfId="31909" xr:uid="{00000000-0005-0000-0000-0000A87C0000}"/>
    <cellStyle name="Normal 2 7 2 3 2 4" xfId="31910" xr:uid="{00000000-0005-0000-0000-0000A97C0000}"/>
    <cellStyle name="Normal 2 7 2 3 2 4 2" xfId="31911" xr:uid="{00000000-0005-0000-0000-0000AA7C0000}"/>
    <cellStyle name="Normal 2 7 2 3 2 4 3" xfId="31912" xr:uid="{00000000-0005-0000-0000-0000AB7C0000}"/>
    <cellStyle name="Normal 2 7 2 3 2 4 4" xfId="31913" xr:uid="{00000000-0005-0000-0000-0000AC7C0000}"/>
    <cellStyle name="Normal 2 7 2 3 2 5" xfId="31914" xr:uid="{00000000-0005-0000-0000-0000AD7C0000}"/>
    <cellStyle name="Normal 2 7 2 3 2 5 2" xfId="31915" xr:uid="{00000000-0005-0000-0000-0000AE7C0000}"/>
    <cellStyle name="Normal 2 7 2 3 2 6" xfId="31916" xr:uid="{00000000-0005-0000-0000-0000AF7C0000}"/>
    <cellStyle name="Normal 2 7 2 3 2 7" xfId="31917" xr:uid="{00000000-0005-0000-0000-0000B07C0000}"/>
    <cellStyle name="Normal 2 7 2 3 2 8" xfId="31918" xr:uid="{00000000-0005-0000-0000-0000B17C0000}"/>
    <cellStyle name="Normal 2 7 2 3 2 9" xfId="31919" xr:uid="{00000000-0005-0000-0000-0000B27C0000}"/>
    <cellStyle name="Normal 2 7 2 3 3" xfId="31920" xr:uid="{00000000-0005-0000-0000-0000B37C0000}"/>
    <cellStyle name="Normal 2 7 2 3 3 2" xfId="31921" xr:uid="{00000000-0005-0000-0000-0000B47C0000}"/>
    <cellStyle name="Normal 2 7 2 3 3 2 2" xfId="31922" xr:uid="{00000000-0005-0000-0000-0000B57C0000}"/>
    <cellStyle name="Normal 2 7 2 3 3 2 2 2" xfId="31923" xr:uid="{00000000-0005-0000-0000-0000B67C0000}"/>
    <cellStyle name="Normal 2 7 2 3 3 2 2 3" xfId="31924" xr:uid="{00000000-0005-0000-0000-0000B77C0000}"/>
    <cellStyle name="Normal 2 7 2 3 3 2 3" xfId="31925" xr:uid="{00000000-0005-0000-0000-0000B87C0000}"/>
    <cellStyle name="Normal 2 7 2 3 3 2 4" xfId="31926" xr:uid="{00000000-0005-0000-0000-0000B97C0000}"/>
    <cellStyle name="Normal 2 7 2 3 3 2 5" xfId="31927" xr:uid="{00000000-0005-0000-0000-0000BA7C0000}"/>
    <cellStyle name="Normal 2 7 2 3 3 2 6" xfId="31928" xr:uid="{00000000-0005-0000-0000-0000BB7C0000}"/>
    <cellStyle name="Normal 2 7 2 3 3 3" xfId="31929" xr:uid="{00000000-0005-0000-0000-0000BC7C0000}"/>
    <cellStyle name="Normal 2 7 2 3 3 3 2" xfId="31930" xr:uid="{00000000-0005-0000-0000-0000BD7C0000}"/>
    <cellStyle name="Normal 2 7 2 3 3 3 2 2" xfId="31931" xr:uid="{00000000-0005-0000-0000-0000BE7C0000}"/>
    <cellStyle name="Normal 2 7 2 3 3 3 3" xfId="31932" xr:uid="{00000000-0005-0000-0000-0000BF7C0000}"/>
    <cellStyle name="Normal 2 7 2 3 3 3 4" xfId="31933" xr:uid="{00000000-0005-0000-0000-0000C07C0000}"/>
    <cellStyle name="Normal 2 7 2 3 3 3 5" xfId="31934" xr:uid="{00000000-0005-0000-0000-0000C17C0000}"/>
    <cellStyle name="Normal 2 7 2 3 3 4" xfId="31935" xr:uid="{00000000-0005-0000-0000-0000C27C0000}"/>
    <cellStyle name="Normal 2 7 2 3 3 4 2" xfId="31936" xr:uid="{00000000-0005-0000-0000-0000C37C0000}"/>
    <cellStyle name="Normal 2 7 2 3 3 4 3" xfId="31937" xr:uid="{00000000-0005-0000-0000-0000C47C0000}"/>
    <cellStyle name="Normal 2 7 2 3 3 4 4" xfId="31938" xr:uid="{00000000-0005-0000-0000-0000C57C0000}"/>
    <cellStyle name="Normal 2 7 2 3 3 5" xfId="31939" xr:uid="{00000000-0005-0000-0000-0000C67C0000}"/>
    <cellStyle name="Normal 2 7 2 3 3 5 2" xfId="31940" xr:uid="{00000000-0005-0000-0000-0000C77C0000}"/>
    <cellStyle name="Normal 2 7 2 3 3 6" xfId="31941" xr:uid="{00000000-0005-0000-0000-0000C87C0000}"/>
    <cellStyle name="Normal 2 7 2 3 3 7" xfId="31942" xr:uid="{00000000-0005-0000-0000-0000C97C0000}"/>
    <cellStyle name="Normal 2 7 2 3 3 8" xfId="31943" xr:uid="{00000000-0005-0000-0000-0000CA7C0000}"/>
    <cellStyle name="Normal 2 7 2 3 3 9" xfId="31944" xr:uid="{00000000-0005-0000-0000-0000CB7C0000}"/>
    <cellStyle name="Normal 2 7 2 3 4" xfId="31945" xr:uid="{00000000-0005-0000-0000-0000CC7C0000}"/>
    <cellStyle name="Normal 2 7 2 3 4 2" xfId="31946" xr:uid="{00000000-0005-0000-0000-0000CD7C0000}"/>
    <cellStyle name="Normal 2 7 2 3 4 2 2" xfId="31947" xr:uid="{00000000-0005-0000-0000-0000CE7C0000}"/>
    <cellStyle name="Normal 2 7 2 3 4 2 3" xfId="31948" xr:uid="{00000000-0005-0000-0000-0000CF7C0000}"/>
    <cellStyle name="Normal 2 7 2 3 4 3" xfId="31949" xr:uid="{00000000-0005-0000-0000-0000D07C0000}"/>
    <cellStyle name="Normal 2 7 2 3 4 4" xfId="31950" xr:uid="{00000000-0005-0000-0000-0000D17C0000}"/>
    <cellStyle name="Normal 2 7 2 3 4 5" xfId="31951" xr:uid="{00000000-0005-0000-0000-0000D27C0000}"/>
    <cellStyle name="Normal 2 7 2 3 4 6" xfId="31952" xr:uid="{00000000-0005-0000-0000-0000D37C0000}"/>
    <cellStyle name="Normal 2 7 2 3 5" xfId="31953" xr:uid="{00000000-0005-0000-0000-0000D47C0000}"/>
    <cellStyle name="Normal 2 7 2 3 5 2" xfId="31954" xr:uid="{00000000-0005-0000-0000-0000D57C0000}"/>
    <cellStyle name="Normal 2 7 2 3 5 2 2" xfId="31955" xr:uid="{00000000-0005-0000-0000-0000D67C0000}"/>
    <cellStyle name="Normal 2 7 2 3 5 3" xfId="31956" xr:uid="{00000000-0005-0000-0000-0000D77C0000}"/>
    <cellStyle name="Normal 2 7 2 3 5 4" xfId="31957" xr:uid="{00000000-0005-0000-0000-0000D87C0000}"/>
    <cellStyle name="Normal 2 7 2 3 5 5" xfId="31958" xr:uid="{00000000-0005-0000-0000-0000D97C0000}"/>
    <cellStyle name="Normal 2 7 2 3 6" xfId="31959" xr:uid="{00000000-0005-0000-0000-0000DA7C0000}"/>
    <cellStyle name="Normal 2 7 2 3 6 2" xfId="31960" xr:uid="{00000000-0005-0000-0000-0000DB7C0000}"/>
    <cellStyle name="Normal 2 7 2 3 6 3" xfId="31961" xr:uid="{00000000-0005-0000-0000-0000DC7C0000}"/>
    <cellStyle name="Normal 2 7 2 3 6 4" xfId="31962" xr:uid="{00000000-0005-0000-0000-0000DD7C0000}"/>
    <cellStyle name="Normal 2 7 2 3 7" xfId="31963" xr:uid="{00000000-0005-0000-0000-0000DE7C0000}"/>
    <cellStyle name="Normal 2 7 2 3 7 2" xfId="31964" xr:uid="{00000000-0005-0000-0000-0000DF7C0000}"/>
    <cellStyle name="Normal 2 7 2 3 8" xfId="31965" xr:uid="{00000000-0005-0000-0000-0000E07C0000}"/>
    <cellStyle name="Normal 2 7 2 3 9" xfId="31966" xr:uid="{00000000-0005-0000-0000-0000E17C0000}"/>
    <cellStyle name="Normal 2 7 2 4" xfId="31967" xr:uid="{00000000-0005-0000-0000-0000E27C0000}"/>
    <cellStyle name="Normal 2 7 2 4 10" xfId="31968" xr:uid="{00000000-0005-0000-0000-0000E37C0000}"/>
    <cellStyle name="Normal 2 7 2 4 11" xfId="31969" xr:uid="{00000000-0005-0000-0000-0000E47C0000}"/>
    <cellStyle name="Normal 2 7 2 4 2" xfId="31970" xr:uid="{00000000-0005-0000-0000-0000E57C0000}"/>
    <cellStyle name="Normal 2 7 2 4 2 2" xfId="31971" xr:uid="{00000000-0005-0000-0000-0000E67C0000}"/>
    <cellStyle name="Normal 2 7 2 4 2 2 2" xfId="31972" xr:uid="{00000000-0005-0000-0000-0000E77C0000}"/>
    <cellStyle name="Normal 2 7 2 4 2 2 2 2" xfId="31973" xr:uid="{00000000-0005-0000-0000-0000E87C0000}"/>
    <cellStyle name="Normal 2 7 2 4 2 2 2 3" xfId="31974" xr:uid="{00000000-0005-0000-0000-0000E97C0000}"/>
    <cellStyle name="Normal 2 7 2 4 2 2 3" xfId="31975" xr:uid="{00000000-0005-0000-0000-0000EA7C0000}"/>
    <cellStyle name="Normal 2 7 2 4 2 2 4" xfId="31976" xr:uid="{00000000-0005-0000-0000-0000EB7C0000}"/>
    <cellStyle name="Normal 2 7 2 4 2 2 5" xfId="31977" xr:uid="{00000000-0005-0000-0000-0000EC7C0000}"/>
    <cellStyle name="Normal 2 7 2 4 2 2 6" xfId="31978" xr:uid="{00000000-0005-0000-0000-0000ED7C0000}"/>
    <cellStyle name="Normal 2 7 2 4 2 3" xfId="31979" xr:uid="{00000000-0005-0000-0000-0000EE7C0000}"/>
    <cellStyle name="Normal 2 7 2 4 2 3 2" xfId="31980" xr:uid="{00000000-0005-0000-0000-0000EF7C0000}"/>
    <cellStyle name="Normal 2 7 2 4 2 3 2 2" xfId="31981" xr:uid="{00000000-0005-0000-0000-0000F07C0000}"/>
    <cellStyle name="Normal 2 7 2 4 2 3 3" xfId="31982" xr:uid="{00000000-0005-0000-0000-0000F17C0000}"/>
    <cellStyle name="Normal 2 7 2 4 2 3 4" xfId="31983" xr:uid="{00000000-0005-0000-0000-0000F27C0000}"/>
    <cellStyle name="Normal 2 7 2 4 2 3 5" xfId="31984" xr:uid="{00000000-0005-0000-0000-0000F37C0000}"/>
    <cellStyle name="Normal 2 7 2 4 2 4" xfId="31985" xr:uid="{00000000-0005-0000-0000-0000F47C0000}"/>
    <cellStyle name="Normal 2 7 2 4 2 4 2" xfId="31986" xr:uid="{00000000-0005-0000-0000-0000F57C0000}"/>
    <cellStyle name="Normal 2 7 2 4 2 4 3" xfId="31987" xr:uid="{00000000-0005-0000-0000-0000F67C0000}"/>
    <cellStyle name="Normal 2 7 2 4 2 4 4" xfId="31988" xr:uid="{00000000-0005-0000-0000-0000F77C0000}"/>
    <cellStyle name="Normal 2 7 2 4 2 5" xfId="31989" xr:uid="{00000000-0005-0000-0000-0000F87C0000}"/>
    <cellStyle name="Normal 2 7 2 4 2 5 2" xfId="31990" xr:uid="{00000000-0005-0000-0000-0000F97C0000}"/>
    <cellStyle name="Normal 2 7 2 4 2 6" xfId="31991" xr:uid="{00000000-0005-0000-0000-0000FA7C0000}"/>
    <cellStyle name="Normal 2 7 2 4 2 7" xfId="31992" xr:uid="{00000000-0005-0000-0000-0000FB7C0000}"/>
    <cellStyle name="Normal 2 7 2 4 2 8" xfId="31993" xr:uid="{00000000-0005-0000-0000-0000FC7C0000}"/>
    <cellStyle name="Normal 2 7 2 4 2 9" xfId="31994" xr:uid="{00000000-0005-0000-0000-0000FD7C0000}"/>
    <cellStyle name="Normal 2 7 2 4 3" xfId="31995" xr:uid="{00000000-0005-0000-0000-0000FE7C0000}"/>
    <cellStyle name="Normal 2 7 2 4 3 2" xfId="31996" xr:uid="{00000000-0005-0000-0000-0000FF7C0000}"/>
    <cellStyle name="Normal 2 7 2 4 3 2 2" xfId="31997" xr:uid="{00000000-0005-0000-0000-0000007D0000}"/>
    <cellStyle name="Normal 2 7 2 4 3 2 2 2" xfId="31998" xr:uid="{00000000-0005-0000-0000-0000017D0000}"/>
    <cellStyle name="Normal 2 7 2 4 3 2 2 3" xfId="31999" xr:uid="{00000000-0005-0000-0000-0000027D0000}"/>
    <cellStyle name="Normal 2 7 2 4 3 2 3" xfId="32000" xr:uid="{00000000-0005-0000-0000-0000037D0000}"/>
    <cellStyle name="Normal 2 7 2 4 3 2 4" xfId="32001" xr:uid="{00000000-0005-0000-0000-0000047D0000}"/>
    <cellStyle name="Normal 2 7 2 4 3 2 5" xfId="32002" xr:uid="{00000000-0005-0000-0000-0000057D0000}"/>
    <cellStyle name="Normal 2 7 2 4 3 2 6" xfId="32003" xr:uid="{00000000-0005-0000-0000-0000067D0000}"/>
    <cellStyle name="Normal 2 7 2 4 3 3" xfId="32004" xr:uid="{00000000-0005-0000-0000-0000077D0000}"/>
    <cellStyle name="Normal 2 7 2 4 3 3 2" xfId="32005" xr:uid="{00000000-0005-0000-0000-0000087D0000}"/>
    <cellStyle name="Normal 2 7 2 4 3 3 2 2" xfId="32006" xr:uid="{00000000-0005-0000-0000-0000097D0000}"/>
    <cellStyle name="Normal 2 7 2 4 3 3 3" xfId="32007" xr:uid="{00000000-0005-0000-0000-00000A7D0000}"/>
    <cellStyle name="Normal 2 7 2 4 3 3 4" xfId="32008" xr:uid="{00000000-0005-0000-0000-00000B7D0000}"/>
    <cellStyle name="Normal 2 7 2 4 3 3 5" xfId="32009" xr:uid="{00000000-0005-0000-0000-00000C7D0000}"/>
    <cellStyle name="Normal 2 7 2 4 3 4" xfId="32010" xr:uid="{00000000-0005-0000-0000-00000D7D0000}"/>
    <cellStyle name="Normal 2 7 2 4 3 4 2" xfId="32011" xr:uid="{00000000-0005-0000-0000-00000E7D0000}"/>
    <cellStyle name="Normal 2 7 2 4 3 4 3" xfId="32012" xr:uid="{00000000-0005-0000-0000-00000F7D0000}"/>
    <cellStyle name="Normal 2 7 2 4 3 4 4" xfId="32013" xr:uid="{00000000-0005-0000-0000-0000107D0000}"/>
    <cellStyle name="Normal 2 7 2 4 3 5" xfId="32014" xr:uid="{00000000-0005-0000-0000-0000117D0000}"/>
    <cellStyle name="Normal 2 7 2 4 3 5 2" xfId="32015" xr:uid="{00000000-0005-0000-0000-0000127D0000}"/>
    <cellStyle name="Normal 2 7 2 4 3 6" xfId="32016" xr:uid="{00000000-0005-0000-0000-0000137D0000}"/>
    <cellStyle name="Normal 2 7 2 4 3 7" xfId="32017" xr:uid="{00000000-0005-0000-0000-0000147D0000}"/>
    <cellStyle name="Normal 2 7 2 4 3 8" xfId="32018" xr:uid="{00000000-0005-0000-0000-0000157D0000}"/>
    <cellStyle name="Normal 2 7 2 4 3 9" xfId="32019" xr:uid="{00000000-0005-0000-0000-0000167D0000}"/>
    <cellStyle name="Normal 2 7 2 4 4" xfId="32020" xr:uid="{00000000-0005-0000-0000-0000177D0000}"/>
    <cellStyle name="Normal 2 7 2 4 4 2" xfId="32021" xr:uid="{00000000-0005-0000-0000-0000187D0000}"/>
    <cellStyle name="Normal 2 7 2 4 4 2 2" xfId="32022" xr:uid="{00000000-0005-0000-0000-0000197D0000}"/>
    <cellStyle name="Normal 2 7 2 4 4 2 3" xfId="32023" xr:uid="{00000000-0005-0000-0000-00001A7D0000}"/>
    <cellStyle name="Normal 2 7 2 4 4 3" xfId="32024" xr:uid="{00000000-0005-0000-0000-00001B7D0000}"/>
    <cellStyle name="Normal 2 7 2 4 4 4" xfId="32025" xr:uid="{00000000-0005-0000-0000-00001C7D0000}"/>
    <cellStyle name="Normal 2 7 2 4 4 5" xfId="32026" xr:uid="{00000000-0005-0000-0000-00001D7D0000}"/>
    <cellStyle name="Normal 2 7 2 4 4 6" xfId="32027" xr:uid="{00000000-0005-0000-0000-00001E7D0000}"/>
    <cellStyle name="Normal 2 7 2 4 5" xfId="32028" xr:uid="{00000000-0005-0000-0000-00001F7D0000}"/>
    <cellStyle name="Normal 2 7 2 4 5 2" xfId="32029" xr:uid="{00000000-0005-0000-0000-0000207D0000}"/>
    <cellStyle name="Normal 2 7 2 4 5 2 2" xfId="32030" xr:uid="{00000000-0005-0000-0000-0000217D0000}"/>
    <cellStyle name="Normal 2 7 2 4 5 3" xfId="32031" xr:uid="{00000000-0005-0000-0000-0000227D0000}"/>
    <cellStyle name="Normal 2 7 2 4 5 4" xfId="32032" xr:uid="{00000000-0005-0000-0000-0000237D0000}"/>
    <cellStyle name="Normal 2 7 2 4 5 5" xfId="32033" xr:uid="{00000000-0005-0000-0000-0000247D0000}"/>
    <cellStyle name="Normal 2 7 2 4 6" xfId="32034" xr:uid="{00000000-0005-0000-0000-0000257D0000}"/>
    <cellStyle name="Normal 2 7 2 4 6 2" xfId="32035" xr:uid="{00000000-0005-0000-0000-0000267D0000}"/>
    <cellStyle name="Normal 2 7 2 4 6 3" xfId="32036" xr:uid="{00000000-0005-0000-0000-0000277D0000}"/>
    <cellStyle name="Normal 2 7 2 4 6 4" xfId="32037" xr:uid="{00000000-0005-0000-0000-0000287D0000}"/>
    <cellStyle name="Normal 2 7 2 4 7" xfId="32038" xr:uid="{00000000-0005-0000-0000-0000297D0000}"/>
    <cellStyle name="Normal 2 7 2 4 7 2" xfId="32039" xr:uid="{00000000-0005-0000-0000-00002A7D0000}"/>
    <cellStyle name="Normal 2 7 2 4 8" xfId="32040" xr:uid="{00000000-0005-0000-0000-00002B7D0000}"/>
    <cellStyle name="Normal 2 7 2 4 9" xfId="32041" xr:uid="{00000000-0005-0000-0000-00002C7D0000}"/>
    <cellStyle name="Normal 2 7 2 5" xfId="32042" xr:uid="{00000000-0005-0000-0000-00002D7D0000}"/>
    <cellStyle name="Normal 2 7 2 5 10" xfId="32043" xr:uid="{00000000-0005-0000-0000-00002E7D0000}"/>
    <cellStyle name="Normal 2 7 2 5 11" xfId="32044" xr:uid="{00000000-0005-0000-0000-00002F7D0000}"/>
    <cellStyle name="Normal 2 7 2 5 2" xfId="32045" xr:uid="{00000000-0005-0000-0000-0000307D0000}"/>
    <cellStyle name="Normal 2 7 2 5 2 2" xfId="32046" xr:uid="{00000000-0005-0000-0000-0000317D0000}"/>
    <cellStyle name="Normal 2 7 2 5 2 2 2" xfId="32047" xr:uid="{00000000-0005-0000-0000-0000327D0000}"/>
    <cellStyle name="Normal 2 7 2 5 2 2 2 2" xfId="32048" xr:uid="{00000000-0005-0000-0000-0000337D0000}"/>
    <cellStyle name="Normal 2 7 2 5 2 2 2 3" xfId="32049" xr:uid="{00000000-0005-0000-0000-0000347D0000}"/>
    <cellStyle name="Normal 2 7 2 5 2 2 3" xfId="32050" xr:uid="{00000000-0005-0000-0000-0000357D0000}"/>
    <cellStyle name="Normal 2 7 2 5 2 2 4" xfId="32051" xr:uid="{00000000-0005-0000-0000-0000367D0000}"/>
    <cellStyle name="Normal 2 7 2 5 2 2 5" xfId="32052" xr:uid="{00000000-0005-0000-0000-0000377D0000}"/>
    <cellStyle name="Normal 2 7 2 5 2 2 6" xfId="32053" xr:uid="{00000000-0005-0000-0000-0000387D0000}"/>
    <cellStyle name="Normal 2 7 2 5 2 3" xfId="32054" xr:uid="{00000000-0005-0000-0000-0000397D0000}"/>
    <cellStyle name="Normal 2 7 2 5 2 3 2" xfId="32055" xr:uid="{00000000-0005-0000-0000-00003A7D0000}"/>
    <cellStyle name="Normal 2 7 2 5 2 3 2 2" xfId="32056" xr:uid="{00000000-0005-0000-0000-00003B7D0000}"/>
    <cellStyle name="Normal 2 7 2 5 2 3 3" xfId="32057" xr:uid="{00000000-0005-0000-0000-00003C7D0000}"/>
    <cellStyle name="Normal 2 7 2 5 2 3 4" xfId="32058" xr:uid="{00000000-0005-0000-0000-00003D7D0000}"/>
    <cellStyle name="Normal 2 7 2 5 2 3 5" xfId="32059" xr:uid="{00000000-0005-0000-0000-00003E7D0000}"/>
    <cellStyle name="Normal 2 7 2 5 2 4" xfId="32060" xr:uid="{00000000-0005-0000-0000-00003F7D0000}"/>
    <cellStyle name="Normal 2 7 2 5 2 4 2" xfId="32061" xr:uid="{00000000-0005-0000-0000-0000407D0000}"/>
    <cellStyle name="Normal 2 7 2 5 2 4 3" xfId="32062" xr:uid="{00000000-0005-0000-0000-0000417D0000}"/>
    <cellStyle name="Normal 2 7 2 5 2 4 4" xfId="32063" xr:uid="{00000000-0005-0000-0000-0000427D0000}"/>
    <cellStyle name="Normal 2 7 2 5 2 5" xfId="32064" xr:uid="{00000000-0005-0000-0000-0000437D0000}"/>
    <cellStyle name="Normal 2 7 2 5 2 5 2" xfId="32065" xr:uid="{00000000-0005-0000-0000-0000447D0000}"/>
    <cellStyle name="Normal 2 7 2 5 2 6" xfId="32066" xr:uid="{00000000-0005-0000-0000-0000457D0000}"/>
    <cellStyle name="Normal 2 7 2 5 2 7" xfId="32067" xr:uid="{00000000-0005-0000-0000-0000467D0000}"/>
    <cellStyle name="Normal 2 7 2 5 2 8" xfId="32068" xr:uid="{00000000-0005-0000-0000-0000477D0000}"/>
    <cellStyle name="Normal 2 7 2 5 2 9" xfId="32069" xr:uid="{00000000-0005-0000-0000-0000487D0000}"/>
    <cellStyle name="Normal 2 7 2 5 3" xfId="32070" xr:uid="{00000000-0005-0000-0000-0000497D0000}"/>
    <cellStyle name="Normal 2 7 2 5 3 2" xfId="32071" xr:uid="{00000000-0005-0000-0000-00004A7D0000}"/>
    <cellStyle name="Normal 2 7 2 5 3 2 2" xfId="32072" xr:uid="{00000000-0005-0000-0000-00004B7D0000}"/>
    <cellStyle name="Normal 2 7 2 5 3 2 2 2" xfId="32073" xr:uid="{00000000-0005-0000-0000-00004C7D0000}"/>
    <cellStyle name="Normal 2 7 2 5 3 2 2 3" xfId="32074" xr:uid="{00000000-0005-0000-0000-00004D7D0000}"/>
    <cellStyle name="Normal 2 7 2 5 3 2 3" xfId="32075" xr:uid="{00000000-0005-0000-0000-00004E7D0000}"/>
    <cellStyle name="Normal 2 7 2 5 3 2 4" xfId="32076" xr:uid="{00000000-0005-0000-0000-00004F7D0000}"/>
    <cellStyle name="Normal 2 7 2 5 3 2 5" xfId="32077" xr:uid="{00000000-0005-0000-0000-0000507D0000}"/>
    <cellStyle name="Normal 2 7 2 5 3 2 6" xfId="32078" xr:uid="{00000000-0005-0000-0000-0000517D0000}"/>
    <cellStyle name="Normal 2 7 2 5 3 3" xfId="32079" xr:uid="{00000000-0005-0000-0000-0000527D0000}"/>
    <cellStyle name="Normal 2 7 2 5 3 3 2" xfId="32080" xr:uid="{00000000-0005-0000-0000-0000537D0000}"/>
    <cellStyle name="Normal 2 7 2 5 3 3 2 2" xfId="32081" xr:uid="{00000000-0005-0000-0000-0000547D0000}"/>
    <cellStyle name="Normal 2 7 2 5 3 3 3" xfId="32082" xr:uid="{00000000-0005-0000-0000-0000557D0000}"/>
    <cellStyle name="Normal 2 7 2 5 3 3 4" xfId="32083" xr:uid="{00000000-0005-0000-0000-0000567D0000}"/>
    <cellStyle name="Normal 2 7 2 5 3 3 5" xfId="32084" xr:uid="{00000000-0005-0000-0000-0000577D0000}"/>
    <cellStyle name="Normal 2 7 2 5 3 4" xfId="32085" xr:uid="{00000000-0005-0000-0000-0000587D0000}"/>
    <cellStyle name="Normal 2 7 2 5 3 4 2" xfId="32086" xr:uid="{00000000-0005-0000-0000-0000597D0000}"/>
    <cellStyle name="Normal 2 7 2 5 3 4 3" xfId="32087" xr:uid="{00000000-0005-0000-0000-00005A7D0000}"/>
    <cellStyle name="Normal 2 7 2 5 3 4 4" xfId="32088" xr:uid="{00000000-0005-0000-0000-00005B7D0000}"/>
    <cellStyle name="Normal 2 7 2 5 3 5" xfId="32089" xr:uid="{00000000-0005-0000-0000-00005C7D0000}"/>
    <cellStyle name="Normal 2 7 2 5 3 5 2" xfId="32090" xr:uid="{00000000-0005-0000-0000-00005D7D0000}"/>
    <cellStyle name="Normal 2 7 2 5 3 6" xfId="32091" xr:uid="{00000000-0005-0000-0000-00005E7D0000}"/>
    <cellStyle name="Normal 2 7 2 5 3 7" xfId="32092" xr:uid="{00000000-0005-0000-0000-00005F7D0000}"/>
    <cellStyle name="Normal 2 7 2 5 3 8" xfId="32093" xr:uid="{00000000-0005-0000-0000-0000607D0000}"/>
    <cellStyle name="Normal 2 7 2 5 3 9" xfId="32094" xr:uid="{00000000-0005-0000-0000-0000617D0000}"/>
    <cellStyle name="Normal 2 7 2 5 4" xfId="32095" xr:uid="{00000000-0005-0000-0000-0000627D0000}"/>
    <cellStyle name="Normal 2 7 2 5 4 2" xfId="32096" xr:uid="{00000000-0005-0000-0000-0000637D0000}"/>
    <cellStyle name="Normal 2 7 2 5 4 2 2" xfId="32097" xr:uid="{00000000-0005-0000-0000-0000647D0000}"/>
    <cellStyle name="Normal 2 7 2 5 4 2 3" xfId="32098" xr:uid="{00000000-0005-0000-0000-0000657D0000}"/>
    <cellStyle name="Normal 2 7 2 5 4 3" xfId="32099" xr:uid="{00000000-0005-0000-0000-0000667D0000}"/>
    <cellStyle name="Normal 2 7 2 5 4 4" xfId="32100" xr:uid="{00000000-0005-0000-0000-0000677D0000}"/>
    <cellStyle name="Normal 2 7 2 5 4 5" xfId="32101" xr:uid="{00000000-0005-0000-0000-0000687D0000}"/>
    <cellStyle name="Normal 2 7 2 5 4 6" xfId="32102" xr:uid="{00000000-0005-0000-0000-0000697D0000}"/>
    <cellStyle name="Normal 2 7 2 5 5" xfId="32103" xr:uid="{00000000-0005-0000-0000-00006A7D0000}"/>
    <cellStyle name="Normal 2 7 2 5 5 2" xfId="32104" xr:uid="{00000000-0005-0000-0000-00006B7D0000}"/>
    <cellStyle name="Normal 2 7 2 5 5 2 2" xfId="32105" xr:uid="{00000000-0005-0000-0000-00006C7D0000}"/>
    <cellStyle name="Normal 2 7 2 5 5 3" xfId="32106" xr:uid="{00000000-0005-0000-0000-00006D7D0000}"/>
    <cellStyle name="Normal 2 7 2 5 5 4" xfId="32107" xr:uid="{00000000-0005-0000-0000-00006E7D0000}"/>
    <cellStyle name="Normal 2 7 2 5 5 5" xfId="32108" xr:uid="{00000000-0005-0000-0000-00006F7D0000}"/>
    <cellStyle name="Normal 2 7 2 5 6" xfId="32109" xr:uid="{00000000-0005-0000-0000-0000707D0000}"/>
    <cellStyle name="Normal 2 7 2 5 6 2" xfId="32110" xr:uid="{00000000-0005-0000-0000-0000717D0000}"/>
    <cellStyle name="Normal 2 7 2 5 6 3" xfId="32111" xr:uid="{00000000-0005-0000-0000-0000727D0000}"/>
    <cellStyle name="Normal 2 7 2 5 6 4" xfId="32112" xr:uid="{00000000-0005-0000-0000-0000737D0000}"/>
    <cellStyle name="Normal 2 7 2 5 7" xfId="32113" xr:uid="{00000000-0005-0000-0000-0000747D0000}"/>
    <cellStyle name="Normal 2 7 2 5 7 2" xfId="32114" xr:uid="{00000000-0005-0000-0000-0000757D0000}"/>
    <cellStyle name="Normal 2 7 2 5 8" xfId="32115" xr:uid="{00000000-0005-0000-0000-0000767D0000}"/>
    <cellStyle name="Normal 2 7 2 5 9" xfId="32116" xr:uid="{00000000-0005-0000-0000-0000777D0000}"/>
    <cellStyle name="Normal 2 7 2 6" xfId="32117" xr:uid="{00000000-0005-0000-0000-0000787D0000}"/>
    <cellStyle name="Normal 2 7 2 6 10" xfId="32118" xr:uid="{00000000-0005-0000-0000-0000797D0000}"/>
    <cellStyle name="Normal 2 7 2 6 11" xfId="32119" xr:uid="{00000000-0005-0000-0000-00007A7D0000}"/>
    <cellStyle name="Normal 2 7 2 6 2" xfId="32120" xr:uid="{00000000-0005-0000-0000-00007B7D0000}"/>
    <cellStyle name="Normal 2 7 2 6 2 2" xfId="32121" xr:uid="{00000000-0005-0000-0000-00007C7D0000}"/>
    <cellStyle name="Normal 2 7 2 6 2 2 2" xfId="32122" xr:uid="{00000000-0005-0000-0000-00007D7D0000}"/>
    <cellStyle name="Normal 2 7 2 6 2 2 2 2" xfId="32123" xr:uid="{00000000-0005-0000-0000-00007E7D0000}"/>
    <cellStyle name="Normal 2 7 2 6 2 2 2 3" xfId="32124" xr:uid="{00000000-0005-0000-0000-00007F7D0000}"/>
    <cellStyle name="Normal 2 7 2 6 2 2 3" xfId="32125" xr:uid="{00000000-0005-0000-0000-0000807D0000}"/>
    <cellStyle name="Normal 2 7 2 6 2 2 4" xfId="32126" xr:uid="{00000000-0005-0000-0000-0000817D0000}"/>
    <cellStyle name="Normal 2 7 2 6 2 2 5" xfId="32127" xr:uid="{00000000-0005-0000-0000-0000827D0000}"/>
    <cellStyle name="Normal 2 7 2 6 2 2 6" xfId="32128" xr:uid="{00000000-0005-0000-0000-0000837D0000}"/>
    <cellStyle name="Normal 2 7 2 6 2 3" xfId="32129" xr:uid="{00000000-0005-0000-0000-0000847D0000}"/>
    <cellStyle name="Normal 2 7 2 6 2 3 2" xfId="32130" xr:uid="{00000000-0005-0000-0000-0000857D0000}"/>
    <cellStyle name="Normal 2 7 2 6 2 3 2 2" xfId="32131" xr:uid="{00000000-0005-0000-0000-0000867D0000}"/>
    <cellStyle name="Normal 2 7 2 6 2 3 3" xfId="32132" xr:uid="{00000000-0005-0000-0000-0000877D0000}"/>
    <cellStyle name="Normal 2 7 2 6 2 3 4" xfId="32133" xr:uid="{00000000-0005-0000-0000-0000887D0000}"/>
    <cellStyle name="Normal 2 7 2 6 2 3 5" xfId="32134" xr:uid="{00000000-0005-0000-0000-0000897D0000}"/>
    <cellStyle name="Normal 2 7 2 6 2 4" xfId="32135" xr:uid="{00000000-0005-0000-0000-00008A7D0000}"/>
    <cellStyle name="Normal 2 7 2 6 2 4 2" xfId="32136" xr:uid="{00000000-0005-0000-0000-00008B7D0000}"/>
    <cellStyle name="Normal 2 7 2 6 2 4 3" xfId="32137" xr:uid="{00000000-0005-0000-0000-00008C7D0000}"/>
    <cellStyle name="Normal 2 7 2 6 2 4 4" xfId="32138" xr:uid="{00000000-0005-0000-0000-00008D7D0000}"/>
    <cellStyle name="Normal 2 7 2 6 2 5" xfId="32139" xr:uid="{00000000-0005-0000-0000-00008E7D0000}"/>
    <cellStyle name="Normal 2 7 2 6 2 5 2" xfId="32140" xr:uid="{00000000-0005-0000-0000-00008F7D0000}"/>
    <cellStyle name="Normal 2 7 2 6 2 6" xfId="32141" xr:uid="{00000000-0005-0000-0000-0000907D0000}"/>
    <cellStyle name="Normal 2 7 2 6 2 7" xfId="32142" xr:uid="{00000000-0005-0000-0000-0000917D0000}"/>
    <cellStyle name="Normal 2 7 2 6 2 8" xfId="32143" xr:uid="{00000000-0005-0000-0000-0000927D0000}"/>
    <cellStyle name="Normal 2 7 2 6 2 9" xfId="32144" xr:uid="{00000000-0005-0000-0000-0000937D0000}"/>
    <cellStyle name="Normal 2 7 2 6 3" xfId="32145" xr:uid="{00000000-0005-0000-0000-0000947D0000}"/>
    <cellStyle name="Normal 2 7 2 6 3 2" xfId="32146" xr:uid="{00000000-0005-0000-0000-0000957D0000}"/>
    <cellStyle name="Normal 2 7 2 6 3 2 2" xfId="32147" xr:uid="{00000000-0005-0000-0000-0000967D0000}"/>
    <cellStyle name="Normal 2 7 2 6 3 2 2 2" xfId="32148" xr:uid="{00000000-0005-0000-0000-0000977D0000}"/>
    <cellStyle name="Normal 2 7 2 6 3 2 2 3" xfId="32149" xr:uid="{00000000-0005-0000-0000-0000987D0000}"/>
    <cellStyle name="Normal 2 7 2 6 3 2 3" xfId="32150" xr:uid="{00000000-0005-0000-0000-0000997D0000}"/>
    <cellStyle name="Normal 2 7 2 6 3 2 4" xfId="32151" xr:uid="{00000000-0005-0000-0000-00009A7D0000}"/>
    <cellStyle name="Normal 2 7 2 6 3 2 5" xfId="32152" xr:uid="{00000000-0005-0000-0000-00009B7D0000}"/>
    <cellStyle name="Normal 2 7 2 6 3 2 6" xfId="32153" xr:uid="{00000000-0005-0000-0000-00009C7D0000}"/>
    <cellStyle name="Normal 2 7 2 6 3 3" xfId="32154" xr:uid="{00000000-0005-0000-0000-00009D7D0000}"/>
    <cellStyle name="Normal 2 7 2 6 3 3 2" xfId="32155" xr:uid="{00000000-0005-0000-0000-00009E7D0000}"/>
    <cellStyle name="Normal 2 7 2 6 3 3 2 2" xfId="32156" xr:uid="{00000000-0005-0000-0000-00009F7D0000}"/>
    <cellStyle name="Normal 2 7 2 6 3 3 3" xfId="32157" xr:uid="{00000000-0005-0000-0000-0000A07D0000}"/>
    <cellStyle name="Normal 2 7 2 6 3 3 4" xfId="32158" xr:uid="{00000000-0005-0000-0000-0000A17D0000}"/>
    <cellStyle name="Normal 2 7 2 6 3 3 5" xfId="32159" xr:uid="{00000000-0005-0000-0000-0000A27D0000}"/>
    <cellStyle name="Normal 2 7 2 6 3 4" xfId="32160" xr:uid="{00000000-0005-0000-0000-0000A37D0000}"/>
    <cellStyle name="Normal 2 7 2 6 3 4 2" xfId="32161" xr:uid="{00000000-0005-0000-0000-0000A47D0000}"/>
    <cellStyle name="Normal 2 7 2 6 3 4 3" xfId="32162" xr:uid="{00000000-0005-0000-0000-0000A57D0000}"/>
    <cellStyle name="Normal 2 7 2 6 3 4 4" xfId="32163" xr:uid="{00000000-0005-0000-0000-0000A67D0000}"/>
    <cellStyle name="Normal 2 7 2 6 3 5" xfId="32164" xr:uid="{00000000-0005-0000-0000-0000A77D0000}"/>
    <cellStyle name="Normal 2 7 2 6 3 5 2" xfId="32165" xr:uid="{00000000-0005-0000-0000-0000A87D0000}"/>
    <cellStyle name="Normal 2 7 2 6 3 6" xfId="32166" xr:uid="{00000000-0005-0000-0000-0000A97D0000}"/>
    <cellStyle name="Normal 2 7 2 6 3 7" xfId="32167" xr:uid="{00000000-0005-0000-0000-0000AA7D0000}"/>
    <cellStyle name="Normal 2 7 2 6 3 8" xfId="32168" xr:uid="{00000000-0005-0000-0000-0000AB7D0000}"/>
    <cellStyle name="Normal 2 7 2 6 3 9" xfId="32169" xr:uid="{00000000-0005-0000-0000-0000AC7D0000}"/>
    <cellStyle name="Normal 2 7 2 6 4" xfId="32170" xr:uid="{00000000-0005-0000-0000-0000AD7D0000}"/>
    <cellStyle name="Normal 2 7 2 6 4 2" xfId="32171" xr:uid="{00000000-0005-0000-0000-0000AE7D0000}"/>
    <cellStyle name="Normal 2 7 2 6 4 2 2" xfId="32172" xr:uid="{00000000-0005-0000-0000-0000AF7D0000}"/>
    <cellStyle name="Normal 2 7 2 6 4 2 3" xfId="32173" xr:uid="{00000000-0005-0000-0000-0000B07D0000}"/>
    <cellStyle name="Normal 2 7 2 6 4 3" xfId="32174" xr:uid="{00000000-0005-0000-0000-0000B17D0000}"/>
    <cellStyle name="Normal 2 7 2 6 4 4" xfId="32175" xr:uid="{00000000-0005-0000-0000-0000B27D0000}"/>
    <cellStyle name="Normal 2 7 2 6 4 5" xfId="32176" xr:uid="{00000000-0005-0000-0000-0000B37D0000}"/>
    <cellStyle name="Normal 2 7 2 6 4 6" xfId="32177" xr:uid="{00000000-0005-0000-0000-0000B47D0000}"/>
    <cellStyle name="Normal 2 7 2 6 5" xfId="32178" xr:uid="{00000000-0005-0000-0000-0000B57D0000}"/>
    <cellStyle name="Normal 2 7 2 6 5 2" xfId="32179" xr:uid="{00000000-0005-0000-0000-0000B67D0000}"/>
    <cellStyle name="Normal 2 7 2 6 5 2 2" xfId="32180" xr:uid="{00000000-0005-0000-0000-0000B77D0000}"/>
    <cellStyle name="Normal 2 7 2 6 5 3" xfId="32181" xr:uid="{00000000-0005-0000-0000-0000B87D0000}"/>
    <cellStyle name="Normal 2 7 2 6 5 4" xfId="32182" xr:uid="{00000000-0005-0000-0000-0000B97D0000}"/>
    <cellStyle name="Normal 2 7 2 6 5 5" xfId="32183" xr:uid="{00000000-0005-0000-0000-0000BA7D0000}"/>
    <cellStyle name="Normal 2 7 2 6 6" xfId="32184" xr:uid="{00000000-0005-0000-0000-0000BB7D0000}"/>
    <cellStyle name="Normal 2 7 2 6 6 2" xfId="32185" xr:uid="{00000000-0005-0000-0000-0000BC7D0000}"/>
    <cellStyle name="Normal 2 7 2 6 6 3" xfId="32186" xr:uid="{00000000-0005-0000-0000-0000BD7D0000}"/>
    <cellStyle name="Normal 2 7 2 6 6 4" xfId="32187" xr:uid="{00000000-0005-0000-0000-0000BE7D0000}"/>
    <cellStyle name="Normal 2 7 2 6 7" xfId="32188" xr:uid="{00000000-0005-0000-0000-0000BF7D0000}"/>
    <cellStyle name="Normal 2 7 2 6 7 2" xfId="32189" xr:uid="{00000000-0005-0000-0000-0000C07D0000}"/>
    <cellStyle name="Normal 2 7 2 6 8" xfId="32190" xr:uid="{00000000-0005-0000-0000-0000C17D0000}"/>
    <cellStyle name="Normal 2 7 2 6 9" xfId="32191" xr:uid="{00000000-0005-0000-0000-0000C27D0000}"/>
    <cellStyle name="Normal 2 7 2 7" xfId="32192" xr:uid="{00000000-0005-0000-0000-0000C37D0000}"/>
    <cellStyle name="Normal 2 7 2 7 10" xfId="32193" xr:uid="{00000000-0005-0000-0000-0000C47D0000}"/>
    <cellStyle name="Normal 2 7 2 7 11" xfId="32194" xr:uid="{00000000-0005-0000-0000-0000C57D0000}"/>
    <cellStyle name="Normal 2 7 2 7 2" xfId="32195" xr:uid="{00000000-0005-0000-0000-0000C67D0000}"/>
    <cellStyle name="Normal 2 7 2 7 2 2" xfId="32196" xr:uid="{00000000-0005-0000-0000-0000C77D0000}"/>
    <cellStyle name="Normal 2 7 2 7 2 2 2" xfId="32197" xr:uid="{00000000-0005-0000-0000-0000C87D0000}"/>
    <cellStyle name="Normal 2 7 2 7 2 2 2 2" xfId="32198" xr:uid="{00000000-0005-0000-0000-0000C97D0000}"/>
    <cellStyle name="Normal 2 7 2 7 2 2 2 3" xfId="32199" xr:uid="{00000000-0005-0000-0000-0000CA7D0000}"/>
    <cellStyle name="Normal 2 7 2 7 2 2 3" xfId="32200" xr:uid="{00000000-0005-0000-0000-0000CB7D0000}"/>
    <cellStyle name="Normal 2 7 2 7 2 2 4" xfId="32201" xr:uid="{00000000-0005-0000-0000-0000CC7D0000}"/>
    <cellStyle name="Normal 2 7 2 7 2 2 5" xfId="32202" xr:uid="{00000000-0005-0000-0000-0000CD7D0000}"/>
    <cellStyle name="Normal 2 7 2 7 2 2 6" xfId="32203" xr:uid="{00000000-0005-0000-0000-0000CE7D0000}"/>
    <cellStyle name="Normal 2 7 2 7 2 3" xfId="32204" xr:uid="{00000000-0005-0000-0000-0000CF7D0000}"/>
    <cellStyle name="Normal 2 7 2 7 2 3 2" xfId="32205" xr:uid="{00000000-0005-0000-0000-0000D07D0000}"/>
    <cellStyle name="Normal 2 7 2 7 2 3 2 2" xfId="32206" xr:uid="{00000000-0005-0000-0000-0000D17D0000}"/>
    <cellStyle name="Normal 2 7 2 7 2 3 3" xfId="32207" xr:uid="{00000000-0005-0000-0000-0000D27D0000}"/>
    <cellStyle name="Normal 2 7 2 7 2 3 4" xfId="32208" xr:uid="{00000000-0005-0000-0000-0000D37D0000}"/>
    <cellStyle name="Normal 2 7 2 7 2 3 5" xfId="32209" xr:uid="{00000000-0005-0000-0000-0000D47D0000}"/>
    <cellStyle name="Normal 2 7 2 7 2 4" xfId="32210" xr:uid="{00000000-0005-0000-0000-0000D57D0000}"/>
    <cellStyle name="Normal 2 7 2 7 2 4 2" xfId="32211" xr:uid="{00000000-0005-0000-0000-0000D67D0000}"/>
    <cellStyle name="Normal 2 7 2 7 2 4 3" xfId="32212" xr:uid="{00000000-0005-0000-0000-0000D77D0000}"/>
    <cellStyle name="Normal 2 7 2 7 2 4 4" xfId="32213" xr:uid="{00000000-0005-0000-0000-0000D87D0000}"/>
    <cellStyle name="Normal 2 7 2 7 2 5" xfId="32214" xr:uid="{00000000-0005-0000-0000-0000D97D0000}"/>
    <cellStyle name="Normal 2 7 2 7 2 5 2" xfId="32215" xr:uid="{00000000-0005-0000-0000-0000DA7D0000}"/>
    <cellStyle name="Normal 2 7 2 7 2 6" xfId="32216" xr:uid="{00000000-0005-0000-0000-0000DB7D0000}"/>
    <cellStyle name="Normal 2 7 2 7 2 7" xfId="32217" xr:uid="{00000000-0005-0000-0000-0000DC7D0000}"/>
    <cellStyle name="Normal 2 7 2 7 2 8" xfId="32218" xr:uid="{00000000-0005-0000-0000-0000DD7D0000}"/>
    <cellStyle name="Normal 2 7 2 7 2 9" xfId="32219" xr:uid="{00000000-0005-0000-0000-0000DE7D0000}"/>
    <cellStyle name="Normal 2 7 2 7 3" xfId="32220" xr:uid="{00000000-0005-0000-0000-0000DF7D0000}"/>
    <cellStyle name="Normal 2 7 2 7 3 2" xfId="32221" xr:uid="{00000000-0005-0000-0000-0000E07D0000}"/>
    <cellStyle name="Normal 2 7 2 7 3 2 2" xfId="32222" xr:uid="{00000000-0005-0000-0000-0000E17D0000}"/>
    <cellStyle name="Normal 2 7 2 7 3 2 2 2" xfId="32223" xr:uid="{00000000-0005-0000-0000-0000E27D0000}"/>
    <cellStyle name="Normal 2 7 2 7 3 2 2 3" xfId="32224" xr:uid="{00000000-0005-0000-0000-0000E37D0000}"/>
    <cellStyle name="Normal 2 7 2 7 3 2 3" xfId="32225" xr:uid="{00000000-0005-0000-0000-0000E47D0000}"/>
    <cellStyle name="Normal 2 7 2 7 3 2 4" xfId="32226" xr:uid="{00000000-0005-0000-0000-0000E57D0000}"/>
    <cellStyle name="Normal 2 7 2 7 3 2 5" xfId="32227" xr:uid="{00000000-0005-0000-0000-0000E67D0000}"/>
    <cellStyle name="Normal 2 7 2 7 3 2 6" xfId="32228" xr:uid="{00000000-0005-0000-0000-0000E77D0000}"/>
    <cellStyle name="Normal 2 7 2 7 3 3" xfId="32229" xr:uid="{00000000-0005-0000-0000-0000E87D0000}"/>
    <cellStyle name="Normal 2 7 2 7 3 3 2" xfId="32230" xr:uid="{00000000-0005-0000-0000-0000E97D0000}"/>
    <cellStyle name="Normal 2 7 2 7 3 3 2 2" xfId="32231" xr:uid="{00000000-0005-0000-0000-0000EA7D0000}"/>
    <cellStyle name="Normal 2 7 2 7 3 3 3" xfId="32232" xr:uid="{00000000-0005-0000-0000-0000EB7D0000}"/>
    <cellStyle name="Normal 2 7 2 7 3 3 4" xfId="32233" xr:uid="{00000000-0005-0000-0000-0000EC7D0000}"/>
    <cellStyle name="Normal 2 7 2 7 3 3 5" xfId="32234" xr:uid="{00000000-0005-0000-0000-0000ED7D0000}"/>
    <cellStyle name="Normal 2 7 2 7 3 4" xfId="32235" xr:uid="{00000000-0005-0000-0000-0000EE7D0000}"/>
    <cellStyle name="Normal 2 7 2 7 3 4 2" xfId="32236" xr:uid="{00000000-0005-0000-0000-0000EF7D0000}"/>
    <cellStyle name="Normal 2 7 2 7 3 4 3" xfId="32237" xr:uid="{00000000-0005-0000-0000-0000F07D0000}"/>
    <cellStyle name="Normal 2 7 2 7 3 4 4" xfId="32238" xr:uid="{00000000-0005-0000-0000-0000F17D0000}"/>
    <cellStyle name="Normal 2 7 2 7 3 5" xfId="32239" xr:uid="{00000000-0005-0000-0000-0000F27D0000}"/>
    <cellStyle name="Normal 2 7 2 7 3 5 2" xfId="32240" xr:uid="{00000000-0005-0000-0000-0000F37D0000}"/>
    <cellStyle name="Normal 2 7 2 7 3 6" xfId="32241" xr:uid="{00000000-0005-0000-0000-0000F47D0000}"/>
    <cellStyle name="Normal 2 7 2 7 3 7" xfId="32242" xr:uid="{00000000-0005-0000-0000-0000F57D0000}"/>
    <cellStyle name="Normal 2 7 2 7 3 8" xfId="32243" xr:uid="{00000000-0005-0000-0000-0000F67D0000}"/>
    <cellStyle name="Normal 2 7 2 7 3 9" xfId="32244" xr:uid="{00000000-0005-0000-0000-0000F77D0000}"/>
    <cellStyle name="Normal 2 7 2 7 4" xfId="32245" xr:uid="{00000000-0005-0000-0000-0000F87D0000}"/>
    <cellStyle name="Normal 2 7 2 7 4 2" xfId="32246" xr:uid="{00000000-0005-0000-0000-0000F97D0000}"/>
    <cellStyle name="Normal 2 7 2 7 4 2 2" xfId="32247" xr:uid="{00000000-0005-0000-0000-0000FA7D0000}"/>
    <cellStyle name="Normal 2 7 2 7 4 2 3" xfId="32248" xr:uid="{00000000-0005-0000-0000-0000FB7D0000}"/>
    <cellStyle name="Normal 2 7 2 7 4 3" xfId="32249" xr:uid="{00000000-0005-0000-0000-0000FC7D0000}"/>
    <cellStyle name="Normal 2 7 2 7 4 4" xfId="32250" xr:uid="{00000000-0005-0000-0000-0000FD7D0000}"/>
    <cellStyle name="Normal 2 7 2 7 4 5" xfId="32251" xr:uid="{00000000-0005-0000-0000-0000FE7D0000}"/>
    <cellStyle name="Normal 2 7 2 7 4 6" xfId="32252" xr:uid="{00000000-0005-0000-0000-0000FF7D0000}"/>
    <cellStyle name="Normal 2 7 2 7 5" xfId="32253" xr:uid="{00000000-0005-0000-0000-0000007E0000}"/>
    <cellStyle name="Normal 2 7 2 7 5 2" xfId="32254" xr:uid="{00000000-0005-0000-0000-0000017E0000}"/>
    <cellStyle name="Normal 2 7 2 7 5 2 2" xfId="32255" xr:uid="{00000000-0005-0000-0000-0000027E0000}"/>
    <cellStyle name="Normal 2 7 2 7 5 3" xfId="32256" xr:uid="{00000000-0005-0000-0000-0000037E0000}"/>
    <cellStyle name="Normal 2 7 2 7 5 4" xfId="32257" xr:uid="{00000000-0005-0000-0000-0000047E0000}"/>
    <cellStyle name="Normal 2 7 2 7 5 5" xfId="32258" xr:uid="{00000000-0005-0000-0000-0000057E0000}"/>
    <cellStyle name="Normal 2 7 2 7 6" xfId="32259" xr:uid="{00000000-0005-0000-0000-0000067E0000}"/>
    <cellStyle name="Normal 2 7 2 7 6 2" xfId="32260" xr:uid="{00000000-0005-0000-0000-0000077E0000}"/>
    <cellStyle name="Normal 2 7 2 7 6 3" xfId="32261" xr:uid="{00000000-0005-0000-0000-0000087E0000}"/>
    <cellStyle name="Normal 2 7 2 7 6 4" xfId="32262" xr:uid="{00000000-0005-0000-0000-0000097E0000}"/>
    <cellStyle name="Normal 2 7 2 7 7" xfId="32263" xr:uid="{00000000-0005-0000-0000-00000A7E0000}"/>
    <cellStyle name="Normal 2 7 2 7 7 2" xfId="32264" xr:uid="{00000000-0005-0000-0000-00000B7E0000}"/>
    <cellStyle name="Normal 2 7 2 7 8" xfId="32265" xr:uid="{00000000-0005-0000-0000-00000C7E0000}"/>
    <cellStyle name="Normal 2 7 2 7 9" xfId="32266" xr:uid="{00000000-0005-0000-0000-00000D7E0000}"/>
    <cellStyle name="Normal 2 7 2 8" xfId="32267" xr:uid="{00000000-0005-0000-0000-00000E7E0000}"/>
    <cellStyle name="Normal 2 7 2 8 10" xfId="32268" xr:uid="{00000000-0005-0000-0000-00000F7E0000}"/>
    <cellStyle name="Normal 2 7 2 8 2" xfId="32269" xr:uid="{00000000-0005-0000-0000-0000107E0000}"/>
    <cellStyle name="Normal 2 7 2 8 2 2" xfId="32270" xr:uid="{00000000-0005-0000-0000-0000117E0000}"/>
    <cellStyle name="Normal 2 7 2 8 2 2 2" xfId="32271" xr:uid="{00000000-0005-0000-0000-0000127E0000}"/>
    <cellStyle name="Normal 2 7 2 8 2 2 3" xfId="32272" xr:uid="{00000000-0005-0000-0000-0000137E0000}"/>
    <cellStyle name="Normal 2 7 2 8 2 3" xfId="32273" xr:uid="{00000000-0005-0000-0000-0000147E0000}"/>
    <cellStyle name="Normal 2 7 2 8 2 4" xfId="32274" xr:uid="{00000000-0005-0000-0000-0000157E0000}"/>
    <cellStyle name="Normal 2 7 2 8 2 5" xfId="32275" xr:uid="{00000000-0005-0000-0000-0000167E0000}"/>
    <cellStyle name="Normal 2 7 2 8 2 6" xfId="32276" xr:uid="{00000000-0005-0000-0000-0000177E0000}"/>
    <cellStyle name="Normal 2 7 2 8 3" xfId="32277" xr:uid="{00000000-0005-0000-0000-0000187E0000}"/>
    <cellStyle name="Normal 2 7 2 8 3 2" xfId="32278" xr:uid="{00000000-0005-0000-0000-0000197E0000}"/>
    <cellStyle name="Normal 2 7 2 8 3 2 2" xfId="32279" xr:uid="{00000000-0005-0000-0000-00001A7E0000}"/>
    <cellStyle name="Normal 2 7 2 8 3 2 3" xfId="32280" xr:uid="{00000000-0005-0000-0000-00001B7E0000}"/>
    <cellStyle name="Normal 2 7 2 8 3 3" xfId="32281" xr:uid="{00000000-0005-0000-0000-00001C7E0000}"/>
    <cellStyle name="Normal 2 7 2 8 3 4" xfId="32282" xr:uid="{00000000-0005-0000-0000-00001D7E0000}"/>
    <cellStyle name="Normal 2 7 2 8 3 5" xfId="32283" xr:uid="{00000000-0005-0000-0000-00001E7E0000}"/>
    <cellStyle name="Normal 2 7 2 8 3 6" xfId="32284" xr:uid="{00000000-0005-0000-0000-00001F7E0000}"/>
    <cellStyle name="Normal 2 7 2 8 4" xfId="32285" xr:uid="{00000000-0005-0000-0000-0000207E0000}"/>
    <cellStyle name="Normal 2 7 2 8 4 2" xfId="32286" xr:uid="{00000000-0005-0000-0000-0000217E0000}"/>
    <cellStyle name="Normal 2 7 2 8 4 2 2" xfId="32287" xr:uid="{00000000-0005-0000-0000-0000227E0000}"/>
    <cellStyle name="Normal 2 7 2 8 4 3" xfId="32288" xr:uid="{00000000-0005-0000-0000-0000237E0000}"/>
    <cellStyle name="Normal 2 7 2 8 4 4" xfId="32289" xr:uid="{00000000-0005-0000-0000-0000247E0000}"/>
    <cellStyle name="Normal 2 7 2 8 4 5" xfId="32290" xr:uid="{00000000-0005-0000-0000-0000257E0000}"/>
    <cellStyle name="Normal 2 7 2 8 5" xfId="32291" xr:uid="{00000000-0005-0000-0000-0000267E0000}"/>
    <cellStyle name="Normal 2 7 2 8 5 2" xfId="32292" xr:uid="{00000000-0005-0000-0000-0000277E0000}"/>
    <cellStyle name="Normal 2 7 2 8 5 3" xfId="32293" xr:uid="{00000000-0005-0000-0000-0000287E0000}"/>
    <cellStyle name="Normal 2 7 2 8 5 4" xfId="32294" xr:uid="{00000000-0005-0000-0000-0000297E0000}"/>
    <cellStyle name="Normal 2 7 2 8 6" xfId="32295" xr:uid="{00000000-0005-0000-0000-00002A7E0000}"/>
    <cellStyle name="Normal 2 7 2 8 6 2" xfId="32296" xr:uid="{00000000-0005-0000-0000-00002B7E0000}"/>
    <cellStyle name="Normal 2 7 2 8 7" xfId="32297" xr:uid="{00000000-0005-0000-0000-00002C7E0000}"/>
    <cellStyle name="Normal 2 7 2 8 8" xfId="32298" xr:uid="{00000000-0005-0000-0000-00002D7E0000}"/>
    <cellStyle name="Normal 2 7 2 8 9" xfId="32299" xr:uid="{00000000-0005-0000-0000-00002E7E0000}"/>
    <cellStyle name="Normal 2 7 2 9" xfId="32300" xr:uid="{00000000-0005-0000-0000-00002F7E0000}"/>
    <cellStyle name="Normal 2 7 2 9 10" xfId="32301" xr:uid="{00000000-0005-0000-0000-0000307E0000}"/>
    <cellStyle name="Normal 2 7 2 9 2" xfId="32302" xr:uid="{00000000-0005-0000-0000-0000317E0000}"/>
    <cellStyle name="Normal 2 7 2 9 2 2" xfId="32303" xr:uid="{00000000-0005-0000-0000-0000327E0000}"/>
    <cellStyle name="Normal 2 7 2 9 2 2 2" xfId="32304" xr:uid="{00000000-0005-0000-0000-0000337E0000}"/>
    <cellStyle name="Normal 2 7 2 9 2 2 3" xfId="32305" xr:uid="{00000000-0005-0000-0000-0000347E0000}"/>
    <cellStyle name="Normal 2 7 2 9 2 3" xfId="32306" xr:uid="{00000000-0005-0000-0000-0000357E0000}"/>
    <cellStyle name="Normal 2 7 2 9 2 4" xfId="32307" xr:uid="{00000000-0005-0000-0000-0000367E0000}"/>
    <cellStyle name="Normal 2 7 2 9 2 5" xfId="32308" xr:uid="{00000000-0005-0000-0000-0000377E0000}"/>
    <cellStyle name="Normal 2 7 2 9 2 6" xfId="32309" xr:uid="{00000000-0005-0000-0000-0000387E0000}"/>
    <cellStyle name="Normal 2 7 2 9 3" xfId="32310" xr:uid="{00000000-0005-0000-0000-0000397E0000}"/>
    <cellStyle name="Normal 2 7 2 9 3 2" xfId="32311" xr:uid="{00000000-0005-0000-0000-00003A7E0000}"/>
    <cellStyle name="Normal 2 7 2 9 3 2 2" xfId="32312" xr:uid="{00000000-0005-0000-0000-00003B7E0000}"/>
    <cellStyle name="Normal 2 7 2 9 3 2 3" xfId="32313" xr:uid="{00000000-0005-0000-0000-00003C7E0000}"/>
    <cellStyle name="Normal 2 7 2 9 3 3" xfId="32314" xr:uid="{00000000-0005-0000-0000-00003D7E0000}"/>
    <cellStyle name="Normal 2 7 2 9 3 4" xfId="32315" xr:uid="{00000000-0005-0000-0000-00003E7E0000}"/>
    <cellStyle name="Normal 2 7 2 9 3 5" xfId="32316" xr:uid="{00000000-0005-0000-0000-00003F7E0000}"/>
    <cellStyle name="Normal 2 7 2 9 3 6" xfId="32317" xr:uid="{00000000-0005-0000-0000-0000407E0000}"/>
    <cellStyle name="Normal 2 7 2 9 4" xfId="32318" xr:uid="{00000000-0005-0000-0000-0000417E0000}"/>
    <cellStyle name="Normal 2 7 2 9 4 2" xfId="32319" xr:uid="{00000000-0005-0000-0000-0000427E0000}"/>
    <cellStyle name="Normal 2 7 2 9 4 2 2" xfId="32320" xr:uid="{00000000-0005-0000-0000-0000437E0000}"/>
    <cellStyle name="Normal 2 7 2 9 4 3" xfId="32321" xr:uid="{00000000-0005-0000-0000-0000447E0000}"/>
    <cellStyle name="Normal 2 7 2 9 4 4" xfId="32322" xr:uid="{00000000-0005-0000-0000-0000457E0000}"/>
    <cellStyle name="Normal 2 7 2 9 4 5" xfId="32323" xr:uid="{00000000-0005-0000-0000-0000467E0000}"/>
    <cellStyle name="Normal 2 7 2 9 5" xfId="32324" xr:uid="{00000000-0005-0000-0000-0000477E0000}"/>
    <cellStyle name="Normal 2 7 2 9 5 2" xfId="32325" xr:uid="{00000000-0005-0000-0000-0000487E0000}"/>
    <cellStyle name="Normal 2 7 2 9 5 3" xfId="32326" xr:uid="{00000000-0005-0000-0000-0000497E0000}"/>
    <cellStyle name="Normal 2 7 2 9 5 4" xfId="32327" xr:uid="{00000000-0005-0000-0000-00004A7E0000}"/>
    <cellStyle name="Normal 2 7 2 9 6" xfId="32328" xr:uid="{00000000-0005-0000-0000-00004B7E0000}"/>
    <cellStyle name="Normal 2 7 2 9 6 2" xfId="32329" xr:uid="{00000000-0005-0000-0000-00004C7E0000}"/>
    <cellStyle name="Normal 2 7 2 9 7" xfId="32330" xr:uid="{00000000-0005-0000-0000-00004D7E0000}"/>
    <cellStyle name="Normal 2 7 2 9 8" xfId="32331" xr:uid="{00000000-0005-0000-0000-00004E7E0000}"/>
    <cellStyle name="Normal 2 7 2 9 9" xfId="32332" xr:uid="{00000000-0005-0000-0000-00004F7E0000}"/>
    <cellStyle name="Normal 2 7 20" xfId="32333" xr:uid="{00000000-0005-0000-0000-0000507E0000}"/>
    <cellStyle name="Normal 2 7 20 10" xfId="32334" xr:uid="{00000000-0005-0000-0000-0000517E0000}"/>
    <cellStyle name="Normal 2 7 20 2" xfId="32335" xr:uid="{00000000-0005-0000-0000-0000527E0000}"/>
    <cellStyle name="Normal 2 7 20 2 2" xfId="32336" xr:uid="{00000000-0005-0000-0000-0000537E0000}"/>
    <cellStyle name="Normal 2 7 20 2 2 2" xfId="32337" xr:uid="{00000000-0005-0000-0000-0000547E0000}"/>
    <cellStyle name="Normal 2 7 20 2 2 3" xfId="32338" xr:uid="{00000000-0005-0000-0000-0000557E0000}"/>
    <cellStyle name="Normal 2 7 20 2 3" xfId="32339" xr:uid="{00000000-0005-0000-0000-0000567E0000}"/>
    <cellStyle name="Normal 2 7 20 2 4" xfId="32340" xr:uid="{00000000-0005-0000-0000-0000577E0000}"/>
    <cellStyle name="Normal 2 7 20 2 5" xfId="32341" xr:uid="{00000000-0005-0000-0000-0000587E0000}"/>
    <cellStyle name="Normal 2 7 20 2 6" xfId="32342" xr:uid="{00000000-0005-0000-0000-0000597E0000}"/>
    <cellStyle name="Normal 2 7 20 3" xfId="32343" xr:uid="{00000000-0005-0000-0000-00005A7E0000}"/>
    <cellStyle name="Normal 2 7 20 3 2" xfId="32344" xr:uid="{00000000-0005-0000-0000-00005B7E0000}"/>
    <cellStyle name="Normal 2 7 20 3 2 2" xfId="32345" xr:uid="{00000000-0005-0000-0000-00005C7E0000}"/>
    <cellStyle name="Normal 2 7 20 3 2 3" xfId="32346" xr:uid="{00000000-0005-0000-0000-00005D7E0000}"/>
    <cellStyle name="Normal 2 7 20 3 3" xfId="32347" xr:uid="{00000000-0005-0000-0000-00005E7E0000}"/>
    <cellStyle name="Normal 2 7 20 3 4" xfId="32348" xr:uid="{00000000-0005-0000-0000-00005F7E0000}"/>
    <cellStyle name="Normal 2 7 20 3 5" xfId="32349" xr:uid="{00000000-0005-0000-0000-0000607E0000}"/>
    <cellStyle name="Normal 2 7 20 3 6" xfId="32350" xr:uid="{00000000-0005-0000-0000-0000617E0000}"/>
    <cellStyle name="Normal 2 7 20 4" xfId="32351" xr:uid="{00000000-0005-0000-0000-0000627E0000}"/>
    <cellStyle name="Normal 2 7 20 4 2" xfId="32352" xr:uid="{00000000-0005-0000-0000-0000637E0000}"/>
    <cellStyle name="Normal 2 7 20 4 2 2" xfId="32353" xr:uid="{00000000-0005-0000-0000-0000647E0000}"/>
    <cellStyle name="Normal 2 7 20 4 3" xfId="32354" xr:uid="{00000000-0005-0000-0000-0000657E0000}"/>
    <cellStyle name="Normal 2 7 20 4 4" xfId="32355" xr:uid="{00000000-0005-0000-0000-0000667E0000}"/>
    <cellStyle name="Normal 2 7 20 4 5" xfId="32356" xr:uid="{00000000-0005-0000-0000-0000677E0000}"/>
    <cellStyle name="Normal 2 7 20 5" xfId="32357" xr:uid="{00000000-0005-0000-0000-0000687E0000}"/>
    <cellStyle name="Normal 2 7 20 5 2" xfId="32358" xr:uid="{00000000-0005-0000-0000-0000697E0000}"/>
    <cellStyle name="Normal 2 7 20 5 3" xfId="32359" xr:uid="{00000000-0005-0000-0000-00006A7E0000}"/>
    <cellStyle name="Normal 2 7 20 5 4" xfId="32360" xr:uid="{00000000-0005-0000-0000-00006B7E0000}"/>
    <cellStyle name="Normal 2 7 20 6" xfId="32361" xr:uid="{00000000-0005-0000-0000-00006C7E0000}"/>
    <cellStyle name="Normal 2 7 20 6 2" xfId="32362" xr:uid="{00000000-0005-0000-0000-00006D7E0000}"/>
    <cellStyle name="Normal 2 7 20 7" xfId="32363" xr:uid="{00000000-0005-0000-0000-00006E7E0000}"/>
    <cellStyle name="Normal 2 7 20 8" xfId="32364" xr:uid="{00000000-0005-0000-0000-00006F7E0000}"/>
    <cellStyle name="Normal 2 7 20 9" xfId="32365" xr:uid="{00000000-0005-0000-0000-0000707E0000}"/>
    <cellStyle name="Normal 2 7 21" xfId="32366" xr:uid="{00000000-0005-0000-0000-0000717E0000}"/>
    <cellStyle name="Normal 2 7 21 10" xfId="32367" xr:uid="{00000000-0005-0000-0000-0000727E0000}"/>
    <cellStyle name="Normal 2 7 21 2" xfId="32368" xr:uid="{00000000-0005-0000-0000-0000737E0000}"/>
    <cellStyle name="Normal 2 7 21 2 2" xfId="32369" xr:uid="{00000000-0005-0000-0000-0000747E0000}"/>
    <cellStyle name="Normal 2 7 21 2 2 2" xfId="32370" xr:uid="{00000000-0005-0000-0000-0000757E0000}"/>
    <cellStyle name="Normal 2 7 21 2 2 3" xfId="32371" xr:uid="{00000000-0005-0000-0000-0000767E0000}"/>
    <cellStyle name="Normal 2 7 21 2 3" xfId="32372" xr:uid="{00000000-0005-0000-0000-0000777E0000}"/>
    <cellStyle name="Normal 2 7 21 2 4" xfId="32373" xr:uid="{00000000-0005-0000-0000-0000787E0000}"/>
    <cellStyle name="Normal 2 7 21 2 5" xfId="32374" xr:uid="{00000000-0005-0000-0000-0000797E0000}"/>
    <cellStyle name="Normal 2 7 21 2 6" xfId="32375" xr:uid="{00000000-0005-0000-0000-00007A7E0000}"/>
    <cellStyle name="Normal 2 7 21 3" xfId="32376" xr:uid="{00000000-0005-0000-0000-00007B7E0000}"/>
    <cellStyle name="Normal 2 7 21 3 2" xfId="32377" xr:uid="{00000000-0005-0000-0000-00007C7E0000}"/>
    <cellStyle name="Normal 2 7 21 3 2 2" xfId="32378" xr:uid="{00000000-0005-0000-0000-00007D7E0000}"/>
    <cellStyle name="Normal 2 7 21 3 2 3" xfId="32379" xr:uid="{00000000-0005-0000-0000-00007E7E0000}"/>
    <cellStyle name="Normal 2 7 21 3 3" xfId="32380" xr:uid="{00000000-0005-0000-0000-00007F7E0000}"/>
    <cellStyle name="Normal 2 7 21 3 4" xfId="32381" xr:uid="{00000000-0005-0000-0000-0000807E0000}"/>
    <cellStyle name="Normal 2 7 21 3 5" xfId="32382" xr:uid="{00000000-0005-0000-0000-0000817E0000}"/>
    <cellStyle name="Normal 2 7 21 3 6" xfId="32383" xr:uid="{00000000-0005-0000-0000-0000827E0000}"/>
    <cellStyle name="Normal 2 7 21 4" xfId="32384" xr:uid="{00000000-0005-0000-0000-0000837E0000}"/>
    <cellStyle name="Normal 2 7 21 4 2" xfId="32385" xr:uid="{00000000-0005-0000-0000-0000847E0000}"/>
    <cellStyle name="Normal 2 7 21 4 2 2" xfId="32386" xr:uid="{00000000-0005-0000-0000-0000857E0000}"/>
    <cellStyle name="Normal 2 7 21 4 3" xfId="32387" xr:uid="{00000000-0005-0000-0000-0000867E0000}"/>
    <cellStyle name="Normal 2 7 21 4 4" xfId="32388" xr:uid="{00000000-0005-0000-0000-0000877E0000}"/>
    <cellStyle name="Normal 2 7 21 4 5" xfId="32389" xr:uid="{00000000-0005-0000-0000-0000887E0000}"/>
    <cellStyle name="Normal 2 7 21 5" xfId="32390" xr:uid="{00000000-0005-0000-0000-0000897E0000}"/>
    <cellStyle name="Normal 2 7 21 5 2" xfId="32391" xr:uid="{00000000-0005-0000-0000-00008A7E0000}"/>
    <cellStyle name="Normal 2 7 21 5 3" xfId="32392" xr:uid="{00000000-0005-0000-0000-00008B7E0000}"/>
    <cellStyle name="Normal 2 7 21 5 4" xfId="32393" xr:uid="{00000000-0005-0000-0000-00008C7E0000}"/>
    <cellStyle name="Normal 2 7 21 6" xfId="32394" xr:uid="{00000000-0005-0000-0000-00008D7E0000}"/>
    <cellStyle name="Normal 2 7 21 6 2" xfId="32395" xr:uid="{00000000-0005-0000-0000-00008E7E0000}"/>
    <cellStyle name="Normal 2 7 21 7" xfId="32396" xr:uid="{00000000-0005-0000-0000-00008F7E0000}"/>
    <cellStyle name="Normal 2 7 21 8" xfId="32397" xr:uid="{00000000-0005-0000-0000-0000907E0000}"/>
    <cellStyle name="Normal 2 7 21 9" xfId="32398" xr:uid="{00000000-0005-0000-0000-0000917E0000}"/>
    <cellStyle name="Normal 2 7 22" xfId="32399" xr:uid="{00000000-0005-0000-0000-0000927E0000}"/>
    <cellStyle name="Normal 2 7 22 10" xfId="32400" xr:uid="{00000000-0005-0000-0000-0000937E0000}"/>
    <cellStyle name="Normal 2 7 22 2" xfId="32401" xr:uid="{00000000-0005-0000-0000-0000947E0000}"/>
    <cellStyle name="Normal 2 7 22 2 2" xfId="32402" xr:uid="{00000000-0005-0000-0000-0000957E0000}"/>
    <cellStyle name="Normal 2 7 22 2 2 2" xfId="32403" xr:uid="{00000000-0005-0000-0000-0000967E0000}"/>
    <cellStyle name="Normal 2 7 22 2 2 3" xfId="32404" xr:uid="{00000000-0005-0000-0000-0000977E0000}"/>
    <cellStyle name="Normal 2 7 22 2 3" xfId="32405" xr:uid="{00000000-0005-0000-0000-0000987E0000}"/>
    <cellStyle name="Normal 2 7 22 2 4" xfId="32406" xr:uid="{00000000-0005-0000-0000-0000997E0000}"/>
    <cellStyle name="Normal 2 7 22 2 5" xfId="32407" xr:uid="{00000000-0005-0000-0000-00009A7E0000}"/>
    <cellStyle name="Normal 2 7 22 2 6" xfId="32408" xr:uid="{00000000-0005-0000-0000-00009B7E0000}"/>
    <cellStyle name="Normal 2 7 22 3" xfId="32409" xr:uid="{00000000-0005-0000-0000-00009C7E0000}"/>
    <cellStyle name="Normal 2 7 22 3 2" xfId="32410" xr:uid="{00000000-0005-0000-0000-00009D7E0000}"/>
    <cellStyle name="Normal 2 7 22 3 2 2" xfId="32411" xr:uid="{00000000-0005-0000-0000-00009E7E0000}"/>
    <cellStyle name="Normal 2 7 22 3 2 3" xfId="32412" xr:uid="{00000000-0005-0000-0000-00009F7E0000}"/>
    <cellStyle name="Normal 2 7 22 3 3" xfId="32413" xr:uid="{00000000-0005-0000-0000-0000A07E0000}"/>
    <cellStyle name="Normal 2 7 22 3 4" xfId="32414" xr:uid="{00000000-0005-0000-0000-0000A17E0000}"/>
    <cellStyle name="Normal 2 7 22 3 5" xfId="32415" xr:uid="{00000000-0005-0000-0000-0000A27E0000}"/>
    <cellStyle name="Normal 2 7 22 3 6" xfId="32416" xr:uid="{00000000-0005-0000-0000-0000A37E0000}"/>
    <cellStyle name="Normal 2 7 22 4" xfId="32417" xr:uid="{00000000-0005-0000-0000-0000A47E0000}"/>
    <cellStyle name="Normal 2 7 22 4 2" xfId="32418" xr:uid="{00000000-0005-0000-0000-0000A57E0000}"/>
    <cellStyle name="Normal 2 7 22 4 2 2" xfId="32419" xr:uid="{00000000-0005-0000-0000-0000A67E0000}"/>
    <cellStyle name="Normal 2 7 22 4 3" xfId="32420" xr:uid="{00000000-0005-0000-0000-0000A77E0000}"/>
    <cellStyle name="Normal 2 7 22 4 4" xfId="32421" xr:uid="{00000000-0005-0000-0000-0000A87E0000}"/>
    <cellStyle name="Normal 2 7 22 4 5" xfId="32422" xr:uid="{00000000-0005-0000-0000-0000A97E0000}"/>
    <cellStyle name="Normal 2 7 22 5" xfId="32423" xr:uid="{00000000-0005-0000-0000-0000AA7E0000}"/>
    <cellStyle name="Normal 2 7 22 5 2" xfId="32424" xr:uid="{00000000-0005-0000-0000-0000AB7E0000}"/>
    <cellStyle name="Normal 2 7 22 5 3" xfId="32425" xr:uid="{00000000-0005-0000-0000-0000AC7E0000}"/>
    <cellStyle name="Normal 2 7 22 5 4" xfId="32426" xr:uid="{00000000-0005-0000-0000-0000AD7E0000}"/>
    <cellStyle name="Normal 2 7 22 6" xfId="32427" xr:uid="{00000000-0005-0000-0000-0000AE7E0000}"/>
    <cellStyle name="Normal 2 7 22 6 2" xfId="32428" xr:uid="{00000000-0005-0000-0000-0000AF7E0000}"/>
    <cellStyle name="Normal 2 7 22 7" xfId="32429" xr:uid="{00000000-0005-0000-0000-0000B07E0000}"/>
    <cellStyle name="Normal 2 7 22 8" xfId="32430" xr:uid="{00000000-0005-0000-0000-0000B17E0000}"/>
    <cellStyle name="Normal 2 7 22 9" xfId="32431" xr:uid="{00000000-0005-0000-0000-0000B27E0000}"/>
    <cellStyle name="Normal 2 7 23" xfId="32432" xr:uid="{00000000-0005-0000-0000-0000B37E0000}"/>
    <cellStyle name="Normal 2 7 23 10" xfId="32433" xr:uid="{00000000-0005-0000-0000-0000B47E0000}"/>
    <cellStyle name="Normal 2 7 23 2" xfId="32434" xr:uid="{00000000-0005-0000-0000-0000B57E0000}"/>
    <cellStyle name="Normal 2 7 23 2 2" xfId="32435" xr:uid="{00000000-0005-0000-0000-0000B67E0000}"/>
    <cellStyle name="Normal 2 7 23 2 2 2" xfId="32436" xr:uid="{00000000-0005-0000-0000-0000B77E0000}"/>
    <cellStyle name="Normal 2 7 23 2 2 3" xfId="32437" xr:uid="{00000000-0005-0000-0000-0000B87E0000}"/>
    <cellStyle name="Normal 2 7 23 2 3" xfId="32438" xr:uid="{00000000-0005-0000-0000-0000B97E0000}"/>
    <cellStyle name="Normal 2 7 23 2 4" xfId="32439" xr:uid="{00000000-0005-0000-0000-0000BA7E0000}"/>
    <cellStyle name="Normal 2 7 23 2 5" xfId="32440" xr:uid="{00000000-0005-0000-0000-0000BB7E0000}"/>
    <cellStyle name="Normal 2 7 23 2 6" xfId="32441" xr:uid="{00000000-0005-0000-0000-0000BC7E0000}"/>
    <cellStyle name="Normal 2 7 23 3" xfId="32442" xr:uid="{00000000-0005-0000-0000-0000BD7E0000}"/>
    <cellStyle name="Normal 2 7 23 3 2" xfId="32443" xr:uid="{00000000-0005-0000-0000-0000BE7E0000}"/>
    <cellStyle name="Normal 2 7 23 3 2 2" xfId="32444" xr:uid="{00000000-0005-0000-0000-0000BF7E0000}"/>
    <cellStyle name="Normal 2 7 23 3 2 3" xfId="32445" xr:uid="{00000000-0005-0000-0000-0000C07E0000}"/>
    <cellStyle name="Normal 2 7 23 3 3" xfId="32446" xr:uid="{00000000-0005-0000-0000-0000C17E0000}"/>
    <cellStyle name="Normal 2 7 23 3 4" xfId="32447" xr:uid="{00000000-0005-0000-0000-0000C27E0000}"/>
    <cellStyle name="Normal 2 7 23 3 5" xfId="32448" xr:uid="{00000000-0005-0000-0000-0000C37E0000}"/>
    <cellStyle name="Normal 2 7 23 3 6" xfId="32449" xr:uid="{00000000-0005-0000-0000-0000C47E0000}"/>
    <cellStyle name="Normal 2 7 23 4" xfId="32450" xr:uid="{00000000-0005-0000-0000-0000C57E0000}"/>
    <cellStyle name="Normal 2 7 23 4 2" xfId="32451" xr:uid="{00000000-0005-0000-0000-0000C67E0000}"/>
    <cellStyle name="Normal 2 7 23 4 2 2" xfId="32452" xr:uid="{00000000-0005-0000-0000-0000C77E0000}"/>
    <cellStyle name="Normal 2 7 23 4 3" xfId="32453" xr:uid="{00000000-0005-0000-0000-0000C87E0000}"/>
    <cellStyle name="Normal 2 7 23 4 4" xfId="32454" xr:uid="{00000000-0005-0000-0000-0000C97E0000}"/>
    <cellStyle name="Normal 2 7 23 4 5" xfId="32455" xr:uid="{00000000-0005-0000-0000-0000CA7E0000}"/>
    <cellStyle name="Normal 2 7 23 5" xfId="32456" xr:uid="{00000000-0005-0000-0000-0000CB7E0000}"/>
    <cellStyle name="Normal 2 7 23 5 2" xfId="32457" xr:uid="{00000000-0005-0000-0000-0000CC7E0000}"/>
    <cellStyle name="Normal 2 7 23 5 3" xfId="32458" xr:uid="{00000000-0005-0000-0000-0000CD7E0000}"/>
    <cellStyle name="Normal 2 7 23 5 4" xfId="32459" xr:uid="{00000000-0005-0000-0000-0000CE7E0000}"/>
    <cellStyle name="Normal 2 7 23 6" xfId="32460" xr:uid="{00000000-0005-0000-0000-0000CF7E0000}"/>
    <cellStyle name="Normal 2 7 23 6 2" xfId="32461" xr:uid="{00000000-0005-0000-0000-0000D07E0000}"/>
    <cellStyle name="Normal 2 7 23 7" xfId="32462" xr:uid="{00000000-0005-0000-0000-0000D17E0000}"/>
    <cellStyle name="Normal 2 7 23 8" xfId="32463" xr:uid="{00000000-0005-0000-0000-0000D27E0000}"/>
    <cellStyle name="Normal 2 7 23 9" xfId="32464" xr:uid="{00000000-0005-0000-0000-0000D37E0000}"/>
    <cellStyle name="Normal 2 7 24" xfId="32465" xr:uid="{00000000-0005-0000-0000-0000D47E0000}"/>
    <cellStyle name="Normal 2 7 24 10" xfId="32466" xr:uid="{00000000-0005-0000-0000-0000D57E0000}"/>
    <cellStyle name="Normal 2 7 24 2" xfId="32467" xr:uid="{00000000-0005-0000-0000-0000D67E0000}"/>
    <cellStyle name="Normal 2 7 24 2 2" xfId="32468" xr:uid="{00000000-0005-0000-0000-0000D77E0000}"/>
    <cellStyle name="Normal 2 7 24 2 2 2" xfId="32469" xr:uid="{00000000-0005-0000-0000-0000D87E0000}"/>
    <cellStyle name="Normal 2 7 24 2 2 3" xfId="32470" xr:uid="{00000000-0005-0000-0000-0000D97E0000}"/>
    <cellStyle name="Normal 2 7 24 2 3" xfId="32471" xr:uid="{00000000-0005-0000-0000-0000DA7E0000}"/>
    <cellStyle name="Normal 2 7 24 2 4" xfId="32472" xr:uid="{00000000-0005-0000-0000-0000DB7E0000}"/>
    <cellStyle name="Normal 2 7 24 2 5" xfId="32473" xr:uid="{00000000-0005-0000-0000-0000DC7E0000}"/>
    <cellStyle name="Normal 2 7 24 2 6" xfId="32474" xr:uid="{00000000-0005-0000-0000-0000DD7E0000}"/>
    <cellStyle name="Normal 2 7 24 3" xfId="32475" xr:uid="{00000000-0005-0000-0000-0000DE7E0000}"/>
    <cellStyle name="Normal 2 7 24 3 2" xfId="32476" xr:uid="{00000000-0005-0000-0000-0000DF7E0000}"/>
    <cellStyle name="Normal 2 7 24 3 2 2" xfId="32477" xr:uid="{00000000-0005-0000-0000-0000E07E0000}"/>
    <cellStyle name="Normal 2 7 24 3 2 3" xfId="32478" xr:uid="{00000000-0005-0000-0000-0000E17E0000}"/>
    <cellStyle name="Normal 2 7 24 3 3" xfId="32479" xr:uid="{00000000-0005-0000-0000-0000E27E0000}"/>
    <cellStyle name="Normal 2 7 24 3 4" xfId="32480" xr:uid="{00000000-0005-0000-0000-0000E37E0000}"/>
    <cellStyle name="Normal 2 7 24 3 5" xfId="32481" xr:uid="{00000000-0005-0000-0000-0000E47E0000}"/>
    <cellStyle name="Normal 2 7 24 3 6" xfId="32482" xr:uid="{00000000-0005-0000-0000-0000E57E0000}"/>
    <cellStyle name="Normal 2 7 24 4" xfId="32483" xr:uid="{00000000-0005-0000-0000-0000E67E0000}"/>
    <cellStyle name="Normal 2 7 24 4 2" xfId="32484" xr:uid="{00000000-0005-0000-0000-0000E77E0000}"/>
    <cellStyle name="Normal 2 7 24 4 2 2" xfId="32485" xr:uid="{00000000-0005-0000-0000-0000E87E0000}"/>
    <cellStyle name="Normal 2 7 24 4 3" xfId="32486" xr:uid="{00000000-0005-0000-0000-0000E97E0000}"/>
    <cellStyle name="Normal 2 7 24 4 4" xfId="32487" xr:uid="{00000000-0005-0000-0000-0000EA7E0000}"/>
    <cellStyle name="Normal 2 7 24 4 5" xfId="32488" xr:uid="{00000000-0005-0000-0000-0000EB7E0000}"/>
    <cellStyle name="Normal 2 7 24 5" xfId="32489" xr:uid="{00000000-0005-0000-0000-0000EC7E0000}"/>
    <cellStyle name="Normal 2 7 24 5 2" xfId="32490" xr:uid="{00000000-0005-0000-0000-0000ED7E0000}"/>
    <cellStyle name="Normal 2 7 24 5 3" xfId="32491" xr:uid="{00000000-0005-0000-0000-0000EE7E0000}"/>
    <cellStyle name="Normal 2 7 24 5 4" xfId="32492" xr:uid="{00000000-0005-0000-0000-0000EF7E0000}"/>
    <cellStyle name="Normal 2 7 24 6" xfId="32493" xr:uid="{00000000-0005-0000-0000-0000F07E0000}"/>
    <cellStyle name="Normal 2 7 24 6 2" xfId="32494" xr:uid="{00000000-0005-0000-0000-0000F17E0000}"/>
    <cellStyle name="Normal 2 7 24 7" xfId="32495" xr:uid="{00000000-0005-0000-0000-0000F27E0000}"/>
    <cellStyle name="Normal 2 7 24 8" xfId="32496" xr:uid="{00000000-0005-0000-0000-0000F37E0000}"/>
    <cellStyle name="Normal 2 7 24 9" xfId="32497" xr:uid="{00000000-0005-0000-0000-0000F47E0000}"/>
    <cellStyle name="Normal 2 7 25" xfId="32498" xr:uid="{00000000-0005-0000-0000-0000F57E0000}"/>
    <cellStyle name="Normal 2 7 25 10" xfId="32499" xr:uid="{00000000-0005-0000-0000-0000F67E0000}"/>
    <cellStyle name="Normal 2 7 25 2" xfId="32500" xr:uid="{00000000-0005-0000-0000-0000F77E0000}"/>
    <cellStyle name="Normal 2 7 25 2 2" xfId="32501" xr:uid="{00000000-0005-0000-0000-0000F87E0000}"/>
    <cellStyle name="Normal 2 7 25 2 2 2" xfId="32502" xr:uid="{00000000-0005-0000-0000-0000F97E0000}"/>
    <cellStyle name="Normal 2 7 25 2 2 3" xfId="32503" xr:uid="{00000000-0005-0000-0000-0000FA7E0000}"/>
    <cellStyle name="Normal 2 7 25 2 3" xfId="32504" xr:uid="{00000000-0005-0000-0000-0000FB7E0000}"/>
    <cellStyle name="Normal 2 7 25 2 4" xfId="32505" xr:uid="{00000000-0005-0000-0000-0000FC7E0000}"/>
    <cellStyle name="Normal 2 7 25 2 5" xfId="32506" xr:uid="{00000000-0005-0000-0000-0000FD7E0000}"/>
    <cellStyle name="Normal 2 7 25 2 6" xfId="32507" xr:uid="{00000000-0005-0000-0000-0000FE7E0000}"/>
    <cellStyle name="Normal 2 7 25 3" xfId="32508" xr:uid="{00000000-0005-0000-0000-0000FF7E0000}"/>
    <cellStyle name="Normal 2 7 25 3 2" xfId="32509" xr:uid="{00000000-0005-0000-0000-0000007F0000}"/>
    <cellStyle name="Normal 2 7 25 3 2 2" xfId="32510" xr:uid="{00000000-0005-0000-0000-0000017F0000}"/>
    <cellStyle name="Normal 2 7 25 3 2 3" xfId="32511" xr:uid="{00000000-0005-0000-0000-0000027F0000}"/>
    <cellStyle name="Normal 2 7 25 3 3" xfId="32512" xr:uid="{00000000-0005-0000-0000-0000037F0000}"/>
    <cellStyle name="Normal 2 7 25 3 4" xfId="32513" xr:uid="{00000000-0005-0000-0000-0000047F0000}"/>
    <cellStyle name="Normal 2 7 25 3 5" xfId="32514" xr:uid="{00000000-0005-0000-0000-0000057F0000}"/>
    <cellStyle name="Normal 2 7 25 3 6" xfId="32515" xr:uid="{00000000-0005-0000-0000-0000067F0000}"/>
    <cellStyle name="Normal 2 7 25 4" xfId="32516" xr:uid="{00000000-0005-0000-0000-0000077F0000}"/>
    <cellStyle name="Normal 2 7 25 4 2" xfId="32517" xr:uid="{00000000-0005-0000-0000-0000087F0000}"/>
    <cellStyle name="Normal 2 7 25 4 2 2" xfId="32518" xr:uid="{00000000-0005-0000-0000-0000097F0000}"/>
    <cellStyle name="Normal 2 7 25 4 3" xfId="32519" xr:uid="{00000000-0005-0000-0000-00000A7F0000}"/>
    <cellStyle name="Normal 2 7 25 4 4" xfId="32520" xr:uid="{00000000-0005-0000-0000-00000B7F0000}"/>
    <cellStyle name="Normal 2 7 25 4 5" xfId="32521" xr:uid="{00000000-0005-0000-0000-00000C7F0000}"/>
    <cellStyle name="Normal 2 7 25 5" xfId="32522" xr:uid="{00000000-0005-0000-0000-00000D7F0000}"/>
    <cellStyle name="Normal 2 7 25 5 2" xfId="32523" xr:uid="{00000000-0005-0000-0000-00000E7F0000}"/>
    <cellStyle name="Normal 2 7 25 5 3" xfId="32524" xr:uid="{00000000-0005-0000-0000-00000F7F0000}"/>
    <cellStyle name="Normal 2 7 25 5 4" xfId="32525" xr:uid="{00000000-0005-0000-0000-0000107F0000}"/>
    <cellStyle name="Normal 2 7 25 6" xfId="32526" xr:uid="{00000000-0005-0000-0000-0000117F0000}"/>
    <cellStyle name="Normal 2 7 25 6 2" xfId="32527" xr:uid="{00000000-0005-0000-0000-0000127F0000}"/>
    <cellStyle name="Normal 2 7 25 7" xfId="32528" xr:uid="{00000000-0005-0000-0000-0000137F0000}"/>
    <cellStyle name="Normal 2 7 25 8" xfId="32529" xr:uid="{00000000-0005-0000-0000-0000147F0000}"/>
    <cellStyle name="Normal 2 7 25 9" xfId="32530" xr:uid="{00000000-0005-0000-0000-0000157F0000}"/>
    <cellStyle name="Normal 2 7 26" xfId="32531" xr:uid="{00000000-0005-0000-0000-0000167F0000}"/>
    <cellStyle name="Normal 2 7 26 10" xfId="32532" xr:uid="{00000000-0005-0000-0000-0000177F0000}"/>
    <cellStyle name="Normal 2 7 26 2" xfId="32533" xr:uid="{00000000-0005-0000-0000-0000187F0000}"/>
    <cellStyle name="Normal 2 7 26 2 2" xfId="32534" xr:uid="{00000000-0005-0000-0000-0000197F0000}"/>
    <cellStyle name="Normal 2 7 26 2 2 2" xfId="32535" xr:uid="{00000000-0005-0000-0000-00001A7F0000}"/>
    <cellStyle name="Normal 2 7 26 2 2 3" xfId="32536" xr:uid="{00000000-0005-0000-0000-00001B7F0000}"/>
    <cellStyle name="Normal 2 7 26 2 3" xfId="32537" xr:uid="{00000000-0005-0000-0000-00001C7F0000}"/>
    <cellStyle name="Normal 2 7 26 2 4" xfId="32538" xr:uid="{00000000-0005-0000-0000-00001D7F0000}"/>
    <cellStyle name="Normal 2 7 26 2 5" xfId="32539" xr:uid="{00000000-0005-0000-0000-00001E7F0000}"/>
    <cellStyle name="Normal 2 7 26 2 6" xfId="32540" xr:uid="{00000000-0005-0000-0000-00001F7F0000}"/>
    <cellStyle name="Normal 2 7 26 3" xfId="32541" xr:uid="{00000000-0005-0000-0000-0000207F0000}"/>
    <cellStyle name="Normal 2 7 26 3 2" xfId="32542" xr:uid="{00000000-0005-0000-0000-0000217F0000}"/>
    <cellStyle name="Normal 2 7 26 3 2 2" xfId="32543" xr:uid="{00000000-0005-0000-0000-0000227F0000}"/>
    <cellStyle name="Normal 2 7 26 3 2 3" xfId="32544" xr:uid="{00000000-0005-0000-0000-0000237F0000}"/>
    <cellStyle name="Normal 2 7 26 3 3" xfId="32545" xr:uid="{00000000-0005-0000-0000-0000247F0000}"/>
    <cellStyle name="Normal 2 7 26 3 4" xfId="32546" xr:uid="{00000000-0005-0000-0000-0000257F0000}"/>
    <cellStyle name="Normal 2 7 26 3 5" xfId="32547" xr:uid="{00000000-0005-0000-0000-0000267F0000}"/>
    <cellStyle name="Normal 2 7 26 3 6" xfId="32548" xr:uid="{00000000-0005-0000-0000-0000277F0000}"/>
    <cellStyle name="Normal 2 7 26 4" xfId="32549" xr:uid="{00000000-0005-0000-0000-0000287F0000}"/>
    <cellStyle name="Normal 2 7 26 4 2" xfId="32550" xr:uid="{00000000-0005-0000-0000-0000297F0000}"/>
    <cellStyle name="Normal 2 7 26 4 2 2" xfId="32551" xr:uid="{00000000-0005-0000-0000-00002A7F0000}"/>
    <cellStyle name="Normal 2 7 26 4 3" xfId="32552" xr:uid="{00000000-0005-0000-0000-00002B7F0000}"/>
    <cellStyle name="Normal 2 7 26 4 4" xfId="32553" xr:uid="{00000000-0005-0000-0000-00002C7F0000}"/>
    <cellStyle name="Normal 2 7 26 4 5" xfId="32554" xr:uid="{00000000-0005-0000-0000-00002D7F0000}"/>
    <cellStyle name="Normal 2 7 26 5" xfId="32555" xr:uid="{00000000-0005-0000-0000-00002E7F0000}"/>
    <cellStyle name="Normal 2 7 26 5 2" xfId="32556" xr:uid="{00000000-0005-0000-0000-00002F7F0000}"/>
    <cellStyle name="Normal 2 7 26 5 3" xfId="32557" xr:uid="{00000000-0005-0000-0000-0000307F0000}"/>
    <cellStyle name="Normal 2 7 26 5 4" xfId="32558" xr:uid="{00000000-0005-0000-0000-0000317F0000}"/>
    <cellStyle name="Normal 2 7 26 6" xfId="32559" xr:uid="{00000000-0005-0000-0000-0000327F0000}"/>
    <cellStyle name="Normal 2 7 26 6 2" xfId="32560" xr:uid="{00000000-0005-0000-0000-0000337F0000}"/>
    <cellStyle name="Normal 2 7 26 7" xfId="32561" xr:uid="{00000000-0005-0000-0000-0000347F0000}"/>
    <cellStyle name="Normal 2 7 26 8" xfId="32562" xr:uid="{00000000-0005-0000-0000-0000357F0000}"/>
    <cellStyle name="Normal 2 7 26 9" xfId="32563" xr:uid="{00000000-0005-0000-0000-0000367F0000}"/>
    <cellStyle name="Normal 2 7 27" xfId="32564" xr:uid="{00000000-0005-0000-0000-0000377F0000}"/>
    <cellStyle name="Normal 2 7 27 10" xfId="32565" xr:uid="{00000000-0005-0000-0000-0000387F0000}"/>
    <cellStyle name="Normal 2 7 27 2" xfId="32566" xr:uid="{00000000-0005-0000-0000-0000397F0000}"/>
    <cellStyle name="Normal 2 7 27 2 2" xfId="32567" xr:uid="{00000000-0005-0000-0000-00003A7F0000}"/>
    <cellStyle name="Normal 2 7 27 2 2 2" xfId="32568" xr:uid="{00000000-0005-0000-0000-00003B7F0000}"/>
    <cellStyle name="Normal 2 7 27 2 2 3" xfId="32569" xr:uid="{00000000-0005-0000-0000-00003C7F0000}"/>
    <cellStyle name="Normal 2 7 27 2 3" xfId="32570" xr:uid="{00000000-0005-0000-0000-00003D7F0000}"/>
    <cellStyle name="Normal 2 7 27 2 4" xfId="32571" xr:uid="{00000000-0005-0000-0000-00003E7F0000}"/>
    <cellStyle name="Normal 2 7 27 2 5" xfId="32572" xr:uid="{00000000-0005-0000-0000-00003F7F0000}"/>
    <cellStyle name="Normal 2 7 27 2 6" xfId="32573" xr:uid="{00000000-0005-0000-0000-0000407F0000}"/>
    <cellStyle name="Normal 2 7 27 3" xfId="32574" xr:uid="{00000000-0005-0000-0000-0000417F0000}"/>
    <cellStyle name="Normal 2 7 27 3 2" xfId="32575" xr:uid="{00000000-0005-0000-0000-0000427F0000}"/>
    <cellStyle name="Normal 2 7 27 3 2 2" xfId="32576" xr:uid="{00000000-0005-0000-0000-0000437F0000}"/>
    <cellStyle name="Normal 2 7 27 3 2 3" xfId="32577" xr:uid="{00000000-0005-0000-0000-0000447F0000}"/>
    <cellStyle name="Normal 2 7 27 3 3" xfId="32578" xr:uid="{00000000-0005-0000-0000-0000457F0000}"/>
    <cellStyle name="Normal 2 7 27 3 4" xfId="32579" xr:uid="{00000000-0005-0000-0000-0000467F0000}"/>
    <cellStyle name="Normal 2 7 27 3 5" xfId="32580" xr:uid="{00000000-0005-0000-0000-0000477F0000}"/>
    <cellStyle name="Normal 2 7 27 3 6" xfId="32581" xr:uid="{00000000-0005-0000-0000-0000487F0000}"/>
    <cellStyle name="Normal 2 7 27 4" xfId="32582" xr:uid="{00000000-0005-0000-0000-0000497F0000}"/>
    <cellStyle name="Normal 2 7 27 4 2" xfId="32583" xr:uid="{00000000-0005-0000-0000-00004A7F0000}"/>
    <cellStyle name="Normal 2 7 27 4 2 2" xfId="32584" xr:uid="{00000000-0005-0000-0000-00004B7F0000}"/>
    <cellStyle name="Normal 2 7 27 4 3" xfId="32585" xr:uid="{00000000-0005-0000-0000-00004C7F0000}"/>
    <cellStyle name="Normal 2 7 27 4 4" xfId="32586" xr:uid="{00000000-0005-0000-0000-00004D7F0000}"/>
    <cellStyle name="Normal 2 7 27 4 5" xfId="32587" xr:uid="{00000000-0005-0000-0000-00004E7F0000}"/>
    <cellStyle name="Normal 2 7 27 5" xfId="32588" xr:uid="{00000000-0005-0000-0000-00004F7F0000}"/>
    <cellStyle name="Normal 2 7 27 5 2" xfId="32589" xr:uid="{00000000-0005-0000-0000-0000507F0000}"/>
    <cellStyle name="Normal 2 7 27 5 3" xfId="32590" xr:uid="{00000000-0005-0000-0000-0000517F0000}"/>
    <cellStyle name="Normal 2 7 27 5 4" xfId="32591" xr:uid="{00000000-0005-0000-0000-0000527F0000}"/>
    <cellStyle name="Normal 2 7 27 6" xfId="32592" xr:uid="{00000000-0005-0000-0000-0000537F0000}"/>
    <cellStyle name="Normal 2 7 27 6 2" xfId="32593" xr:uid="{00000000-0005-0000-0000-0000547F0000}"/>
    <cellStyle name="Normal 2 7 27 7" xfId="32594" xr:uid="{00000000-0005-0000-0000-0000557F0000}"/>
    <cellStyle name="Normal 2 7 27 8" xfId="32595" xr:uid="{00000000-0005-0000-0000-0000567F0000}"/>
    <cellStyle name="Normal 2 7 27 9" xfId="32596" xr:uid="{00000000-0005-0000-0000-0000577F0000}"/>
    <cellStyle name="Normal 2 7 28" xfId="32597" xr:uid="{00000000-0005-0000-0000-0000587F0000}"/>
    <cellStyle name="Normal 2 7 28 10" xfId="32598" xr:uid="{00000000-0005-0000-0000-0000597F0000}"/>
    <cellStyle name="Normal 2 7 28 2" xfId="32599" xr:uid="{00000000-0005-0000-0000-00005A7F0000}"/>
    <cellStyle name="Normal 2 7 28 2 2" xfId="32600" xr:uid="{00000000-0005-0000-0000-00005B7F0000}"/>
    <cellStyle name="Normal 2 7 28 2 2 2" xfId="32601" xr:uid="{00000000-0005-0000-0000-00005C7F0000}"/>
    <cellStyle name="Normal 2 7 28 2 2 3" xfId="32602" xr:uid="{00000000-0005-0000-0000-00005D7F0000}"/>
    <cellStyle name="Normal 2 7 28 2 3" xfId="32603" xr:uid="{00000000-0005-0000-0000-00005E7F0000}"/>
    <cellStyle name="Normal 2 7 28 2 4" xfId="32604" xr:uid="{00000000-0005-0000-0000-00005F7F0000}"/>
    <cellStyle name="Normal 2 7 28 2 5" xfId="32605" xr:uid="{00000000-0005-0000-0000-0000607F0000}"/>
    <cellStyle name="Normal 2 7 28 2 6" xfId="32606" xr:uid="{00000000-0005-0000-0000-0000617F0000}"/>
    <cellStyle name="Normal 2 7 28 3" xfId="32607" xr:uid="{00000000-0005-0000-0000-0000627F0000}"/>
    <cellStyle name="Normal 2 7 28 3 2" xfId="32608" xr:uid="{00000000-0005-0000-0000-0000637F0000}"/>
    <cellStyle name="Normal 2 7 28 3 2 2" xfId="32609" xr:uid="{00000000-0005-0000-0000-0000647F0000}"/>
    <cellStyle name="Normal 2 7 28 3 2 3" xfId="32610" xr:uid="{00000000-0005-0000-0000-0000657F0000}"/>
    <cellStyle name="Normal 2 7 28 3 3" xfId="32611" xr:uid="{00000000-0005-0000-0000-0000667F0000}"/>
    <cellStyle name="Normal 2 7 28 3 4" xfId="32612" xr:uid="{00000000-0005-0000-0000-0000677F0000}"/>
    <cellStyle name="Normal 2 7 28 3 5" xfId="32613" xr:uid="{00000000-0005-0000-0000-0000687F0000}"/>
    <cellStyle name="Normal 2 7 28 3 6" xfId="32614" xr:uid="{00000000-0005-0000-0000-0000697F0000}"/>
    <cellStyle name="Normal 2 7 28 4" xfId="32615" xr:uid="{00000000-0005-0000-0000-00006A7F0000}"/>
    <cellStyle name="Normal 2 7 28 4 2" xfId="32616" xr:uid="{00000000-0005-0000-0000-00006B7F0000}"/>
    <cellStyle name="Normal 2 7 28 4 2 2" xfId="32617" xr:uid="{00000000-0005-0000-0000-00006C7F0000}"/>
    <cellStyle name="Normal 2 7 28 4 3" xfId="32618" xr:uid="{00000000-0005-0000-0000-00006D7F0000}"/>
    <cellStyle name="Normal 2 7 28 4 4" xfId="32619" xr:uid="{00000000-0005-0000-0000-00006E7F0000}"/>
    <cellStyle name="Normal 2 7 28 4 5" xfId="32620" xr:uid="{00000000-0005-0000-0000-00006F7F0000}"/>
    <cellStyle name="Normal 2 7 28 5" xfId="32621" xr:uid="{00000000-0005-0000-0000-0000707F0000}"/>
    <cellStyle name="Normal 2 7 28 5 2" xfId="32622" xr:uid="{00000000-0005-0000-0000-0000717F0000}"/>
    <cellStyle name="Normal 2 7 28 5 3" xfId="32623" xr:uid="{00000000-0005-0000-0000-0000727F0000}"/>
    <cellStyle name="Normal 2 7 28 5 4" xfId="32624" xr:uid="{00000000-0005-0000-0000-0000737F0000}"/>
    <cellStyle name="Normal 2 7 28 6" xfId="32625" xr:uid="{00000000-0005-0000-0000-0000747F0000}"/>
    <cellStyle name="Normal 2 7 28 6 2" xfId="32626" xr:uid="{00000000-0005-0000-0000-0000757F0000}"/>
    <cellStyle name="Normal 2 7 28 7" xfId="32627" xr:uid="{00000000-0005-0000-0000-0000767F0000}"/>
    <cellStyle name="Normal 2 7 28 8" xfId="32628" xr:uid="{00000000-0005-0000-0000-0000777F0000}"/>
    <cellStyle name="Normal 2 7 28 9" xfId="32629" xr:uid="{00000000-0005-0000-0000-0000787F0000}"/>
    <cellStyle name="Normal 2 7 29" xfId="32630" xr:uid="{00000000-0005-0000-0000-0000797F0000}"/>
    <cellStyle name="Normal 2 7 29 10" xfId="32631" xr:uid="{00000000-0005-0000-0000-00007A7F0000}"/>
    <cellStyle name="Normal 2 7 29 2" xfId="32632" xr:uid="{00000000-0005-0000-0000-00007B7F0000}"/>
    <cellStyle name="Normal 2 7 29 2 2" xfId="32633" xr:uid="{00000000-0005-0000-0000-00007C7F0000}"/>
    <cellStyle name="Normal 2 7 29 2 2 2" xfId="32634" xr:uid="{00000000-0005-0000-0000-00007D7F0000}"/>
    <cellStyle name="Normal 2 7 29 2 2 3" xfId="32635" xr:uid="{00000000-0005-0000-0000-00007E7F0000}"/>
    <cellStyle name="Normal 2 7 29 2 3" xfId="32636" xr:uid="{00000000-0005-0000-0000-00007F7F0000}"/>
    <cellStyle name="Normal 2 7 29 2 4" xfId="32637" xr:uid="{00000000-0005-0000-0000-0000807F0000}"/>
    <cellStyle name="Normal 2 7 29 2 5" xfId="32638" xr:uid="{00000000-0005-0000-0000-0000817F0000}"/>
    <cellStyle name="Normal 2 7 29 2 6" xfId="32639" xr:uid="{00000000-0005-0000-0000-0000827F0000}"/>
    <cellStyle name="Normal 2 7 29 3" xfId="32640" xr:uid="{00000000-0005-0000-0000-0000837F0000}"/>
    <cellStyle name="Normal 2 7 29 3 2" xfId="32641" xr:uid="{00000000-0005-0000-0000-0000847F0000}"/>
    <cellStyle name="Normal 2 7 29 3 2 2" xfId="32642" xr:uid="{00000000-0005-0000-0000-0000857F0000}"/>
    <cellStyle name="Normal 2 7 29 3 2 3" xfId="32643" xr:uid="{00000000-0005-0000-0000-0000867F0000}"/>
    <cellStyle name="Normal 2 7 29 3 3" xfId="32644" xr:uid="{00000000-0005-0000-0000-0000877F0000}"/>
    <cellStyle name="Normal 2 7 29 3 4" xfId="32645" xr:uid="{00000000-0005-0000-0000-0000887F0000}"/>
    <cellStyle name="Normal 2 7 29 3 5" xfId="32646" xr:uid="{00000000-0005-0000-0000-0000897F0000}"/>
    <cellStyle name="Normal 2 7 29 3 6" xfId="32647" xr:uid="{00000000-0005-0000-0000-00008A7F0000}"/>
    <cellStyle name="Normal 2 7 29 4" xfId="32648" xr:uid="{00000000-0005-0000-0000-00008B7F0000}"/>
    <cellStyle name="Normal 2 7 29 4 2" xfId="32649" xr:uid="{00000000-0005-0000-0000-00008C7F0000}"/>
    <cellStyle name="Normal 2 7 29 4 2 2" xfId="32650" xr:uid="{00000000-0005-0000-0000-00008D7F0000}"/>
    <cellStyle name="Normal 2 7 29 4 3" xfId="32651" xr:uid="{00000000-0005-0000-0000-00008E7F0000}"/>
    <cellStyle name="Normal 2 7 29 4 4" xfId="32652" xr:uid="{00000000-0005-0000-0000-00008F7F0000}"/>
    <cellStyle name="Normal 2 7 29 4 5" xfId="32653" xr:uid="{00000000-0005-0000-0000-0000907F0000}"/>
    <cellStyle name="Normal 2 7 29 5" xfId="32654" xr:uid="{00000000-0005-0000-0000-0000917F0000}"/>
    <cellStyle name="Normal 2 7 29 5 2" xfId="32655" xr:uid="{00000000-0005-0000-0000-0000927F0000}"/>
    <cellStyle name="Normal 2 7 29 5 3" xfId="32656" xr:uid="{00000000-0005-0000-0000-0000937F0000}"/>
    <cellStyle name="Normal 2 7 29 5 4" xfId="32657" xr:uid="{00000000-0005-0000-0000-0000947F0000}"/>
    <cellStyle name="Normal 2 7 29 6" xfId="32658" xr:uid="{00000000-0005-0000-0000-0000957F0000}"/>
    <cellStyle name="Normal 2 7 29 6 2" xfId="32659" xr:uid="{00000000-0005-0000-0000-0000967F0000}"/>
    <cellStyle name="Normal 2 7 29 7" xfId="32660" xr:uid="{00000000-0005-0000-0000-0000977F0000}"/>
    <cellStyle name="Normal 2 7 29 8" xfId="32661" xr:uid="{00000000-0005-0000-0000-0000987F0000}"/>
    <cellStyle name="Normal 2 7 29 9" xfId="32662" xr:uid="{00000000-0005-0000-0000-0000997F0000}"/>
    <cellStyle name="Normal 2 7 3" xfId="32663" xr:uid="{00000000-0005-0000-0000-00009A7F0000}"/>
    <cellStyle name="Normal 2 7 3 10" xfId="32664" xr:uid="{00000000-0005-0000-0000-00009B7F0000}"/>
    <cellStyle name="Normal 2 7 3 10 10" xfId="32665" xr:uid="{00000000-0005-0000-0000-00009C7F0000}"/>
    <cellStyle name="Normal 2 7 3 10 2" xfId="32666" xr:uid="{00000000-0005-0000-0000-00009D7F0000}"/>
    <cellStyle name="Normal 2 7 3 10 2 2" xfId="32667" xr:uid="{00000000-0005-0000-0000-00009E7F0000}"/>
    <cellStyle name="Normal 2 7 3 10 2 2 2" xfId="32668" xr:uid="{00000000-0005-0000-0000-00009F7F0000}"/>
    <cellStyle name="Normal 2 7 3 10 2 2 3" xfId="32669" xr:uid="{00000000-0005-0000-0000-0000A07F0000}"/>
    <cellStyle name="Normal 2 7 3 10 2 3" xfId="32670" xr:uid="{00000000-0005-0000-0000-0000A17F0000}"/>
    <cellStyle name="Normal 2 7 3 10 2 4" xfId="32671" xr:uid="{00000000-0005-0000-0000-0000A27F0000}"/>
    <cellStyle name="Normal 2 7 3 10 2 5" xfId="32672" xr:uid="{00000000-0005-0000-0000-0000A37F0000}"/>
    <cellStyle name="Normal 2 7 3 10 2 6" xfId="32673" xr:uid="{00000000-0005-0000-0000-0000A47F0000}"/>
    <cellStyle name="Normal 2 7 3 10 3" xfId="32674" xr:uid="{00000000-0005-0000-0000-0000A57F0000}"/>
    <cellStyle name="Normal 2 7 3 10 3 2" xfId="32675" xr:uid="{00000000-0005-0000-0000-0000A67F0000}"/>
    <cellStyle name="Normal 2 7 3 10 3 2 2" xfId="32676" xr:uid="{00000000-0005-0000-0000-0000A77F0000}"/>
    <cellStyle name="Normal 2 7 3 10 3 2 3" xfId="32677" xr:uid="{00000000-0005-0000-0000-0000A87F0000}"/>
    <cellStyle name="Normal 2 7 3 10 3 3" xfId="32678" xr:uid="{00000000-0005-0000-0000-0000A97F0000}"/>
    <cellStyle name="Normal 2 7 3 10 3 4" xfId="32679" xr:uid="{00000000-0005-0000-0000-0000AA7F0000}"/>
    <cellStyle name="Normal 2 7 3 10 3 5" xfId="32680" xr:uid="{00000000-0005-0000-0000-0000AB7F0000}"/>
    <cellStyle name="Normal 2 7 3 10 3 6" xfId="32681" xr:uid="{00000000-0005-0000-0000-0000AC7F0000}"/>
    <cellStyle name="Normal 2 7 3 10 4" xfId="32682" xr:uid="{00000000-0005-0000-0000-0000AD7F0000}"/>
    <cellStyle name="Normal 2 7 3 10 4 2" xfId="32683" xr:uid="{00000000-0005-0000-0000-0000AE7F0000}"/>
    <cellStyle name="Normal 2 7 3 10 4 2 2" xfId="32684" xr:uid="{00000000-0005-0000-0000-0000AF7F0000}"/>
    <cellStyle name="Normal 2 7 3 10 4 3" xfId="32685" xr:uid="{00000000-0005-0000-0000-0000B07F0000}"/>
    <cellStyle name="Normal 2 7 3 10 4 4" xfId="32686" xr:uid="{00000000-0005-0000-0000-0000B17F0000}"/>
    <cellStyle name="Normal 2 7 3 10 4 5" xfId="32687" xr:uid="{00000000-0005-0000-0000-0000B27F0000}"/>
    <cellStyle name="Normal 2 7 3 10 5" xfId="32688" xr:uid="{00000000-0005-0000-0000-0000B37F0000}"/>
    <cellStyle name="Normal 2 7 3 10 5 2" xfId="32689" xr:uid="{00000000-0005-0000-0000-0000B47F0000}"/>
    <cellStyle name="Normal 2 7 3 10 5 3" xfId="32690" xr:uid="{00000000-0005-0000-0000-0000B57F0000}"/>
    <cellStyle name="Normal 2 7 3 10 5 4" xfId="32691" xr:uid="{00000000-0005-0000-0000-0000B67F0000}"/>
    <cellStyle name="Normal 2 7 3 10 6" xfId="32692" xr:uid="{00000000-0005-0000-0000-0000B77F0000}"/>
    <cellStyle name="Normal 2 7 3 10 6 2" xfId="32693" xr:uid="{00000000-0005-0000-0000-0000B87F0000}"/>
    <cellStyle name="Normal 2 7 3 10 7" xfId="32694" xr:uid="{00000000-0005-0000-0000-0000B97F0000}"/>
    <cellStyle name="Normal 2 7 3 10 8" xfId="32695" xr:uid="{00000000-0005-0000-0000-0000BA7F0000}"/>
    <cellStyle name="Normal 2 7 3 10 9" xfId="32696" xr:uid="{00000000-0005-0000-0000-0000BB7F0000}"/>
    <cellStyle name="Normal 2 7 3 11" xfId="32697" xr:uid="{00000000-0005-0000-0000-0000BC7F0000}"/>
    <cellStyle name="Normal 2 7 3 11 10" xfId="32698" xr:uid="{00000000-0005-0000-0000-0000BD7F0000}"/>
    <cellStyle name="Normal 2 7 3 11 2" xfId="32699" xr:uid="{00000000-0005-0000-0000-0000BE7F0000}"/>
    <cellStyle name="Normal 2 7 3 11 2 2" xfId="32700" xr:uid="{00000000-0005-0000-0000-0000BF7F0000}"/>
    <cellStyle name="Normal 2 7 3 11 2 2 2" xfId="32701" xr:uid="{00000000-0005-0000-0000-0000C07F0000}"/>
    <cellStyle name="Normal 2 7 3 11 2 2 3" xfId="32702" xr:uid="{00000000-0005-0000-0000-0000C17F0000}"/>
    <cellStyle name="Normal 2 7 3 11 2 3" xfId="32703" xr:uid="{00000000-0005-0000-0000-0000C27F0000}"/>
    <cellStyle name="Normal 2 7 3 11 2 4" xfId="32704" xr:uid="{00000000-0005-0000-0000-0000C37F0000}"/>
    <cellStyle name="Normal 2 7 3 11 2 5" xfId="32705" xr:uid="{00000000-0005-0000-0000-0000C47F0000}"/>
    <cellStyle name="Normal 2 7 3 11 2 6" xfId="32706" xr:uid="{00000000-0005-0000-0000-0000C57F0000}"/>
    <cellStyle name="Normal 2 7 3 11 3" xfId="32707" xr:uid="{00000000-0005-0000-0000-0000C67F0000}"/>
    <cellStyle name="Normal 2 7 3 11 3 2" xfId="32708" xr:uid="{00000000-0005-0000-0000-0000C77F0000}"/>
    <cellStyle name="Normal 2 7 3 11 3 2 2" xfId="32709" xr:uid="{00000000-0005-0000-0000-0000C87F0000}"/>
    <cellStyle name="Normal 2 7 3 11 3 2 3" xfId="32710" xr:uid="{00000000-0005-0000-0000-0000C97F0000}"/>
    <cellStyle name="Normal 2 7 3 11 3 3" xfId="32711" xr:uid="{00000000-0005-0000-0000-0000CA7F0000}"/>
    <cellStyle name="Normal 2 7 3 11 3 4" xfId="32712" xr:uid="{00000000-0005-0000-0000-0000CB7F0000}"/>
    <cellStyle name="Normal 2 7 3 11 3 5" xfId="32713" xr:uid="{00000000-0005-0000-0000-0000CC7F0000}"/>
    <cellStyle name="Normal 2 7 3 11 3 6" xfId="32714" xr:uid="{00000000-0005-0000-0000-0000CD7F0000}"/>
    <cellStyle name="Normal 2 7 3 11 4" xfId="32715" xr:uid="{00000000-0005-0000-0000-0000CE7F0000}"/>
    <cellStyle name="Normal 2 7 3 11 4 2" xfId="32716" xr:uid="{00000000-0005-0000-0000-0000CF7F0000}"/>
    <cellStyle name="Normal 2 7 3 11 4 2 2" xfId="32717" xr:uid="{00000000-0005-0000-0000-0000D07F0000}"/>
    <cellStyle name="Normal 2 7 3 11 4 3" xfId="32718" xr:uid="{00000000-0005-0000-0000-0000D17F0000}"/>
    <cellStyle name="Normal 2 7 3 11 4 4" xfId="32719" xr:uid="{00000000-0005-0000-0000-0000D27F0000}"/>
    <cellStyle name="Normal 2 7 3 11 4 5" xfId="32720" xr:uid="{00000000-0005-0000-0000-0000D37F0000}"/>
    <cellStyle name="Normal 2 7 3 11 5" xfId="32721" xr:uid="{00000000-0005-0000-0000-0000D47F0000}"/>
    <cellStyle name="Normal 2 7 3 11 5 2" xfId="32722" xr:uid="{00000000-0005-0000-0000-0000D57F0000}"/>
    <cellStyle name="Normal 2 7 3 11 5 3" xfId="32723" xr:uid="{00000000-0005-0000-0000-0000D67F0000}"/>
    <cellStyle name="Normal 2 7 3 11 5 4" xfId="32724" xr:uid="{00000000-0005-0000-0000-0000D77F0000}"/>
    <cellStyle name="Normal 2 7 3 11 6" xfId="32725" xr:uid="{00000000-0005-0000-0000-0000D87F0000}"/>
    <cellStyle name="Normal 2 7 3 11 6 2" xfId="32726" xr:uid="{00000000-0005-0000-0000-0000D97F0000}"/>
    <cellStyle name="Normal 2 7 3 11 7" xfId="32727" xr:uid="{00000000-0005-0000-0000-0000DA7F0000}"/>
    <cellStyle name="Normal 2 7 3 11 8" xfId="32728" xr:uid="{00000000-0005-0000-0000-0000DB7F0000}"/>
    <cellStyle name="Normal 2 7 3 11 9" xfId="32729" xr:uid="{00000000-0005-0000-0000-0000DC7F0000}"/>
    <cellStyle name="Normal 2 7 3 12" xfId="32730" xr:uid="{00000000-0005-0000-0000-0000DD7F0000}"/>
    <cellStyle name="Normal 2 7 3 12 10" xfId="32731" xr:uid="{00000000-0005-0000-0000-0000DE7F0000}"/>
    <cellStyle name="Normal 2 7 3 12 2" xfId="32732" xr:uid="{00000000-0005-0000-0000-0000DF7F0000}"/>
    <cellStyle name="Normal 2 7 3 12 2 2" xfId="32733" xr:uid="{00000000-0005-0000-0000-0000E07F0000}"/>
    <cellStyle name="Normal 2 7 3 12 2 2 2" xfId="32734" xr:uid="{00000000-0005-0000-0000-0000E17F0000}"/>
    <cellStyle name="Normal 2 7 3 12 2 2 3" xfId="32735" xr:uid="{00000000-0005-0000-0000-0000E27F0000}"/>
    <cellStyle name="Normal 2 7 3 12 2 3" xfId="32736" xr:uid="{00000000-0005-0000-0000-0000E37F0000}"/>
    <cellStyle name="Normal 2 7 3 12 2 4" xfId="32737" xr:uid="{00000000-0005-0000-0000-0000E47F0000}"/>
    <cellStyle name="Normal 2 7 3 12 2 5" xfId="32738" xr:uid="{00000000-0005-0000-0000-0000E57F0000}"/>
    <cellStyle name="Normal 2 7 3 12 2 6" xfId="32739" xr:uid="{00000000-0005-0000-0000-0000E67F0000}"/>
    <cellStyle name="Normal 2 7 3 12 3" xfId="32740" xr:uid="{00000000-0005-0000-0000-0000E77F0000}"/>
    <cellStyle name="Normal 2 7 3 12 3 2" xfId="32741" xr:uid="{00000000-0005-0000-0000-0000E87F0000}"/>
    <cellStyle name="Normal 2 7 3 12 3 2 2" xfId="32742" xr:uid="{00000000-0005-0000-0000-0000E97F0000}"/>
    <cellStyle name="Normal 2 7 3 12 3 2 3" xfId="32743" xr:uid="{00000000-0005-0000-0000-0000EA7F0000}"/>
    <cellStyle name="Normal 2 7 3 12 3 3" xfId="32744" xr:uid="{00000000-0005-0000-0000-0000EB7F0000}"/>
    <cellStyle name="Normal 2 7 3 12 3 4" xfId="32745" xr:uid="{00000000-0005-0000-0000-0000EC7F0000}"/>
    <cellStyle name="Normal 2 7 3 12 3 5" xfId="32746" xr:uid="{00000000-0005-0000-0000-0000ED7F0000}"/>
    <cellStyle name="Normal 2 7 3 12 3 6" xfId="32747" xr:uid="{00000000-0005-0000-0000-0000EE7F0000}"/>
    <cellStyle name="Normal 2 7 3 12 4" xfId="32748" xr:uid="{00000000-0005-0000-0000-0000EF7F0000}"/>
    <cellStyle name="Normal 2 7 3 12 4 2" xfId="32749" xr:uid="{00000000-0005-0000-0000-0000F07F0000}"/>
    <cellStyle name="Normal 2 7 3 12 4 2 2" xfId="32750" xr:uid="{00000000-0005-0000-0000-0000F17F0000}"/>
    <cellStyle name="Normal 2 7 3 12 4 3" xfId="32751" xr:uid="{00000000-0005-0000-0000-0000F27F0000}"/>
    <cellStyle name="Normal 2 7 3 12 4 4" xfId="32752" xr:uid="{00000000-0005-0000-0000-0000F37F0000}"/>
    <cellStyle name="Normal 2 7 3 12 4 5" xfId="32753" xr:uid="{00000000-0005-0000-0000-0000F47F0000}"/>
    <cellStyle name="Normal 2 7 3 12 5" xfId="32754" xr:uid="{00000000-0005-0000-0000-0000F57F0000}"/>
    <cellStyle name="Normal 2 7 3 12 5 2" xfId="32755" xr:uid="{00000000-0005-0000-0000-0000F67F0000}"/>
    <cellStyle name="Normal 2 7 3 12 5 3" xfId="32756" xr:uid="{00000000-0005-0000-0000-0000F77F0000}"/>
    <cellStyle name="Normal 2 7 3 12 5 4" xfId="32757" xr:uid="{00000000-0005-0000-0000-0000F87F0000}"/>
    <cellStyle name="Normal 2 7 3 12 6" xfId="32758" xr:uid="{00000000-0005-0000-0000-0000F97F0000}"/>
    <cellStyle name="Normal 2 7 3 12 6 2" xfId="32759" xr:uid="{00000000-0005-0000-0000-0000FA7F0000}"/>
    <cellStyle name="Normal 2 7 3 12 7" xfId="32760" xr:uid="{00000000-0005-0000-0000-0000FB7F0000}"/>
    <cellStyle name="Normal 2 7 3 12 8" xfId="32761" xr:uid="{00000000-0005-0000-0000-0000FC7F0000}"/>
    <cellStyle name="Normal 2 7 3 12 9" xfId="32762" xr:uid="{00000000-0005-0000-0000-0000FD7F0000}"/>
    <cellStyle name="Normal 2 7 3 13" xfId="32763" xr:uid="{00000000-0005-0000-0000-0000FE7F0000}"/>
    <cellStyle name="Normal 2 7 3 13 2" xfId="32764" xr:uid="{00000000-0005-0000-0000-0000FF7F0000}"/>
    <cellStyle name="Normal 2 7 3 13 2 2" xfId="32765" xr:uid="{00000000-0005-0000-0000-000000800000}"/>
    <cellStyle name="Normal 2 7 3 13 2 2 2" xfId="32766" xr:uid="{00000000-0005-0000-0000-000001800000}"/>
    <cellStyle name="Normal 2 7 3 13 2 2 3" xfId="32767" xr:uid="{00000000-0005-0000-0000-000002800000}"/>
    <cellStyle name="Normal 2 7 3 13 2 3" xfId="32768" xr:uid="{00000000-0005-0000-0000-000003800000}"/>
    <cellStyle name="Normal 2 7 3 13 2 4" xfId="32769" xr:uid="{00000000-0005-0000-0000-000004800000}"/>
    <cellStyle name="Normal 2 7 3 13 2 5" xfId="32770" xr:uid="{00000000-0005-0000-0000-000005800000}"/>
    <cellStyle name="Normal 2 7 3 13 2 6" xfId="32771" xr:uid="{00000000-0005-0000-0000-000006800000}"/>
    <cellStyle name="Normal 2 7 3 13 3" xfId="32772" xr:uid="{00000000-0005-0000-0000-000007800000}"/>
    <cellStyle name="Normal 2 7 3 13 3 2" xfId="32773" xr:uid="{00000000-0005-0000-0000-000008800000}"/>
    <cellStyle name="Normal 2 7 3 13 3 2 2" xfId="32774" xr:uid="{00000000-0005-0000-0000-000009800000}"/>
    <cellStyle name="Normal 2 7 3 13 3 3" xfId="32775" xr:uid="{00000000-0005-0000-0000-00000A800000}"/>
    <cellStyle name="Normal 2 7 3 13 3 4" xfId="32776" xr:uid="{00000000-0005-0000-0000-00000B800000}"/>
    <cellStyle name="Normal 2 7 3 13 3 5" xfId="32777" xr:uid="{00000000-0005-0000-0000-00000C800000}"/>
    <cellStyle name="Normal 2 7 3 13 4" xfId="32778" xr:uid="{00000000-0005-0000-0000-00000D800000}"/>
    <cellStyle name="Normal 2 7 3 13 4 2" xfId="32779" xr:uid="{00000000-0005-0000-0000-00000E800000}"/>
    <cellStyle name="Normal 2 7 3 13 4 3" xfId="32780" xr:uid="{00000000-0005-0000-0000-00000F800000}"/>
    <cellStyle name="Normal 2 7 3 13 4 4" xfId="32781" xr:uid="{00000000-0005-0000-0000-000010800000}"/>
    <cellStyle name="Normal 2 7 3 13 5" xfId="32782" xr:uid="{00000000-0005-0000-0000-000011800000}"/>
    <cellStyle name="Normal 2 7 3 13 5 2" xfId="32783" xr:uid="{00000000-0005-0000-0000-000012800000}"/>
    <cellStyle name="Normal 2 7 3 13 6" xfId="32784" xr:uid="{00000000-0005-0000-0000-000013800000}"/>
    <cellStyle name="Normal 2 7 3 13 7" xfId="32785" xr:uid="{00000000-0005-0000-0000-000014800000}"/>
    <cellStyle name="Normal 2 7 3 13 8" xfId="32786" xr:uid="{00000000-0005-0000-0000-000015800000}"/>
    <cellStyle name="Normal 2 7 3 13 9" xfId="32787" xr:uid="{00000000-0005-0000-0000-000016800000}"/>
    <cellStyle name="Normal 2 7 3 14" xfId="32788" xr:uid="{00000000-0005-0000-0000-000017800000}"/>
    <cellStyle name="Normal 2 7 3 14 2" xfId="32789" xr:uid="{00000000-0005-0000-0000-000018800000}"/>
    <cellStyle name="Normal 2 7 3 14 2 2" xfId="32790" xr:uid="{00000000-0005-0000-0000-000019800000}"/>
    <cellStyle name="Normal 2 7 3 14 2 2 2" xfId="32791" xr:uid="{00000000-0005-0000-0000-00001A800000}"/>
    <cellStyle name="Normal 2 7 3 14 2 2 3" xfId="32792" xr:uid="{00000000-0005-0000-0000-00001B800000}"/>
    <cellStyle name="Normal 2 7 3 14 2 3" xfId="32793" xr:uid="{00000000-0005-0000-0000-00001C800000}"/>
    <cellStyle name="Normal 2 7 3 14 2 4" xfId="32794" xr:uid="{00000000-0005-0000-0000-00001D800000}"/>
    <cellStyle name="Normal 2 7 3 14 2 5" xfId="32795" xr:uid="{00000000-0005-0000-0000-00001E800000}"/>
    <cellStyle name="Normal 2 7 3 14 2 6" xfId="32796" xr:uid="{00000000-0005-0000-0000-00001F800000}"/>
    <cellStyle name="Normal 2 7 3 14 3" xfId="32797" xr:uid="{00000000-0005-0000-0000-000020800000}"/>
    <cellStyle name="Normal 2 7 3 14 3 2" xfId="32798" xr:uid="{00000000-0005-0000-0000-000021800000}"/>
    <cellStyle name="Normal 2 7 3 14 3 2 2" xfId="32799" xr:uid="{00000000-0005-0000-0000-000022800000}"/>
    <cellStyle name="Normal 2 7 3 14 3 3" xfId="32800" xr:uid="{00000000-0005-0000-0000-000023800000}"/>
    <cellStyle name="Normal 2 7 3 14 3 4" xfId="32801" xr:uid="{00000000-0005-0000-0000-000024800000}"/>
    <cellStyle name="Normal 2 7 3 14 3 5" xfId="32802" xr:uid="{00000000-0005-0000-0000-000025800000}"/>
    <cellStyle name="Normal 2 7 3 14 4" xfId="32803" xr:uid="{00000000-0005-0000-0000-000026800000}"/>
    <cellStyle name="Normal 2 7 3 14 4 2" xfId="32804" xr:uid="{00000000-0005-0000-0000-000027800000}"/>
    <cellStyle name="Normal 2 7 3 14 4 3" xfId="32805" xr:uid="{00000000-0005-0000-0000-000028800000}"/>
    <cellStyle name="Normal 2 7 3 14 4 4" xfId="32806" xr:uid="{00000000-0005-0000-0000-000029800000}"/>
    <cellStyle name="Normal 2 7 3 14 5" xfId="32807" xr:uid="{00000000-0005-0000-0000-00002A800000}"/>
    <cellStyle name="Normal 2 7 3 14 5 2" xfId="32808" xr:uid="{00000000-0005-0000-0000-00002B800000}"/>
    <cellStyle name="Normal 2 7 3 14 6" xfId="32809" xr:uid="{00000000-0005-0000-0000-00002C800000}"/>
    <cellStyle name="Normal 2 7 3 14 7" xfId="32810" xr:uid="{00000000-0005-0000-0000-00002D800000}"/>
    <cellStyle name="Normal 2 7 3 14 8" xfId="32811" xr:uid="{00000000-0005-0000-0000-00002E800000}"/>
    <cellStyle name="Normal 2 7 3 14 9" xfId="32812" xr:uid="{00000000-0005-0000-0000-00002F800000}"/>
    <cellStyle name="Normal 2 7 3 15" xfId="32813" xr:uid="{00000000-0005-0000-0000-000030800000}"/>
    <cellStyle name="Normal 2 7 3 15 2" xfId="32814" xr:uid="{00000000-0005-0000-0000-000031800000}"/>
    <cellStyle name="Normal 2 7 3 15 2 2" xfId="32815" xr:uid="{00000000-0005-0000-0000-000032800000}"/>
    <cellStyle name="Normal 2 7 3 15 2 3" xfId="32816" xr:uid="{00000000-0005-0000-0000-000033800000}"/>
    <cellStyle name="Normal 2 7 3 15 3" xfId="32817" xr:uid="{00000000-0005-0000-0000-000034800000}"/>
    <cellStyle name="Normal 2 7 3 15 4" xfId="32818" xr:uid="{00000000-0005-0000-0000-000035800000}"/>
    <cellStyle name="Normal 2 7 3 15 5" xfId="32819" xr:uid="{00000000-0005-0000-0000-000036800000}"/>
    <cellStyle name="Normal 2 7 3 15 6" xfId="32820" xr:uid="{00000000-0005-0000-0000-000037800000}"/>
    <cellStyle name="Normal 2 7 3 16" xfId="32821" xr:uid="{00000000-0005-0000-0000-000038800000}"/>
    <cellStyle name="Normal 2 7 3 16 2" xfId="32822" xr:uid="{00000000-0005-0000-0000-000039800000}"/>
    <cellStyle name="Normal 2 7 3 16 2 2" xfId="32823" xr:uid="{00000000-0005-0000-0000-00003A800000}"/>
    <cellStyle name="Normal 2 7 3 16 3" xfId="32824" xr:uid="{00000000-0005-0000-0000-00003B800000}"/>
    <cellStyle name="Normal 2 7 3 16 4" xfId="32825" xr:uid="{00000000-0005-0000-0000-00003C800000}"/>
    <cellStyle name="Normal 2 7 3 16 5" xfId="32826" xr:uid="{00000000-0005-0000-0000-00003D800000}"/>
    <cellStyle name="Normal 2 7 3 17" xfId="32827" xr:uid="{00000000-0005-0000-0000-00003E800000}"/>
    <cellStyle name="Normal 2 7 3 17 2" xfId="32828" xr:uid="{00000000-0005-0000-0000-00003F800000}"/>
    <cellStyle name="Normal 2 7 3 17 2 2" xfId="32829" xr:uid="{00000000-0005-0000-0000-000040800000}"/>
    <cellStyle name="Normal 2 7 3 17 3" xfId="32830" xr:uid="{00000000-0005-0000-0000-000041800000}"/>
    <cellStyle name="Normal 2 7 3 17 4" xfId="32831" xr:uid="{00000000-0005-0000-0000-000042800000}"/>
    <cellStyle name="Normal 2 7 3 17 5" xfId="32832" xr:uid="{00000000-0005-0000-0000-000043800000}"/>
    <cellStyle name="Normal 2 7 3 18" xfId="32833" xr:uid="{00000000-0005-0000-0000-000044800000}"/>
    <cellStyle name="Normal 2 7 3 18 2" xfId="32834" xr:uid="{00000000-0005-0000-0000-000045800000}"/>
    <cellStyle name="Normal 2 7 3 19" xfId="32835" xr:uid="{00000000-0005-0000-0000-000046800000}"/>
    <cellStyle name="Normal 2 7 3 2" xfId="32836" xr:uid="{00000000-0005-0000-0000-000047800000}"/>
    <cellStyle name="Normal 2 7 3 2 10" xfId="32837" xr:uid="{00000000-0005-0000-0000-000048800000}"/>
    <cellStyle name="Normal 2 7 3 2 11" xfId="32838" xr:uid="{00000000-0005-0000-0000-000049800000}"/>
    <cellStyle name="Normal 2 7 3 2 2" xfId="32839" xr:uid="{00000000-0005-0000-0000-00004A800000}"/>
    <cellStyle name="Normal 2 7 3 2 2 2" xfId="32840" xr:uid="{00000000-0005-0000-0000-00004B800000}"/>
    <cellStyle name="Normal 2 7 3 2 2 2 2" xfId="32841" xr:uid="{00000000-0005-0000-0000-00004C800000}"/>
    <cellStyle name="Normal 2 7 3 2 2 2 2 2" xfId="32842" xr:uid="{00000000-0005-0000-0000-00004D800000}"/>
    <cellStyle name="Normal 2 7 3 2 2 2 2 3" xfId="32843" xr:uid="{00000000-0005-0000-0000-00004E800000}"/>
    <cellStyle name="Normal 2 7 3 2 2 2 3" xfId="32844" xr:uid="{00000000-0005-0000-0000-00004F800000}"/>
    <cellStyle name="Normal 2 7 3 2 2 2 4" xfId="32845" xr:uid="{00000000-0005-0000-0000-000050800000}"/>
    <cellStyle name="Normal 2 7 3 2 2 2 5" xfId="32846" xr:uid="{00000000-0005-0000-0000-000051800000}"/>
    <cellStyle name="Normal 2 7 3 2 2 2 6" xfId="32847" xr:uid="{00000000-0005-0000-0000-000052800000}"/>
    <cellStyle name="Normal 2 7 3 2 2 3" xfId="32848" xr:uid="{00000000-0005-0000-0000-000053800000}"/>
    <cellStyle name="Normal 2 7 3 2 2 3 2" xfId="32849" xr:uid="{00000000-0005-0000-0000-000054800000}"/>
    <cellStyle name="Normal 2 7 3 2 2 3 2 2" xfId="32850" xr:uid="{00000000-0005-0000-0000-000055800000}"/>
    <cellStyle name="Normal 2 7 3 2 2 3 3" xfId="32851" xr:uid="{00000000-0005-0000-0000-000056800000}"/>
    <cellStyle name="Normal 2 7 3 2 2 3 4" xfId="32852" xr:uid="{00000000-0005-0000-0000-000057800000}"/>
    <cellStyle name="Normal 2 7 3 2 2 3 5" xfId="32853" xr:uid="{00000000-0005-0000-0000-000058800000}"/>
    <cellStyle name="Normal 2 7 3 2 2 4" xfId="32854" xr:uid="{00000000-0005-0000-0000-000059800000}"/>
    <cellStyle name="Normal 2 7 3 2 2 4 2" xfId="32855" xr:uid="{00000000-0005-0000-0000-00005A800000}"/>
    <cellStyle name="Normal 2 7 3 2 2 4 3" xfId="32856" xr:uid="{00000000-0005-0000-0000-00005B800000}"/>
    <cellStyle name="Normal 2 7 3 2 2 4 4" xfId="32857" xr:uid="{00000000-0005-0000-0000-00005C800000}"/>
    <cellStyle name="Normal 2 7 3 2 2 5" xfId="32858" xr:uid="{00000000-0005-0000-0000-00005D800000}"/>
    <cellStyle name="Normal 2 7 3 2 2 5 2" xfId="32859" xr:uid="{00000000-0005-0000-0000-00005E800000}"/>
    <cellStyle name="Normal 2 7 3 2 2 6" xfId="32860" xr:uid="{00000000-0005-0000-0000-00005F800000}"/>
    <cellStyle name="Normal 2 7 3 2 2 7" xfId="32861" xr:uid="{00000000-0005-0000-0000-000060800000}"/>
    <cellStyle name="Normal 2 7 3 2 2 8" xfId="32862" xr:uid="{00000000-0005-0000-0000-000061800000}"/>
    <cellStyle name="Normal 2 7 3 2 2 9" xfId="32863" xr:uid="{00000000-0005-0000-0000-000062800000}"/>
    <cellStyle name="Normal 2 7 3 2 3" xfId="32864" xr:uid="{00000000-0005-0000-0000-000063800000}"/>
    <cellStyle name="Normal 2 7 3 2 3 2" xfId="32865" xr:uid="{00000000-0005-0000-0000-000064800000}"/>
    <cellStyle name="Normal 2 7 3 2 3 2 2" xfId="32866" xr:uid="{00000000-0005-0000-0000-000065800000}"/>
    <cellStyle name="Normal 2 7 3 2 3 2 2 2" xfId="32867" xr:uid="{00000000-0005-0000-0000-000066800000}"/>
    <cellStyle name="Normal 2 7 3 2 3 2 2 3" xfId="32868" xr:uid="{00000000-0005-0000-0000-000067800000}"/>
    <cellStyle name="Normal 2 7 3 2 3 2 3" xfId="32869" xr:uid="{00000000-0005-0000-0000-000068800000}"/>
    <cellStyle name="Normal 2 7 3 2 3 2 4" xfId="32870" xr:uid="{00000000-0005-0000-0000-000069800000}"/>
    <cellStyle name="Normal 2 7 3 2 3 2 5" xfId="32871" xr:uid="{00000000-0005-0000-0000-00006A800000}"/>
    <cellStyle name="Normal 2 7 3 2 3 2 6" xfId="32872" xr:uid="{00000000-0005-0000-0000-00006B800000}"/>
    <cellStyle name="Normal 2 7 3 2 3 3" xfId="32873" xr:uid="{00000000-0005-0000-0000-00006C800000}"/>
    <cellStyle name="Normal 2 7 3 2 3 3 2" xfId="32874" xr:uid="{00000000-0005-0000-0000-00006D800000}"/>
    <cellStyle name="Normal 2 7 3 2 3 3 2 2" xfId="32875" xr:uid="{00000000-0005-0000-0000-00006E800000}"/>
    <cellStyle name="Normal 2 7 3 2 3 3 3" xfId="32876" xr:uid="{00000000-0005-0000-0000-00006F800000}"/>
    <cellStyle name="Normal 2 7 3 2 3 3 4" xfId="32877" xr:uid="{00000000-0005-0000-0000-000070800000}"/>
    <cellStyle name="Normal 2 7 3 2 3 3 5" xfId="32878" xr:uid="{00000000-0005-0000-0000-000071800000}"/>
    <cellStyle name="Normal 2 7 3 2 3 4" xfId="32879" xr:uid="{00000000-0005-0000-0000-000072800000}"/>
    <cellStyle name="Normal 2 7 3 2 3 4 2" xfId="32880" xr:uid="{00000000-0005-0000-0000-000073800000}"/>
    <cellStyle name="Normal 2 7 3 2 3 4 3" xfId="32881" xr:uid="{00000000-0005-0000-0000-000074800000}"/>
    <cellStyle name="Normal 2 7 3 2 3 4 4" xfId="32882" xr:uid="{00000000-0005-0000-0000-000075800000}"/>
    <cellStyle name="Normal 2 7 3 2 3 5" xfId="32883" xr:uid="{00000000-0005-0000-0000-000076800000}"/>
    <cellStyle name="Normal 2 7 3 2 3 5 2" xfId="32884" xr:uid="{00000000-0005-0000-0000-000077800000}"/>
    <cellStyle name="Normal 2 7 3 2 3 6" xfId="32885" xr:uid="{00000000-0005-0000-0000-000078800000}"/>
    <cellStyle name="Normal 2 7 3 2 3 7" xfId="32886" xr:uid="{00000000-0005-0000-0000-000079800000}"/>
    <cellStyle name="Normal 2 7 3 2 3 8" xfId="32887" xr:uid="{00000000-0005-0000-0000-00007A800000}"/>
    <cellStyle name="Normal 2 7 3 2 3 9" xfId="32888" xr:uid="{00000000-0005-0000-0000-00007B800000}"/>
    <cellStyle name="Normal 2 7 3 2 4" xfId="32889" xr:uid="{00000000-0005-0000-0000-00007C800000}"/>
    <cellStyle name="Normal 2 7 3 2 4 2" xfId="32890" xr:uid="{00000000-0005-0000-0000-00007D800000}"/>
    <cellStyle name="Normal 2 7 3 2 4 2 2" xfId="32891" xr:uid="{00000000-0005-0000-0000-00007E800000}"/>
    <cellStyle name="Normal 2 7 3 2 4 2 3" xfId="32892" xr:uid="{00000000-0005-0000-0000-00007F800000}"/>
    <cellStyle name="Normal 2 7 3 2 4 3" xfId="32893" xr:uid="{00000000-0005-0000-0000-000080800000}"/>
    <cellStyle name="Normal 2 7 3 2 4 4" xfId="32894" xr:uid="{00000000-0005-0000-0000-000081800000}"/>
    <cellStyle name="Normal 2 7 3 2 4 5" xfId="32895" xr:uid="{00000000-0005-0000-0000-000082800000}"/>
    <cellStyle name="Normal 2 7 3 2 4 6" xfId="32896" xr:uid="{00000000-0005-0000-0000-000083800000}"/>
    <cellStyle name="Normal 2 7 3 2 5" xfId="32897" xr:uid="{00000000-0005-0000-0000-000084800000}"/>
    <cellStyle name="Normal 2 7 3 2 5 2" xfId="32898" xr:uid="{00000000-0005-0000-0000-000085800000}"/>
    <cellStyle name="Normal 2 7 3 2 5 2 2" xfId="32899" xr:uid="{00000000-0005-0000-0000-000086800000}"/>
    <cellStyle name="Normal 2 7 3 2 5 3" xfId="32900" xr:uid="{00000000-0005-0000-0000-000087800000}"/>
    <cellStyle name="Normal 2 7 3 2 5 4" xfId="32901" xr:uid="{00000000-0005-0000-0000-000088800000}"/>
    <cellStyle name="Normal 2 7 3 2 5 5" xfId="32902" xr:uid="{00000000-0005-0000-0000-000089800000}"/>
    <cellStyle name="Normal 2 7 3 2 6" xfId="32903" xr:uid="{00000000-0005-0000-0000-00008A800000}"/>
    <cellStyle name="Normal 2 7 3 2 6 2" xfId="32904" xr:uid="{00000000-0005-0000-0000-00008B800000}"/>
    <cellStyle name="Normal 2 7 3 2 6 3" xfId="32905" xr:uid="{00000000-0005-0000-0000-00008C800000}"/>
    <cellStyle name="Normal 2 7 3 2 6 4" xfId="32906" xr:uid="{00000000-0005-0000-0000-00008D800000}"/>
    <cellStyle name="Normal 2 7 3 2 7" xfId="32907" xr:uid="{00000000-0005-0000-0000-00008E800000}"/>
    <cellStyle name="Normal 2 7 3 2 7 2" xfId="32908" xr:uid="{00000000-0005-0000-0000-00008F800000}"/>
    <cellStyle name="Normal 2 7 3 2 8" xfId="32909" xr:uid="{00000000-0005-0000-0000-000090800000}"/>
    <cellStyle name="Normal 2 7 3 2 9" xfId="32910" xr:uid="{00000000-0005-0000-0000-000091800000}"/>
    <cellStyle name="Normal 2 7 3 20" xfId="32911" xr:uid="{00000000-0005-0000-0000-000092800000}"/>
    <cellStyle name="Normal 2 7 3 21" xfId="32912" xr:uid="{00000000-0005-0000-0000-000093800000}"/>
    <cellStyle name="Normal 2 7 3 22" xfId="32913" xr:uid="{00000000-0005-0000-0000-000094800000}"/>
    <cellStyle name="Normal 2 7 3 3" xfId="32914" xr:uid="{00000000-0005-0000-0000-000095800000}"/>
    <cellStyle name="Normal 2 7 3 3 10" xfId="32915" xr:uid="{00000000-0005-0000-0000-000096800000}"/>
    <cellStyle name="Normal 2 7 3 3 11" xfId="32916" xr:uid="{00000000-0005-0000-0000-000097800000}"/>
    <cellStyle name="Normal 2 7 3 3 2" xfId="32917" xr:uid="{00000000-0005-0000-0000-000098800000}"/>
    <cellStyle name="Normal 2 7 3 3 2 2" xfId="32918" xr:uid="{00000000-0005-0000-0000-000099800000}"/>
    <cellStyle name="Normal 2 7 3 3 2 2 2" xfId="32919" xr:uid="{00000000-0005-0000-0000-00009A800000}"/>
    <cellStyle name="Normal 2 7 3 3 2 2 2 2" xfId="32920" xr:uid="{00000000-0005-0000-0000-00009B800000}"/>
    <cellStyle name="Normal 2 7 3 3 2 2 2 3" xfId="32921" xr:uid="{00000000-0005-0000-0000-00009C800000}"/>
    <cellStyle name="Normal 2 7 3 3 2 2 3" xfId="32922" xr:uid="{00000000-0005-0000-0000-00009D800000}"/>
    <cellStyle name="Normal 2 7 3 3 2 2 4" xfId="32923" xr:uid="{00000000-0005-0000-0000-00009E800000}"/>
    <cellStyle name="Normal 2 7 3 3 2 2 5" xfId="32924" xr:uid="{00000000-0005-0000-0000-00009F800000}"/>
    <cellStyle name="Normal 2 7 3 3 2 2 6" xfId="32925" xr:uid="{00000000-0005-0000-0000-0000A0800000}"/>
    <cellStyle name="Normal 2 7 3 3 2 3" xfId="32926" xr:uid="{00000000-0005-0000-0000-0000A1800000}"/>
    <cellStyle name="Normal 2 7 3 3 2 3 2" xfId="32927" xr:uid="{00000000-0005-0000-0000-0000A2800000}"/>
    <cellStyle name="Normal 2 7 3 3 2 3 2 2" xfId="32928" xr:uid="{00000000-0005-0000-0000-0000A3800000}"/>
    <cellStyle name="Normal 2 7 3 3 2 3 3" xfId="32929" xr:uid="{00000000-0005-0000-0000-0000A4800000}"/>
    <cellStyle name="Normal 2 7 3 3 2 3 4" xfId="32930" xr:uid="{00000000-0005-0000-0000-0000A5800000}"/>
    <cellStyle name="Normal 2 7 3 3 2 3 5" xfId="32931" xr:uid="{00000000-0005-0000-0000-0000A6800000}"/>
    <cellStyle name="Normal 2 7 3 3 2 4" xfId="32932" xr:uid="{00000000-0005-0000-0000-0000A7800000}"/>
    <cellStyle name="Normal 2 7 3 3 2 4 2" xfId="32933" xr:uid="{00000000-0005-0000-0000-0000A8800000}"/>
    <cellStyle name="Normal 2 7 3 3 2 4 3" xfId="32934" xr:uid="{00000000-0005-0000-0000-0000A9800000}"/>
    <cellStyle name="Normal 2 7 3 3 2 4 4" xfId="32935" xr:uid="{00000000-0005-0000-0000-0000AA800000}"/>
    <cellStyle name="Normal 2 7 3 3 2 5" xfId="32936" xr:uid="{00000000-0005-0000-0000-0000AB800000}"/>
    <cellStyle name="Normal 2 7 3 3 2 5 2" xfId="32937" xr:uid="{00000000-0005-0000-0000-0000AC800000}"/>
    <cellStyle name="Normal 2 7 3 3 2 6" xfId="32938" xr:uid="{00000000-0005-0000-0000-0000AD800000}"/>
    <cellStyle name="Normal 2 7 3 3 2 7" xfId="32939" xr:uid="{00000000-0005-0000-0000-0000AE800000}"/>
    <cellStyle name="Normal 2 7 3 3 2 8" xfId="32940" xr:uid="{00000000-0005-0000-0000-0000AF800000}"/>
    <cellStyle name="Normal 2 7 3 3 2 9" xfId="32941" xr:uid="{00000000-0005-0000-0000-0000B0800000}"/>
    <cellStyle name="Normal 2 7 3 3 3" xfId="32942" xr:uid="{00000000-0005-0000-0000-0000B1800000}"/>
    <cellStyle name="Normal 2 7 3 3 3 2" xfId="32943" xr:uid="{00000000-0005-0000-0000-0000B2800000}"/>
    <cellStyle name="Normal 2 7 3 3 3 2 2" xfId="32944" xr:uid="{00000000-0005-0000-0000-0000B3800000}"/>
    <cellStyle name="Normal 2 7 3 3 3 2 2 2" xfId="32945" xr:uid="{00000000-0005-0000-0000-0000B4800000}"/>
    <cellStyle name="Normal 2 7 3 3 3 2 2 3" xfId="32946" xr:uid="{00000000-0005-0000-0000-0000B5800000}"/>
    <cellStyle name="Normal 2 7 3 3 3 2 3" xfId="32947" xr:uid="{00000000-0005-0000-0000-0000B6800000}"/>
    <cellStyle name="Normal 2 7 3 3 3 2 4" xfId="32948" xr:uid="{00000000-0005-0000-0000-0000B7800000}"/>
    <cellStyle name="Normal 2 7 3 3 3 2 5" xfId="32949" xr:uid="{00000000-0005-0000-0000-0000B8800000}"/>
    <cellStyle name="Normal 2 7 3 3 3 2 6" xfId="32950" xr:uid="{00000000-0005-0000-0000-0000B9800000}"/>
    <cellStyle name="Normal 2 7 3 3 3 3" xfId="32951" xr:uid="{00000000-0005-0000-0000-0000BA800000}"/>
    <cellStyle name="Normal 2 7 3 3 3 3 2" xfId="32952" xr:uid="{00000000-0005-0000-0000-0000BB800000}"/>
    <cellStyle name="Normal 2 7 3 3 3 3 2 2" xfId="32953" xr:uid="{00000000-0005-0000-0000-0000BC800000}"/>
    <cellStyle name="Normal 2 7 3 3 3 3 3" xfId="32954" xr:uid="{00000000-0005-0000-0000-0000BD800000}"/>
    <cellStyle name="Normal 2 7 3 3 3 3 4" xfId="32955" xr:uid="{00000000-0005-0000-0000-0000BE800000}"/>
    <cellStyle name="Normal 2 7 3 3 3 3 5" xfId="32956" xr:uid="{00000000-0005-0000-0000-0000BF800000}"/>
    <cellStyle name="Normal 2 7 3 3 3 4" xfId="32957" xr:uid="{00000000-0005-0000-0000-0000C0800000}"/>
    <cellStyle name="Normal 2 7 3 3 3 4 2" xfId="32958" xr:uid="{00000000-0005-0000-0000-0000C1800000}"/>
    <cellStyle name="Normal 2 7 3 3 3 4 3" xfId="32959" xr:uid="{00000000-0005-0000-0000-0000C2800000}"/>
    <cellStyle name="Normal 2 7 3 3 3 4 4" xfId="32960" xr:uid="{00000000-0005-0000-0000-0000C3800000}"/>
    <cellStyle name="Normal 2 7 3 3 3 5" xfId="32961" xr:uid="{00000000-0005-0000-0000-0000C4800000}"/>
    <cellStyle name="Normal 2 7 3 3 3 5 2" xfId="32962" xr:uid="{00000000-0005-0000-0000-0000C5800000}"/>
    <cellStyle name="Normal 2 7 3 3 3 6" xfId="32963" xr:uid="{00000000-0005-0000-0000-0000C6800000}"/>
    <cellStyle name="Normal 2 7 3 3 3 7" xfId="32964" xr:uid="{00000000-0005-0000-0000-0000C7800000}"/>
    <cellStyle name="Normal 2 7 3 3 3 8" xfId="32965" xr:uid="{00000000-0005-0000-0000-0000C8800000}"/>
    <cellStyle name="Normal 2 7 3 3 3 9" xfId="32966" xr:uid="{00000000-0005-0000-0000-0000C9800000}"/>
    <cellStyle name="Normal 2 7 3 3 4" xfId="32967" xr:uid="{00000000-0005-0000-0000-0000CA800000}"/>
    <cellStyle name="Normal 2 7 3 3 4 2" xfId="32968" xr:uid="{00000000-0005-0000-0000-0000CB800000}"/>
    <cellStyle name="Normal 2 7 3 3 4 2 2" xfId="32969" xr:uid="{00000000-0005-0000-0000-0000CC800000}"/>
    <cellStyle name="Normal 2 7 3 3 4 2 3" xfId="32970" xr:uid="{00000000-0005-0000-0000-0000CD800000}"/>
    <cellStyle name="Normal 2 7 3 3 4 3" xfId="32971" xr:uid="{00000000-0005-0000-0000-0000CE800000}"/>
    <cellStyle name="Normal 2 7 3 3 4 4" xfId="32972" xr:uid="{00000000-0005-0000-0000-0000CF800000}"/>
    <cellStyle name="Normal 2 7 3 3 4 5" xfId="32973" xr:uid="{00000000-0005-0000-0000-0000D0800000}"/>
    <cellStyle name="Normal 2 7 3 3 4 6" xfId="32974" xr:uid="{00000000-0005-0000-0000-0000D1800000}"/>
    <cellStyle name="Normal 2 7 3 3 5" xfId="32975" xr:uid="{00000000-0005-0000-0000-0000D2800000}"/>
    <cellStyle name="Normal 2 7 3 3 5 2" xfId="32976" xr:uid="{00000000-0005-0000-0000-0000D3800000}"/>
    <cellStyle name="Normal 2 7 3 3 5 2 2" xfId="32977" xr:uid="{00000000-0005-0000-0000-0000D4800000}"/>
    <cellStyle name="Normal 2 7 3 3 5 3" xfId="32978" xr:uid="{00000000-0005-0000-0000-0000D5800000}"/>
    <cellStyle name="Normal 2 7 3 3 5 4" xfId="32979" xr:uid="{00000000-0005-0000-0000-0000D6800000}"/>
    <cellStyle name="Normal 2 7 3 3 5 5" xfId="32980" xr:uid="{00000000-0005-0000-0000-0000D7800000}"/>
    <cellStyle name="Normal 2 7 3 3 6" xfId="32981" xr:uid="{00000000-0005-0000-0000-0000D8800000}"/>
    <cellStyle name="Normal 2 7 3 3 6 2" xfId="32982" xr:uid="{00000000-0005-0000-0000-0000D9800000}"/>
    <cellStyle name="Normal 2 7 3 3 6 3" xfId="32983" xr:uid="{00000000-0005-0000-0000-0000DA800000}"/>
    <cellStyle name="Normal 2 7 3 3 6 4" xfId="32984" xr:uid="{00000000-0005-0000-0000-0000DB800000}"/>
    <cellStyle name="Normal 2 7 3 3 7" xfId="32985" xr:uid="{00000000-0005-0000-0000-0000DC800000}"/>
    <cellStyle name="Normal 2 7 3 3 7 2" xfId="32986" xr:uid="{00000000-0005-0000-0000-0000DD800000}"/>
    <cellStyle name="Normal 2 7 3 3 8" xfId="32987" xr:uid="{00000000-0005-0000-0000-0000DE800000}"/>
    <cellStyle name="Normal 2 7 3 3 9" xfId="32988" xr:uid="{00000000-0005-0000-0000-0000DF800000}"/>
    <cellStyle name="Normal 2 7 3 4" xfId="32989" xr:uid="{00000000-0005-0000-0000-0000E0800000}"/>
    <cellStyle name="Normal 2 7 3 4 10" xfId="32990" xr:uid="{00000000-0005-0000-0000-0000E1800000}"/>
    <cellStyle name="Normal 2 7 3 4 11" xfId="32991" xr:uid="{00000000-0005-0000-0000-0000E2800000}"/>
    <cellStyle name="Normal 2 7 3 4 2" xfId="32992" xr:uid="{00000000-0005-0000-0000-0000E3800000}"/>
    <cellStyle name="Normal 2 7 3 4 2 2" xfId="32993" xr:uid="{00000000-0005-0000-0000-0000E4800000}"/>
    <cellStyle name="Normal 2 7 3 4 2 2 2" xfId="32994" xr:uid="{00000000-0005-0000-0000-0000E5800000}"/>
    <cellStyle name="Normal 2 7 3 4 2 2 2 2" xfId="32995" xr:uid="{00000000-0005-0000-0000-0000E6800000}"/>
    <cellStyle name="Normal 2 7 3 4 2 2 2 3" xfId="32996" xr:uid="{00000000-0005-0000-0000-0000E7800000}"/>
    <cellStyle name="Normal 2 7 3 4 2 2 3" xfId="32997" xr:uid="{00000000-0005-0000-0000-0000E8800000}"/>
    <cellStyle name="Normal 2 7 3 4 2 2 4" xfId="32998" xr:uid="{00000000-0005-0000-0000-0000E9800000}"/>
    <cellStyle name="Normal 2 7 3 4 2 2 5" xfId="32999" xr:uid="{00000000-0005-0000-0000-0000EA800000}"/>
    <cellStyle name="Normal 2 7 3 4 2 2 6" xfId="33000" xr:uid="{00000000-0005-0000-0000-0000EB800000}"/>
    <cellStyle name="Normal 2 7 3 4 2 3" xfId="33001" xr:uid="{00000000-0005-0000-0000-0000EC800000}"/>
    <cellStyle name="Normal 2 7 3 4 2 3 2" xfId="33002" xr:uid="{00000000-0005-0000-0000-0000ED800000}"/>
    <cellStyle name="Normal 2 7 3 4 2 3 2 2" xfId="33003" xr:uid="{00000000-0005-0000-0000-0000EE800000}"/>
    <cellStyle name="Normal 2 7 3 4 2 3 3" xfId="33004" xr:uid="{00000000-0005-0000-0000-0000EF800000}"/>
    <cellStyle name="Normal 2 7 3 4 2 3 4" xfId="33005" xr:uid="{00000000-0005-0000-0000-0000F0800000}"/>
    <cellStyle name="Normal 2 7 3 4 2 3 5" xfId="33006" xr:uid="{00000000-0005-0000-0000-0000F1800000}"/>
    <cellStyle name="Normal 2 7 3 4 2 4" xfId="33007" xr:uid="{00000000-0005-0000-0000-0000F2800000}"/>
    <cellStyle name="Normal 2 7 3 4 2 4 2" xfId="33008" xr:uid="{00000000-0005-0000-0000-0000F3800000}"/>
    <cellStyle name="Normal 2 7 3 4 2 4 3" xfId="33009" xr:uid="{00000000-0005-0000-0000-0000F4800000}"/>
    <cellStyle name="Normal 2 7 3 4 2 4 4" xfId="33010" xr:uid="{00000000-0005-0000-0000-0000F5800000}"/>
    <cellStyle name="Normal 2 7 3 4 2 5" xfId="33011" xr:uid="{00000000-0005-0000-0000-0000F6800000}"/>
    <cellStyle name="Normal 2 7 3 4 2 5 2" xfId="33012" xr:uid="{00000000-0005-0000-0000-0000F7800000}"/>
    <cellStyle name="Normal 2 7 3 4 2 6" xfId="33013" xr:uid="{00000000-0005-0000-0000-0000F8800000}"/>
    <cellStyle name="Normal 2 7 3 4 2 7" xfId="33014" xr:uid="{00000000-0005-0000-0000-0000F9800000}"/>
    <cellStyle name="Normal 2 7 3 4 2 8" xfId="33015" xr:uid="{00000000-0005-0000-0000-0000FA800000}"/>
    <cellStyle name="Normal 2 7 3 4 2 9" xfId="33016" xr:uid="{00000000-0005-0000-0000-0000FB800000}"/>
    <cellStyle name="Normal 2 7 3 4 3" xfId="33017" xr:uid="{00000000-0005-0000-0000-0000FC800000}"/>
    <cellStyle name="Normal 2 7 3 4 3 2" xfId="33018" xr:uid="{00000000-0005-0000-0000-0000FD800000}"/>
    <cellStyle name="Normal 2 7 3 4 3 2 2" xfId="33019" xr:uid="{00000000-0005-0000-0000-0000FE800000}"/>
    <cellStyle name="Normal 2 7 3 4 3 2 2 2" xfId="33020" xr:uid="{00000000-0005-0000-0000-0000FF800000}"/>
    <cellStyle name="Normal 2 7 3 4 3 2 2 3" xfId="33021" xr:uid="{00000000-0005-0000-0000-000000810000}"/>
    <cellStyle name="Normal 2 7 3 4 3 2 3" xfId="33022" xr:uid="{00000000-0005-0000-0000-000001810000}"/>
    <cellStyle name="Normal 2 7 3 4 3 2 4" xfId="33023" xr:uid="{00000000-0005-0000-0000-000002810000}"/>
    <cellStyle name="Normal 2 7 3 4 3 2 5" xfId="33024" xr:uid="{00000000-0005-0000-0000-000003810000}"/>
    <cellStyle name="Normal 2 7 3 4 3 2 6" xfId="33025" xr:uid="{00000000-0005-0000-0000-000004810000}"/>
    <cellStyle name="Normal 2 7 3 4 3 3" xfId="33026" xr:uid="{00000000-0005-0000-0000-000005810000}"/>
    <cellStyle name="Normal 2 7 3 4 3 3 2" xfId="33027" xr:uid="{00000000-0005-0000-0000-000006810000}"/>
    <cellStyle name="Normal 2 7 3 4 3 3 2 2" xfId="33028" xr:uid="{00000000-0005-0000-0000-000007810000}"/>
    <cellStyle name="Normal 2 7 3 4 3 3 3" xfId="33029" xr:uid="{00000000-0005-0000-0000-000008810000}"/>
    <cellStyle name="Normal 2 7 3 4 3 3 4" xfId="33030" xr:uid="{00000000-0005-0000-0000-000009810000}"/>
    <cellStyle name="Normal 2 7 3 4 3 3 5" xfId="33031" xr:uid="{00000000-0005-0000-0000-00000A810000}"/>
    <cellStyle name="Normal 2 7 3 4 3 4" xfId="33032" xr:uid="{00000000-0005-0000-0000-00000B810000}"/>
    <cellStyle name="Normal 2 7 3 4 3 4 2" xfId="33033" xr:uid="{00000000-0005-0000-0000-00000C810000}"/>
    <cellStyle name="Normal 2 7 3 4 3 4 3" xfId="33034" xr:uid="{00000000-0005-0000-0000-00000D810000}"/>
    <cellStyle name="Normal 2 7 3 4 3 4 4" xfId="33035" xr:uid="{00000000-0005-0000-0000-00000E810000}"/>
    <cellStyle name="Normal 2 7 3 4 3 5" xfId="33036" xr:uid="{00000000-0005-0000-0000-00000F810000}"/>
    <cellStyle name="Normal 2 7 3 4 3 5 2" xfId="33037" xr:uid="{00000000-0005-0000-0000-000010810000}"/>
    <cellStyle name="Normal 2 7 3 4 3 6" xfId="33038" xr:uid="{00000000-0005-0000-0000-000011810000}"/>
    <cellStyle name="Normal 2 7 3 4 3 7" xfId="33039" xr:uid="{00000000-0005-0000-0000-000012810000}"/>
    <cellStyle name="Normal 2 7 3 4 3 8" xfId="33040" xr:uid="{00000000-0005-0000-0000-000013810000}"/>
    <cellStyle name="Normal 2 7 3 4 3 9" xfId="33041" xr:uid="{00000000-0005-0000-0000-000014810000}"/>
    <cellStyle name="Normal 2 7 3 4 4" xfId="33042" xr:uid="{00000000-0005-0000-0000-000015810000}"/>
    <cellStyle name="Normal 2 7 3 4 4 2" xfId="33043" xr:uid="{00000000-0005-0000-0000-000016810000}"/>
    <cellStyle name="Normal 2 7 3 4 4 2 2" xfId="33044" xr:uid="{00000000-0005-0000-0000-000017810000}"/>
    <cellStyle name="Normal 2 7 3 4 4 2 3" xfId="33045" xr:uid="{00000000-0005-0000-0000-000018810000}"/>
    <cellStyle name="Normal 2 7 3 4 4 3" xfId="33046" xr:uid="{00000000-0005-0000-0000-000019810000}"/>
    <cellStyle name="Normal 2 7 3 4 4 4" xfId="33047" xr:uid="{00000000-0005-0000-0000-00001A810000}"/>
    <cellStyle name="Normal 2 7 3 4 4 5" xfId="33048" xr:uid="{00000000-0005-0000-0000-00001B810000}"/>
    <cellStyle name="Normal 2 7 3 4 4 6" xfId="33049" xr:uid="{00000000-0005-0000-0000-00001C810000}"/>
    <cellStyle name="Normal 2 7 3 4 5" xfId="33050" xr:uid="{00000000-0005-0000-0000-00001D810000}"/>
    <cellStyle name="Normal 2 7 3 4 5 2" xfId="33051" xr:uid="{00000000-0005-0000-0000-00001E810000}"/>
    <cellStyle name="Normal 2 7 3 4 5 2 2" xfId="33052" xr:uid="{00000000-0005-0000-0000-00001F810000}"/>
    <cellStyle name="Normal 2 7 3 4 5 3" xfId="33053" xr:uid="{00000000-0005-0000-0000-000020810000}"/>
    <cellStyle name="Normal 2 7 3 4 5 4" xfId="33054" xr:uid="{00000000-0005-0000-0000-000021810000}"/>
    <cellStyle name="Normal 2 7 3 4 5 5" xfId="33055" xr:uid="{00000000-0005-0000-0000-000022810000}"/>
    <cellStyle name="Normal 2 7 3 4 6" xfId="33056" xr:uid="{00000000-0005-0000-0000-000023810000}"/>
    <cellStyle name="Normal 2 7 3 4 6 2" xfId="33057" xr:uid="{00000000-0005-0000-0000-000024810000}"/>
    <cellStyle name="Normal 2 7 3 4 6 3" xfId="33058" xr:uid="{00000000-0005-0000-0000-000025810000}"/>
    <cellStyle name="Normal 2 7 3 4 6 4" xfId="33059" xr:uid="{00000000-0005-0000-0000-000026810000}"/>
    <cellStyle name="Normal 2 7 3 4 7" xfId="33060" xr:uid="{00000000-0005-0000-0000-000027810000}"/>
    <cellStyle name="Normal 2 7 3 4 7 2" xfId="33061" xr:uid="{00000000-0005-0000-0000-000028810000}"/>
    <cellStyle name="Normal 2 7 3 4 8" xfId="33062" xr:uid="{00000000-0005-0000-0000-000029810000}"/>
    <cellStyle name="Normal 2 7 3 4 9" xfId="33063" xr:uid="{00000000-0005-0000-0000-00002A810000}"/>
    <cellStyle name="Normal 2 7 3 5" xfId="33064" xr:uid="{00000000-0005-0000-0000-00002B810000}"/>
    <cellStyle name="Normal 2 7 3 5 10" xfId="33065" xr:uid="{00000000-0005-0000-0000-00002C810000}"/>
    <cellStyle name="Normal 2 7 3 5 11" xfId="33066" xr:uid="{00000000-0005-0000-0000-00002D810000}"/>
    <cellStyle name="Normal 2 7 3 5 2" xfId="33067" xr:uid="{00000000-0005-0000-0000-00002E810000}"/>
    <cellStyle name="Normal 2 7 3 5 2 2" xfId="33068" xr:uid="{00000000-0005-0000-0000-00002F810000}"/>
    <cellStyle name="Normal 2 7 3 5 2 2 2" xfId="33069" xr:uid="{00000000-0005-0000-0000-000030810000}"/>
    <cellStyle name="Normal 2 7 3 5 2 2 2 2" xfId="33070" xr:uid="{00000000-0005-0000-0000-000031810000}"/>
    <cellStyle name="Normal 2 7 3 5 2 2 2 3" xfId="33071" xr:uid="{00000000-0005-0000-0000-000032810000}"/>
    <cellStyle name="Normal 2 7 3 5 2 2 3" xfId="33072" xr:uid="{00000000-0005-0000-0000-000033810000}"/>
    <cellStyle name="Normal 2 7 3 5 2 2 4" xfId="33073" xr:uid="{00000000-0005-0000-0000-000034810000}"/>
    <cellStyle name="Normal 2 7 3 5 2 2 5" xfId="33074" xr:uid="{00000000-0005-0000-0000-000035810000}"/>
    <cellStyle name="Normal 2 7 3 5 2 2 6" xfId="33075" xr:uid="{00000000-0005-0000-0000-000036810000}"/>
    <cellStyle name="Normal 2 7 3 5 2 3" xfId="33076" xr:uid="{00000000-0005-0000-0000-000037810000}"/>
    <cellStyle name="Normal 2 7 3 5 2 3 2" xfId="33077" xr:uid="{00000000-0005-0000-0000-000038810000}"/>
    <cellStyle name="Normal 2 7 3 5 2 3 2 2" xfId="33078" xr:uid="{00000000-0005-0000-0000-000039810000}"/>
    <cellStyle name="Normal 2 7 3 5 2 3 3" xfId="33079" xr:uid="{00000000-0005-0000-0000-00003A810000}"/>
    <cellStyle name="Normal 2 7 3 5 2 3 4" xfId="33080" xr:uid="{00000000-0005-0000-0000-00003B810000}"/>
    <cellStyle name="Normal 2 7 3 5 2 3 5" xfId="33081" xr:uid="{00000000-0005-0000-0000-00003C810000}"/>
    <cellStyle name="Normal 2 7 3 5 2 4" xfId="33082" xr:uid="{00000000-0005-0000-0000-00003D810000}"/>
    <cellStyle name="Normal 2 7 3 5 2 4 2" xfId="33083" xr:uid="{00000000-0005-0000-0000-00003E810000}"/>
    <cellStyle name="Normal 2 7 3 5 2 4 3" xfId="33084" xr:uid="{00000000-0005-0000-0000-00003F810000}"/>
    <cellStyle name="Normal 2 7 3 5 2 4 4" xfId="33085" xr:uid="{00000000-0005-0000-0000-000040810000}"/>
    <cellStyle name="Normal 2 7 3 5 2 5" xfId="33086" xr:uid="{00000000-0005-0000-0000-000041810000}"/>
    <cellStyle name="Normal 2 7 3 5 2 5 2" xfId="33087" xr:uid="{00000000-0005-0000-0000-000042810000}"/>
    <cellStyle name="Normal 2 7 3 5 2 6" xfId="33088" xr:uid="{00000000-0005-0000-0000-000043810000}"/>
    <cellStyle name="Normal 2 7 3 5 2 7" xfId="33089" xr:uid="{00000000-0005-0000-0000-000044810000}"/>
    <cellStyle name="Normal 2 7 3 5 2 8" xfId="33090" xr:uid="{00000000-0005-0000-0000-000045810000}"/>
    <cellStyle name="Normal 2 7 3 5 2 9" xfId="33091" xr:uid="{00000000-0005-0000-0000-000046810000}"/>
    <cellStyle name="Normal 2 7 3 5 3" xfId="33092" xr:uid="{00000000-0005-0000-0000-000047810000}"/>
    <cellStyle name="Normal 2 7 3 5 3 2" xfId="33093" xr:uid="{00000000-0005-0000-0000-000048810000}"/>
    <cellStyle name="Normal 2 7 3 5 3 2 2" xfId="33094" xr:uid="{00000000-0005-0000-0000-000049810000}"/>
    <cellStyle name="Normal 2 7 3 5 3 2 2 2" xfId="33095" xr:uid="{00000000-0005-0000-0000-00004A810000}"/>
    <cellStyle name="Normal 2 7 3 5 3 2 2 3" xfId="33096" xr:uid="{00000000-0005-0000-0000-00004B810000}"/>
    <cellStyle name="Normal 2 7 3 5 3 2 3" xfId="33097" xr:uid="{00000000-0005-0000-0000-00004C810000}"/>
    <cellStyle name="Normal 2 7 3 5 3 2 4" xfId="33098" xr:uid="{00000000-0005-0000-0000-00004D810000}"/>
    <cellStyle name="Normal 2 7 3 5 3 2 5" xfId="33099" xr:uid="{00000000-0005-0000-0000-00004E810000}"/>
    <cellStyle name="Normal 2 7 3 5 3 2 6" xfId="33100" xr:uid="{00000000-0005-0000-0000-00004F810000}"/>
    <cellStyle name="Normal 2 7 3 5 3 3" xfId="33101" xr:uid="{00000000-0005-0000-0000-000050810000}"/>
    <cellStyle name="Normal 2 7 3 5 3 3 2" xfId="33102" xr:uid="{00000000-0005-0000-0000-000051810000}"/>
    <cellStyle name="Normal 2 7 3 5 3 3 2 2" xfId="33103" xr:uid="{00000000-0005-0000-0000-000052810000}"/>
    <cellStyle name="Normal 2 7 3 5 3 3 3" xfId="33104" xr:uid="{00000000-0005-0000-0000-000053810000}"/>
    <cellStyle name="Normal 2 7 3 5 3 3 4" xfId="33105" xr:uid="{00000000-0005-0000-0000-000054810000}"/>
    <cellStyle name="Normal 2 7 3 5 3 3 5" xfId="33106" xr:uid="{00000000-0005-0000-0000-000055810000}"/>
    <cellStyle name="Normal 2 7 3 5 3 4" xfId="33107" xr:uid="{00000000-0005-0000-0000-000056810000}"/>
    <cellStyle name="Normal 2 7 3 5 3 4 2" xfId="33108" xr:uid="{00000000-0005-0000-0000-000057810000}"/>
    <cellStyle name="Normal 2 7 3 5 3 4 3" xfId="33109" xr:uid="{00000000-0005-0000-0000-000058810000}"/>
    <cellStyle name="Normal 2 7 3 5 3 4 4" xfId="33110" xr:uid="{00000000-0005-0000-0000-000059810000}"/>
    <cellStyle name="Normal 2 7 3 5 3 5" xfId="33111" xr:uid="{00000000-0005-0000-0000-00005A810000}"/>
    <cellStyle name="Normal 2 7 3 5 3 5 2" xfId="33112" xr:uid="{00000000-0005-0000-0000-00005B810000}"/>
    <cellStyle name="Normal 2 7 3 5 3 6" xfId="33113" xr:uid="{00000000-0005-0000-0000-00005C810000}"/>
    <cellStyle name="Normal 2 7 3 5 3 7" xfId="33114" xr:uid="{00000000-0005-0000-0000-00005D810000}"/>
    <cellStyle name="Normal 2 7 3 5 3 8" xfId="33115" xr:uid="{00000000-0005-0000-0000-00005E810000}"/>
    <cellStyle name="Normal 2 7 3 5 3 9" xfId="33116" xr:uid="{00000000-0005-0000-0000-00005F810000}"/>
    <cellStyle name="Normal 2 7 3 5 4" xfId="33117" xr:uid="{00000000-0005-0000-0000-000060810000}"/>
    <cellStyle name="Normal 2 7 3 5 4 2" xfId="33118" xr:uid="{00000000-0005-0000-0000-000061810000}"/>
    <cellStyle name="Normal 2 7 3 5 4 2 2" xfId="33119" xr:uid="{00000000-0005-0000-0000-000062810000}"/>
    <cellStyle name="Normal 2 7 3 5 4 2 3" xfId="33120" xr:uid="{00000000-0005-0000-0000-000063810000}"/>
    <cellStyle name="Normal 2 7 3 5 4 3" xfId="33121" xr:uid="{00000000-0005-0000-0000-000064810000}"/>
    <cellStyle name="Normal 2 7 3 5 4 4" xfId="33122" xr:uid="{00000000-0005-0000-0000-000065810000}"/>
    <cellStyle name="Normal 2 7 3 5 4 5" xfId="33123" xr:uid="{00000000-0005-0000-0000-000066810000}"/>
    <cellStyle name="Normal 2 7 3 5 4 6" xfId="33124" xr:uid="{00000000-0005-0000-0000-000067810000}"/>
    <cellStyle name="Normal 2 7 3 5 5" xfId="33125" xr:uid="{00000000-0005-0000-0000-000068810000}"/>
    <cellStyle name="Normal 2 7 3 5 5 2" xfId="33126" xr:uid="{00000000-0005-0000-0000-000069810000}"/>
    <cellStyle name="Normal 2 7 3 5 5 2 2" xfId="33127" xr:uid="{00000000-0005-0000-0000-00006A810000}"/>
    <cellStyle name="Normal 2 7 3 5 5 3" xfId="33128" xr:uid="{00000000-0005-0000-0000-00006B810000}"/>
    <cellStyle name="Normal 2 7 3 5 5 4" xfId="33129" xr:uid="{00000000-0005-0000-0000-00006C810000}"/>
    <cellStyle name="Normal 2 7 3 5 5 5" xfId="33130" xr:uid="{00000000-0005-0000-0000-00006D810000}"/>
    <cellStyle name="Normal 2 7 3 5 6" xfId="33131" xr:uid="{00000000-0005-0000-0000-00006E810000}"/>
    <cellStyle name="Normal 2 7 3 5 6 2" xfId="33132" xr:uid="{00000000-0005-0000-0000-00006F810000}"/>
    <cellStyle name="Normal 2 7 3 5 6 3" xfId="33133" xr:uid="{00000000-0005-0000-0000-000070810000}"/>
    <cellStyle name="Normal 2 7 3 5 6 4" xfId="33134" xr:uid="{00000000-0005-0000-0000-000071810000}"/>
    <cellStyle name="Normal 2 7 3 5 7" xfId="33135" xr:uid="{00000000-0005-0000-0000-000072810000}"/>
    <cellStyle name="Normal 2 7 3 5 7 2" xfId="33136" xr:uid="{00000000-0005-0000-0000-000073810000}"/>
    <cellStyle name="Normal 2 7 3 5 8" xfId="33137" xr:uid="{00000000-0005-0000-0000-000074810000}"/>
    <cellStyle name="Normal 2 7 3 5 9" xfId="33138" xr:uid="{00000000-0005-0000-0000-000075810000}"/>
    <cellStyle name="Normal 2 7 3 6" xfId="33139" xr:uid="{00000000-0005-0000-0000-000076810000}"/>
    <cellStyle name="Normal 2 7 3 6 10" xfId="33140" xr:uid="{00000000-0005-0000-0000-000077810000}"/>
    <cellStyle name="Normal 2 7 3 6 11" xfId="33141" xr:uid="{00000000-0005-0000-0000-000078810000}"/>
    <cellStyle name="Normal 2 7 3 6 2" xfId="33142" xr:uid="{00000000-0005-0000-0000-000079810000}"/>
    <cellStyle name="Normal 2 7 3 6 2 2" xfId="33143" xr:uid="{00000000-0005-0000-0000-00007A810000}"/>
    <cellStyle name="Normal 2 7 3 6 2 2 2" xfId="33144" xr:uid="{00000000-0005-0000-0000-00007B810000}"/>
    <cellStyle name="Normal 2 7 3 6 2 2 2 2" xfId="33145" xr:uid="{00000000-0005-0000-0000-00007C810000}"/>
    <cellStyle name="Normal 2 7 3 6 2 2 2 3" xfId="33146" xr:uid="{00000000-0005-0000-0000-00007D810000}"/>
    <cellStyle name="Normal 2 7 3 6 2 2 3" xfId="33147" xr:uid="{00000000-0005-0000-0000-00007E810000}"/>
    <cellStyle name="Normal 2 7 3 6 2 2 4" xfId="33148" xr:uid="{00000000-0005-0000-0000-00007F810000}"/>
    <cellStyle name="Normal 2 7 3 6 2 2 5" xfId="33149" xr:uid="{00000000-0005-0000-0000-000080810000}"/>
    <cellStyle name="Normal 2 7 3 6 2 2 6" xfId="33150" xr:uid="{00000000-0005-0000-0000-000081810000}"/>
    <cellStyle name="Normal 2 7 3 6 2 3" xfId="33151" xr:uid="{00000000-0005-0000-0000-000082810000}"/>
    <cellStyle name="Normal 2 7 3 6 2 3 2" xfId="33152" xr:uid="{00000000-0005-0000-0000-000083810000}"/>
    <cellStyle name="Normal 2 7 3 6 2 3 2 2" xfId="33153" xr:uid="{00000000-0005-0000-0000-000084810000}"/>
    <cellStyle name="Normal 2 7 3 6 2 3 3" xfId="33154" xr:uid="{00000000-0005-0000-0000-000085810000}"/>
    <cellStyle name="Normal 2 7 3 6 2 3 4" xfId="33155" xr:uid="{00000000-0005-0000-0000-000086810000}"/>
    <cellStyle name="Normal 2 7 3 6 2 3 5" xfId="33156" xr:uid="{00000000-0005-0000-0000-000087810000}"/>
    <cellStyle name="Normal 2 7 3 6 2 4" xfId="33157" xr:uid="{00000000-0005-0000-0000-000088810000}"/>
    <cellStyle name="Normal 2 7 3 6 2 4 2" xfId="33158" xr:uid="{00000000-0005-0000-0000-000089810000}"/>
    <cellStyle name="Normal 2 7 3 6 2 4 3" xfId="33159" xr:uid="{00000000-0005-0000-0000-00008A810000}"/>
    <cellStyle name="Normal 2 7 3 6 2 4 4" xfId="33160" xr:uid="{00000000-0005-0000-0000-00008B810000}"/>
    <cellStyle name="Normal 2 7 3 6 2 5" xfId="33161" xr:uid="{00000000-0005-0000-0000-00008C810000}"/>
    <cellStyle name="Normal 2 7 3 6 2 5 2" xfId="33162" xr:uid="{00000000-0005-0000-0000-00008D810000}"/>
    <cellStyle name="Normal 2 7 3 6 2 6" xfId="33163" xr:uid="{00000000-0005-0000-0000-00008E810000}"/>
    <cellStyle name="Normal 2 7 3 6 2 7" xfId="33164" xr:uid="{00000000-0005-0000-0000-00008F810000}"/>
    <cellStyle name="Normal 2 7 3 6 2 8" xfId="33165" xr:uid="{00000000-0005-0000-0000-000090810000}"/>
    <cellStyle name="Normal 2 7 3 6 2 9" xfId="33166" xr:uid="{00000000-0005-0000-0000-000091810000}"/>
    <cellStyle name="Normal 2 7 3 6 3" xfId="33167" xr:uid="{00000000-0005-0000-0000-000092810000}"/>
    <cellStyle name="Normal 2 7 3 6 3 2" xfId="33168" xr:uid="{00000000-0005-0000-0000-000093810000}"/>
    <cellStyle name="Normal 2 7 3 6 3 2 2" xfId="33169" xr:uid="{00000000-0005-0000-0000-000094810000}"/>
    <cellStyle name="Normal 2 7 3 6 3 2 2 2" xfId="33170" xr:uid="{00000000-0005-0000-0000-000095810000}"/>
    <cellStyle name="Normal 2 7 3 6 3 2 2 3" xfId="33171" xr:uid="{00000000-0005-0000-0000-000096810000}"/>
    <cellStyle name="Normal 2 7 3 6 3 2 3" xfId="33172" xr:uid="{00000000-0005-0000-0000-000097810000}"/>
    <cellStyle name="Normal 2 7 3 6 3 2 4" xfId="33173" xr:uid="{00000000-0005-0000-0000-000098810000}"/>
    <cellStyle name="Normal 2 7 3 6 3 2 5" xfId="33174" xr:uid="{00000000-0005-0000-0000-000099810000}"/>
    <cellStyle name="Normal 2 7 3 6 3 2 6" xfId="33175" xr:uid="{00000000-0005-0000-0000-00009A810000}"/>
    <cellStyle name="Normal 2 7 3 6 3 3" xfId="33176" xr:uid="{00000000-0005-0000-0000-00009B810000}"/>
    <cellStyle name="Normal 2 7 3 6 3 3 2" xfId="33177" xr:uid="{00000000-0005-0000-0000-00009C810000}"/>
    <cellStyle name="Normal 2 7 3 6 3 3 2 2" xfId="33178" xr:uid="{00000000-0005-0000-0000-00009D810000}"/>
    <cellStyle name="Normal 2 7 3 6 3 3 3" xfId="33179" xr:uid="{00000000-0005-0000-0000-00009E810000}"/>
    <cellStyle name="Normal 2 7 3 6 3 3 4" xfId="33180" xr:uid="{00000000-0005-0000-0000-00009F810000}"/>
    <cellStyle name="Normal 2 7 3 6 3 3 5" xfId="33181" xr:uid="{00000000-0005-0000-0000-0000A0810000}"/>
    <cellStyle name="Normal 2 7 3 6 3 4" xfId="33182" xr:uid="{00000000-0005-0000-0000-0000A1810000}"/>
    <cellStyle name="Normal 2 7 3 6 3 4 2" xfId="33183" xr:uid="{00000000-0005-0000-0000-0000A2810000}"/>
    <cellStyle name="Normal 2 7 3 6 3 4 3" xfId="33184" xr:uid="{00000000-0005-0000-0000-0000A3810000}"/>
    <cellStyle name="Normal 2 7 3 6 3 4 4" xfId="33185" xr:uid="{00000000-0005-0000-0000-0000A4810000}"/>
    <cellStyle name="Normal 2 7 3 6 3 5" xfId="33186" xr:uid="{00000000-0005-0000-0000-0000A5810000}"/>
    <cellStyle name="Normal 2 7 3 6 3 5 2" xfId="33187" xr:uid="{00000000-0005-0000-0000-0000A6810000}"/>
    <cellStyle name="Normal 2 7 3 6 3 6" xfId="33188" xr:uid="{00000000-0005-0000-0000-0000A7810000}"/>
    <cellStyle name="Normal 2 7 3 6 3 7" xfId="33189" xr:uid="{00000000-0005-0000-0000-0000A8810000}"/>
    <cellStyle name="Normal 2 7 3 6 3 8" xfId="33190" xr:uid="{00000000-0005-0000-0000-0000A9810000}"/>
    <cellStyle name="Normal 2 7 3 6 3 9" xfId="33191" xr:uid="{00000000-0005-0000-0000-0000AA810000}"/>
    <cellStyle name="Normal 2 7 3 6 4" xfId="33192" xr:uid="{00000000-0005-0000-0000-0000AB810000}"/>
    <cellStyle name="Normal 2 7 3 6 4 2" xfId="33193" xr:uid="{00000000-0005-0000-0000-0000AC810000}"/>
    <cellStyle name="Normal 2 7 3 6 4 2 2" xfId="33194" xr:uid="{00000000-0005-0000-0000-0000AD810000}"/>
    <cellStyle name="Normal 2 7 3 6 4 2 3" xfId="33195" xr:uid="{00000000-0005-0000-0000-0000AE810000}"/>
    <cellStyle name="Normal 2 7 3 6 4 3" xfId="33196" xr:uid="{00000000-0005-0000-0000-0000AF810000}"/>
    <cellStyle name="Normal 2 7 3 6 4 4" xfId="33197" xr:uid="{00000000-0005-0000-0000-0000B0810000}"/>
    <cellStyle name="Normal 2 7 3 6 4 5" xfId="33198" xr:uid="{00000000-0005-0000-0000-0000B1810000}"/>
    <cellStyle name="Normal 2 7 3 6 4 6" xfId="33199" xr:uid="{00000000-0005-0000-0000-0000B2810000}"/>
    <cellStyle name="Normal 2 7 3 6 5" xfId="33200" xr:uid="{00000000-0005-0000-0000-0000B3810000}"/>
    <cellStyle name="Normal 2 7 3 6 5 2" xfId="33201" xr:uid="{00000000-0005-0000-0000-0000B4810000}"/>
    <cellStyle name="Normal 2 7 3 6 5 2 2" xfId="33202" xr:uid="{00000000-0005-0000-0000-0000B5810000}"/>
    <cellStyle name="Normal 2 7 3 6 5 3" xfId="33203" xr:uid="{00000000-0005-0000-0000-0000B6810000}"/>
    <cellStyle name="Normal 2 7 3 6 5 4" xfId="33204" xr:uid="{00000000-0005-0000-0000-0000B7810000}"/>
    <cellStyle name="Normal 2 7 3 6 5 5" xfId="33205" xr:uid="{00000000-0005-0000-0000-0000B8810000}"/>
    <cellStyle name="Normal 2 7 3 6 6" xfId="33206" xr:uid="{00000000-0005-0000-0000-0000B9810000}"/>
    <cellStyle name="Normal 2 7 3 6 6 2" xfId="33207" xr:uid="{00000000-0005-0000-0000-0000BA810000}"/>
    <cellStyle name="Normal 2 7 3 6 6 3" xfId="33208" xr:uid="{00000000-0005-0000-0000-0000BB810000}"/>
    <cellStyle name="Normal 2 7 3 6 6 4" xfId="33209" xr:uid="{00000000-0005-0000-0000-0000BC810000}"/>
    <cellStyle name="Normal 2 7 3 6 7" xfId="33210" xr:uid="{00000000-0005-0000-0000-0000BD810000}"/>
    <cellStyle name="Normal 2 7 3 6 7 2" xfId="33211" xr:uid="{00000000-0005-0000-0000-0000BE810000}"/>
    <cellStyle name="Normal 2 7 3 6 8" xfId="33212" xr:uid="{00000000-0005-0000-0000-0000BF810000}"/>
    <cellStyle name="Normal 2 7 3 6 9" xfId="33213" xr:uid="{00000000-0005-0000-0000-0000C0810000}"/>
    <cellStyle name="Normal 2 7 3 7" xfId="33214" xr:uid="{00000000-0005-0000-0000-0000C1810000}"/>
    <cellStyle name="Normal 2 7 3 7 10" xfId="33215" xr:uid="{00000000-0005-0000-0000-0000C2810000}"/>
    <cellStyle name="Normal 2 7 3 7 11" xfId="33216" xr:uid="{00000000-0005-0000-0000-0000C3810000}"/>
    <cellStyle name="Normal 2 7 3 7 2" xfId="33217" xr:uid="{00000000-0005-0000-0000-0000C4810000}"/>
    <cellStyle name="Normal 2 7 3 7 2 2" xfId="33218" xr:uid="{00000000-0005-0000-0000-0000C5810000}"/>
    <cellStyle name="Normal 2 7 3 7 2 2 2" xfId="33219" xr:uid="{00000000-0005-0000-0000-0000C6810000}"/>
    <cellStyle name="Normal 2 7 3 7 2 2 2 2" xfId="33220" xr:uid="{00000000-0005-0000-0000-0000C7810000}"/>
    <cellStyle name="Normal 2 7 3 7 2 2 2 3" xfId="33221" xr:uid="{00000000-0005-0000-0000-0000C8810000}"/>
    <cellStyle name="Normal 2 7 3 7 2 2 3" xfId="33222" xr:uid="{00000000-0005-0000-0000-0000C9810000}"/>
    <cellStyle name="Normal 2 7 3 7 2 2 4" xfId="33223" xr:uid="{00000000-0005-0000-0000-0000CA810000}"/>
    <cellStyle name="Normal 2 7 3 7 2 2 5" xfId="33224" xr:uid="{00000000-0005-0000-0000-0000CB810000}"/>
    <cellStyle name="Normal 2 7 3 7 2 2 6" xfId="33225" xr:uid="{00000000-0005-0000-0000-0000CC810000}"/>
    <cellStyle name="Normal 2 7 3 7 2 3" xfId="33226" xr:uid="{00000000-0005-0000-0000-0000CD810000}"/>
    <cellStyle name="Normal 2 7 3 7 2 3 2" xfId="33227" xr:uid="{00000000-0005-0000-0000-0000CE810000}"/>
    <cellStyle name="Normal 2 7 3 7 2 3 2 2" xfId="33228" xr:uid="{00000000-0005-0000-0000-0000CF810000}"/>
    <cellStyle name="Normal 2 7 3 7 2 3 3" xfId="33229" xr:uid="{00000000-0005-0000-0000-0000D0810000}"/>
    <cellStyle name="Normal 2 7 3 7 2 3 4" xfId="33230" xr:uid="{00000000-0005-0000-0000-0000D1810000}"/>
    <cellStyle name="Normal 2 7 3 7 2 3 5" xfId="33231" xr:uid="{00000000-0005-0000-0000-0000D2810000}"/>
    <cellStyle name="Normal 2 7 3 7 2 4" xfId="33232" xr:uid="{00000000-0005-0000-0000-0000D3810000}"/>
    <cellStyle name="Normal 2 7 3 7 2 4 2" xfId="33233" xr:uid="{00000000-0005-0000-0000-0000D4810000}"/>
    <cellStyle name="Normal 2 7 3 7 2 4 3" xfId="33234" xr:uid="{00000000-0005-0000-0000-0000D5810000}"/>
    <cellStyle name="Normal 2 7 3 7 2 4 4" xfId="33235" xr:uid="{00000000-0005-0000-0000-0000D6810000}"/>
    <cellStyle name="Normal 2 7 3 7 2 5" xfId="33236" xr:uid="{00000000-0005-0000-0000-0000D7810000}"/>
    <cellStyle name="Normal 2 7 3 7 2 5 2" xfId="33237" xr:uid="{00000000-0005-0000-0000-0000D8810000}"/>
    <cellStyle name="Normal 2 7 3 7 2 6" xfId="33238" xr:uid="{00000000-0005-0000-0000-0000D9810000}"/>
    <cellStyle name="Normal 2 7 3 7 2 7" xfId="33239" xr:uid="{00000000-0005-0000-0000-0000DA810000}"/>
    <cellStyle name="Normal 2 7 3 7 2 8" xfId="33240" xr:uid="{00000000-0005-0000-0000-0000DB810000}"/>
    <cellStyle name="Normal 2 7 3 7 2 9" xfId="33241" xr:uid="{00000000-0005-0000-0000-0000DC810000}"/>
    <cellStyle name="Normal 2 7 3 7 3" xfId="33242" xr:uid="{00000000-0005-0000-0000-0000DD810000}"/>
    <cellStyle name="Normal 2 7 3 7 3 2" xfId="33243" xr:uid="{00000000-0005-0000-0000-0000DE810000}"/>
    <cellStyle name="Normal 2 7 3 7 3 2 2" xfId="33244" xr:uid="{00000000-0005-0000-0000-0000DF810000}"/>
    <cellStyle name="Normal 2 7 3 7 3 2 2 2" xfId="33245" xr:uid="{00000000-0005-0000-0000-0000E0810000}"/>
    <cellStyle name="Normal 2 7 3 7 3 2 2 3" xfId="33246" xr:uid="{00000000-0005-0000-0000-0000E1810000}"/>
    <cellStyle name="Normal 2 7 3 7 3 2 3" xfId="33247" xr:uid="{00000000-0005-0000-0000-0000E2810000}"/>
    <cellStyle name="Normal 2 7 3 7 3 2 4" xfId="33248" xr:uid="{00000000-0005-0000-0000-0000E3810000}"/>
    <cellStyle name="Normal 2 7 3 7 3 2 5" xfId="33249" xr:uid="{00000000-0005-0000-0000-0000E4810000}"/>
    <cellStyle name="Normal 2 7 3 7 3 2 6" xfId="33250" xr:uid="{00000000-0005-0000-0000-0000E5810000}"/>
    <cellStyle name="Normal 2 7 3 7 3 3" xfId="33251" xr:uid="{00000000-0005-0000-0000-0000E6810000}"/>
    <cellStyle name="Normal 2 7 3 7 3 3 2" xfId="33252" xr:uid="{00000000-0005-0000-0000-0000E7810000}"/>
    <cellStyle name="Normal 2 7 3 7 3 3 2 2" xfId="33253" xr:uid="{00000000-0005-0000-0000-0000E8810000}"/>
    <cellStyle name="Normal 2 7 3 7 3 3 3" xfId="33254" xr:uid="{00000000-0005-0000-0000-0000E9810000}"/>
    <cellStyle name="Normal 2 7 3 7 3 3 4" xfId="33255" xr:uid="{00000000-0005-0000-0000-0000EA810000}"/>
    <cellStyle name="Normal 2 7 3 7 3 3 5" xfId="33256" xr:uid="{00000000-0005-0000-0000-0000EB810000}"/>
    <cellStyle name="Normal 2 7 3 7 3 4" xfId="33257" xr:uid="{00000000-0005-0000-0000-0000EC810000}"/>
    <cellStyle name="Normal 2 7 3 7 3 4 2" xfId="33258" xr:uid="{00000000-0005-0000-0000-0000ED810000}"/>
    <cellStyle name="Normal 2 7 3 7 3 4 3" xfId="33259" xr:uid="{00000000-0005-0000-0000-0000EE810000}"/>
    <cellStyle name="Normal 2 7 3 7 3 4 4" xfId="33260" xr:uid="{00000000-0005-0000-0000-0000EF810000}"/>
    <cellStyle name="Normal 2 7 3 7 3 5" xfId="33261" xr:uid="{00000000-0005-0000-0000-0000F0810000}"/>
    <cellStyle name="Normal 2 7 3 7 3 5 2" xfId="33262" xr:uid="{00000000-0005-0000-0000-0000F1810000}"/>
    <cellStyle name="Normal 2 7 3 7 3 6" xfId="33263" xr:uid="{00000000-0005-0000-0000-0000F2810000}"/>
    <cellStyle name="Normal 2 7 3 7 3 7" xfId="33264" xr:uid="{00000000-0005-0000-0000-0000F3810000}"/>
    <cellStyle name="Normal 2 7 3 7 3 8" xfId="33265" xr:uid="{00000000-0005-0000-0000-0000F4810000}"/>
    <cellStyle name="Normal 2 7 3 7 3 9" xfId="33266" xr:uid="{00000000-0005-0000-0000-0000F5810000}"/>
    <cellStyle name="Normal 2 7 3 7 4" xfId="33267" xr:uid="{00000000-0005-0000-0000-0000F6810000}"/>
    <cellStyle name="Normal 2 7 3 7 4 2" xfId="33268" xr:uid="{00000000-0005-0000-0000-0000F7810000}"/>
    <cellStyle name="Normal 2 7 3 7 4 2 2" xfId="33269" xr:uid="{00000000-0005-0000-0000-0000F8810000}"/>
    <cellStyle name="Normal 2 7 3 7 4 2 3" xfId="33270" xr:uid="{00000000-0005-0000-0000-0000F9810000}"/>
    <cellStyle name="Normal 2 7 3 7 4 3" xfId="33271" xr:uid="{00000000-0005-0000-0000-0000FA810000}"/>
    <cellStyle name="Normal 2 7 3 7 4 4" xfId="33272" xr:uid="{00000000-0005-0000-0000-0000FB810000}"/>
    <cellStyle name="Normal 2 7 3 7 4 5" xfId="33273" xr:uid="{00000000-0005-0000-0000-0000FC810000}"/>
    <cellStyle name="Normal 2 7 3 7 4 6" xfId="33274" xr:uid="{00000000-0005-0000-0000-0000FD810000}"/>
    <cellStyle name="Normal 2 7 3 7 5" xfId="33275" xr:uid="{00000000-0005-0000-0000-0000FE810000}"/>
    <cellStyle name="Normal 2 7 3 7 5 2" xfId="33276" xr:uid="{00000000-0005-0000-0000-0000FF810000}"/>
    <cellStyle name="Normal 2 7 3 7 5 2 2" xfId="33277" xr:uid="{00000000-0005-0000-0000-000000820000}"/>
    <cellStyle name="Normal 2 7 3 7 5 3" xfId="33278" xr:uid="{00000000-0005-0000-0000-000001820000}"/>
    <cellStyle name="Normal 2 7 3 7 5 4" xfId="33279" xr:uid="{00000000-0005-0000-0000-000002820000}"/>
    <cellStyle name="Normal 2 7 3 7 5 5" xfId="33280" xr:uid="{00000000-0005-0000-0000-000003820000}"/>
    <cellStyle name="Normal 2 7 3 7 6" xfId="33281" xr:uid="{00000000-0005-0000-0000-000004820000}"/>
    <cellStyle name="Normal 2 7 3 7 6 2" xfId="33282" xr:uid="{00000000-0005-0000-0000-000005820000}"/>
    <cellStyle name="Normal 2 7 3 7 6 3" xfId="33283" xr:uid="{00000000-0005-0000-0000-000006820000}"/>
    <cellStyle name="Normal 2 7 3 7 6 4" xfId="33284" xr:uid="{00000000-0005-0000-0000-000007820000}"/>
    <cellStyle name="Normal 2 7 3 7 7" xfId="33285" xr:uid="{00000000-0005-0000-0000-000008820000}"/>
    <cellStyle name="Normal 2 7 3 7 7 2" xfId="33286" xr:uid="{00000000-0005-0000-0000-000009820000}"/>
    <cellStyle name="Normal 2 7 3 7 8" xfId="33287" xr:uid="{00000000-0005-0000-0000-00000A820000}"/>
    <cellStyle name="Normal 2 7 3 7 9" xfId="33288" xr:uid="{00000000-0005-0000-0000-00000B820000}"/>
    <cellStyle name="Normal 2 7 3 8" xfId="33289" xr:uid="{00000000-0005-0000-0000-00000C820000}"/>
    <cellStyle name="Normal 2 7 3 8 10" xfId="33290" xr:uid="{00000000-0005-0000-0000-00000D820000}"/>
    <cellStyle name="Normal 2 7 3 8 2" xfId="33291" xr:uid="{00000000-0005-0000-0000-00000E820000}"/>
    <cellStyle name="Normal 2 7 3 8 2 2" xfId="33292" xr:uid="{00000000-0005-0000-0000-00000F820000}"/>
    <cellStyle name="Normal 2 7 3 8 2 2 2" xfId="33293" xr:uid="{00000000-0005-0000-0000-000010820000}"/>
    <cellStyle name="Normal 2 7 3 8 2 2 3" xfId="33294" xr:uid="{00000000-0005-0000-0000-000011820000}"/>
    <cellStyle name="Normal 2 7 3 8 2 3" xfId="33295" xr:uid="{00000000-0005-0000-0000-000012820000}"/>
    <cellStyle name="Normal 2 7 3 8 2 4" xfId="33296" xr:uid="{00000000-0005-0000-0000-000013820000}"/>
    <cellStyle name="Normal 2 7 3 8 2 5" xfId="33297" xr:uid="{00000000-0005-0000-0000-000014820000}"/>
    <cellStyle name="Normal 2 7 3 8 2 6" xfId="33298" xr:uid="{00000000-0005-0000-0000-000015820000}"/>
    <cellStyle name="Normal 2 7 3 8 3" xfId="33299" xr:uid="{00000000-0005-0000-0000-000016820000}"/>
    <cellStyle name="Normal 2 7 3 8 3 2" xfId="33300" xr:uid="{00000000-0005-0000-0000-000017820000}"/>
    <cellStyle name="Normal 2 7 3 8 3 2 2" xfId="33301" xr:uid="{00000000-0005-0000-0000-000018820000}"/>
    <cellStyle name="Normal 2 7 3 8 3 2 3" xfId="33302" xr:uid="{00000000-0005-0000-0000-000019820000}"/>
    <cellStyle name="Normal 2 7 3 8 3 3" xfId="33303" xr:uid="{00000000-0005-0000-0000-00001A820000}"/>
    <cellStyle name="Normal 2 7 3 8 3 4" xfId="33304" xr:uid="{00000000-0005-0000-0000-00001B820000}"/>
    <cellStyle name="Normal 2 7 3 8 3 5" xfId="33305" xr:uid="{00000000-0005-0000-0000-00001C820000}"/>
    <cellStyle name="Normal 2 7 3 8 3 6" xfId="33306" xr:uid="{00000000-0005-0000-0000-00001D820000}"/>
    <cellStyle name="Normal 2 7 3 8 4" xfId="33307" xr:uid="{00000000-0005-0000-0000-00001E820000}"/>
    <cellStyle name="Normal 2 7 3 8 4 2" xfId="33308" xr:uid="{00000000-0005-0000-0000-00001F820000}"/>
    <cellStyle name="Normal 2 7 3 8 4 2 2" xfId="33309" xr:uid="{00000000-0005-0000-0000-000020820000}"/>
    <cellStyle name="Normal 2 7 3 8 4 3" xfId="33310" xr:uid="{00000000-0005-0000-0000-000021820000}"/>
    <cellStyle name="Normal 2 7 3 8 4 4" xfId="33311" xr:uid="{00000000-0005-0000-0000-000022820000}"/>
    <cellStyle name="Normal 2 7 3 8 4 5" xfId="33312" xr:uid="{00000000-0005-0000-0000-000023820000}"/>
    <cellStyle name="Normal 2 7 3 8 5" xfId="33313" xr:uid="{00000000-0005-0000-0000-000024820000}"/>
    <cellStyle name="Normal 2 7 3 8 5 2" xfId="33314" xr:uid="{00000000-0005-0000-0000-000025820000}"/>
    <cellStyle name="Normal 2 7 3 8 5 3" xfId="33315" xr:uid="{00000000-0005-0000-0000-000026820000}"/>
    <cellStyle name="Normal 2 7 3 8 5 4" xfId="33316" xr:uid="{00000000-0005-0000-0000-000027820000}"/>
    <cellStyle name="Normal 2 7 3 8 6" xfId="33317" xr:uid="{00000000-0005-0000-0000-000028820000}"/>
    <cellStyle name="Normal 2 7 3 8 6 2" xfId="33318" xr:uid="{00000000-0005-0000-0000-000029820000}"/>
    <cellStyle name="Normal 2 7 3 8 7" xfId="33319" xr:uid="{00000000-0005-0000-0000-00002A820000}"/>
    <cellStyle name="Normal 2 7 3 8 8" xfId="33320" xr:uid="{00000000-0005-0000-0000-00002B820000}"/>
    <cellStyle name="Normal 2 7 3 8 9" xfId="33321" xr:uid="{00000000-0005-0000-0000-00002C820000}"/>
    <cellStyle name="Normal 2 7 3 9" xfId="33322" xr:uid="{00000000-0005-0000-0000-00002D820000}"/>
    <cellStyle name="Normal 2 7 3 9 10" xfId="33323" xr:uid="{00000000-0005-0000-0000-00002E820000}"/>
    <cellStyle name="Normal 2 7 3 9 2" xfId="33324" xr:uid="{00000000-0005-0000-0000-00002F820000}"/>
    <cellStyle name="Normal 2 7 3 9 2 2" xfId="33325" xr:uid="{00000000-0005-0000-0000-000030820000}"/>
    <cellStyle name="Normal 2 7 3 9 2 2 2" xfId="33326" xr:uid="{00000000-0005-0000-0000-000031820000}"/>
    <cellStyle name="Normal 2 7 3 9 2 2 3" xfId="33327" xr:uid="{00000000-0005-0000-0000-000032820000}"/>
    <cellStyle name="Normal 2 7 3 9 2 3" xfId="33328" xr:uid="{00000000-0005-0000-0000-000033820000}"/>
    <cellStyle name="Normal 2 7 3 9 2 4" xfId="33329" xr:uid="{00000000-0005-0000-0000-000034820000}"/>
    <cellStyle name="Normal 2 7 3 9 2 5" xfId="33330" xr:uid="{00000000-0005-0000-0000-000035820000}"/>
    <cellStyle name="Normal 2 7 3 9 2 6" xfId="33331" xr:uid="{00000000-0005-0000-0000-000036820000}"/>
    <cellStyle name="Normal 2 7 3 9 3" xfId="33332" xr:uid="{00000000-0005-0000-0000-000037820000}"/>
    <cellStyle name="Normal 2 7 3 9 3 2" xfId="33333" xr:uid="{00000000-0005-0000-0000-000038820000}"/>
    <cellStyle name="Normal 2 7 3 9 3 2 2" xfId="33334" xr:uid="{00000000-0005-0000-0000-000039820000}"/>
    <cellStyle name="Normal 2 7 3 9 3 2 3" xfId="33335" xr:uid="{00000000-0005-0000-0000-00003A820000}"/>
    <cellStyle name="Normal 2 7 3 9 3 3" xfId="33336" xr:uid="{00000000-0005-0000-0000-00003B820000}"/>
    <cellStyle name="Normal 2 7 3 9 3 4" xfId="33337" xr:uid="{00000000-0005-0000-0000-00003C820000}"/>
    <cellStyle name="Normal 2 7 3 9 3 5" xfId="33338" xr:uid="{00000000-0005-0000-0000-00003D820000}"/>
    <cellStyle name="Normal 2 7 3 9 3 6" xfId="33339" xr:uid="{00000000-0005-0000-0000-00003E820000}"/>
    <cellStyle name="Normal 2 7 3 9 4" xfId="33340" xr:uid="{00000000-0005-0000-0000-00003F820000}"/>
    <cellStyle name="Normal 2 7 3 9 4 2" xfId="33341" xr:uid="{00000000-0005-0000-0000-000040820000}"/>
    <cellStyle name="Normal 2 7 3 9 4 2 2" xfId="33342" xr:uid="{00000000-0005-0000-0000-000041820000}"/>
    <cellStyle name="Normal 2 7 3 9 4 3" xfId="33343" xr:uid="{00000000-0005-0000-0000-000042820000}"/>
    <cellStyle name="Normal 2 7 3 9 4 4" xfId="33344" xr:uid="{00000000-0005-0000-0000-000043820000}"/>
    <cellStyle name="Normal 2 7 3 9 4 5" xfId="33345" xr:uid="{00000000-0005-0000-0000-000044820000}"/>
    <cellStyle name="Normal 2 7 3 9 5" xfId="33346" xr:uid="{00000000-0005-0000-0000-000045820000}"/>
    <cellStyle name="Normal 2 7 3 9 5 2" xfId="33347" xr:uid="{00000000-0005-0000-0000-000046820000}"/>
    <cellStyle name="Normal 2 7 3 9 5 3" xfId="33348" xr:uid="{00000000-0005-0000-0000-000047820000}"/>
    <cellStyle name="Normal 2 7 3 9 5 4" xfId="33349" xr:uid="{00000000-0005-0000-0000-000048820000}"/>
    <cellStyle name="Normal 2 7 3 9 6" xfId="33350" xr:uid="{00000000-0005-0000-0000-000049820000}"/>
    <cellStyle name="Normal 2 7 3 9 6 2" xfId="33351" xr:uid="{00000000-0005-0000-0000-00004A820000}"/>
    <cellStyle name="Normal 2 7 3 9 7" xfId="33352" xr:uid="{00000000-0005-0000-0000-00004B820000}"/>
    <cellStyle name="Normal 2 7 3 9 8" xfId="33353" xr:uid="{00000000-0005-0000-0000-00004C820000}"/>
    <cellStyle name="Normal 2 7 3 9 9" xfId="33354" xr:uid="{00000000-0005-0000-0000-00004D820000}"/>
    <cellStyle name="Normal 2 7 30" xfId="33355" xr:uid="{00000000-0005-0000-0000-00004E820000}"/>
    <cellStyle name="Normal 2 7 30 2" xfId="33356" xr:uid="{00000000-0005-0000-0000-00004F820000}"/>
    <cellStyle name="Normal 2 7 30 2 2" xfId="33357" xr:uid="{00000000-0005-0000-0000-000050820000}"/>
    <cellStyle name="Normal 2 7 30 2 2 2" xfId="33358" xr:uid="{00000000-0005-0000-0000-000051820000}"/>
    <cellStyle name="Normal 2 7 30 2 2 3" xfId="33359" xr:uid="{00000000-0005-0000-0000-000052820000}"/>
    <cellStyle name="Normal 2 7 30 2 3" xfId="33360" xr:uid="{00000000-0005-0000-0000-000053820000}"/>
    <cellStyle name="Normal 2 7 30 2 4" xfId="33361" xr:uid="{00000000-0005-0000-0000-000054820000}"/>
    <cellStyle name="Normal 2 7 30 2 5" xfId="33362" xr:uid="{00000000-0005-0000-0000-000055820000}"/>
    <cellStyle name="Normal 2 7 30 2 6" xfId="33363" xr:uid="{00000000-0005-0000-0000-000056820000}"/>
    <cellStyle name="Normal 2 7 30 3" xfId="33364" xr:uid="{00000000-0005-0000-0000-000057820000}"/>
    <cellStyle name="Normal 2 7 30 3 2" xfId="33365" xr:uid="{00000000-0005-0000-0000-000058820000}"/>
    <cellStyle name="Normal 2 7 30 3 2 2" xfId="33366" xr:uid="{00000000-0005-0000-0000-000059820000}"/>
    <cellStyle name="Normal 2 7 30 3 3" xfId="33367" xr:uid="{00000000-0005-0000-0000-00005A820000}"/>
    <cellStyle name="Normal 2 7 30 3 4" xfId="33368" xr:uid="{00000000-0005-0000-0000-00005B820000}"/>
    <cellStyle name="Normal 2 7 30 3 5" xfId="33369" xr:uid="{00000000-0005-0000-0000-00005C820000}"/>
    <cellStyle name="Normal 2 7 30 4" xfId="33370" xr:uid="{00000000-0005-0000-0000-00005D820000}"/>
    <cellStyle name="Normal 2 7 30 4 2" xfId="33371" xr:uid="{00000000-0005-0000-0000-00005E820000}"/>
    <cellStyle name="Normal 2 7 30 4 3" xfId="33372" xr:uid="{00000000-0005-0000-0000-00005F820000}"/>
    <cellStyle name="Normal 2 7 30 4 4" xfId="33373" xr:uid="{00000000-0005-0000-0000-000060820000}"/>
    <cellStyle name="Normal 2 7 30 5" xfId="33374" xr:uid="{00000000-0005-0000-0000-000061820000}"/>
    <cellStyle name="Normal 2 7 30 5 2" xfId="33375" xr:uid="{00000000-0005-0000-0000-000062820000}"/>
    <cellStyle name="Normal 2 7 30 6" xfId="33376" xr:uid="{00000000-0005-0000-0000-000063820000}"/>
    <cellStyle name="Normal 2 7 30 7" xfId="33377" xr:uid="{00000000-0005-0000-0000-000064820000}"/>
    <cellStyle name="Normal 2 7 30 8" xfId="33378" xr:uid="{00000000-0005-0000-0000-000065820000}"/>
    <cellStyle name="Normal 2 7 30 9" xfId="33379" xr:uid="{00000000-0005-0000-0000-000066820000}"/>
    <cellStyle name="Normal 2 7 31" xfId="33380" xr:uid="{00000000-0005-0000-0000-000067820000}"/>
    <cellStyle name="Normal 2 7 31 2" xfId="33381" xr:uid="{00000000-0005-0000-0000-000068820000}"/>
    <cellStyle name="Normal 2 7 31 2 2" xfId="33382" xr:uid="{00000000-0005-0000-0000-000069820000}"/>
    <cellStyle name="Normal 2 7 31 2 2 2" xfId="33383" xr:uid="{00000000-0005-0000-0000-00006A820000}"/>
    <cellStyle name="Normal 2 7 31 2 2 3" xfId="33384" xr:uid="{00000000-0005-0000-0000-00006B820000}"/>
    <cellStyle name="Normal 2 7 31 2 3" xfId="33385" xr:uid="{00000000-0005-0000-0000-00006C820000}"/>
    <cellStyle name="Normal 2 7 31 2 4" xfId="33386" xr:uid="{00000000-0005-0000-0000-00006D820000}"/>
    <cellStyle name="Normal 2 7 31 2 5" xfId="33387" xr:uid="{00000000-0005-0000-0000-00006E820000}"/>
    <cellStyle name="Normal 2 7 31 2 6" xfId="33388" xr:uid="{00000000-0005-0000-0000-00006F820000}"/>
    <cellStyle name="Normal 2 7 31 3" xfId="33389" xr:uid="{00000000-0005-0000-0000-000070820000}"/>
    <cellStyle name="Normal 2 7 31 3 2" xfId="33390" xr:uid="{00000000-0005-0000-0000-000071820000}"/>
    <cellStyle name="Normal 2 7 31 3 2 2" xfId="33391" xr:uid="{00000000-0005-0000-0000-000072820000}"/>
    <cellStyle name="Normal 2 7 31 3 3" xfId="33392" xr:uid="{00000000-0005-0000-0000-000073820000}"/>
    <cellStyle name="Normal 2 7 31 3 4" xfId="33393" xr:uid="{00000000-0005-0000-0000-000074820000}"/>
    <cellStyle name="Normal 2 7 31 3 5" xfId="33394" xr:uid="{00000000-0005-0000-0000-000075820000}"/>
    <cellStyle name="Normal 2 7 31 4" xfId="33395" xr:uid="{00000000-0005-0000-0000-000076820000}"/>
    <cellStyle name="Normal 2 7 31 4 2" xfId="33396" xr:uid="{00000000-0005-0000-0000-000077820000}"/>
    <cellStyle name="Normal 2 7 31 4 3" xfId="33397" xr:uid="{00000000-0005-0000-0000-000078820000}"/>
    <cellStyle name="Normal 2 7 31 4 4" xfId="33398" xr:uid="{00000000-0005-0000-0000-000079820000}"/>
    <cellStyle name="Normal 2 7 31 5" xfId="33399" xr:uid="{00000000-0005-0000-0000-00007A820000}"/>
    <cellStyle name="Normal 2 7 31 5 2" xfId="33400" xr:uid="{00000000-0005-0000-0000-00007B820000}"/>
    <cellStyle name="Normal 2 7 31 6" xfId="33401" xr:uid="{00000000-0005-0000-0000-00007C820000}"/>
    <cellStyle name="Normal 2 7 31 7" xfId="33402" xr:uid="{00000000-0005-0000-0000-00007D820000}"/>
    <cellStyle name="Normal 2 7 31 8" xfId="33403" xr:uid="{00000000-0005-0000-0000-00007E820000}"/>
    <cellStyle name="Normal 2 7 31 9" xfId="33404" xr:uid="{00000000-0005-0000-0000-00007F820000}"/>
    <cellStyle name="Normal 2 7 32" xfId="33405" xr:uid="{00000000-0005-0000-0000-000080820000}"/>
    <cellStyle name="Normal 2 7 32 2" xfId="33406" xr:uid="{00000000-0005-0000-0000-000081820000}"/>
    <cellStyle name="Normal 2 7 32 2 2" xfId="33407" xr:uid="{00000000-0005-0000-0000-000082820000}"/>
    <cellStyle name="Normal 2 7 32 2 3" xfId="33408" xr:uid="{00000000-0005-0000-0000-000083820000}"/>
    <cellStyle name="Normal 2 7 32 3" xfId="33409" xr:uid="{00000000-0005-0000-0000-000084820000}"/>
    <cellStyle name="Normal 2 7 32 4" xfId="33410" xr:uid="{00000000-0005-0000-0000-000085820000}"/>
    <cellStyle name="Normal 2 7 32 5" xfId="33411" xr:uid="{00000000-0005-0000-0000-000086820000}"/>
    <cellStyle name="Normal 2 7 32 6" xfId="33412" xr:uid="{00000000-0005-0000-0000-000087820000}"/>
    <cellStyle name="Normal 2 7 33" xfId="33413" xr:uid="{00000000-0005-0000-0000-000088820000}"/>
    <cellStyle name="Normal 2 7 33 2" xfId="33414" xr:uid="{00000000-0005-0000-0000-000089820000}"/>
    <cellStyle name="Normal 2 7 33 2 2" xfId="33415" xr:uid="{00000000-0005-0000-0000-00008A820000}"/>
    <cellStyle name="Normal 2 7 33 3" xfId="33416" xr:uid="{00000000-0005-0000-0000-00008B820000}"/>
    <cellStyle name="Normal 2 7 33 4" xfId="33417" xr:uid="{00000000-0005-0000-0000-00008C820000}"/>
    <cellStyle name="Normal 2 7 33 5" xfId="33418" xr:uid="{00000000-0005-0000-0000-00008D820000}"/>
    <cellStyle name="Normal 2 7 34" xfId="33419" xr:uid="{00000000-0005-0000-0000-00008E820000}"/>
    <cellStyle name="Normal 2 7 34 2" xfId="33420" xr:uid="{00000000-0005-0000-0000-00008F820000}"/>
    <cellStyle name="Normal 2 7 34 2 2" xfId="33421" xr:uid="{00000000-0005-0000-0000-000090820000}"/>
    <cellStyle name="Normal 2 7 34 3" xfId="33422" xr:uid="{00000000-0005-0000-0000-000091820000}"/>
    <cellStyle name="Normal 2 7 34 4" xfId="33423" xr:uid="{00000000-0005-0000-0000-000092820000}"/>
    <cellStyle name="Normal 2 7 34 5" xfId="33424" xr:uid="{00000000-0005-0000-0000-000093820000}"/>
    <cellStyle name="Normal 2 7 35" xfId="33425" xr:uid="{00000000-0005-0000-0000-000094820000}"/>
    <cellStyle name="Normal 2 7 35 2" xfId="33426" xr:uid="{00000000-0005-0000-0000-000095820000}"/>
    <cellStyle name="Normal 2 7 36" xfId="33427" xr:uid="{00000000-0005-0000-0000-000096820000}"/>
    <cellStyle name="Normal 2 7 37" xfId="33428" xr:uid="{00000000-0005-0000-0000-000097820000}"/>
    <cellStyle name="Normal 2 7 38" xfId="33429" xr:uid="{00000000-0005-0000-0000-000098820000}"/>
    <cellStyle name="Normal 2 7 39" xfId="33430" xr:uid="{00000000-0005-0000-0000-000099820000}"/>
    <cellStyle name="Normal 2 7 4" xfId="33431" xr:uid="{00000000-0005-0000-0000-00009A820000}"/>
    <cellStyle name="Normal 2 7 4 10" xfId="33432" xr:uid="{00000000-0005-0000-0000-00009B820000}"/>
    <cellStyle name="Normal 2 7 4 10 10" xfId="33433" xr:uid="{00000000-0005-0000-0000-00009C820000}"/>
    <cellStyle name="Normal 2 7 4 10 2" xfId="33434" xr:uid="{00000000-0005-0000-0000-00009D820000}"/>
    <cellStyle name="Normal 2 7 4 10 2 2" xfId="33435" xr:uid="{00000000-0005-0000-0000-00009E820000}"/>
    <cellStyle name="Normal 2 7 4 10 2 2 2" xfId="33436" xr:uid="{00000000-0005-0000-0000-00009F820000}"/>
    <cellStyle name="Normal 2 7 4 10 2 2 3" xfId="33437" xr:uid="{00000000-0005-0000-0000-0000A0820000}"/>
    <cellStyle name="Normal 2 7 4 10 2 3" xfId="33438" xr:uid="{00000000-0005-0000-0000-0000A1820000}"/>
    <cellStyle name="Normal 2 7 4 10 2 4" xfId="33439" xr:uid="{00000000-0005-0000-0000-0000A2820000}"/>
    <cellStyle name="Normal 2 7 4 10 2 5" xfId="33440" xr:uid="{00000000-0005-0000-0000-0000A3820000}"/>
    <cellStyle name="Normal 2 7 4 10 2 6" xfId="33441" xr:uid="{00000000-0005-0000-0000-0000A4820000}"/>
    <cellStyle name="Normal 2 7 4 10 3" xfId="33442" xr:uid="{00000000-0005-0000-0000-0000A5820000}"/>
    <cellStyle name="Normal 2 7 4 10 3 2" xfId="33443" xr:uid="{00000000-0005-0000-0000-0000A6820000}"/>
    <cellStyle name="Normal 2 7 4 10 3 2 2" xfId="33444" xr:uid="{00000000-0005-0000-0000-0000A7820000}"/>
    <cellStyle name="Normal 2 7 4 10 3 2 3" xfId="33445" xr:uid="{00000000-0005-0000-0000-0000A8820000}"/>
    <cellStyle name="Normal 2 7 4 10 3 3" xfId="33446" xr:uid="{00000000-0005-0000-0000-0000A9820000}"/>
    <cellStyle name="Normal 2 7 4 10 3 4" xfId="33447" xr:uid="{00000000-0005-0000-0000-0000AA820000}"/>
    <cellStyle name="Normal 2 7 4 10 3 5" xfId="33448" xr:uid="{00000000-0005-0000-0000-0000AB820000}"/>
    <cellStyle name="Normal 2 7 4 10 3 6" xfId="33449" xr:uid="{00000000-0005-0000-0000-0000AC820000}"/>
    <cellStyle name="Normal 2 7 4 10 4" xfId="33450" xr:uid="{00000000-0005-0000-0000-0000AD820000}"/>
    <cellStyle name="Normal 2 7 4 10 4 2" xfId="33451" xr:uid="{00000000-0005-0000-0000-0000AE820000}"/>
    <cellStyle name="Normal 2 7 4 10 4 2 2" xfId="33452" xr:uid="{00000000-0005-0000-0000-0000AF820000}"/>
    <cellStyle name="Normal 2 7 4 10 4 3" xfId="33453" xr:uid="{00000000-0005-0000-0000-0000B0820000}"/>
    <cellStyle name="Normal 2 7 4 10 4 4" xfId="33454" xr:uid="{00000000-0005-0000-0000-0000B1820000}"/>
    <cellStyle name="Normal 2 7 4 10 4 5" xfId="33455" xr:uid="{00000000-0005-0000-0000-0000B2820000}"/>
    <cellStyle name="Normal 2 7 4 10 5" xfId="33456" xr:uid="{00000000-0005-0000-0000-0000B3820000}"/>
    <cellStyle name="Normal 2 7 4 10 5 2" xfId="33457" xr:uid="{00000000-0005-0000-0000-0000B4820000}"/>
    <cellStyle name="Normal 2 7 4 10 5 3" xfId="33458" xr:uid="{00000000-0005-0000-0000-0000B5820000}"/>
    <cellStyle name="Normal 2 7 4 10 5 4" xfId="33459" xr:uid="{00000000-0005-0000-0000-0000B6820000}"/>
    <cellStyle name="Normal 2 7 4 10 6" xfId="33460" xr:uid="{00000000-0005-0000-0000-0000B7820000}"/>
    <cellStyle name="Normal 2 7 4 10 6 2" xfId="33461" xr:uid="{00000000-0005-0000-0000-0000B8820000}"/>
    <cellStyle name="Normal 2 7 4 10 7" xfId="33462" xr:uid="{00000000-0005-0000-0000-0000B9820000}"/>
    <cellStyle name="Normal 2 7 4 10 8" xfId="33463" xr:uid="{00000000-0005-0000-0000-0000BA820000}"/>
    <cellStyle name="Normal 2 7 4 10 9" xfId="33464" xr:uid="{00000000-0005-0000-0000-0000BB820000}"/>
    <cellStyle name="Normal 2 7 4 11" xfId="33465" xr:uid="{00000000-0005-0000-0000-0000BC820000}"/>
    <cellStyle name="Normal 2 7 4 11 10" xfId="33466" xr:uid="{00000000-0005-0000-0000-0000BD820000}"/>
    <cellStyle name="Normal 2 7 4 11 2" xfId="33467" xr:uid="{00000000-0005-0000-0000-0000BE820000}"/>
    <cellStyle name="Normal 2 7 4 11 2 2" xfId="33468" xr:uid="{00000000-0005-0000-0000-0000BF820000}"/>
    <cellStyle name="Normal 2 7 4 11 2 2 2" xfId="33469" xr:uid="{00000000-0005-0000-0000-0000C0820000}"/>
    <cellStyle name="Normal 2 7 4 11 2 2 3" xfId="33470" xr:uid="{00000000-0005-0000-0000-0000C1820000}"/>
    <cellStyle name="Normal 2 7 4 11 2 3" xfId="33471" xr:uid="{00000000-0005-0000-0000-0000C2820000}"/>
    <cellStyle name="Normal 2 7 4 11 2 4" xfId="33472" xr:uid="{00000000-0005-0000-0000-0000C3820000}"/>
    <cellStyle name="Normal 2 7 4 11 2 5" xfId="33473" xr:uid="{00000000-0005-0000-0000-0000C4820000}"/>
    <cellStyle name="Normal 2 7 4 11 2 6" xfId="33474" xr:uid="{00000000-0005-0000-0000-0000C5820000}"/>
    <cellStyle name="Normal 2 7 4 11 3" xfId="33475" xr:uid="{00000000-0005-0000-0000-0000C6820000}"/>
    <cellStyle name="Normal 2 7 4 11 3 2" xfId="33476" xr:uid="{00000000-0005-0000-0000-0000C7820000}"/>
    <cellStyle name="Normal 2 7 4 11 3 2 2" xfId="33477" xr:uid="{00000000-0005-0000-0000-0000C8820000}"/>
    <cellStyle name="Normal 2 7 4 11 3 2 3" xfId="33478" xr:uid="{00000000-0005-0000-0000-0000C9820000}"/>
    <cellStyle name="Normal 2 7 4 11 3 3" xfId="33479" xr:uid="{00000000-0005-0000-0000-0000CA820000}"/>
    <cellStyle name="Normal 2 7 4 11 3 4" xfId="33480" xr:uid="{00000000-0005-0000-0000-0000CB820000}"/>
    <cellStyle name="Normal 2 7 4 11 3 5" xfId="33481" xr:uid="{00000000-0005-0000-0000-0000CC820000}"/>
    <cellStyle name="Normal 2 7 4 11 3 6" xfId="33482" xr:uid="{00000000-0005-0000-0000-0000CD820000}"/>
    <cellStyle name="Normal 2 7 4 11 4" xfId="33483" xr:uid="{00000000-0005-0000-0000-0000CE820000}"/>
    <cellStyle name="Normal 2 7 4 11 4 2" xfId="33484" xr:uid="{00000000-0005-0000-0000-0000CF820000}"/>
    <cellStyle name="Normal 2 7 4 11 4 2 2" xfId="33485" xr:uid="{00000000-0005-0000-0000-0000D0820000}"/>
    <cellStyle name="Normal 2 7 4 11 4 3" xfId="33486" xr:uid="{00000000-0005-0000-0000-0000D1820000}"/>
    <cellStyle name="Normal 2 7 4 11 4 4" xfId="33487" xr:uid="{00000000-0005-0000-0000-0000D2820000}"/>
    <cellStyle name="Normal 2 7 4 11 4 5" xfId="33488" xr:uid="{00000000-0005-0000-0000-0000D3820000}"/>
    <cellStyle name="Normal 2 7 4 11 5" xfId="33489" xr:uid="{00000000-0005-0000-0000-0000D4820000}"/>
    <cellStyle name="Normal 2 7 4 11 5 2" xfId="33490" xr:uid="{00000000-0005-0000-0000-0000D5820000}"/>
    <cellStyle name="Normal 2 7 4 11 5 3" xfId="33491" xr:uid="{00000000-0005-0000-0000-0000D6820000}"/>
    <cellStyle name="Normal 2 7 4 11 5 4" xfId="33492" xr:uid="{00000000-0005-0000-0000-0000D7820000}"/>
    <cellStyle name="Normal 2 7 4 11 6" xfId="33493" xr:uid="{00000000-0005-0000-0000-0000D8820000}"/>
    <cellStyle name="Normal 2 7 4 11 6 2" xfId="33494" xr:uid="{00000000-0005-0000-0000-0000D9820000}"/>
    <cellStyle name="Normal 2 7 4 11 7" xfId="33495" xr:uid="{00000000-0005-0000-0000-0000DA820000}"/>
    <cellStyle name="Normal 2 7 4 11 8" xfId="33496" xr:uid="{00000000-0005-0000-0000-0000DB820000}"/>
    <cellStyle name="Normal 2 7 4 11 9" xfId="33497" xr:uid="{00000000-0005-0000-0000-0000DC820000}"/>
    <cellStyle name="Normal 2 7 4 12" xfId="33498" xr:uid="{00000000-0005-0000-0000-0000DD820000}"/>
    <cellStyle name="Normal 2 7 4 12 10" xfId="33499" xr:uid="{00000000-0005-0000-0000-0000DE820000}"/>
    <cellStyle name="Normal 2 7 4 12 2" xfId="33500" xr:uid="{00000000-0005-0000-0000-0000DF820000}"/>
    <cellStyle name="Normal 2 7 4 12 2 2" xfId="33501" xr:uid="{00000000-0005-0000-0000-0000E0820000}"/>
    <cellStyle name="Normal 2 7 4 12 2 2 2" xfId="33502" xr:uid="{00000000-0005-0000-0000-0000E1820000}"/>
    <cellStyle name="Normal 2 7 4 12 2 2 3" xfId="33503" xr:uid="{00000000-0005-0000-0000-0000E2820000}"/>
    <cellStyle name="Normal 2 7 4 12 2 3" xfId="33504" xr:uid="{00000000-0005-0000-0000-0000E3820000}"/>
    <cellStyle name="Normal 2 7 4 12 2 4" xfId="33505" xr:uid="{00000000-0005-0000-0000-0000E4820000}"/>
    <cellStyle name="Normal 2 7 4 12 2 5" xfId="33506" xr:uid="{00000000-0005-0000-0000-0000E5820000}"/>
    <cellStyle name="Normal 2 7 4 12 2 6" xfId="33507" xr:uid="{00000000-0005-0000-0000-0000E6820000}"/>
    <cellStyle name="Normal 2 7 4 12 3" xfId="33508" xr:uid="{00000000-0005-0000-0000-0000E7820000}"/>
    <cellStyle name="Normal 2 7 4 12 3 2" xfId="33509" xr:uid="{00000000-0005-0000-0000-0000E8820000}"/>
    <cellStyle name="Normal 2 7 4 12 3 2 2" xfId="33510" xr:uid="{00000000-0005-0000-0000-0000E9820000}"/>
    <cellStyle name="Normal 2 7 4 12 3 2 3" xfId="33511" xr:uid="{00000000-0005-0000-0000-0000EA820000}"/>
    <cellStyle name="Normal 2 7 4 12 3 3" xfId="33512" xr:uid="{00000000-0005-0000-0000-0000EB820000}"/>
    <cellStyle name="Normal 2 7 4 12 3 4" xfId="33513" xr:uid="{00000000-0005-0000-0000-0000EC820000}"/>
    <cellStyle name="Normal 2 7 4 12 3 5" xfId="33514" xr:uid="{00000000-0005-0000-0000-0000ED820000}"/>
    <cellStyle name="Normal 2 7 4 12 3 6" xfId="33515" xr:uid="{00000000-0005-0000-0000-0000EE820000}"/>
    <cellStyle name="Normal 2 7 4 12 4" xfId="33516" xr:uid="{00000000-0005-0000-0000-0000EF820000}"/>
    <cellStyle name="Normal 2 7 4 12 4 2" xfId="33517" xr:uid="{00000000-0005-0000-0000-0000F0820000}"/>
    <cellStyle name="Normal 2 7 4 12 4 2 2" xfId="33518" xr:uid="{00000000-0005-0000-0000-0000F1820000}"/>
    <cellStyle name="Normal 2 7 4 12 4 3" xfId="33519" xr:uid="{00000000-0005-0000-0000-0000F2820000}"/>
    <cellStyle name="Normal 2 7 4 12 4 4" xfId="33520" xr:uid="{00000000-0005-0000-0000-0000F3820000}"/>
    <cellStyle name="Normal 2 7 4 12 4 5" xfId="33521" xr:uid="{00000000-0005-0000-0000-0000F4820000}"/>
    <cellStyle name="Normal 2 7 4 12 5" xfId="33522" xr:uid="{00000000-0005-0000-0000-0000F5820000}"/>
    <cellStyle name="Normal 2 7 4 12 5 2" xfId="33523" xr:uid="{00000000-0005-0000-0000-0000F6820000}"/>
    <cellStyle name="Normal 2 7 4 12 5 3" xfId="33524" xr:uid="{00000000-0005-0000-0000-0000F7820000}"/>
    <cellStyle name="Normal 2 7 4 12 5 4" xfId="33525" xr:uid="{00000000-0005-0000-0000-0000F8820000}"/>
    <cellStyle name="Normal 2 7 4 12 6" xfId="33526" xr:uid="{00000000-0005-0000-0000-0000F9820000}"/>
    <cellStyle name="Normal 2 7 4 12 6 2" xfId="33527" xr:uid="{00000000-0005-0000-0000-0000FA820000}"/>
    <cellStyle name="Normal 2 7 4 12 7" xfId="33528" xr:uid="{00000000-0005-0000-0000-0000FB820000}"/>
    <cellStyle name="Normal 2 7 4 12 8" xfId="33529" xr:uid="{00000000-0005-0000-0000-0000FC820000}"/>
    <cellStyle name="Normal 2 7 4 12 9" xfId="33530" xr:uid="{00000000-0005-0000-0000-0000FD820000}"/>
    <cellStyle name="Normal 2 7 4 13" xfId="33531" xr:uid="{00000000-0005-0000-0000-0000FE820000}"/>
    <cellStyle name="Normal 2 7 4 13 2" xfId="33532" xr:uid="{00000000-0005-0000-0000-0000FF820000}"/>
    <cellStyle name="Normal 2 7 4 13 2 2" xfId="33533" xr:uid="{00000000-0005-0000-0000-000000830000}"/>
    <cellStyle name="Normal 2 7 4 13 2 2 2" xfId="33534" xr:uid="{00000000-0005-0000-0000-000001830000}"/>
    <cellStyle name="Normal 2 7 4 13 2 2 3" xfId="33535" xr:uid="{00000000-0005-0000-0000-000002830000}"/>
    <cellStyle name="Normal 2 7 4 13 2 3" xfId="33536" xr:uid="{00000000-0005-0000-0000-000003830000}"/>
    <cellStyle name="Normal 2 7 4 13 2 4" xfId="33537" xr:uid="{00000000-0005-0000-0000-000004830000}"/>
    <cellStyle name="Normal 2 7 4 13 2 5" xfId="33538" xr:uid="{00000000-0005-0000-0000-000005830000}"/>
    <cellStyle name="Normal 2 7 4 13 2 6" xfId="33539" xr:uid="{00000000-0005-0000-0000-000006830000}"/>
    <cellStyle name="Normal 2 7 4 13 3" xfId="33540" xr:uid="{00000000-0005-0000-0000-000007830000}"/>
    <cellStyle name="Normal 2 7 4 13 3 2" xfId="33541" xr:uid="{00000000-0005-0000-0000-000008830000}"/>
    <cellStyle name="Normal 2 7 4 13 3 2 2" xfId="33542" xr:uid="{00000000-0005-0000-0000-000009830000}"/>
    <cellStyle name="Normal 2 7 4 13 3 3" xfId="33543" xr:uid="{00000000-0005-0000-0000-00000A830000}"/>
    <cellStyle name="Normal 2 7 4 13 3 4" xfId="33544" xr:uid="{00000000-0005-0000-0000-00000B830000}"/>
    <cellStyle name="Normal 2 7 4 13 3 5" xfId="33545" xr:uid="{00000000-0005-0000-0000-00000C830000}"/>
    <cellStyle name="Normal 2 7 4 13 4" xfId="33546" xr:uid="{00000000-0005-0000-0000-00000D830000}"/>
    <cellStyle name="Normal 2 7 4 13 4 2" xfId="33547" xr:uid="{00000000-0005-0000-0000-00000E830000}"/>
    <cellStyle name="Normal 2 7 4 13 4 3" xfId="33548" xr:uid="{00000000-0005-0000-0000-00000F830000}"/>
    <cellStyle name="Normal 2 7 4 13 4 4" xfId="33549" xr:uid="{00000000-0005-0000-0000-000010830000}"/>
    <cellStyle name="Normal 2 7 4 13 5" xfId="33550" xr:uid="{00000000-0005-0000-0000-000011830000}"/>
    <cellStyle name="Normal 2 7 4 13 5 2" xfId="33551" xr:uid="{00000000-0005-0000-0000-000012830000}"/>
    <cellStyle name="Normal 2 7 4 13 6" xfId="33552" xr:uid="{00000000-0005-0000-0000-000013830000}"/>
    <cellStyle name="Normal 2 7 4 13 7" xfId="33553" xr:uid="{00000000-0005-0000-0000-000014830000}"/>
    <cellStyle name="Normal 2 7 4 13 8" xfId="33554" xr:uid="{00000000-0005-0000-0000-000015830000}"/>
    <cellStyle name="Normal 2 7 4 13 9" xfId="33555" xr:uid="{00000000-0005-0000-0000-000016830000}"/>
    <cellStyle name="Normal 2 7 4 14" xfId="33556" xr:uid="{00000000-0005-0000-0000-000017830000}"/>
    <cellStyle name="Normal 2 7 4 14 2" xfId="33557" xr:uid="{00000000-0005-0000-0000-000018830000}"/>
    <cellStyle name="Normal 2 7 4 14 2 2" xfId="33558" xr:uid="{00000000-0005-0000-0000-000019830000}"/>
    <cellStyle name="Normal 2 7 4 14 2 2 2" xfId="33559" xr:uid="{00000000-0005-0000-0000-00001A830000}"/>
    <cellStyle name="Normal 2 7 4 14 2 2 3" xfId="33560" xr:uid="{00000000-0005-0000-0000-00001B830000}"/>
    <cellStyle name="Normal 2 7 4 14 2 3" xfId="33561" xr:uid="{00000000-0005-0000-0000-00001C830000}"/>
    <cellStyle name="Normal 2 7 4 14 2 4" xfId="33562" xr:uid="{00000000-0005-0000-0000-00001D830000}"/>
    <cellStyle name="Normal 2 7 4 14 2 5" xfId="33563" xr:uid="{00000000-0005-0000-0000-00001E830000}"/>
    <cellStyle name="Normal 2 7 4 14 2 6" xfId="33564" xr:uid="{00000000-0005-0000-0000-00001F830000}"/>
    <cellStyle name="Normal 2 7 4 14 3" xfId="33565" xr:uid="{00000000-0005-0000-0000-000020830000}"/>
    <cellStyle name="Normal 2 7 4 14 3 2" xfId="33566" xr:uid="{00000000-0005-0000-0000-000021830000}"/>
    <cellStyle name="Normal 2 7 4 14 3 2 2" xfId="33567" xr:uid="{00000000-0005-0000-0000-000022830000}"/>
    <cellStyle name="Normal 2 7 4 14 3 3" xfId="33568" xr:uid="{00000000-0005-0000-0000-000023830000}"/>
    <cellStyle name="Normal 2 7 4 14 3 4" xfId="33569" xr:uid="{00000000-0005-0000-0000-000024830000}"/>
    <cellStyle name="Normal 2 7 4 14 3 5" xfId="33570" xr:uid="{00000000-0005-0000-0000-000025830000}"/>
    <cellStyle name="Normal 2 7 4 14 4" xfId="33571" xr:uid="{00000000-0005-0000-0000-000026830000}"/>
    <cellStyle name="Normal 2 7 4 14 4 2" xfId="33572" xr:uid="{00000000-0005-0000-0000-000027830000}"/>
    <cellStyle name="Normal 2 7 4 14 4 3" xfId="33573" xr:uid="{00000000-0005-0000-0000-000028830000}"/>
    <cellStyle name="Normal 2 7 4 14 4 4" xfId="33574" xr:uid="{00000000-0005-0000-0000-000029830000}"/>
    <cellStyle name="Normal 2 7 4 14 5" xfId="33575" xr:uid="{00000000-0005-0000-0000-00002A830000}"/>
    <cellStyle name="Normal 2 7 4 14 5 2" xfId="33576" xr:uid="{00000000-0005-0000-0000-00002B830000}"/>
    <cellStyle name="Normal 2 7 4 14 6" xfId="33577" xr:uid="{00000000-0005-0000-0000-00002C830000}"/>
    <cellStyle name="Normal 2 7 4 14 7" xfId="33578" xr:uid="{00000000-0005-0000-0000-00002D830000}"/>
    <cellStyle name="Normal 2 7 4 14 8" xfId="33579" xr:uid="{00000000-0005-0000-0000-00002E830000}"/>
    <cellStyle name="Normal 2 7 4 14 9" xfId="33580" xr:uid="{00000000-0005-0000-0000-00002F830000}"/>
    <cellStyle name="Normal 2 7 4 15" xfId="33581" xr:uid="{00000000-0005-0000-0000-000030830000}"/>
    <cellStyle name="Normal 2 7 4 15 2" xfId="33582" xr:uid="{00000000-0005-0000-0000-000031830000}"/>
    <cellStyle name="Normal 2 7 4 15 2 2" xfId="33583" xr:uid="{00000000-0005-0000-0000-000032830000}"/>
    <cellStyle name="Normal 2 7 4 15 2 3" xfId="33584" xr:uid="{00000000-0005-0000-0000-000033830000}"/>
    <cellStyle name="Normal 2 7 4 15 3" xfId="33585" xr:uid="{00000000-0005-0000-0000-000034830000}"/>
    <cellStyle name="Normal 2 7 4 15 4" xfId="33586" xr:uid="{00000000-0005-0000-0000-000035830000}"/>
    <cellStyle name="Normal 2 7 4 15 5" xfId="33587" xr:uid="{00000000-0005-0000-0000-000036830000}"/>
    <cellStyle name="Normal 2 7 4 15 6" xfId="33588" xr:uid="{00000000-0005-0000-0000-000037830000}"/>
    <cellStyle name="Normal 2 7 4 16" xfId="33589" xr:uid="{00000000-0005-0000-0000-000038830000}"/>
    <cellStyle name="Normal 2 7 4 16 2" xfId="33590" xr:uid="{00000000-0005-0000-0000-000039830000}"/>
    <cellStyle name="Normal 2 7 4 16 2 2" xfId="33591" xr:uid="{00000000-0005-0000-0000-00003A830000}"/>
    <cellStyle name="Normal 2 7 4 16 3" xfId="33592" xr:uid="{00000000-0005-0000-0000-00003B830000}"/>
    <cellStyle name="Normal 2 7 4 16 4" xfId="33593" xr:uid="{00000000-0005-0000-0000-00003C830000}"/>
    <cellStyle name="Normal 2 7 4 16 5" xfId="33594" xr:uid="{00000000-0005-0000-0000-00003D830000}"/>
    <cellStyle name="Normal 2 7 4 17" xfId="33595" xr:uid="{00000000-0005-0000-0000-00003E830000}"/>
    <cellStyle name="Normal 2 7 4 17 2" xfId="33596" xr:uid="{00000000-0005-0000-0000-00003F830000}"/>
    <cellStyle name="Normal 2 7 4 17 2 2" xfId="33597" xr:uid="{00000000-0005-0000-0000-000040830000}"/>
    <cellStyle name="Normal 2 7 4 17 3" xfId="33598" xr:uid="{00000000-0005-0000-0000-000041830000}"/>
    <cellStyle name="Normal 2 7 4 17 4" xfId="33599" xr:uid="{00000000-0005-0000-0000-000042830000}"/>
    <cellStyle name="Normal 2 7 4 17 5" xfId="33600" xr:uid="{00000000-0005-0000-0000-000043830000}"/>
    <cellStyle name="Normal 2 7 4 18" xfId="33601" xr:uid="{00000000-0005-0000-0000-000044830000}"/>
    <cellStyle name="Normal 2 7 4 18 2" xfId="33602" xr:uid="{00000000-0005-0000-0000-000045830000}"/>
    <cellStyle name="Normal 2 7 4 19" xfId="33603" xr:uid="{00000000-0005-0000-0000-000046830000}"/>
    <cellStyle name="Normal 2 7 4 2" xfId="33604" xr:uid="{00000000-0005-0000-0000-000047830000}"/>
    <cellStyle name="Normal 2 7 4 2 10" xfId="33605" xr:uid="{00000000-0005-0000-0000-000048830000}"/>
    <cellStyle name="Normal 2 7 4 2 11" xfId="33606" xr:uid="{00000000-0005-0000-0000-000049830000}"/>
    <cellStyle name="Normal 2 7 4 2 2" xfId="33607" xr:uid="{00000000-0005-0000-0000-00004A830000}"/>
    <cellStyle name="Normal 2 7 4 2 2 2" xfId="33608" xr:uid="{00000000-0005-0000-0000-00004B830000}"/>
    <cellStyle name="Normal 2 7 4 2 2 2 2" xfId="33609" xr:uid="{00000000-0005-0000-0000-00004C830000}"/>
    <cellStyle name="Normal 2 7 4 2 2 2 2 2" xfId="33610" xr:uid="{00000000-0005-0000-0000-00004D830000}"/>
    <cellStyle name="Normal 2 7 4 2 2 2 2 3" xfId="33611" xr:uid="{00000000-0005-0000-0000-00004E830000}"/>
    <cellStyle name="Normal 2 7 4 2 2 2 3" xfId="33612" xr:uid="{00000000-0005-0000-0000-00004F830000}"/>
    <cellStyle name="Normal 2 7 4 2 2 2 4" xfId="33613" xr:uid="{00000000-0005-0000-0000-000050830000}"/>
    <cellStyle name="Normal 2 7 4 2 2 2 5" xfId="33614" xr:uid="{00000000-0005-0000-0000-000051830000}"/>
    <cellStyle name="Normal 2 7 4 2 2 2 6" xfId="33615" xr:uid="{00000000-0005-0000-0000-000052830000}"/>
    <cellStyle name="Normal 2 7 4 2 2 3" xfId="33616" xr:uid="{00000000-0005-0000-0000-000053830000}"/>
    <cellStyle name="Normal 2 7 4 2 2 3 2" xfId="33617" xr:uid="{00000000-0005-0000-0000-000054830000}"/>
    <cellStyle name="Normal 2 7 4 2 2 3 2 2" xfId="33618" xr:uid="{00000000-0005-0000-0000-000055830000}"/>
    <cellStyle name="Normal 2 7 4 2 2 3 3" xfId="33619" xr:uid="{00000000-0005-0000-0000-000056830000}"/>
    <cellStyle name="Normal 2 7 4 2 2 3 4" xfId="33620" xr:uid="{00000000-0005-0000-0000-000057830000}"/>
    <cellStyle name="Normal 2 7 4 2 2 3 5" xfId="33621" xr:uid="{00000000-0005-0000-0000-000058830000}"/>
    <cellStyle name="Normal 2 7 4 2 2 4" xfId="33622" xr:uid="{00000000-0005-0000-0000-000059830000}"/>
    <cellStyle name="Normal 2 7 4 2 2 4 2" xfId="33623" xr:uid="{00000000-0005-0000-0000-00005A830000}"/>
    <cellStyle name="Normal 2 7 4 2 2 4 3" xfId="33624" xr:uid="{00000000-0005-0000-0000-00005B830000}"/>
    <cellStyle name="Normal 2 7 4 2 2 4 4" xfId="33625" xr:uid="{00000000-0005-0000-0000-00005C830000}"/>
    <cellStyle name="Normal 2 7 4 2 2 5" xfId="33626" xr:uid="{00000000-0005-0000-0000-00005D830000}"/>
    <cellStyle name="Normal 2 7 4 2 2 5 2" xfId="33627" xr:uid="{00000000-0005-0000-0000-00005E830000}"/>
    <cellStyle name="Normal 2 7 4 2 2 6" xfId="33628" xr:uid="{00000000-0005-0000-0000-00005F830000}"/>
    <cellStyle name="Normal 2 7 4 2 2 7" xfId="33629" xr:uid="{00000000-0005-0000-0000-000060830000}"/>
    <cellStyle name="Normal 2 7 4 2 2 8" xfId="33630" xr:uid="{00000000-0005-0000-0000-000061830000}"/>
    <cellStyle name="Normal 2 7 4 2 2 9" xfId="33631" xr:uid="{00000000-0005-0000-0000-000062830000}"/>
    <cellStyle name="Normal 2 7 4 2 3" xfId="33632" xr:uid="{00000000-0005-0000-0000-000063830000}"/>
    <cellStyle name="Normal 2 7 4 2 3 2" xfId="33633" xr:uid="{00000000-0005-0000-0000-000064830000}"/>
    <cellStyle name="Normal 2 7 4 2 3 2 2" xfId="33634" xr:uid="{00000000-0005-0000-0000-000065830000}"/>
    <cellStyle name="Normal 2 7 4 2 3 2 2 2" xfId="33635" xr:uid="{00000000-0005-0000-0000-000066830000}"/>
    <cellStyle name="Normal 2 7 4 2 3 2 2 3" xfId="33636" xr:uid="{00000000-0005-0000-0000-000067830000}"/>
    <cellStyle name="Normal 2 7 4 2 3 2 3" xfId="33637" xr:uid="{00000000-0005-0000-0000-000068830000}"/>
    <cellStyle name="Normal 2 7 4 2 3 2 4" xfId="33638" xr:uid="{00000000-0005-0000-0000-000069830000}"/>
    <cellStyle name="Normal 2 7 4 2 3 2 5" xfId="33639" xr:uid="{00000000-0005-0000-0000-00006A830000}"/>
    <cellStyle name="Normal 2 7 4 2 3 2 6" xfId="33640" xr:uid="{00000000-0005-0000-0000-00006B830000}"/>
    <cellStyle name="Normal 2 7 4 2 3 3" xfId="33641" xr:uid="{00000000-0005-0000-0000-00006C830000}"/>
    <cellStyle name="Normal 2 7 4 2 3 3 2" xfId="33642" xr:uid="{00000000-0005-0000-0000-00006D830000}"/>
    <cellStyle name="Normal 2 7 4 2 3 3 2 2" xfId="33643" xr:uid="{00000000-0005-0000-0000-00006E830000}"/>
    <cellStyle name="Normal 2 7 4 2 3 3 3" xfId="33644" xr:uid="{00000000-0005-0000-0000-00006F830000}"/>
    <cellStyle name="Normal 2 7 4 2 3 3 4" xfId="33645" xr:uid="{00000000-0005-0000-0000-000070830000}"/>
    <cellStyle name="Normal 2 7 4 2 3 3 5" xfId="33646" xr:uid="{00000000-0005-0000-0000-000071830000}"/>
    <cellStyle name="Normal 2 7 4 2 3 4" xfId="33647" xr:uid="{00000000-0005-0000-0000-000072830000}"/>
    <cellStyle name="Normal 2 7 4 2 3 4 2" xfId="33648" xr:uid="{00000000-0005-0000-0000-000073830000}"/>
    <cellStyle name="Normal 2 7 4 2 3 4 3" xfId="33649" xr:uid="{00000000-0005-0000-0000-000074830000}"/>
    <cellStyle name="Normal 2 7 4 2 3 4 4" xfId="33650" xr:uid="{00000000-0005-0000-0000-000075830000}"/>
    <cellStyle name="Normal 2 7 4 2 3 5" xfId="33651" xr:uid="{00000000-0005-0000-0000-000076830000}"/>
    <cellStyle name="Normal 2 7 4 2 3 5 2" xfId="33652" xr:uid="{00000000-0005-0000-0000-000077830000}"/>
    <cellStyle name="Normal 2 7 4 2 3 6" xfId="33653" xr:uid="{00000000-0005-0000-0000-000078830000}"/>
    <cellStyle name="Normal 2 7 4 2 3 7" xfId="33654" xr:uid="{00000000-0005-0000-0000-000079830000}"/>
    <cellStyle name="Normal 2 7 4 2 3 8" xfId="33655" xr:uid="{00000000-0005-0000-0000-00007A830000}"/>
    <cellStyle name="Normal 2 7 4 2 3 9" xfId="33656" xr:uid="{00000000-0005-0000-0000-00007B830000}"/>
    <cellStyle name="Normal 2 7 4 2 4" xfId="33657" xr:uid="{00000000-0005-0000-0000-00007C830000}"/>
    <cellStyle name="Normal 2 7 4 2 4 2" xfId="33658" xr:uid="{00000000-0005-0000-0000-00007D830000}"/>
    <cellStyle name="Normal 2 7 4 2 4 2 2" xfId="33659" xr:uid="{00000000-0005-0000-0000-00007E830000}"/>
    <cellStyle name="Normal 2 7 4 2 4 2 3" xfId="33660" xr:uid="{00000000-0005-0000-0000-00007F830000}"/>
    <cellStyle name="Normal 2 7 4 2 4 3" xfId="33661" xr:uid="{00000000-0005-0000-0000-000080830000}"/>
    <cellStyle name="Normal 2 7 4 2 4 4" xfId="33662" xr:uid="{00000000-0005-0000-0000-000081830000}"/>
    <cellStyle name="Normal 2 7 4 2 4 5" xfId="33663" xr:uid="{00000000-0005-0000-0000-000082830000}"/>
    <cellStyle name="Normal 2 7 4 2 4 6" xfId="33664" xr:uid="{00000000-0005-0000-0000-000083830000}"/>
    <cellStyle name="Normal 2 7 4 2 5" xfId="33665" xr:uid="{00000000-0005-0000-0000-000084830000}"/>
    <cellStyle name="Normal 2 7 4 2 5 2" xfId="33666" xr:uid="{00000000-0005-0000-0000-000085830000}"/>
    <cellStyle name="Normal 2 7 4 2 5 2 2" xfId="33667" xr:uid="{00000000-0005-0000-0000-000086830000}"/>
    <cellStyle name="Normal 2 7 4 2 5 3" xfId="33668" xr:uid="{00000000-0005-0000-0000-000087830000}"/>
    <cellStyle name="Normal 2 7 4 2 5 4" xfId="33669" xr:uid="{00000000-0005-0000-0000-000088830000}"/>
    <cellStyle name="Normal 2 7 4 2 5 5" xfId="33670" xr:uid="{00000000-0005-0000-0000-000089830000}"/>
    <cellStyle name="Normal 2 7 4 2 6" xfId="33671" xr:uid="{00000000-0005-0000-0000-00008A830000}"/>
    <cellStyle name="Normal 2 7 4 2 6 2" xfId="33672" xr:uid="{00000000-0005-0000-0000-00008B830000}"/>
    <cellStyle name="Normal 2 7 4 2 6 3" xfId="33673" xr:uid="{00000000-0005-0000-0000-00008C830000}"/>
    <cellStyle name="Normal 2 7 4 2 6 4" xfId="33674" xr:uid="{00000000-0005-0000-0000-00008D830000}"/>
    <cellStyle name="Normal 2 7 4 2 7" xfId="33675" xr:uid="{00000000-0005-0000-0000-00008E830000}"/>
    <cellStyle name="Normal 2 7 4 2 7 2" xfId="33676" xr:uid="{00000000-0005-0000-0000-00008F830000}"/>
    <cellStyle name="Normal 2 7 4 2 8" xfId="33677" xr:uid="{00000000-0005-0000-0000-000090830000}"/>
    <cellStyle name="Normal 2 7 4 2 9" xfId="33678" xr:uid="{00000000-0005-0000-0000-000091830000}"/>
    <cellStyle name="Normal 2 7 4 20" xfId="33679" xr:uid="{00000000-0005-0000-0000-000092830000}"/>
    <cellStyle name="Normal 2 7 4 21" xfId="33680" xr:uid="{00000000-0005-0000-0000-000093830000}"/>
    <cellStyle name="Normal 2 7 4 22" xfId="33681" xr:uid="{00000000-0005-0000-0000-000094830000}"/>
    <cellStyle name="Normal 2 7 4 3" xfId="33682" xr:uid="{00000000-0005-0000-0000-000095830000}"/>
    <cellStyle name="Normal 2 7 4 3 10" xfId="33683" xr:uid="{00000000-0005-0000-0000-000096830000}"/>
    <cellStyle name="Normal 2 7 4 3 11" xfId="33684" xr:uid="{00000000-0005-0000-0000-000097830000}"/>
    <cellStyle name="Normal 2 7 4 3 2" xfId="33685" xr:uid="{00000000-0005-0000-0000-000098830000}"/>
    <cellStyle name="Normal 2 7 4 3 2 2" xfId="33686" xr:uid="{00000000-0005-0000-0000-000099830000}"/>
    <cellStyle name="Normal 2 7 4 3 2 2 2" xfId="33687" xr:uid="{00000000-0005-0000-0000-00009A830000}"/>
    <cellStyle name="Normal 2 7 4 3 2 2 2 2" xfId="33688" xr:uid="{00000000-0005-0000-0000-00009B830000}"/>
    <cellStyle name="Normal 2 7 4 3 2 2 2 3" xfId="33689" xr:uid="{00000000-0005-0000-0000-00009C830000}"/>
    <cellStyle name="Normal 2 7 4 3 2 2 3" xfId="33690" xr:uid="{00000000-0005-0000-0000-00009D830000}"/>
    <cellStyle name="Normal 2 7 4 3 2 2 4" xfId="33691" xr:uid="{00000000-0005-0000-0000-00009E830000}"/>
    <cellStyle name="Normal 2 7 4 3 2 2 5" xfId="33692" xr:uid="{00000000-0005-0000-0000-00009F830000}"/>
    <cellStyle name="Normal 2 7 4 3 2 2 6" xfId="33693" xr:uid="{00000000-0005-0000-0000-0000A0830000}"/>
    <cellStyle name="Normal 2 7 4 3 2 3" xfId="33694" xr:uid="{00000000-0005-0000-0000-0000A1830000}"/>
    <cellStyle name="Normal 2 7 4 3 2 3 2" xfId="33695" xr:uid="{00000000-0005-0000-0000-0000A2830000}"/>
    <cellStyle name="Normal 2 7 4 3 2 3 2 2" xfId="33696" xr:uid="{00000000-0005-0000-0000-0000A3830000}"/>
    <cellStyle name="Normal 2 7 4 3 2 3 3" xfId="33697" xr:uid="{00000000-0005-0000-0000-0000A4830000}"/>
    <cellStyle name="Normal 2 7 4 3 2 3 4" xfId="33698" xr:uid="{00000000-0005-0000-0000-0000A5830000}"/>
    <cellStyle name="Normal 2 7 4 3 2 3 5" xfId="33699" xr:uid="{00000000-0005-0000-0000-0000A6830000}"/>
    <cellStyle name="Normal 2 7 4 3 2 4" xfId="33700" xr:uid="{00000000-0005-0000-0000-0000A7830000}"/>
    <cellStyle name="Normal 2 7 4 3 2 4 2" xfId="33701" xr:uid="{00000000-0005-0000-0000-0000A8830000}"/>
    <cellStyle name="Normal 2 7 4 3 2 4 3" xfId="33702" xr:uid="{00000000-0005-0000-0000-0000A9830000}"/>
    <cellStyle name="Normal 2 7 4 3 2 4 4" xfId="33703" xr:uid="{00000000-0005-0000-0000-0000AA830000}"/>
    <cellStyle name="Normal 2 7 4 3 2 5" xfId="33704" xr:uid="{00000000-0005-0000-0000-0000AB830000}"/>
    <cellStyle name="Normal 2 7 4 3 2 5 2" xfId="33705" xr:uid="{00000000-0005-0000-0000-0000AC830000}"/>
    <cellStyle name="Normal 2 7 4 3 2 6" xfId="33706" xr:uid="{00000000-0005-0000-0000-0000AD830000}"/>
    <cellStyle name="Normal 2 7 4 3 2 7" xfId="33707" xr:uid="{00000000-0005-0000-0000-0000AE830000}"/>
    <cellStyle name="Normal 2 7 4 3 2 8" xfId="33708" xr:uid="{00000000-0005-0000-0000-0000AF830000}"/>
    <cellStyle name="Normal 2 7 4 3 2 9" xfId="33709" xr:uid="{00000000-0005-0000-0000-0000B0830000}"/>
    <cellStyle name="Normal 2 7 4 3 3" xfId="33710" xr:uid="{00000000-0005-0000-0000-0000B1830000}"/>
    <cellStyle name="Normal 2 7 4 3 3 2" xfId="33711" xr:uid="{00000000-0005-0000-0000-0000B2830000}"/>
    <cellStyle name="Normal 2 7 4 3 3 2 2" xfId="33712" xr:uid="{00000000-0005-0000-0000-0000B3830000}"/>
    <cellStyle name="Normal 2 7 4 3 3 2 2 2" xfId="33713" xr:uid="{00000000-0005-0000-0000-0000B4830000}"/>
    <cellStyle name="Normal 2 7 4 3 3 2 2 3" xfId="33714" xr:uid="{00000000-0005-0000-0000-0000B5830000}"/>
    <cellStyle name="Normal 2 7 4 3 3 2 3" xfId="33715" xr:uid="{00000000-0005-0000-0000-0000B6830000}"/>
    <cellStyle name="Normal 2 7 4 3 3 2 4" xfId="33716" xr:uid="{00000000-0005-0000-0000-0000B7830000}"/>
    <cellStyle name="Normal 2 7 4 3 3 2 5" xfId="33717" xr:uid="{00000000-0005-0000-0000-0000B8830000}"/>
    <cellStyle name="Normal 2 7 4 3 3 2 6" xfId="33718" xr:uid="{00000000-0005-0000-0000-0000B9830000}"/>
    <cellStyle name="Normal 2 7 4 3 3 3" xfId="33719" xr:uid="{00000000-0005-0000-0000-0000BA830000}"/>
    <cellStyle name="Normal 2 7 4 3 3 3 2" xfId="33720" xr:uid="{00000000-0005-0000-0000-0000BB830000}"/>
    <cellStyle name="Normal 2 7 4 3 3 3 2 2" xfId="33721" xr:uid="{00000000-0005-0000-0000-0000BC830000}"/>
    <cellStyle name="Normal 2 7 4 3 3 3 3" xfId="33722" xr:uid="{00000000-0005-0000-0000-0000BD830000}"/>
    <cellStyle name="Normal 2 7 4 3 3 3 4" xfId="33723" xr:uid="{00000000-0005-0000-0000-0000BE830000}"/>
    <cellStyle name="Normal 2 7 4 3 3 3 5" xfId="33724" xr:uid="{00000000-0005-0000-0000-0000BF830000}"/>
    <cellStyle name="Normal 2 7 4 3 3 4" xfId="33725" xr:uid="{00000000-0005-0000-0000-0000C0830000}"/>
    <cellStyle name="Normal 2 7 4 3 3 4 2" xfId="33726" xr:uid="{00000000-0005-0000-0000-0000C1830000}"/>
    <cellStyle name="Normal 2 7 4 3 3 4 3" xfId="33727" xr:uid="{00000000-0005-0000-0000-0000C2830000}"/>
    <cellStyle name="Normal 2 7 4 3 3 4 4" xfId="33728" xr:uid="{00000000-0005-0000-0000-0000C3830000}"/>
    <cellStyle name="Normal 2 7 4 3 3 5" xfId="33729" xr:uid="{00000000-0005-0000-0000-0000C4830000}"/>
    <cellStyle name="Normal 2 7 4 3 3 5 2" xfId="33730" xr:uid="{00000000-0005-0000-0000-0000C5830000}"/>
    <cellStyle name="Normal 2 7 4 3 3 6" xfId="33731" xr:uid="{00000000-0005-0000-0000-0000C6830000}"/>
    <cellStyle name="Normal 2 7 4 3 3 7" xfId="33732" xr:uid="{00000000-0005-0000-0000-0000C7830000}"/>
    <cellStyle name="Normal 2 7 4 3 3 8" xfId="33733" xr:uid="{00000000-0005-0000-0000-0000C8830000}"/>
    <cellStyle name="Normal 2 7 4 3 3 9" xfId="33734" xr:uid="{00000000-0005-0000-0000-0000C9830000}"/>
    <cellStyle name="Normal 2 7 4 3 4" xfId="33735" xr:uid="{00000000-0005-0000-0000-0000CA830000}"/>
    <cellStyle name="Normal 2 7 4 3 4 2" xfId="33736" xr:uid="{00000000-0005-0000-0000-0000CB830000}"/>
    <cellStyle name="Normal 2 7 4 3 4 2 2" xfId="33737" xr:uid="{00000000-0005-0000-0000-0000CC830000}"/>
    <cellStyle name="Normal 2 7 4 3 4 2 3" xfId="33738" xr:uid="{00000000-0005-0000-0000-0000CD830000}"/>
    <cellStyle name="Normal 2 7 4 3 4 3" xfId="33739" xr:uid="{00000000-0005-0000-0000-0000CE830000}"/>
    <cellStyle name="Normal 2 7 4 3 4 4" xfId="33740" xr:uid="{00000000-0005-0000-0000-0000CF830000}"/>
    <cellStyle name="Normal 2 7 4 3 4 5" xfId="33741" xr:uid="{00000000-0005-0000-0000-0000D0830000}"/>
    <cellStyle name="Normal 2 7 4 3 4 6" xfId="33742" xr:uid="{00000000-0005-0000-0000-0000D1830000}"/>
    <cellStyle name="Normal 2 7 4 3 5" xfId="33743" xr:uid="{00000000-0005-0000-0000-0000D2830000}"/>
    <cellStyle name="Normal 2 7 4 3 5 2" xfId="33744" xr:uid="{00000000-0005-0000-0000-0000D3830000}"/>
    <cellStyle name="Normal 2 7 4 3 5 2 2" xfId="33745" xr:uid="{00000000-0005-0000-0000-0000D4830000}"/>
    <cellStyle name="Normal 2 7 4 3 5 3" xfId="33746" xr:uid="{00000000-0005-0000-0000-0000D5830000}"/>
    <cellStyle name="Normal 2 7 4 3 5 4" xfId="33747" xr:uid="{00000000-0005-0000-0000-0000D6830000}"/>
    <cellStyle name="Normal 2 7 4 3 5 5" xfId="33748" xr:uid="{00000000-0005-0000-0000-0000D7830000}"/>
    <cellStyle name="Normal 2 7 4 3 6" xfId="33749" xr:uid="{00000000-0005-0000-0000-0000D8830000}"/>
    <cellStyle name="Normal 2 7 4 3 6 2" xfId="33750" xr:uid="{00000000-0005-0000-0000-0000D9830000}"/>
    <cellStyle name="Normal 2 7 4 3 6 3" xfId="33751" xr:uid="{00000000-0005-0000-0000-0000DA830000}"/>
    <cellStyle name="Normal 2 7 4 3 6 4" xfId="33752" xr:uid="{00000000-0005-0000-0000-0000DB830000}"/>
    <cellStyle name="Normal 2 7 4 3 7" xfId="33753" xr:uid="{00000000-0005-0000-0000-0000DC830000}"/>
    <cellStyle name="Normal 2 7 4 3 7 2" xfId="33754" xr:uid="{00000000-0005-0000-0000-0000DD830000}"/>
    <cellStyle name="Normal 2 7 4 3 8" xfId="33755" xr:uid="{00000000-0005-0000-0000-0000DE830000}"/>
    <cellStyle name="Normal 2 7 4 3 9" xfId="33756" xr:uid="{00000000-0005-0000-0000-0000DF830000}"/>
    <cellStyle name="Normal 2 7 4 4" xfId="33757" xr:uid="{00000000-0005-0000-0000-0000E0830000}"/>
    <cellStyle name="Normal 2 7 4 4 10" xfId="33758" xr:uid="{00000000-0005-0000-0000-0000E1830000}"/>
    <cellStyle name="Normal 2 7 4 4 11" xfId="33759" xr:uid="{00000000-0005-0000-0000-0000E2830000}"/>
    <cellStyle name="Normal 2 7 4 4 2" xfId="33760" xr:uid="{00000000-0005-0000-0000-0000E3830000}"/>
    <cellStyle name="Normal 2 7 4 4 2 2" xfId="33761" xr:uid="{00000000-0005-0000-0000-0000E4830000}"/>
    <cellStyle name="Normal 2 7 4 4 2 2 2" xfId="33762" xr:uid="{00000000-0005-0000-0000-0000E5830000}"/>
    <cellStyle name="Normal 2 7 4 4 2 2 2 2" xfId="33763" xr:uid="{00000000-0005-0000-0000-0000E6830000}"/>
    <cellStyle name="Normal 2 7 4 4 2 2 2 3" xfId="33764" xr:uid="{00000000-0005-0000-0000-0000E7830000}"/>
    <cellStyle name="Normal 2 7 4 4 2 2 3" xfId="33765" xr:uid="{00000000-0005-0000-0000-0000E8830000}"/>
    <cellStyle name="Normal 2 7 4 4 2 2 4" xfId="33766" xr:uid="{00000000-0005-0000-0000-0000E9830000}"/>
    <cellStyle name="Normal 2 7 4 4 2 2 5" xfId="33767" xr:uid="{00000000-0005-0000-0000-0000EA830000}"/>
    <cellStyle name="Normal 2 7 4 4 2 2 6" xfId="33768" xr:uid="{00000000-0005-0000-0000-0000EB830000}"/>
    <cellStyle name="Normal 2 7 4 4 2 3" xfId="33769" xr:uid="{00000000-0005-0000-0000-0000EC830000}"/>
    <cellStyle name="Normal 2 7 4 4 2 3 2" xfId="33770" xr:uid="{00000000-0005-0000-0000-0000ED830000}"/>
    <cellStyle name="Normal 2 7 4 4 2 3 2 2" xfId="33771" xr:uid="{00000000-0005-0000-0000-0000EE830000}"/>
    <cellStyle name="Normal 2 7 4 4 2 3 3" xfId="33772" xr:uid="{00000000-0005-0000-0000-0000EF830000}"/>
    <cellStyle name="Normal 2 7 4 4 2 3 4" xfId="33773" xr:uid="{00000000-0005-0000-0000-0000F0830000}"/>
    <cellStyle name="Normal 2 7 4 4 2 3 5" xfId="33774" xr:uid="{00000000-0005-0000-0000-0000F1830000}"/>
    <cellStyle name="Normal 2 7 4 4 2 4" xfId="33775" xr:uid="{00000000-0005-0000-0000-0000F2830000}"/>
    <cellStyle name="Normal 2 7 4 4 2 4 2" xfId="33776" xr:uid="{00000000-0005-0000-0000-0000F3830000}"/>
    <cellStyle name="Normal 2 7 4 4 2 4 3" xfId="33777" xr:uid="{00000000-0005-0000-0000-0000F4830000}"/>
    <cellStyle name="Normal 2 7 4 4 2 4 4" xfId="33778" xr:uid="{00000000-0005-0000-0000-0000F5830000}"/>
    <cellStyle name="Normal 2 7 4 4 2 5" xfId="33779" xr:uid="{00000000-0005-0000-0000-0000F6830000}"/>
    <cellStyle name="Normal 2 7 4 4 2 5 2" xfId="33780" xr:uid="{00000000-0005-0000-0000-0000F7830000}"/>
    <cellStyle name="Normal 2 7 4 4 2 6" xfId="33781" xr:uid="{00000000-0005-0000-0000-0000F8830000}"/>
    <cellStyle name="Normal 2 7 4 4 2 7" xfId="33782" xr:uid="{00000000-0005-0000-0000-0000F9830000}"/>
    <cellStyle name="Normal 2 7 4 4 2 8" xfId="33783" xr:uid="{00000000-0005-0000-0000-0000FA830000}"/>
    <cellStyle name="Normal 2 7 4 4 2 9" xfId="33784" xr:uid="{00000000-0005-0000-0000-0000FB830000}"/>
    <cellStyle name="Normal 2 7 4 4 3" xfId="33785" xr:uid="{00000000-0005-0000-0000-0000FC830000}"/>
    <cellStyle name="Normal 2 7 4 4 3 2" xfId="33786" xr:uid="{00000000-0005-0000-0000-0000FD830000}"/>
    <cellStyle name="Normal 2 7 4 4 3 2 2" xfId="33787" xr:uid="{00000000-0005-0000-0000-0000FE830000}"/>
    <cellStyle name="Normal 2 7 4 4 3 2 2 2" xfId="33788" xr:uid="{00000000-0005-0000-0000-0000FF830000}"/>
    <cellStyle name="Normal 2 7 4 4 3 2 2 3" xfId="33789" xr:uid="{00000000-0005-0000-0000-000000840000}"/>
    <cellStyle name="Normal 2 7 4 4 3 2 3" xfId="33790" xr:uid="{00000000-0005-0000-0000-000001840000}"/>
    <cellStyle name="Normal 2 7 4 4 3 2 4" xfId="33791" xr:uid="{00000000-0005-0000-0000-000002840000}"/>
    <cellStyle name="Normal 2 7 4 4 3 2 5" xfId="33792" xr:uid="{00000000-0005-0000-0000-000003840000}"/>
    <cellStyle name="Normal 2 7 4 4 3 2 6" xfId="33793" xr:uid="{00000000-0005-0000-0000-000004840000}"/>
    <cellStyle name="Normal 2 7 4 4 3 3" xfId="33794" xr:uid="{00000000-0005-0000-0000-000005840000}"/>
    <cellStyle name="Normal 2 7 4 4 3 3 2" xfId="33795" xr:uid="{00000000-0005-0000-0000-000006840000}"/>
    <cellStyle name="Normal 2 7 4 4 3 3 2 2" xfId="33796" xr:uid="{00000000-0005-0000-0000-000007840000}"/>
    <cellStyle name="Normal 2 7 4 4 3 3 3" xfId="33797" xr:uid="{00000000-0005-0000-0000-000008840000}"/>
    <cellStyle name="Normal 2 7 4 4 3 3 4" xfId="33798" xr:uid="{00000000-0005-0000-0000-000009840000}"/>
    <cellStyle name="Normal 2 7 4 4 3 3 5" xfId="33799" xr:uid="{00000000-0005-0000-0000-00000A840000}"/>
    <cellStyle name="Normal 2 7 4 4 3 4" xfId="33800" xr:uid="{00000000-0005-0000-0000-00000B840000}"/>
    <cellStyle name="Normal 2 7 4 4 3 4 2" xfId="33801" xr:uid="{00000000-0005-0000-0000-00000C840000}"/>
    <cellStyle name="Normal 2 7 4 4 3 4 3" xfId="33802" xr:uid="{00000000-0005-0000-0000-00000D840000}"/>
    <cellStyle name="Normal 2 7 4 4 3 4 4" xfId="33803" xr:uid="{00000000-0005-0000-0000-00000E840000}"/>
    <cellStyle name="Normal 2 7 4 4 3 5" xfId="33804" xr:uid="{00000000-0005-0000-0000-00000F840000}"/>
    <cellStyle name="Normal 2 7 4 4 3 5 2" xfId="33805" xr:uid="{00000000-0005-0000-0000-000010840000}"/>
    <cellStyle name="Normal 2 7 4 4 3 6" xfId="33806" xr:uid="{00000000-0005-0000-0000-000011840000}"/>
    <cellStyle name="Normal 2 7 4 4 3 7" xfId="33807" xr:uid="{00000000-0005-0000-0000-000012840000}"/>
    <cellStyle name="Normal 2 7 4 4 3 8" xfId="33808" xr:uid="{00000000-0005-0000-0000-000013840000}"/>
    <cellStyle name="Normal 2 7 4 4 3 9" xfId="33809" xr:uid="{00000000-0005-0000-0000-000014840000}"/>
    <cellStyle name="Normal 2 7 4 4 4" xfId="33810" xr:uid="{00000000-0005-0000-0000-000015840000}"/>
    <cellStyle name="Normal 2 7 4 4 4 2" xfId="33811" xr:uid="{00000000-0005-0000-0000-000016840000}"/>
    <cellStyle name="Normal 2 7 4 4 4 2 2" xfId="33812" xr:uid="{00000000-0005-0000-0000-000017840000}"/>
    <cellStyle name="Normal 2 7 4 4 4 2 3" xfId="33813" xr:uid="{00000000-0005-0000-0000-000018840000}"/>
    <cellStyle name="Normal 2 7 4 4 4 3" xfId="33814" xr:uid="{00000000-0005-0000-0000-000019840000}"/>
    <cellStyle name="Normal 2 7 4 4 4 4" xfId="33815" xr:uid="{00000000-0005-0000-0000-00001A840000}"/>
    <cellStyle name="Normal 2 7 4 4 4 5" xfId="33816" xr:uid="{00000000-0005-0000-0000-00001B840000}"/>
    <cellStyle name="Normal 2 7 4 4 4 6" xfId="33817" xr:uid="{00000000-0005-0000-0000-00001C840000}"/>
    <cellStyle name="Normal 2 7 4 4 5" xfId="33818" xr:uid="{00000000-0005-0000-0000-00001D840000}"/>
    <cellStyle name="Normal 2 7 4 4 5 2" xfId="33819" xr:uid="{00000000-0005-0000-0000-00001E840000}"/>
    <cellStyle name="Normal 2 7 4 4 5 2 2" xfId="33820" xr:uid="{00000000-0005-0000-0000-00001F840000}"/>
    <cellStyle name="Normal 2 7 4 4 5 3" xfId="33821" xr:uid="{00000000-0005-0000-0000-000020840000}"/>
    <cellStyle name="Normal 2 7 4 4 5 4" xfId="33822" xr:uid="{00000000-0005-0000-0000-000021840000}"/>
    <cellStyle name="Normal 2 7 4 4 5 5" xfId="33823" xr:uid="{00000000-0005-0000-0000-000022840000}"/>
    <cellStyle name="Normal 2 7 4 4 6" xfId="33824" xr:uid="{00000000-0005-0000-0000-000023840000}"/>
    <cellStyle name="Normal 2 7 4 4 6 2" xfId="33825" xr:uid="{00000000-0005-0000-0000-000024840000}"/>
    <cellStyle name="Normal 2 7 4 4 6 3" xfId="33826" xr:uid="{00000000-0005-0000-0000-000025840000}"/>
    <cellStyle name="Normal 2 7 4 4 6 4" xfId="33827" xr:uid="{00000000-0005-0000-0000-000026840000}"/>
    <cellStyle name="Normal 2 7 4 4 7" xfId="33828" xr:uid="{00000000-0005-0000-0000-000027840000}"/>
    <cellStyle name="Normal 2 7 4 4 7 2" xfId="33829" xr:uid="{00000000-0005-0000-0000-000028840000}"/>
    <cellStyle name="Normal 2 7 4 4 8" xfId="33830" xr:uid="{00000000-0005-0000-0000-000029840000}"/>
    <cellStyle name="Normal 2 7 4 4 9" xfId="33831" xr:uid="{00000000-0005-0000-0000-00002A840000}"/>
    <cellStyle name="Normal 2 7 4 5" xfId="33832" xr:uid="{00000000-0005-0000-0000-00002B840000}"/>
    <cellStyle name="Normal 2 7 4 5 10" xfId="33833" xr:uid="{00000000-0005-0000-0000-00002C840000}"/>
    <cellStyle name="Normal 2 7 4 5 11" xfId="33834" xr:uid="{00000000-0005-0000-0000-00002D840000}"/>
    <cellStyle name="Normal 2 7 4 5 2" xfId="33835" xr:uid="{00000000-0005-0000-0000-00002E840000}"/>
    <cellStyle name="Normal 2 7 4 5 2 2" xfId="33836" xr:uid="{00000000-0005-0000-0000-00002F840000}"/>
    <cellStyle name="Normal 2 7 4 5 2 2 2" xfId="33837" xr:uid="{00000000-0005-0000-0000-000030840000}"/>
    <cellStyle name="Normal 2 7 4 5 2 2 2 2" xfId="33838" xr:uid="{00000000-0005-0000-0000-000031840000}"/>
    <cellStyle name="Normal 2 7 4 5 2 2 2 3" xfId="33839" xr:uid="{00000000-0005-0000-0000-000032840000}"/>
    <cellStyle name="Normal 2 7 4 5 2 2 3" xfId="33840" xr:uid="{00000000-0005-0000-0000-000033840000}"/>
    <cellStyle name="Normal 2 7 4 5 2 2 4" xfId="33841" xr:uid="{00000000-0005-0000-0000-000034840000}"/>
    <cellStyle name="Normal 2 7 4 5 2 2 5" xfId="33842" xr:uid="{00000000-0005-0000-0000-000035840000}"/>
    <cellStyle name="Normal 2 7 4 5 2 2 6" xfId="33843" xr:uid="{00000000-0005-0000-0000-000036840000}"/>
    <cellStyle name="Normal 2 7 4 5 2 3" xfId="33844" xr:uid="{00000000-0005-0000-0000-000037840000}"/>
    <cellStyle name="Normal 2 7 4 5 2 3 2" xfId="33845" xr:uid="{00000000-0005-0000-0000-000038840000}"/>
    <cellStyle name="Normal 2 7 4 5 2 3 2 2" xfId="33846" xr:uid="{00000000-0005-0000-0000-000039840000}"/>
    <cellStyle name="Normal 2 7 4 5 2 3 3" xfId="33847" xr:uid="{00000000-0005-0000-0000-00003A840000}"/>
    <cellStyle name="Normal 2 7 4 5 2 3 4" xfId="33848" xr:uid="{00000000-0005-0000-0000-00003B840000}"/>
    <cellStyle name="Normal 2 7 4 5 2 3 5" xfId="33849" xr:uid="{00000000-0005-0000-0000-00003C840000}"/>
    <cellStyle name="Normal 2 7 4 5 2 4" xfId="33850" xr:uid="{00000000-0005-0000-0000-00003D840000}"/>
    <cellStyle name="Normal 2 7 4 5 2 4 2" xfId="33851" xr:uid="{00000000-0005-0000-0000-00003E840000}"/>
    <cellStyle name="Normal 2 7 4 5 2 4 3" xfId="33852" xr:uid="{00000000-0005-0000-0000-00003F840000}"/>
    <cellStyle name="Normal 2 7 4 5 2 4 4" xfId="33853" xr:uid="{00000000-0005-0000-0000-000040840000}"/>
    <cellStyle name="Normal 2 7 4 5 2 5" xfId="33854" xr:uid="{00000000-0005-0000-0000-000041840000}"/>
    <cellStyle name="Normal 2 7 4 5 2 5 2" xfId="33855" xr:uid="{00000000-0005-0000-0000-000042840000}"/>
    <cellStyle name="Normal 2 7 4 5 2 6" xfId="33856" xr:uid="{00000000-0005-0000-0000-000043840000}"/>
    <cellStyle name="Normal 2 7 4 5 2 7" xfId="33857" xr:uid="{00000000-0005-0000-0000-000044840000}"/>
    <cellStyle name="Normal 2 7 4 5 2 8" xfId="33858" xr:uid="{00000000-0005-0000-0000-000045840000}"/>
    <cellStyle name="Normal 2 7 4 5 2 9" xfId="33859" xr:uid="{00000000-0005-0000-0000-000046840000}"/>
    <cellStyle name="Normal 2 7 4 5 3" xfId="33860" xr:uid="{00000000-0005-0000-0000-000047840000}"/>
    <cellStyle name="Normal 2 7 4 5 3 2" xfId="33861" xr:uid="{00000000-0005-0000-0000-000048840000}"/>
    <cellStyle name="Normal 2 7 4 5 3 2 2" xfId="33862" xr:uid="{00000000-0005-0000-0000-000049840000}"/>
    <cellStyle name="Normal 2 7 4 5 3 2 2 2" xfId="33863" xr:uid="{00000000-0005-0000-0000-00004A840000}"/>
    <cellStyle name="Normal 2 7 4 5 3 2 2 3" xfId="33864" xr:uid="{00000000-0005-0000-0000-00004B840000}"/>
    <cellStyle name="Normal 2 7 4 5 3 2 3" xfId="33865" xr:uid="{00000000-0005-0000-0000-00004C840000}"/>
    <cellStyle name="Normal 2 7 4 5 3 2 4" xfId="33866" xr:uid="{00000000-0005-0000-0000-00004D840000}"/>
    <cellStyle name="Normal 2 7 4 5 3 2 5" xfId="33867" xr:uid="{00000000-0005-0000-0000-00004E840000}"/>
    <cellStyle name="Normal 2 7 4 5 3 2 6" xfId="33868" xr:uid="{00000000-0005-0000-0000-00004F840000}"/>
    <cellStyle name="Normal 2 7 4 5 3 3" xfId="33869" xr:uid="{00000000-0005-0000-0000-000050840000}"/>
    <cellStyle name="Normal 2 7 4 5 3 3 2" xfId="33870" xr:uid="{00000000-0005-0000-0000-000051840000}"/>
    <cellStyle name="Normal 2 7 4 5 3 3 2 2" xfId="33871" xr:uid="{00000000-0005-0000-0000-000052840000}"/>
    <cellStyle name="Normal 2 7 4 5 3 3 3" xfId="33872" xr:uid="{00000000-0005-0000-0000-000053840000}"/>
    <cellStyle name="Normal 2 7 4 5 3 3 4" xfId="33873" xr:uid="{00000000-0005-0000-0000-000054840000}"/>
    <cellStyle name="Normal 2 7 4 5 3 3 5" xfId="33874" xr:uid="{00000000-0005-0000-0000-000055840000}"/>
    <cellStyle name="Normal 2 7 4 5 3 4" xfId="33875" xr:uid="{00000000-0005-0000-0000-000056840000}"/>
    <cellStyle name="Normal 2 7 4 5 3 4 2" xfId="33876" xr:uid="{00000000-0005-0000-0000-000057840000}"/>
    <cellStyle name="Normal 2 7 4 5 3 4 3" xfId="33877" xr:uid="{00000000-0005-0000-0000-000058840000}"/>
    <cellStyle name="Normal 2 7 4 5 3 4 4" xfId="33878" xr:uid="{00000000-0005-0000-0000-000059840000}"/>
    <cellStyle name="Normal 2 7 4 5 3 5" xfId="33879" xr:uid="{00000000-0005-0000-0000-00005A840000}"/>
    <cellStyle name="Normal 2 7 4 5 3 5 2" xfId="33880" xr:uid="{00000000-0005-0000-0000-00005B840000}"/>
    <cellStyle name="Normal 2 7 4 5 3 6" xfId="33881" xr:uid="{00000000-0005-0000-0000-00005C840000}"/>
    <cellStyle name="Normal 2 7 4 5 3 7" xfId="33882" xr:uid="{00000000-0005-0000-0000-00005D840000}"/>
    <cellStyle name="Normal 2 7 4 5 3 8" xfId="33883" xr:uid="{00000000-0005-0000-0000-00005E840000}"/>
    <cellStyle name="Normal 2 7 4 5 3 9" xfId="33884" xr:uid="{00000000-0005-0000-0000-00005F840000}"/>
    <cellStyle name="Normal 2 7 4 5 4" xfId="33885" xr:uid="{00000000-0005-0000-0000-000060840000}"/>
    <cellStyle name="Normal 2 7 4 5 4 2" xfId="33886" xr:uid="{00000000-0005-0000-0000-000061840000}"/>
    <cellStyle name="Normal 2 7 4 5 4 2 2" xfId="33887" xr:uid="{00000000-0005-0000-0000-000062840000}"/>
    <cellStyle name="Normal 2 7 4 5 4 2 3" xfId="33888" xr:uid="{00000000-0005-0000-0000-000063840000}"/>
    <cellStyle name="Normal 2 7 4 5 4 3" xfId="33889" xr:uid="{00000000-0005-0000-0000-000064840000}"/>
    <cellStyle name="Normal 2 7 4 5 4 4" xfId="33890" xr:uid="{00000000-0005-0000-0000-000065840000}"/>
    <cellStyle name="Normal 2 7 4 5 4 5" xfId="33891" xr:uid="{00000000-0005-0000-0000-000066840000}"/>
    <cellStyle name="Normal 2 7 4 5 4 6" xfId="33892" xr:uid="{00000000-0005-0000-0000-000067840000}"/>
    <cellStyle name="Normal 2 7 4 5 5" xfId="33893" xr:uid="{00000000-0005-0000-0000-000068840000}"/>
    <cellStyle name="Normal 2 7 4 5 5 2" xfId="33894" xr:uid="{00000000-0005-0000-0000-000069840000}"/>
    <cellStyle name="Normal 2 7 4 5 5 2 2" xfId="33895" xr:uid="{00000000-0005-0000-0000-00006A840000}"/>
    <cellStyle name="Normal 2 7 4 5 5 3" xfId="33896" xr:uid="{00000000-0005-0000-0000-00006B840000}"/>
    <cellStyle name="Normal 2 7 4 5 5 4" xfId="33897" xr:uid="{00000000-0005-0000-0000-00006C840000}"/>
    <cellStyle name="Normal 2 7 4 5 5 5" xfId="33898" xr:uid="{00000000-0005-0000-0000-00006D840000}"/>
    <cellStyle name="Normal 2 7 4 5 6" xfId="33899" xr:uid="{00000000-0005-0000-0000-00006E840000}"/>
    <cellStyle name="Normal 2 7 4 5 6 2" xfId="33900" xr:uid="{00000000-0005-0000-0000-00006F840000}"/>
    <cellStyle name="Normal 2 7 4 5 6 3" xfId="33901" xr:uid="{00000000-0005-0000-0000-000070840000}"/>
    <cellStyle name="Normal 2 7 4 5 6 4" xfId="33902" xr:uid="{00000000-0005-0000-0000-000071840000}"/>
    <cellStyle name="Normal 2 7 4 5 7" xfId="33903" xr:uid="{00000000-0005-0000-0000-000072840000}"/>
    <cellStyle name="Normal 2 7 4 5 7 2" xfId="33904" xr:uid="{00000000-0005-0000-0000-000073840000}"/>
    <cellStyle name="Normal 2 7 4 5 8" xfId="33905" xr:uid="{00000000-0005-0000-0000-000074840000}"/>
    <cellStyle name="Normal 2 7 4 5 9" xfId="33906" xr:uid="{00000000-0005-0000-0000-000075840000}"/>
    <cellStyle name="Normal 2 7 4 6" xfId="33907" xr:uid="{00000000-0005-0000-0000-000076840000}"/>
    <cellStyle name="Normal 2 7 4 6 10" xfId="33908" xr:uid="{00000000-0005-0000-0000-000077840000}"/>
    <cellStyle name="Normal 2 7 4 6 11" xfId="33909" xr:uid="{00000000-0005-0000-0000-000078840000}"/>
    <cellStyle name="Normal 2 7 4 6 2" xfId="33910" xr:uid="{00000000-0005-0000-0000-000079840000}"/>
    <cellStyle name="Normal 2 7 4 6 2 2" xfId="33911" xr:uid="{00000000-0005-0000-0000-00007A840000}"/>
    <cellStyle name="Normal 2 7 4 6 2 2 2" xfId="33912" xr:uid="{00000000-0005-0000-0000-00007B840000}"/>
    <cellStyle name="Normal 2 7 4 6 2 2 2 2" xfId="33913" xr:uid="{00000000-0005-0000-0000-00007C840000}"/>
    <cellStyle name="Normal 2 7 4 6 2 2 2 3" xfId="33914" xr:uid="{00000000-0005-0000-0000-00007D840000}"/>
    <cellStyle name="Normal 2 7 4 6 2 2 3" xfId="33915" xr:uid="{00000000-0005-0000-0000-00007E840000}"/>
    <cellStyle name="Normal 2 7 4 6 2 2 4" xfId="33916" xr:uid="{00000000-0005-0000-0000-00007F840000}"/>
    <cellStyle name="Normal 2 7 4 6 2 2 5" xfId="33917" xr:uid="{00000000-0005-0000-0000-000080840000}"/>
    <cellStyle name="Normal 2 7 4 6 2 2 6" xfId="33918" xr:uid="{00000000-0005-0000-0000-000081840000}"/>
    <cellStyle name="Normal 2 7 4 6 2 3" xfId="33919" xr:uid="{00000000-0005-0000-0000-000082840000}"/>
    <cellStyle name="Normal 2 7 4 6 2 3 2" xfId="33920" xr:uid="{00000000-0005-0000-0000-000083840000}"/>
    <cellStyle name="Normal 2 7 4 6 2 3 2 2" xfId="33921" xr:uid="{00000000-0005-0000-0000-000084840000}"/>
    <cellStyle name="Normal 2 7 4 6 2 3 3" xfId="33922" xr:uid="{00000000-0005-0000-0000-000085840000}"/>
    <cellStyle name="Normal 2 7 4 6 2 3 4" xfId="33923" xr:uid="{00000000-0005-0000-0000-000086840000}"/>
    <cellStyle name="Normal 2 7 4 6 2 3 5" xfId="33924" xr:uid="{00000000-0005-0000-0000-000087840000}"/>
    <cellStyle name="Normal 2 7 4 6 2 4" xfId="33925" xr:uid="{00000000-0005-0000-0000-000088840000}"/>
    <cellStyle name="Normal 2 7 4 6 2 4 2" xfId="33926" xr:uid="{00000000-0005-0000-0000-000089840000}"/>
    <cellStyle name="Normal 2 7 4 6 2 4 3" xfId="33927" xr:uid="{00000000-0005-0000-0000-00008A840000}"/>
    <cellStyle name="Normal 2 7 4 6 2 4 4" xfId="33928" xr:uid="{00000000-0005-0000-0000-00008B840000}"/>
    <cellStyle name="Normal 2 7 4 6 2 5" xfId="33929" xr:uid="{00000000-0005-0000-0000-00008C840000}"/>
    <cellStyle name="Normal 2 7 4 6 2 5 2" xfId="33930" xr:uid="{00000000-0005-0000-0000-00008D840000}"/>
    <cellStyle name="Normal 2 7 4 6 2 6" xfId="33931" xr:uid="{00000000-0005-0000-0000-00008E840000}"/>
    <cellStyle name="Normal 2 7 4 6 2 7" xfId="33932" xr:uid="{00000000-0005-0000-0000-00008F840000}"/>
    <cellStyle name="Normal 2 7 4 6 2 8" xfId="33933" xr:uid="{00000000-0005-0000-0000-000090840000}"/>
    <cellStyle name="Normal 2 7 4 6 2 9" xfId="33934" xr:uid="{00000000-0005-0000-0000-000091840000}"/>
    <cellStyle name="Normal 2 7 4 6 3" xfId="33935" xr:uid="{00000000-0005-0000-0000-000092840000}"/>
    <cellStyle name="Normal 2 7 4 6 3 2" xfId="33936" xr:uid="{00000000-0005-0000-0000-000093840000}"/>
    <cellStyle name="Normal 2 7 4 6 3 2 2" xfId="33937" xr:uid="{00000000-0005-0000-0000-000094840000}"/>
    <cellStyle name="Normal 2 7 4 6 3 2 2 2" xfId="33938" xr:uid="{00000000-0005-0000-0000-000095840000}"/>
    <cellStyle name="Normal 2 7 4 6 3 2 2 3" xfId="33939" xr:uid="{00000000-0005-0000-0000-000096840000}"/>
    <cellStyle name="Normal 2 7 4 6 3 2 3" xfId="33940" xr:uid="{00000000-0005-0000-0000-000097840000}"/>
    <cellStyle name="Normal 2 7 4 6 3 2 4" xfId="33941" xr:uid="{00000000-0005-0000-0000-000098840000}"/>
    <cellStyle name="Normal 2 7 4 6 3 2 5" xfId="33942" xr:uid="{00000000-0005-0000-0000-000099840000}"/>
    <cellStyle name="Normal 2 7 4 6 3 2 6" xfId="33943" xr:uid="{00000000-0005-0000-0000-00009A840000}"/>
    <cellStyle name="Normal 2 7 4 6 3 3" xfId="33944" xr:uid="{00000000-0005-0000-0000-00009B840000}"/>
    <cellStyle name="Normal 2 7 4 6 3 3 2" xfId="33945" xr:uid="{00000000-0005-0000-0000-00009C840000}"/>
    <cellStyle name="Normal 2 7 4 6 3 3 2 2" xfId="33946" xr:uid="{00000000-0005-0000-0000-00009D840000}"/>
    <cellStyle name="Normal 2 7 4 6 3 3 3" xfId="33947" xr:uid="{00000000-0005-0000-0000-00009E840000}"/>
    <cellStyle name="Normal 2 7 4 6 3 3 4" xfId="33948" xr:uid="{00000000-0005-0000-0000-00009F840000}"/>
    <cellStyle name="Normal 2 7 4 6 3 3 5" xfId="33949" xr:uid="{00000000-0005-0000-0000-0000A0840000}"/>
    <cellStyle name="Normal 2 7 4 6 3 4" xfId="33950" xr:uid="{00000000-0005-0000-0000-0000A1840000}"/>
    <cellStyle name="Normal 2 7 4 6 3 4 2" xfId="33951" xr:uid="{00000000-0005-0000-0000-0000A2840000}"/>
    <cellStyle name="Normal 2 7 4 6 3 4 3" xfId="33952" xr:uid="{00000000-0005-0000-0000-0000A3840000}"/>
    <cellStyle name="Normal 2 7 4 6 3 4 4" xfId="33953" xr:uid="{00000000-0005-0000-0000-0000A4840000}"/>
    <cellStyle name="Normal 2 7 4 6 3 5" xfId="33954" xr:uid="{00000000-0005-0000-0000-0000A5840000}"/>
    <cellStyle name="Normal 2 7 4 6 3 5 2" xfId="33955" xr:uid="{00000000-0005-0000-0000-0000A6840000}"/>
    <cellStyle name="Normal 2 7 4 6 3 6" xfId="33956" xr:uid="{00000000-0005-0000-0000-0000A7840000}"/>
    <cellStyle name="Normal 2 7 4 6 3 7" xfId="33957" xr:uid="{00000000-0005-0000-0000-0000A8840000}"/>
    <cellStyle name="Normal 2 7 4 6 3 8" xfId="33958" xr:uid="{00000000-0005-0000-0000-0000A9840000}"/>
    <cellStyle name="Normal 2 7 4 6 3 9" xfId="33959" xr:uid="{00000000-0005-0000-0000-0000AA840000}"/>
    <cellStyle name="Normal 2 7 4 6 4" xfId="33960" xr:uid="{00000000-0005-0000-0000-0000AB840000}"/>
    <cellStyle name="Normal 2 7 4 6 4 2" xfId="33961" xr:uid="{00000000-0005-0000-0000-0000AC840000}"/>
    <cellStyle name="Normal 2 7 4 6 4 2 2" xfId="33962" xr:uid="{00000000-0005-0000-0000-0000AD840000}"/>
    <cellStyle name="Normal 2 7 4 6 4 2 3" xfId="33963" xr:uid="{00000000-0005-0000-0000-0000AE840000}"/>
    <cellStyle name="Normal 2 7 4 6 4 3" xfId="33964" xr:uid="{00000000-0005-0000-0000-0000AF840000}"/>
    <cellStyle name="Normal 2 7 4 6 4 4" xfId="33965" xr:uid="{00000000-0005-0000-0000-0000B0840000}"/>
    <cellStyle name="Normal 2 7 4 6 4 5" xfId="33966" xr:uid="{00000000-0005-0000-0000-0000B1840000}"/>
    <cellStyle name="Normal 2 7 4 6 4 6" xfId="33967" xr:uid="{00000000-0005-0000-0000-0000B2840000}"/>
    <cellStyle name="Normal 2 7 4 6 5" xfId="33968" xr:uid="{00000000-0005-0000-0000-0000B3840000}"/>
    <cellStyle name="Normal 2 7 4 6 5 2" xfId="33969" xr:uid="{00000000-0005-0000-0000-0000B4840000}"/>
    <cellStyle name="Normal 2 7 4 6 5 2 2" xfId="33970" xr:uid="{00000000-0005-0000-0000-0000B5840000}"/>
    <cellStyle name="Normal 2 7 4 6 5 3" xfId="33971" xr:uid="{00000000-0005-0000-0000-0000B6840000}"/>
    <cellStyle name="Normal 2 7 4 6 5 4" xfId="33972" xr:uid="{00000000-0005-0000-0000-0000B7840000}"/>
    <cellStyle name="Normal 2 7 4 6 5 5" xfId="33973" xr:uid="{00000000-0005-0000-0000-0000B8840000}"/>
    <cellStyle name="Normal 2 7 4 6 6" xfId="33974" xr:uid="{00000000-0005-0000-0000-0000B9840000}"/>
    <cellStyle name="Normal 2 7 4 6 6 2" xfId="33975" xr:uid="{00000000-0005-0000-0000-0000BA840000}"/>
    <cellStyle name="Normal 2 7 4 6 6 3" xfId="33976" xr:uid="{00000000-0005-0000-0000-0000BB840000}"/>
    <cellStyle name="Normal 2 7 4 6 6 4" xfId="33977" xr:uid="{00000000-0005-0000-0000-0000BC840000}"/>
    <cellStyle name="Normal 2 7 4 6 7" xfId="33978" xr:uid="{00000000-0005-0000-0000-0000BD840000}"/>
    <cellStyle name="Normal 2 7 4 6 7 2" xfId="33979" xr:uid="{00000000-0005-0000-0000-0000BE840000}"/>
    <cellStyle name="Normal 2 7 4 6 8" xfId="33980" xr:uid="{00000000-0005-0000-0000-0000BF840000}"/>
    <cellStyle name="Normal 2 7 4 6 9" xfId="33981" xr:uid="{00000000-0005-0000-0000-0000C0840000}"/>
    <cellStyle name="Normal 2 7 4 7" xfId="33982" xr:uid="{00000000-0005-0000-0000-0000C1840000}"/>
    <cellStyle name="Normal 2 7 4 7 10" xfId="33983" xr:uid="{00000000-0005-0000-0000-0000C2840000}"/>
    <cellStyle name="Normal 2 7 4 7 11" xfId="33984" xr:uid="{00000000-0005-0000-0000-0000C3840000}"/>
    <cellStyle name="Normal 2 7 4 7 2" xfId="33985" xr:uid="{00000000-0005-0000-0000-0000C4840000}"/>
    <cellStyle name="Normal 2 7 4 7 2 2" xfId="33986" xr:uid="{00000000-0005-0000-0000-0000C5840000}"/>
    <cellStyle name="Normal 2 7 4 7 2 2 2" xfId="33987" xr:uid="{00000000-0005-0000-0000-0000C6840000}"/>
    <cellStyle name="Normal 2 7 4 7 2 2 2 2" xfId="33988" xr:uid="{00000000-0005-0000-0000-0000C7840000}"/>
    <cellStyle name="Normal 2 7 4 7 2 2 2 3" xfId="33989" xr:uid="{00000000-0005-0000-0000-0000C8840000}"/>
    <cellStyle name="Normal 2 7 4 7 2 2 3" xfId="33990" xr:uid="{00000000-0005-0000-0000-0000C9840000}"/>
    <cellStyle name="Normal 2 7 4 7 2 2 4" xfId="33991" xr:uid="{00000000-0005-0000-0000-0000CA840000}"/>
    <cellStyle name="Normal 2 7 4 7 2 2 5" xfId="33992" xr:uid="{00000000-0005-0000-0000-0000CB840000}"/>
    <cellStyle name="Normal 2 7 4 7 2 2 6" xfId="33993" xr:uid="{00000000-0005-0000-0000-0000CC840000}"/>
    <cellStyle name="Normal 2 7 4 7 2 3" xfId="33994" xr:uid="{00000000-0005-0000-0000-0000CD840000}"/>
    <cellStyle name="Normal 2 7 4 7 2 3 2" xfId="33995" xr:uid="{00000000-0005-0000-0000-0000CE840000}"/>
    <cellStyle name="Normal 2 7 4 7 2 3 2 2" xfId="33996" xr:uid="{00000000-0005-0000-0000-0000CF840000}"/>
    <cellStyle name="Normal 2 7 4 7 2 3 3" xfId="33997" xr:uid="{00000000-0005-0000-0000-0000D0840000}"/>
    <cellStyle name="Normal 2 7 4 7 2 3 4" xfId="33998" xr:uid="{00000000-0005-0000-0000-0000D1840000}"/>
    <cellStyle name="Normal 2 7 4 7 2 3 5" xfId="33999" xr:uid="{00000000-0005-0000-0000-0000D2840000}"/>
    <cellStyle name="Normal 2 7 4 7 2 4" xfId="34000" xr:uid="{00000000-0005-0000-0000-0000D3840000}"/>
    <cellStyle name="Normal 2 7 4 7 2 4 2" xfId="34001" xr:uid="{00000000-0005-0000-0000-0000D4840000}"/>
    <cellStyle name="Normal 2 7 4 7 2 4 3" xfId="34002" xr:uid="{00000000-0005-0000-0000-0000D5840000}"/>
    <cellStyle name="Normal 2 7 4 7 2 4 4" xfId="34003" xr:uid="{00000000-0005-0000-0000-0000D6840000}"/>
    <cellStyle name="Normal 2 7 4 7 2 5" xfId="34004" xr:uid="{00000000-0005-0000-0000-0000D7840000}"/>
    <cellStyle name="Normal 2 7 4 7 2 5 2" xfId="34005" xr:uid="{00000000-0005-0000-0000-0000D8840000}"/>
    <cellStyle name="Normal 2 7 4 7 2 6" xfId="34006" xr:uid="{00000000-0005-0000-0000-0000D9840000}"/>
    <cellStyle name="Normal 2 7 4 7 2 7" xfId="34007" xr:uid="{00000000-0005-0000-0000-0000DA840000}"/>
    <cellStyle name="Normal 2 7 4 7 2 8" xfId="34008" xr:uid="{00000000-0005-0000-0000-0000DB840000}"/>
    <cellStyle name="Normal 2 7 4 7 2 9" xfId="34009" xr:uid="{00000000-0005-0000-0000-0000DC840000}"/>
    <cellStyle name="Normal 2 7 4 7 3" xfId="34010" xr:uid="{00000000-0005-0000-0000-0000DD840000}"/>
    <cellStyle name="Normal 2 7 4 7 3 2" xfId="34011" xr:uid="{00000000-0005-0000-0000-0000DE840000}"/>
    <cellStyle name="Normal 2 7 4 7 3 2 2" xfId="34012" xr:uid="{00000000-0005-0000-0000-0000DF840000}"/>
    <cellStyle name="Normal 2 7 4 7 3 2 2 2" xfId="34013" xr:uid="{00000000-0005-0000-0000-0000E0840000}"/>
    <cellStyle name="Normal 2 7 4 7 3 2 2 3" xfId="34014" xr:uid="{00000000-0005-0000-0000-0000E1840000}"/>
    <cellStyle name="Normal 2 7 4 7 3 2 3" xfId="34015" xr:uid="{00000000-0005-0000-0000-0000E2840000}"/>
    <cellStyle name="Normal 2 7 4 7 3 2 4" xfId="34016" xr:uid="{00000000-0005-0000-0000-0000E3840000}"/>
    <cellStyle name="Normal 2 7 4 7 3 2 5" xfId="34017" xr:uid="{00000000-0005-0000-0000-0000E4840000}"/>
    <cellStyle name="Normal 2 7 4 7 3 2 6" xfId="34018" xr:uid="{00000000-0005-0000-0000-0000E5840000}"/>
    <cellStyle name="Normal 2 7 4 7 3 3" xfId="34019" xr:uid="{00000000-0005-0000-0000-0000E6840000}"/>
    <cellStyle name="Normal 2 7 4 7 3 3 2" xfId="34020" xr:uid="{00000000-0005-0000-0000-0000E7840000}"/>
    <cellStyle name="Normal 2 7 4 7 3 3 2 2" xfId="34021" xr:uid="{00000000-0005-0000-0000-0000E8840000}"/>
    <cellStyle name="Normal 2 7 4 7 3 3 3" xfId="34022" xr:uid="{00000000-0005-0000-0000-0000E9840000}"/>
    <cellStyle name="Normal 2 7 4 7 3 3 4" xfId="34023" xr:uid="{00000000-0005-0000-0000-0000EA840000}"/>
    <cellStyle name="Normal 2 7 4 7 3 3 5" xfId="34024" xr:uid="{00000000-0005-0000-0000-0000EB840000}"/>
    <cellStyle name="Normal 2 7 4 7 3 4" xfId="34025" xr:uid="{00000000-0005-0000-0000-0000EC840000}"/>
    <cellStyle name="Normal 2 7 4 7 3 4 2" xfId="34026" xr:uid="{00000000-0005-0000-0000-0000ED840000}"/>
    <cellStyle name="Normal 2 7 4 7 3 4 3" xfId="34027" xr:uid="{00000000-0005-0000-0000-0000EE840000}"/>
    <cellStyle name="Normal 2 7 4 7 3 4 4" xfId="34028" xr:uid="{00000000-0005-0000-0000-0000EF840000}"/>
    <cellStyle name="Normal 2 7 4 7 3 5" xfId="34029" xr:uid="{00000000-0005-0000-0000-0000F0840000}"/>
    <cellStyle name="Normal 2 7 4 7 3 5 2" xfId="34030" xr:uid="{00000000-0005-0000-0000-0000F1840000}"/>
    <cellStyle name="Normal 2 7 4 7 3 6" xfId="34031" xr:uid="{00000000-0005-0000-0000-0000F2840000}"/>
    <cellStyle name="Normal 2 7 4 7 3 7" xfId="34032" xr:uid="{00000000-0005-0000-0000-0000F3840000}"/>
    <cellStyle name="Normal 2 7 4 7 3 8" xfId="34033" xr:uid="{00000000-0005-0000-0000-0000F4840000}"/>
    <cellStyle name="Normal 2 7 4 7 3 9" xfId="34034" xr:uid="{00000000-0005-0000-0000-0000F5840000}"/>
    <cellStyle name="Normal 2 7 4 7 4" xfId="34035" xr:uid="{00000000-0005-0000-0000-0000F6840000}"/>
    <cellStyle name="Normal 2 7 4 7 4 2" xfId="34036" xr:uid="{00000000-0005-0000-0000-0000F7840000}"/>
    <cellStyle name="Normal 2 7 4 7 4 2 2" xfId="34037" xr:uid="{00000000-0005-0000-0000-0000F8840000}"/>
    <cellStyle name="Normal 2 7 4 7 4 2 3" xfId="34038" xr:uid="{00000000-0005-0000-0000-0000F9840000}"/>
    <cellStyle name="Normal 2 7 4 7 4 3" xfId="34039" xr:uid="{00000000-0005-0000-0000-0000FA840000}"/>
    <cellStyle name="Normal 2 7 4 7 4 4" xfId="34040" xr:uid="{00000000-0005-0000-0000-0000FB840000}"/>
    <cellStyle name="Normal 2 7 4 7 4 5" xfId="34041" xr:uid="{00000000-0005-0000-0000-0000FC840000}"/>
    <cellStyle name="Normal 2 7 4 7 4 6" xfId="34042" xr:uid="{00000000-0005-0000-0000-0000FD840000}"/>
    <cellStyle name="Normal 2 7 4 7 5" xfId="34043" xr:uid="{00000000-0005-0000-0000-0000FE840000}"/>
    <cellStyle name="Normal 2 7 4 7 5 2" xfId="34044" xr:uid="{00000000-0005-0000-0000-0000FF840000}"/>
    <cellStyle name="Normal 2 7 4 7 5 2 2" xfId="34045" xr:uid="{00000000-0005-0000-0000-000000850000}"/>
    <cellStyle name="Normal 2 7 4 7 5 3" xfId="34046" xr:uid="{00000000-0005-0000-0000-000001850000}"/>
    <cellStyle name="Normal 2 7 4 7 5 4" xfId="34047" xr:uid="{00000000-0005-0000-0000-000002850000}"/>
    <cellStyle name="Normal 2 7 4 7 5 5" xfId="34048" xr:uid="{00000000-0005-0000-0000-000003850000}"/>
    <cellStyle name="Normal 2 7 4 7 6" xfId="34049" xr:uid="{00000000-0005-0000-0000-000004850000}"/>
    <cellStyle name="Normal 2 7 4 7 6 2" xfId="34050" xr:uid="{00000000-0005-0000-0000-000005850000}"/>
    <cellStyle name="Normal 2 7 4 7 6 3" xfId="34051" xr:uid="{00000000-0005-0000-0000-000006850000}"/>
    <cellStyle name="Normal 2 7 4 7 6 4" xfId="34052" xr:uid="{00000000-0005-0000-0000-000007850000}"/>
    <cellStyle name="Normal 2 7 4 7 7" xfId="34053" xr:uid="{00000000-0005-0000-0000-000008850000}"/>
    <cellStyle name="Normal 2 7 4 7 7 2" xfId="34054" xr:uid="{00000000-0005-0000-0000-000009850000}"/>
    <cellStyle name="Normal 2 7 4 7 8" xfId="34055" xr:uid="{00000000-0005-0000-0000-00000A850000}"/>
    <cellStyle name="Normal 2 7 4 7 9" xfId="34056" xr:uid="{00000000-0005-0000-0000-00000B850000}"/>
    <cellStyle name="Normal 2 7 4 8" xfId="34057" xr:uid="{00000000-0005-0000-0000-00000C850000}"/>
    <cellStyle name="Normal 2 7 4 8 10" xfId="34058" xr:uid="{00000000-0005-0000-0000-00000D850000}"/>
    <cellStyle name="Normal 2 7 4 8 2" xfId="34059" xr:uid="{00000000-0005-0000-0000-00000E850000}"/>
    <cellStyle name="Normal 2 7 4 8 2 2" xfId="34060" xr:uid="{00000000-0005-0000-0000-00000F850000}"/>
    <cellStyle name="Normal 2 7 4 8 2 2 2" xfId="34061" xr:uid="{00000000-0005-0000-0000-000010850000}"/>
    <cellStyle name="Normal 2 7 4 8 2 2 3" xfId="34062" xr:uid="{00000000-0005-0000-0000-000011850000}"/>
    <cellStyle name="Normal 2 7 4 8 2 3" xfId="34063" xr:uid="{00000000-0005-0000-0000-000012850000}"/>
    <cellStyle name="Normal 2 7 4 8 2 4" xfId="34064" xr:uid="{00000000-0005-0000-0000-000013850000}"/>
    <cellStyle name="Normal 2 7 4 8 2 5" xfId="34065" xr:uid="{00000000-0005-0000-0000-000014850000}"/>
    <cellStyle name="Normal 2 7 4 8 2 6" xfId="34066" xr:uid="{00000000-0005-0000-0000-000015850000}"/>
    <cellStyle name="Normal 2 7 4 8 3" xfId="34067" xr:uid="{00000000-0005-0000-0000-000016850000}"/>
    <cellStyle name="Normal 2 7 4 8 3 2" xfId="34068" xr:uid="{00000000-0005-0000-0000-000017850000}"/>
    <cellStyle name="Normal 2 7 4 8 3 2 2" xfId="34069" xr:uid="{00000000-0005-0000-0000-000018850000}"/>
    <cellStyle name="Normal 2 7 4 8 3 2 3" xfId="34070" xr:uid="{00000000-0005-0000-0000-000019850000}"/>
    <cellStyle name="Normal 2 7 4 8 3 3" xfId="34071" xr:uid="{00000000-0005-0000-0000-00001A850000}"/>
    <cellStyle name="Normal 2 7 4 8 3 4" xfId="34072" xr:uid="{00000000-0005-0000-0000-00001B850000}"/>
    <cellStyle name="Normal 2 7 4 8 3 5" xfId="34073" xr:uid="{00000000-0005-0000-0000-00001C850000}"/>
    <cellStyle name="Normal 2 7 4 8 3 6" xfId="34074" xr:uid="{00000000-0005-0000-0000-00001D850000}"/>
    <cellStyle name="Normal 2 7 4 8 4" xfId="34075" xr:uid="{00000000-0005-0000-0000-00001E850000}"/>
    <cellStyle name="Normal 2 7 4 8 4 2" xfId="34076" xr:uid="{00000000-0005-0000-0000-00001F850000}"/>
    <cellStyle name="Normal 2 7 4 8 4 2 2" xfId="34077" xr:uid="{00000000-0005-0000-0000-000020850000}"/>
    <cellStyle name="Normal 2 7 4 8 4 3" xfId="34078" xr:uid="{00000000-0005-0000-0000-000021850000}"/>
    <cellStyle name="Normal 2 7 4 8 4 4" xfId="34079" xr:uid="{00000000-0005-0000-0000-000022850000}"/>
    <cellStyle name="Normal 2 7 4 8 4 5" xfId="34080" xr:uid="{00000000-0005-0000-0000-000023850000}"/>
    <cellStyle name="Normal 2 7 4 8 5" xfId="34081" xr:uid="{00000000-0005-0000-0000-000024850000}"/>
    <cellStyle name="Normal 2 7 4 8 5 2" xfId="34082" xr:uid="{00000000-0005-0000-0000-000025850000}"/>
    <cellStyle name="Normal 2 7 4 8 5 3" xfId="34083" xr:uid="{00000000-0005-0000-0000-000026850000}"/>
    <cellStyle name="Normal 2 7 4 8 5 4" xfId="34084" xr:uid="{00000000-0005-0000-0000-000027850000}"/>
    <cellStyle name="Normal 2 7 4 8 6" xfId="34085" xr:uid="{00000000-0005-0000-0000-000028850000}"/>
    <cellStyle name="Normal 2 7 4 8 6 2" xfId="34086" xr:uid="{00000000-0005-0000-0000-000029850000}"/>
    <cellStyle name="Normal 2 7 4 8 7" xfId="34087" xr:uid="{00000000-0005-0000-0000-00002A850000}"/>
    <cellStyle name="Normal 2 7 4 8 8" xfId="34088" xr:uid="{00000000-0005-0000-0000-00002B850000}"/>
    <cellStyle name="Normal 2 7 4 8 9" xfId="34089" xr:uid="{00000000-0005-0000-0000-00002C850000}"/>
    <cellStyle name="Normal 2 7 4 9" xfId="34090" xr:uid="{00000000-0005-0000-0000-00002D850000}"/>
    <cellStyle name="Normal 2 7 4 9 10" xfId="34091" xr:uid="{00000000-0005-0000-0000-00002E850000}"/>
    <cellStyle name="Normal 2 7 4 9 2" xfId="34092" xr:uid="{00000000-0005-0000-0000-00002F850000}"/>
    <cellStyle name="Normal 2 7 4 9 2 2" xfId="34093" xr:uid="{00000000-0005-0000-0000-000030850000}"/>
    <cellStyle name="Normal 2 7 4 9 2 2 2" xfId="34094" xr:uid="{00000000-0005-0000-0000-000031850000}"/>
    <cellStyle name="Normal 2 7 4 9 2 2 3" xfId="34095" xr:uid="{00000000-0005-0000-0000-000032850000}"/>
    <cellStyle name="Normal 2 7 4 9 2 3" xfId="34096" xr:uid="{00000000-0005-0000-0000-000033850000}"/>
    <cellStyle name="Normal 2 7 4 9 2 4" xfId="34097" xr:uid="{00000000-0005-0000-0000-000034850000}"/>
    <cellStyle name="Normal 2 7 4 9 2 5" xfId="34098" xr:uid="{00000000-0005-0000-0000-000035850000}"/>
    <cellStyle name="Normal 2 7 4 9 2 6" xfId="34099" xr:uid="{00000000-0005-0000-0000-000036850000}"/>
    <cellStyle name="Normal 2 7 4 9 3" xfId="34100" xr:uid="{00000000-0005-0000-0000-000037850000}"/>
    <cellStyle name="Normal 2 7 4 9 3 2" xfId="34101" xr:uid="{00000000-0005-0000-0000-000038850000}"/>
    <cellStyle name="Normal 2 7 4 9 3 2 2" xfId="34102" xr:uid="{00000000-0005-0000-0000-000039850000}"/>
    <cellStyle name="Normal 2 7 4 9 3 2 3" xfId="34103" xr:uid="{00000000-0005-0000-0000-00003A850000}"/>
    <cellStyle name="Normal 2 7 4 9 3 3" xfId="34104" xr:uid="{00000000-0005-0000-0000-00003B850000}"/>
    <cellStyle name="Normal 2 7 4 9 3 4" xfId="34105" xr:uid="{00000000-0005-0000-0000-00003C850000}"/>
    <cellStyle name="Normal 2 7 4 9 3 5" xfId="34106" xr:uid="{00000000-0005-0000-0000-00003D850000}"/>
    <cellStyle name="Normal 2 7 4 9 3 6" xfId="34107" xr:uid="{00000000-0005-0000-0000-00003E850000}"/>
    <cellStyle name="Normal 2 7 4 9 4" xfId="34108" xr:uid="{00000000-0005-0000-0000-00003F850000}"/>
    <cellStyle name="Normal 2 7 4 9 4 2" xfId="34109" xr:uid="{00000000-0005-0000-0000-000040850000}"/>
    <cellStyle name="Normal 2 7 4 9 4 2 2" xfId="34110" xr:uid="{00000000-0005-0000-0000-000041850000}"/>
    <cellStyle name="Normal 2 7 4 9 4 3" xfId="34111" xr:uid="{00000000-0005-0000-0000-000042850000}"/>
    <cellStyle name="Normal 2 7 4 9 4 4" xfId="34112" xr:uid="{00000000-0005-0000-0000-000043850000}"/>
    <cellStyle name="Normal 2 7 4 9 4 5" xfId="34113" xr:uid="{00000000-0005-0000-0000-000044850000}"/>
    <cellStyle name="Normal 2 7 4 9 5" xfId="34114" xr:uid="{00000000-0005-0000-0000-000045850000}"/>
    <cellStyle name="Normal 2 7 4 9 5 2" xfId="34115" xr:uid="{00000000-0005-0000-0000-000046850000}"/>
    <cellStyle name="Normal 2 7 4 9 5 3" xfId="34116" xr:uid="{00000000-0005-0000-0000-000047850000}"/>
    <cellStyle name="Normal 2 7 4 9 5 4" xfId="34117" xr:uid="{00000000-0005-0000-0000-000048850000}"/>
    <cellStyle name="Normal 2 7 4 9 6" xfId="34118" xr:uid="{00000000-0005-0000-0000-000049850000}"/>
    <cellStyle name="Normal 2 7 4 9 6 2" xfId="34119" xr:uid="{00000000-0005-0000-0000-00004A850000}"/>
    <cellStyle name="Normal 2 7 4 9 7" xfId="34120" xr:uid="{00000000-0005-0000-0000-00004B850000}"/>
    <cellStyle name="Normal 2 7 4 9 8" xfId="34121" xr:uid="{00000000-0005-0000-0000-00004C850000}"/>
    <cellStyle name="Normal 2 7 4 9 9" xfId="34122" xr:uid="{00000000-0005-0000-0000-00004D850000}"/>
    <cellStyle name="Normal 2 7 5" xfId="34123" xr:uid="{00000000-0005-0000-0000-00004E850000}"/>
    <cellStyle name="Normal 2 7 5 10" xfId="34124" xr:uid="{00000000-0005-0000-0000-00004F850000}"/>
    <cellStyle name="Normal 2 7 5 11" xfId="34125" xr:uid="{00000000-0005-0000-0000-000050850000}"/>
    <cellStyle name="Normal 2 7 5 2" xfId="34126" xr:uid="{00000000-0005-0000-0000-000051850000}"/>
    <cellStyle name="Normal 2 7 5 2 2" xfId="34127" xr:uid="{00000000-0005-0000-0000-000052850000}"/>
    <cellStyle name="Normal 2 7 5 2 2 2" xfId="34128" xr:uid="{00000000-0005-0000-0000-000053850000}"/>
    <cellStyle name="Normal 2 7 5 2 2 2 2" xfId="34129" xr:uid="{00000000-0005-0000-0000-000054850000}"/>
    <cellStyle name="Normal 2 7 5 2 2 2 3" xfId="34130" xr:uid="{00000000-0005-0000-0000-000055850000}"/>
    <cellStyle name="Normal 2 7 5 2 2 3" xfId="34131" xr:uid="{00000000-0005-0000-0000-000056850000}"/>
    <cellStyle name="Normal 2 7 5 2 2 4" xfId="34132" xr:uid="{00000000-0005-0000-0000-000057850000}"/>
    <cellStyle name="Normal 2 7 5 2 2 5" xfId="34133" xr:uid="{00000000-0005-0000-0000-000058850000}"/>
    <cellStyle name="Normal 2 7 5 2 2 6" xfId="34134" xr:uid="{00000000-0005-0000-0000-000059850000}"/>
    <cellStyle name="Normal 2 7 5 2 3" xfId="34135" xr:uid="{00000000-0005-0000-0000-00005A850000}"/>
    <cellStyle name="Normal 2 7 5 2 3 2" xfId="34136" xr:uid="{00000000-0005-0000-0000-00005B850000}"/>
    <cellStyle name="Normal 2 7 5 2 3 2 2" xfId="34137" xr:uid="{00000000-0005-0000-0000-00005C850000}"/>
    <cellStyle name="Normal 2 7 5 2 3 3" xfId="34138" xr:uid="{00000000-0005-0000-0000-00005D850000}"/>
    <cellStyle name="Normal 2 7 5 2 3 4" xfId="34139" xr:uid="{00000000-0005-0000-0000-00005E850000}"/>
    <cellStyle name="Normal 2 7 5 2 3 5" xfId="34140" xr:uid="{00000000-0005-0000-0000-00005F850000}"/>
    <cellStyle name="Normal 2 7 5 2 4" xfId="34141" xr:uid="{00000000-0005-0000-0000-000060850000}"/>
    <cellStyle name="Normal 2 7 5 2 4 2" xfId="34142" xr:uid="{00000000-0005-0000-0000-000061850000}"/>
    <cellStyle name="Normal 2 7 5 2 4 3" xfId="34143" xr:uid="{00000000-0005-0000-0000-000062850000}"/>
    <cellStyle name="Normal 2 7 5 2 4 4" xfId="34144" xr:uid="{00000000-0005-0000-0000-000063850000}"/>
    <cellStyle name="Normal 2 7 5 2 5" xfId="34145" xr:uid="{00000000-0005-0000-0000-000064850000}"/>
    <cellStyle name="Normal 2 7 5 2 5 2" xfId="34146" xr:uid="{00000000-0005-0000-0000-000065850000}"/>
    <cellStyle name="Normal 2 7 5 2 6" xfId="34147" xr:uid="{00000000-0005-0000-0000-000066850000}"/>
    <cellStyle name="Normal 2 7 5 2 7" xfId="34148" xr:uid="{00000000-0005-0000-0000-000067850000}"/>
    <cellStyle name="Normal 2 7 5 2 8" xfId="34149" xr:uid="{00000000-0005-0000-0000-000068850000}"/>
    <cellStyle name="Normal 2 7 5 2 9" xfId="34150" xr:uid="{00000000-0005-0000-0000-000069850000}"/>
    <cellStyle name="Normal 2 7 5 3" xfId="34151" xr:uid="{00000000-0005-0000-0000-00006A850000}"/>
    <cellStyle name="Normal 2 7 5 3 2" xfId="34152" xr:uid="{00000000-0005-0000-0000-00006B850000}"/>
    <cellStyle name="Normal 2 7 5 3 2 2" xfId="34153" xr:uid="{00000000-0005-0000-0000-00006C850000}"/>
    <cellStyle name="Normal 2 7 5 3 2 2 2" xfId="34154" xr:uid="{00000000-0005-0000-0000-00006D850000}"/>
    <cellStyle name="Normal 2 7 5 3 2 2 3" xfId="34155" xr:uid="{00000000-0005-0000-0000-00006E850000}"/>
    <cellStyle name="Normal 2 7 5 3 2 3" xfId="34156" xr:uid="{00000000-0005-0000-0000-00006F850000}"/>
    <cellStyle name="Normal 2 7 5 3 2 4" xfId="34157" xr:uid="{00000000-0005-0000-0000-000070850000}"/>
    <cellStyle name="Normal 2 7 5 3 2 5" xfId="34158" xr:uid="{00000000-0005-0000-0000-000071850000}"/>
    <cellStyle name="Normal 2 7 5 3 2 6" xfId="34159" xr:uid="{00000000-0005-0000-0000-000072850000}"/>
    <cellStyle name="Normal 2 7 5 3 3" xfId="34160" xr:uid="{00000000-0005-0000-0000-000073850000}"/>
    <cellStyle name="Normal 2 7 5 3 3 2" xfId="34161" xr:uid="{00000000-0005-0000-0000-000074850000}"/>
    <cellStyle name="Normal 2 7 5 3 3 2 2" xfId="34162" xr:uid="{00000000-0005-0000-0000-000075850000}"/>
    <cellStyle name="Normal 2 7 5 3 3 3" xfId="34163" xr:uid="{00000000-0005-0000-0000-000076850000}"/>
    <cellStyle name="Normal 2 7 5 3 3 4" xfId="34164" xr:uid="{00000000-0005-0000-0000-000077850000}"/>
    <cellStyle name="Normal 2 7 5 3 3 5" xfId="34165" xr:uid="{00000000-0005-0000-0000-000078850000}"/>
    <cellStyle name="Normal 2 7 5 3 4" xfId="34166" xr:uid="{00000000-0005-0000-0000-000079850000}"/>
    <cellStyle name="Normal 2 7 5 3 4 2" xfId="34167" xr:uid="{00000000-0005-0000-0000-00007A850000}"/>
    <cellStyle name="Normal 2 7 5 3 4 3" xfId="34168" xr:uid="{00000000-0005-0000-0000-00007B850000}"/>
    <cellStyle name="Normal 2 7 5 3 4 4" xfId="34169" xr:uid="{00000000-0005-0000-0000-00007C850000}"/>
    <cellStyle name="Normal 2 7 5 3 5" xfId="34170" xr:uid="{00000000-0005-0000-0000-00007D850000}"/>
    <cellStyle name="Normal 2 7 5 3 5 2" xfId="34171" xr:uid="{00000000-0005-0000-0000-00007E850000}"/>
    <cellStyle name="Normal 2 7 5 3 6" xfId="34172" xr:uid="{00000000-0005-0000-0000-00007F850000}"/>
    <cellStyle name="Normal 2 7 5 3 7" xfId="34173" xr:uid="{00000000-0005-0000-0000-000080850000}"/>
    <cellStyle name="Normal 2 7 5 3 8" xfId="34174" xr:uid="{00000000-0005-0000-0000-000081850000}"/>
    <cellStyle name="Normal 2 7 5 3 9" xfId="34175" xr:uid="{00000000-0005-0000-0000-000082850000}"/>
    <cellStyle name="Normal 2 7 5 4" xfId="34176" xr:uid="{00000000-0005-0000-0000-000083850000}"/>
    <cellStyle name="Normal 2 7 5 4 2" xfId="34177" xr:uid="{00000000-0005-0000-0000-000084850000}"/>
    <cellStyle name="Normal 2 7 5 4 2 2" xfId="34178" xr:uid="{00000000-0005-0000-0000-000085850000}"/>
    <cellStyle name="Normal 2 7 5 4 2 3" xfId="34179" xr:uid="{00000000-0005-0000-0000-000086850000}"/>
    <cellStyle name="Normal 2 7 5 4 3" xfId="34180" xr:uid="{00000000-0005-0000-0000-000087850000}"/>
    <cellStyle name="Normal 2 7 5 4 4" xfId="34181" xr:uid="{00000000-0005-0000-0000-000088850000}"/>
    <cellStyle name="Normal 2 7 5 4 5" xfId="34182" xr:uid="{00000000-0005-0000-0000-000089850000}"/>
    <cellStyle name="Normal 2 7 5 4 6" xfId="34183" xr:uid="{00000000-0005-0000-0000-00008A850000}"/>
    <cellStyle name="Normal 2 7 5 5" xfId="34184" xr:uid="{00000000-0005-0000-0000-00008B850000}"/>
    <cellStyle name="Normal 2 7 5 5 2" xfId="34185" xr:uid="{00000000-0005-0000-0000-00008C850000}"/>
    <cellStyle name="Normal 2 7 5 5 2 2" xfId="34186" xr:uid="{00000000-0005-0000-0000-00008D850000}"/>
    <cellStyle name="Normal 2 7 5 5 3" xfId="34187" xr:uid="{00000000-0005-0000-0000-00008E850000}"/>
    <cellStyle name="Normal 2 7 5 5 4" xfId="34188" xr:uid="{00000000-0005-0000-0000-00008F850000}"/>
    <cellStyle name="Normal 2 7 5 5 5" xfId="34189" xr:uid="{00000000-0005-0000-0000-000090850000}"/>
    <cellStyle name="Normal 2 7 5 6" xfId="34190" xr:uid="{00000000-0005-0000-0000-000091850000}"/>
    <cellStyle name="Normal 2 7 5 6 2" xfId="34191" xr:uid="{00000000-0005-0000-0000-000092850000}"/>
    <cellStyle name="Normal 2 7 5 6 3" xfId="34192" xr:uid="{00000000-0005-0000-0000-000093850000}"/>
    <cellStyle name="Normal 2 7 5 6 4" xfId="34193" xr:uid="{00000000-0005-0000-0000-000094850000}"/>
    <cellStyle name="Normal 2 7 5 7" xfId="34194" xr:uid="{00000000-0005-0000-0000-000095850000}"/>
    <cellStyle name="Normal 2 7 5 7 2" xfId="34195" xr:uid="{00000000-0005-0000-0000-000096850000}"/>
    <cellStyle name="Normal 2 7 5 8" xfId="34196" xr:uid="{00000000-0005-0000-0000-000097850000}"/>
    <cellStyle name="Normal 2 7 5 9" xfId="34197" xr:uid="{00000000-0005-0000-0000-000098850000}"/>
    <cellStyle name="Normal 2 7 6" xfId="34198" xr:uid="{00000000-0005-0000-0000-000099850000}"/>
    <cellStyle name="Normal 2 7 6 10" xfId="34199" xr:uid="{00000000-0005-0000-0000-00009A850000}"/>
    <cellStyle name="Normal 2 7 6 11" xfId="34200" xr:uid="{00000000-0005-0000-0000-00009B850000}"/>
    <cellStyle name="Normal 2 7 6 2" xfId="34201" xr:uid="{00000000-0005-0000-0000-00009C850000}"/>
    <cellStyle name="Normal 2 7 6 2 2" xfId="34202" xr:uid="{00000000-0005-0000-0000-00009D850000}"/>
    <cellStyle name="Normal 2 7 6 2 2 2" xfId="34203" xr:uid="{00000000-0005-0000-0000-00009E850000}"/>
    <cellStyle name="Normal 2 7 6 2 2 2 2" xfId="34204" xr:uid="{00000000-0005-0000-0000-00009F850000}"/>
    <cellStyle name="Normal 2 7 6 2 2 2 3" xfId="34205" xr:uid="{00000000-0005-0000-0000-0000A0850000}"/>
    <cellStyle name="Normal 2 7 6 2 2 3" xfId="34206" xr:uid="{00000000-0005-0000-0000-0000A1850000}"/>
    <cellStyle name="Normal 2 7 6 2 2 4" xfId="34207" xr:uid="{00000000-0005-0000-0000-0000A2850000}"/>
    <cellStyle name="Normal 2 7 6 2 2 5" xfId="34208" xr:uid="{00000000-0005-0000-0000-0000A3850000}"/>
    <cellStyle name="Normal 2 7 6 2 2 6" xfId="34209" xr:uid="{00000000-0005-0000-0000-0000A4850000}"/>
    <cellStyle name="Normal 2 7 6 2 3" xfId="34210" xr:uid="{00000000-0005-0000-0000-0000A5850000}"/>
    <cellStyle name="Normal 2 7 6 2 3 2" xfId="34211" xr:uid="{00000000-0005-0000-0000-0000A6850000}"/>
    <cellStyle name="Normal 2 7 6 2 3 2 2" xfId="34212" xr:uid="{00000000-0005-0000-0000-0000A7850000}"/>
    <cellStyle name="Normal 2 7 6 2 3 3" xfId="34213" xr:uid="{00000000-0005-0000-0000-0000A8850000}"/>
    <cellStyle name="Normal 2 7 6 2 3 4" xfId="34214" xr:uid="{00000000-0005-0000-0000-0000A9850000}"/>
    <cellStyle name="Normal 2 7 6 2 3 5" xfId="34215" xr:uid="{00000000-0005-0000-0000-0000AA850000}"/>
    <cellStyle name="Normal 2 7 6 2 4" xfId="34216" xr:uid="{00000000-0005-0000-0000-0000AB850000}"/>
    <cellStyle name="Normal 2 7 6 2 4 2" xfId="34217" xr:uid="{00000000-0005-0000-0000-0000AC850000}"/>
    <cellStyle name="Normal 2 7 6 2 4 3" xfId="34218" xr:uid="{00000000-0005-0000-0000-0000AD850000}"/>
    <cellStyle name="Normal 2 7 6 2 4 4" xfId="34219" xr:uid="{00000000-0005-0000-0000-0000AE850000}"/>
    <cellStyle name="Normal 2 7 6 2 5" xfId="34220" xr:uid="{00000000-0005-0000-0000-0000AF850000}"/>
    <cellStyle name="Normal 2 7 6 2 5 2" xfId="34221" xr:uid="{00000000-0005-0000-0000-0000B0850000}"/>
    <cellStyle name="Normal 2 7 6 2 6" xfId="34222" xr:uid="{00000000-0005-0000-0000-0000B1850000}"/>
    <cellStyle name="Normal 2 7 6 2 7" xfId="34223" xr:uid="{00000000-0005-0000-0000-0000B2850000}"/>
    <cellStyle name="Normal 2 7 6 2 8" xfId="34224" xr:uid="{00000000-0005-0000-0000-0000B3850000}"/>
    <cellStyle name="Normal 2 7 6 2 9" xfId="34225" xr:uid="{00000000-0005-0000-0000-0000B4850000}"/>
    <cellStyle name="Normal 2 7 6 3" xfId="34226" xr:uid="{00000000-0005-0000-0000-0000B5850000}"/>
    <cellStyle name="Normal 2 7 6 3 2" xfId="34227" xr:uid="{00000000-0005-0000-0000-0000B6850000}"/>
    <cellStyle name="Normal 2 7 6 3 2 2" xfId="34228" xr:uid="{00000000-0005-0000-0000-0000B7850000}"/>
    <cellStyle name="Normal 2 7 6 3 2 2 2" xfId="34229" xr:uid="{00000000-0005-0000-0000-0000B8850000}"/>
    <cellStyle name="Normal 2 7 6 3 2 2 3" xfId="34230" xr:uid="{00000000-0005-0000-0000-0000B9850000}"/>
    <cellStyle name="Normal 2 7 6 3 2 3" xfId="34231" xr:uid="{00000000-0005-0000-0000-0000BA850000}"/>
    <cellStyle name="Normal 2 7 6 3 2 4" xfId="34232" xr:uid="{00000000-0005-0000-0000-0000BB850000}"/>
    <cellStyle name="Normal 2 7 6 3 2 5" xfId="34233" xr:uid="{00000000-0005-0000-0000-0000BC850000}"/>
    <cellStyle name="Normal 2 7 6 3 2 6" xfId="34234" xr:uid="{00000000-0005-0000-0000-0000BD850000}"/>
    <cellStyle name="Normal 2 7 6 3 3" xfId="34235" xr:uid="{00000000-0005-0000-0000-0000BE850000}"/>
    <cellStyle name="Normal 2 7 6 3 3 2" xfId="34236" xr:uid="{00000000-0005-0000-0000-0000BF850000}"/>
    <cellStyle name="Normal 2 7 6 3 3 2 2" xfId="34237" xr:uid="{00000000-0005-0000-0000-0000C0850000}"/>
    <cellStyle name="Normal 2 7 6 3 3 3" xfId="34238" xr:uid="{00000000-0005-0000-0000-0000C1850000}"/>
    <cellStyle name="Normal 2 7 6 3 3 4" xfId="34239" xr:uid="{00000000-0005-0000-0000-0000C2850000}"/>
    <cellStyle name="Normal 2 7 6 3 3 5" xfId="34240" xr:uid="{00000000-0005-0000-0000-0000C3850000}"/>
    <cellStyle name="Normal 2 7 6 3 4" xfId="34241" xr:uid="{00000000-0005-0000-0000-0000C4850000}"/>
    <cellStyle name="Normal 2 7 6 3 4 2" xfId="34242" xr:uid="{00000000-0005-0000-0000-0000C5850000}"/>
    <cellStyle name="Normal 2 7 6 3 4 3" xfId="34243" xr:uid="{00000000-0005-0000-0000-0000C6850000}"/>
    <cellStyle name="Normal 2 7 6 3 4 4" xfId="34244" xr:uid="{00000000-0005-0000-0000-0000C7850000}"/>
    <cellStyle name="Normal 2 7 6 3 5" xfId="34245" xr:uid="{00000000-0005-0000-0000-0000C8850000}"/>
    <cellStyle name="Normal 2 7 6 3 5 2" xfId="34246" xr:uid="{00000000-0005-0000-0000-0000C9850000}"/>
    <cellStyle name="Normal 2 7 6 3 6" xfId="34247" xr:uid="{00000000-0005-0000-0000-0000CA850000}"/>
    <cellStyle name="Normal 2 7 6 3 7" xfId="34248" xr:uid="{00000000-0005-0000-0000-0000CB850000}"/>
    <cellStyle name="Normal 2 7 6 3 8" xfId="34249" xr:uid="{00000000-0005-0000-0000-0000CC850000}"/>
    <cellStyle name="Normal 2 7 6 3 9" xfId="34250" xr:uid="{00000000-0005-0000-0000-0000CD850000}"/>
    <cellStyle name="Normal 2 7 6 4" xfId="34251" xr:uid="{00000000-0005-0000-0000-0000CE850000}"/>
    <cellStyle name="Normal 2 7 6 4 2" xfId="34252" xr:uid="{00000000-0005-0000-0000-0000CF850000}"/>
    <cellStyle name="Normal 2 7 6 4 2 2" xfId="34253" xr:uid="{00000000-0005-0000-0000-0000D0850000}"/>
    <cellStyle name="Normal 2 7 6 4 2 3" xfId="34254" xr:uid="{00000000-0005-0000-0000-0000D1850000}"/>
    <cellStyle name="Normal 2 7 6 4 3" xfId="34255" xr:uid="{00000000-0005-0000-0000-0000D2850000}"/>
    <cellStyle name="Normal 2 7 6 4 4" xfId="34256" xr:uid="{00000000-0005-0000-0000-0000D3850000}"/>
    <cellStyle name="Normal 2 7 6 4 5" xfId="34257" xr:uid="{00000000-0005-0000-0000-0000D4850000}"/>
    <cellStyle name="Normal 2 7 6 4 6" xfId="34258" xr:uid="{00000000-0005-0000-0000-0000D5850000}"/>
    <cellStyle name="Normal 2 7 6 5" xfId="34259" xr:uid="{00000000-0005-0000-0000-0000D6850000}"/>
    <cellStyle name="Normal 2 7 6 5 2" xfId="34260" xr:uid="{00000000-0005-0000-0000-0000D7850000}"/>
    <cellStyle name="Normal 2 7 6 5 2 2" xfId="34261" xr:uid="{00000000-0005-0000-0000-0000D8850000}"/>
    <cellStyle name="Normal 2 7 6 5 3" xfId="34262" xr:uid="{00000000-0005-0000-0000-0000D9850000}"/>
    <cellStyle name="Normal 2 7 6 5 4" xfId="34263" xr:uid="{00000000-0005-0000-0000-0000DA850000}"/>
    <cellStyle name="Normal 2 7 6 5 5" xfId="34264" xr:uid="{00000000-0005-0000-0000-0000DB850000}"/>
    <cellStyle name="Normal 2 7 6 6" xfId="34265" xr:uid="{00000000-0005-0000-0000-0000DC850000}"/>
    <cellStyle name="Normal 2 7 6 6 2" xfId="34266" xr:uid="{00000000-0005-0000-0000-0000DD850000}"/>
    <cellStyle name="Normal 2 7 6 6 3" xfId="34267" xr:uid="{00000000-0005-0000-0000-0000DE850000}"/>
    <cellStyle name="Normal 2 7 6 6 4" xfId="34268" xr:uid="{00000000-0005-0000-0000-0000DF850000}"/>
    <cellStyle name="Normal 2 7 6 7" xfId="34269" xr:uid="{00000000-0005-0000-0000-0000E0850000}"/>
    <cellStyle name="Normal 2 7 6 7 2" xfId="34270" xr:uid="{00000000-0005-0000-0000-0000E1850000}"/>
    <cellStyle name="Normal 2 7 6 8" xfId="34271" xr:uid="{00000000-0005-0000-0000-0000E2850000}"/>
    <cellStyle name="Normal 2 7 6 9" xfId="34272" xr:uid="{00000000-0005-0000-0000-0000E3850000}"/>
    <cellStyle name="Normal 2 7 7" xfId="34273" xr:uid="{00000000-0005-0000-0000-0000E4850000}"/>
    <cellStyle name="Normal 2 7 7 10" xfId="34274" xr:uid="{00000000-0005-0000-0000-0000E5850000}"/>
    <cellStyle name="Normal 2 7 7 11" xfId="34275" xr:uid="{00000000-0005-0000-0000-0000E6850000}"/>
    <cellStyle name="Normal 2 7 7 2" xfId="34276" xr:uid="{00000000-0005-0000-0000-0000E7850000}"/>
    <cellStyle name="Normal 2 7 7 2 2" xfId="34277" xr:uid="{00000000-0005-0000-0000-0000E8850000}"/>
    <cellStyle name="Normal 2 7 7 2 2 2" xfId="34278" xr:uid="{00000000-0005-0000-0000-0000E9850000}"/>
    <cellStyle name="Normal 2 7 7 2 2 2 2" xfId="34279" xr:uid="{00000000-0005-0000-0000-0000EA850000}"/>
    <cellStyle name="Normal 2 7 7 2 2 2 3" xfId="34280" xr:uid="{00000000-0005-0000-0000-0000EB850000}"/>
    <cellStyle name="Normal 2 7 7 2 2 3" xfId="34281" xr:uid="{00000000-0005-0000-0000-0000EC850000}"/>
    <cellStyle name="Normal 2 7 7 2 2 4" xfId="34282" xr:uid="{00000000-0005-0000-0000-0000ED850000}"/>
    <cellStyle name="Normal 2 7 7 2 2 5" xfId="34283" xr:uid="{00000000-0005-0000-0000-0000EE850000}"/>
    <cellStyle name="Normal 2 7 7 2 2 6" xfId="34284" xr:uid="{00000000-0005-0000-0000-0000EF850000}"/>
    <cellStyle name="Normal 2 7 7 2 3" xfId="34285" xr:uid="{00000000-0005-0000-0000-0000F0850000}"/>
    <cellStyle name="Normal 2 7 7 2 3 2" xfId="34286" xr:uid="{00000000-0005-0000-0000-0000F1850000}"/>
    <cellStyle name="Normal 2 7 7 2 3 2 2" xfId="34287" xr:uid="{00000000-0005-0000-0000-0000F2850000}"/>
    <cellStyle name="Normal 2 7 7 2 3 3" xfId="34288" xr:uid="{00000000-0005-0000-0000-0000F3850000}"/>
    <cellStyle name="Normal 2 7 7 2 3 4" xfId="34289" xr:uid="{00000000-0005-0000-0000-0000F4850000}"/>
    <cellStyle name="Normal 2 7 7 2 3 5" xfId="34290" xr:uid="{00000000-0005-0000-0000-0000F5850000}"/>
    <cellStyle name="Normal 2 7 7 2 4" xfId="34291" xr:uid="{00000000-0005-0000-0000-0000F6850000}"/>
    <cellStyle name="Normal 2 7 7 2 4 2" xfId="34292" xr:uid="{00000000-0005-0000-0000-0000F7850000}"/>
    <cellStyle name="Normal 2 7 7 2 4 3" xfId="34293" xr:uid="{00000000-0005-0000-0000-0000F8850000}"/>
    <cellStyle name="Normal 2 7 7 2 4 4" xfId="34294" xr:uid="{00000000-0005-0000-0000-0000F9850000}"/>
    <cellStyle name="Normal 2 7 7 2 5" xfId="34295" xr:uid="{00000000-0005-0000-0000-0000FA850000}"/>
    <cellStyle name="Normal 2 7 7 2 5 2" xfId="34296" xr:uid="{00000000-0005-0000-0000-0000FB850000}"/>
    <cellStyle name="Normal 2 7 7 2 6" xfId="34297" xr:uid="{00000000-0005-0000-0000-0000FC850000}"/>
    <cellStyle name="Normal 2 7 7 2 7" xfId="34298" xr:uid="{00000000-0005-0000-0000-0000FD850000}"/>
    <cellStyle name="Normal 2 7 7 2 8" xfId="34299" xr:uid="{00000000-0005-0000-0000-0000FE850000}"/>
    <cellStyle name="Normal 2 7 7 2 9" xfId="34300" xr:uid="{00000000-0005-0000-0000-0000FF850000}"/>
    <cellStyle name="Normal 2 7 7 3" xfId="34301" xr:uid="{00000000-0005-0000-0000-000000860000}"/>
    <cellStyle name="Normal 2 7 7 3 2" xfId="34302" xr:uid="{00000000-0005-0000-0000-000001860000}"/>
    <cellStyle name="Normal 2 7 7 3 2 2" xfId="34303" xr:uid="{00000000-0005-0000-0000-000002860000}"/>
    <cellStyle name="Normal 2 7 7 3 2 2 2" xfId="34304" xr:uid="{00000000-0005-0000-0000-000003860000}"/>
    <cellStyle name="Normal 2 7 7 3 2 2 3" xfId="34305" xr:uid="{00000000-0005-0000-0000-000004860000}"/>
    <cellStyle name="Normal 2 7 7 3 2 3" xfId="34306" xr:uid="{00000000-0005-0000-0000-000005860000}"/>
    <cellStyle name="Normal 2 7 7 3 2 4" xfId="34307" xr:uid="{00000000-0005-0000-0000-000006860000}"/>
    <cellStyle name="Normal 2 7 7 3 2 5" xfId="34308" xr:uid="{00000000-0005-0000-0000-000007860000}"/>
    <cellStyle name="Normal 2 7 7 3 2 6" xfId="34309" xr:uid="{00000000-0005-0000-0000-000008860000}"/>
    <cellStyle name="Normal 2 7 7 3 3" xfId="34310" xr:uid="{00000000-0005-0000-0000-000009860000}"/>
    <cellStyle name="Normal 2 7 7 3 3 2" xfId="34311" xr:uid="{00000000-0005-0000-0000-00000A860000}"/>
    <cellStyle name="Normal 2 7 7 3 3 2 2" xfId="34312" xr:uid="{00000000-0005-0000-0000-00000B860000}"/>
    <cellStyle name="Normal 2 7 7 3 3 3" xfId="34313" xr:uid="{00000000-0005-0000-0000-00000C860000}"/>
    <cellStyle name="Normal 2 7 7 3 3 4" xfId="34314" xr:uid="{00000000-0005-0000-0000-00000D860000}"/>
    <cellStyle name="Normal 2 7 7 3 3 5" xfId="34315" xr:uid="{00000000-0005-0000-0000-00000E860000}"/>
    <cellStyle name="Normal 2 7 7 3 4" xfId="34316" xr:uid="{00000000-0005-0000-0000-00000F860000}"/>
    <cellStyle name="Normal 2 7 7 3 4 2" xfId="34317" xr:uid="{00000000-0005-0000-0000-000010860000}"/>
    <cellStyle name="Normal 2 7 7 3 4 3" xfId="34318" xr:uid="{00000000-0005-0000-0000-000011860000}"/>
    <cellStyle name="Normal 2 7 7 3 4 4" xfId="34319" xr:uid="{00000000-0005-0000-0000-000012860000}"/>
    <cellStyle name="Normal 2 7 7 3 5" xfId="34320" xr:uid="{00000000-0005-0000-0000-000013860000}"/>
    <cellStyle name="Normal 2 7 7 3 5 2" xfId="34321" xr:uid="{00000000-0005-0000-0000-000014860000}"/>
    <cellStyle name="Normal 2 7 7 3 6" xfId="34322" xr:uid="{00000000-0005-0000-0000-000015860000}"/>
    <cellStyle name="Normal 2 7 7 3 7" xfId="34323" xr:uid="{00000000-0005-0000-0000-000016860000}"/>
    <cellStyle name="Normal 2 7 7 3 8" xfId="34324" xr:uid="{00000000-0005-0000-0000-000017860000}"/>
    <cellStyle name="Normal 2 7 7 3 9" xfId="34325" xr:uid="{00000000-0005-0000-0000-000018860000}"/>
    <cellStyle name="Normal 2 7 7 4" xfId="34326" xr:uid="{00000000-0005-0000-0000-000019860000}"/>
    <cellStyle name="Normal 2 7 7 4 2" xfId="34327" xr:uid="{00000000-0005-0000-0000-00001A860000}"/>
    <cellStyle name="Normal 2 7 7 4 2 2" xfId="34328" xr:uid="{00000000-0005-0000-0000-00001B860000}"/>
    <cellStyle name="Normal 2 7 7 4 2 3" xfId="34329" xr:uid="{00000000-0005-0000-0000-00001C860000}"/>
    <cellStyle name="Normal 2 7 7 4 3" xfId="34330" xr:uid="{00000000-0005-0000-0000-00001D860000}"/>
    <cellStyle name="Normal 2 7 7 4 4" xfId="34331" xr:uid="{00000000-0005-0000-0000-00001E860000}"/>
    <cellStyle name="Normal 2 7 7 4 5" xfId="34332" xr:uid="{00000000-0005-0000-0000-00001F860000}"/>
    <cellStyle name="Normal 2 7 7 4 6" xfId="34333" xr:uid="{00000000-0005-0000-0000-000020860000}"/>
    <cellStyle name="Normal 2 7 7 5" xfId="34334" xr:uid="{00000000-0005-0000-0000-000021860000}"/>
    <cellStyle name="Normal 2 7 7 5 2" xfId="34335" xr:uid="{00000000-0005-0000-0000-000022860000}"/>
    <cellStyle name="Normal 2 7 7 5 2 2" xfId="34336" xr:uid="{00000000-0005-0000-0000-000023860000}"/>
    <cellStyle name="Normal 2 7 7 5 3" xfId="34337" xr:uid="{00000000-0005-0000-0000-000024860000}"/>
    <cellStyle name="Normal 2 7 7 5 4" xfId="34338" xr:uid="{00000000-0005-0000-0000-000025860000}"/>
    <cellStyle name="Normal 2 7 7 5 5" xfId="34339" xr:uid="{00000000-0005-0000-0000-000026860000}"/>
    <cellStyle name="Normal 2 7 7 6" xfId="34340" xr:uid="{00000000-0005-0000-0000-000027860000}"/>
    <cellStyle name="Normal 2 7 7 6 2" xfId="34341" xr:uid="{00000000-0005-0000-0000-000028860000}"/>
    <cellStyle name="Normal 2 7 7 6 3" xfId="34342" xr:uid="{00000000-0005-0000-0000-000029860000}"/>
    <cellStyle name="Normal 2 7 7 6 4" xfId="34343" xr:uid="{00000000-0005-0000-0000-00002A860000}"/>
    <cellStyle name="Normal 2 7 7 7" xfId="34344" xr:uid="{00000000-0005-0000-0000-00002B860000}"/>
    <cellStyle name="Normal 2 7 7 7 2" xfId="34345" xr:uid="{00000000-0005-0000-0000-00002C860000}"/>
    <cellStyle name="Normal 2 7 7 8" xfId="34346" xr:uid="{00000000-0005-0000-0000-00002D860000}"/>
    <cellStyle name="Normal 2 7 7 9" xfId="34347" xr:uid="{00000000-0005-0000-0000-00002E860000}"/>
    <cellStyle name="Normal 2 7 8" xfId="34348" xr:uid="{00000000-0005-0000-0000-00002F860000}"/>
    <cellStyle name="Normal 2 7 8 10" xfId="34349" xr:uid="{00000000-0005-0000-0000-000030860000}"/>
    <cellStyle name="Normal 2 7 8 11" xfId="34350" xr:uid="{00000000-0005-0000-0000-000031860000}"/>
    <cellStyle name="Normal 2 7 8 2" xfId="34351" xr:uid="{00000000-0005-0000-0000-000032860000}"/>
    <cellStyle name="Normal 2 7 8 2 2" xfId="34352" xr:uid="{00000000-0005-0000-0000-000033860000}"/>
    <cellStyle name="Normal 2 7 8 2 2 2" xfId="34353" xr:uid="{00000000-0005-0000-0000-000034860000}"/>
    <cellStyle name="Normal 2 7 8 2 2 2 2" xfId="34354" xr:uid="{00000000-0005-0000-0000-000035860000}"/>
    <cellStyle name="Normal 2 7 8 2 2 2 3" xfId="34355" xr:uid="{00000000-0005-0000-0000-000036860000}"/>
    <cellStyle name="Normal 2 7 8 2 2 3" xfId="34356" xr:uid="{00000000-0005-0000-0000-000037860000}"/>
    <cellStyle name="Normal 2 7 8 2 2 4" xfId="34357" xr:uid="{00000000-0005-0000-0000-000038860000}"/>
    <cellStyle name="Normal 2 7 8 2 2 5" xfId="34358" xr:uid="{00000000-0005-0000-0000-000039860000}"/>
    <cellStyle name="Normal 2 7 8 2 2 6" xfId="34359" xr:uid="{00000000-0005-0000-0000-00003A860000}"/>
    <cellStyle name="Normal 2 7 8 2 3" xfId="34360" xr:uid="{00000000-0005-0000-0000-00003B860000}"/>
    <cellStyle name="Normal 2 7 8 2 3 2" xfId="34361" xr:uid="{00000000-0005-0000-0000-00003C860000}"/>
    <cellStyle name="Normal 2 7 8 2 3 2 2" xfId="34362" xr:uid="{00000000-0005-0000-0000-00003D860000}"/>
    <cellStyle name="Normal 2 7 8 2 3 3" xfId="34363" xr:uid="{00000000-0005-0000-0000-00003E860000}"/>
    <cellStyle name="Normal 2 7 8 2 3 4" xfId="34364" xr:uid="{00000000-0005-0000-0000-00003F860000}"/>
    <cellStyle name="Normal 2 7 8 2 3 5" xfId="34365" xr:uid="{00000000-0005-0000-0000-000040860000}"/>
    <cellStyle name="Normal 2 7 8 2 4" xfId="34366" xr:uid="{00000000-0005-0000-0000-000041860000}"/>
    <cellStyle name="Normal 2 7 8 2 4 2" xfId="34367" xr:uid="{00000000-0005-0000-0000-000042860000}"/>
    <cellStyle name="Normal 2 7 8 2 4 3" xfId="34368" xr:uid="{00000000-0005-0000-0000-000043860000}"/>
    <cellStyle name="Normal 2 7 8 2 4 4" xfId="34369" xr:uid="{00000000-0005-0000-0000-000044860000}"/>
    <cellStyle name="Normal 2 7 8 2 5" xfId="34370" xr:uid="{00000000-0005-0000-0000-000045860000}"/>
    <cellStyle name="Normal 2 7 8 2 5 2" xfId="34371" xr:uid="{00000000-0005-0000-0000-000046860000}"/>
    <cellStyle name="Normal 2 7 8 2 6" xfId="34372" xr:uid="{00000000-0005-0000-0000-000047860000}"/>
    <cellStyle name="Normal 2 7 8 2 7" xfId="34373" xr:uid="{00000000-0005-0000-0000-000048860000}"/>
    <cellStyle name="Normal 2 7 8 2 8" xfId="34374" xr:uid="{00000000-0005-0000-0000-000049860000}"/>
    <cellStyle name="Normal 2 7 8 2 9" xfId="34375" xr:uid="{00000000-0005-0000-0000-00004A860000}"/>
    <cellStyle name="Normal 2 7 8 3" xfId="34376" xr:uid="{00000000-0005-0000-0000-00004B860000}"/>
    <cellStyle name="Normal 2 7 8 3 2" xfId="34377" xr:uid="{00000000-0005-0000-0000-00004C860000}"/>
    <cellStyle name="Normal 2 7 8 3 2 2" xfId="34378" xr:uid="{00000000-0005-0000-0000-00004D860000}"/>
    <cellStyle name="Normal 2 7 8 3 2 2 2" xfId="34379" xr:uid="{00000000-0005-0000-0000-00004E860000}"/>
    <cellStyle name="Normal 2 7 8 3 2 2 3" xfId="34380" xr:uid="{00000000-0005-0000-0000-00004F860000}"/>
    <cellStyle name="Normal 2 7 8 3 2 3" xfId="34381" xr:uid="{00000000-0005-0000-0000-000050860000}"/>
    <cellStyle name="Normal 2 7 8 3 2 4" xfId="34382" xr:uid="{00000000-0005-0000-0000-000051860000}"/>
    <cellStyle name="Normal 2 7 8 3 2 5" xfId="34383" xr:uid="{00000000-0005-0000-0000-000052860000}"/>
    <cellStyle name="Normal 2 7 8 3 2 6" xfId="34384" xr:uid="{00000000-0005-0000-0000-000053860000}"/>
    <cellStyle name="Normal 2 7 8 3 3" xfId="34385" xr:uid="{00000000-0005-0000-0000-000054860000}"/>
    <cellStyle name="Normal 2 7 8 3 3 2" xfId="34386" xr:uid="{00000000-0005-0000-0000-000055860000}"/>
    <cellStyle name="Normal 2 7 8 3 3 2 2" xfId="34387" xr:uid="{00000000-0005-0000-0000-000056860000}"/>
    <cellStyle name="Normal 2 7 8 3 3 3" xfId="34388" xr:uid="{00000000-0005-0000-0000-000057860000}"/>
    <cellStyle name="Normal 2 7 8 3 3 4" xfId="34389" xr:uid="{00000000-0005-0000-0000-000058860000}"/>
    <cellStyle name="Normal 2 7 8 3 3 5" xfId="34390" xr:uid="{00000000-0005-0000-0000-000059860000}"/>
    <cellStyle name="Normal 2 7 8 3 4" xfId="34391" xr:uid="{00000000-0005-0000-0000-00005A860000}"/>
    <cellStyle name="Normal 2 7 8 3 4 2" xfId="34392" xr:uid="{00000000-0005-0000-0000-00005B860000}"/>
    <cellStyle name="Normal 2 7 8 3 4 3" xfId="34393" xr:uid="{00000000-0005-0000-0000-00005C860000}"/>
    <cellStyle name="Normal 2 7 8 3 4 4" xfId="34394" xr:uid="{00000000-0005-0000-0000-00005D860000}"/>
    <cellStyle name="Normal 2 7 8 3 5" xfId="34395" xr:uid="{00000000-0005-0000-0000-00005E860000}"/>
    <cellStyle name="Normal 2 7 8 3 5 2" xfId="34396" xr:uid="{00000000-0005-0000-0000-00005F860000}"/>
    <cellStyle name="Normal 2 7 8 3 6" xfId="34397" xr:uid="{00000000-0005-0000-0000-000060860000}"/>
    <cellStyle name="Normal 2 7 8 3 7" xfId="34398" xr:uid="{00000000-0005-0000-0000-000061860000}"/>
    <cellStyle name="Normal 2 7 8 3 8" xfId="34399" xr:uid="{00000000-0005-0000-0000-000062860000}"/>
    <cellStyle name="Normal 2 7 8 3 9" xfId="34400" xr:uid="{00000000-0005-0000-0000-000063860000}"/>
    <cellStyle name="Normal 2 7 8 4" xfId="34401" xr:uid="{00000000-0005-0000-0000-000064860000}"/>
    <cellStyle name="Normal 2 7 8 4 2" xfId="34402" xr:uid="{00000000-0005-0000-0000-000065860000}"/>
    <cellStyle name="Normal 2 7 8 4 2 2" xfId="34403" xr:uid="{00000000-0005-0000-0000-000066860000}"/>
    <cellStyle name="Normal 2 7 8 4 2 3" xfId="34404" xr:uid="{00000000-0005-0000-0000-000067860000}"/>
    <cellStyle name="Normal 2 7 8 4 3" xfId="34405" xr:uid="{00000000-0005-0000-0000-000068860000}"/>
    <cellStyle name="Normal 2 7 8 4 4" xfId="34406" xr:uid="{00000000-0005-0000-0000-000069860000}"/>
    <cellStyle name="Normal 2 7 8 4 5" xfId="34407" xr:uid="{00000000-0005-0000-0000-00006A860000}"/>
    <cellStyle name="Normal 2 7 8 4 6" xfId="34408" xr:uid="{00000000-0005-0000-0000-00006B860000}"/>
    <cellStyle name="Normal 2 7 8 5" xfId="34409" xr:uid="{00000000-0005-0000-0000-00006C860000}"/>
    <cellStyle name="Normal 2 7 8 5 2" xfId="34410" xr:uid="{00000000-0005-0000-0000-00006D860000}"/>
    <cellStyle name="Normal 2 7 8 5 2 2" xfId="34411" xr:uid="{00000000-0005-0000-0000-00006E860000}"/>
    <cellStyle name="Normal 2 7 8 5 3" xfId="34412" xr:uid="{00000000-0005-0000-0000-00006F860000}"/>
    <cellStyle name="Normal 2 7 8 5 4" xfId="34413" xr:uid="{00000000-0005-0000-0000-000070860000}"/>
    <cellStyle name="Normal 2 7 8 5 5" xfId="34414" xr:uid="{00000000-0005-0000-0000-000071860000}"/>
    <cellStyle name="Normal 2 7 8 6" xfId="34415" xr:uid="{00000000-0005-0000-0000-000072860000}"/>
    <cellStyle name="Normal 2 7 8 6 2" xfId="34416" xr:uid="{00000000-0005-0000-0000-000073860000}"/>
    <cellStyle name="Normal 2 7 8 6 3" xfId="34417" xr:uid="{00000000-0005-0000-0000-000074860000}"/>
    <cellStyle name="Normal 2 7 8 6 4" xfId="34418" xr:uid="{00000000-0005-0000-0000-000075860000}"/>
    <cellStyle name="Normal 2 7 8 7" xfId="34419" xr:uid="{00000000-0005-0000-0000-000076860000}"/>
    <cellStyle name="Normal 2 7 8 7 2" xfId="34420" xr:uid="{00000000-0005-0000-0000-000077860000}"/>
    <cellStyle name="Normal 2 7 8 8" xfId="34421" xr:uid="{00000000-0005-0000-0000-000078860000}"/>
    <cellStyle name="Normal 2 7 8 9" xfId="34422" xr:uid="{00000000-0005-0000-0000-000079860000}"/>
    <cellStyle name="Normal 2 7 9" xfId="34423" xr:uid="{00000000-0005-0000-0000-00007A860000}"/>
    <cellStyle name="Normal 2 7 9 10" xfId="34424" xr:uid="{00000000-0005-0000-0000-00007B860000}"/>
    <cellStyle name="Normal 2 7 9 11" xfId="34425" xr:uid="{00000000-0005-0000-0000-00007C860000}"/>
    <cellStyle name="Normal 2 7 9 2" xfId="34426" xr:uid="{00000000-0005-0000-0000-00007D860000}"/>
    <cellStyle name="Normal 2 7 9 2 2" xfId="34427" xr:uid="{00000000-0005-0000-0000-00007E860000}"/>
    <cellStyle name="Normal 2 7 9 2 2 2" xfId="34428" xr:uid="{00000000-0005-0000-0000-00007F860000}"/>
    <cellStyle name="Normal 2 7 9 2 2 2 2" xfId="34429" xr:uid="{00000000-0005-0000-0000-000080860000}"/>
    <cellStyle name="Normal 2 7 9 2 2 2 3" xfId="34430" xr:uid="{00000000-0005-0000-0000-000081860000}"/>
    <cellStyle name="Normal 2 7 9 2 2 3" xfId="34431" xr:uid="{00000000-0005-0000-0000-000082860000}"/>
    <cellStyle name="Normal 2 7 9 2 2 4" xfId="34432" xr:uid="{00000000-0005-0000-0000-000083860000}"/>
    <cellStyle name="Normal 2 7 9 2 2 5" xfId="34433" xr:uid="{00000000-0005-0000-0000-000084860000}"/>
    <cellStyle name="Normal 2 7 9 2 2 6" xfId="34434" xr:uid="{00000000-0005-0000-0000-000085860000}"/>
    <cellStyle name="Normal 2 7 9 2 3" xfId="34435" xr:uid="{00000000-0005-0000-0000-000086860000}"/>
    <cellStyle name="Normal 2 7 9 2 3 2" xfId="34436" xr:uid="{00000000-0005-0000-0000-000087860000}"/>
    <cellStyle name="Normal 2 7 9 2 3 2 2" xfId="34437" xr:uid="{00000000-0005-0000-0000-000088860000}"/>
    <cellStyle name="Normal 2 7 9 2 3 3" xfId="34438" xr:uid="{00000000-0005-0000-0000-000089860000}"/>
    <cellStyle name="Normal 2 7 9 2 3 4" xfId="34439" xr:uid="{00000000-0005-0000-0000-00008A860000}"/>
    <cellStyle name="Normal 2 7 9 2 3 5" xfId="34440" xr:uid="{00000000-0005-0000-0000-00008B860000}"/>
    <cellStyle name="Normal 2 7 9 2 4" xfId="34441" xr:uid="{00000000-0005-0000-0000-00008C860000}"/>
    <cellStyle name="Normal 2 7 9 2 4 2" xfId="34442" xr:uid="{00000000-0005-0000-0000-00008D860000}"/>
    <cellStyle name="Normal 2 7 9 2 4 3" xfId="34443" xr:uid="{00000000-0005-0000-0000-00008E860000}"/>
    <cellStyle name="Normal 2 7 9 2 4 4" xfId="34444" xr:uid="{00000000-0005-0000-0000-00008F860000}"/>
    <cellStyle name="Normal 2 7 9 2 5" xfId="34445" xr:uid="{00000000-0005-0000-0000-000090860000}"/>
    <cellStyle name="Normal 2 7 9 2 5 2" xfId="34446" xr:uid="{00000000-0005-0000-0000-000091860000}"/>
    <cellStyle name="Normal 2 7 9 2 6" xfId="34447" xr:uid="{00000000-0005-0000-0000-000092860000}"/>
    <cellStyle name="Normal 2 7 9 2 7" xfId="34448" xr:uid="{00000000-0005-0000-0000-000093860000}"/>
    <cellStyle name="Normal 2 7 9 2 8" xfId="34449" xr:uid="{00000000-0005-0000-0000-000094860000}"/>
    <cellStyle name="Normal 2 7 9 2 9" xfId="34450" xr:uid="{00000000-0005-0000-0000-000095860000}"/>
    <cellStyle name="Normal 2 7 9 3" xfId="34451" xr:uid="{00000000-0005-0000-0000-000096860000}"/>
    <cellStyle name="Normal 2 7 9 3 2" xfId="34452" xr:uid="{00000000-0005-0000-0000-000097860000}"/>
    <cellStyle name="Normal 2 7 9 3 2 2" xfId="34453" xr:uid="{00000000-0005-0000-0000-000098860000}"/>
    <cellStyle name="Normal 2 7 9 3 2 2 2" xfId="34454" xr:uid="{00000000-0005-0000-0000-000099860000}"/>
    <cellStyle name="Normal 2 7 9 3 2 2 3" xfId="34455" xr:uid="{00000000-0005-0000-0000-00009A860000}"/>
    <cellStyle name="Normal 2 7 9 3 2 3" xfId="34456" xr:uid="{00000000-0005-0000-0000-00009B860000}"/>
    <cellStyle name="Normal 2 7 9 3 2 4" xfId="34457" xr:uid="{00000000-0005-0000-0000-00009C860000}"/>
    <cellStyle name="Normal 2 7 9 3 2 5" xfId="34458" xr:uid="{00000000-0005-0000-0000-00009D860000}"/>
    <cellStyle name="Normal 2 7 9 3 2 6" xfId="34459" xr:uid="{00000000-0005-0000-0000-00009E860000}"/>
    <cellStyle name="Normal 2 7 9 3 3" xfId="34460" xr:uid="{00000000-0005-0000-0000-00009F860000}"/>
    <cellStyle name="Normal 2 7 9 3 3 2" xfId="34461" xr:uid="{00000000-0005-0000-0000-0000A0860000}"/>
    <cellStyle name="Normal 2 7 9 3 3 2 2" xfId="34462" xr:uid="{00000000-0005-0000-0000-0000A1860000}"/>
    <cellStyle name="Normal 2 7 9 3 3 3" xfId="34463" xr:uid="{00000000-0005-0000-0000-0000A2860000}"/>
    <cellStyle name="Normal 2 7 9 3 3 4" xfId="34464" xr:uid="{00000000-0005-0000-0000-0000A3860000}"/>
    <cellStyle name="Normal 2 7 9 3 3 5" xfId="34465" xr:uid="{00000000-0005-0000-0000-0000A4860000}"/>
    <cellStyle name="Normal 2 7 9 3 4" xfId="34466" xr:uid="{00000000-0005-0000-0000-0000A5860000}"/>
    <cellStyle name="Normal 2 7 9 3 4 2" xfId="34467" xr:uid="{00000000-0005-0000-0000-0000A6860000}"/>
    <cellStyle name="Normal 2 7 9 3 4 3" xfId="34468" xr:uid="{00000000-0005-0000-0000-0000A7860000}"/>
    <cellStyle name="Normal 2 7 9 3 4 4" xfId="34469" xr:uid="{00000000-0005-0000-0000-0000A8860000}"/>
    <cellStyle name="Normal 2 7 9 3 5" xfId="34470" xr:uid="{00000000-0005-0000-0000-0000A9860000}"/>
    <cellStyle name="Normal 2 7 9 3 5 2" xfId="34471" xr:uid="{00000000-0005-0000-0000-0000AA860000}"/>
    <cellStyle name="Normal 2 7 9 3 6" xfId="34472" xr:uid="{00000000-0005-0000-0000-0000AB860000}"/>
    <cellStyle name="Normal 2 7 9 3 7" xfId="34473" xr:uid="{00000000-0005-0000-0000-0000AC860000}"/>
    <cellStyle name="Normal 2 7 9 3 8" xfId="34474" xr:uid="{00000000-0005-0000-0000-0000AD860000}"/>
    <cellStyle name="Normal 2 7 9 3 9" xfId="34475" xr:uid="{00000000-0005-0000-0000-0000AE860000}"/>
    <cellStyle name="Normal 2 7 9 4" xfId="34476" xr:uid="{00000000-0005-0000-0000-0000AF860000}"/>
    <cellStyle name="Normal 2 7 9 4 2" xfId="34477" xr:uid="{00000000-0005-0000-0000-0000B0860000}"/>
    <cellStyle name="Normal 2 7 9 4 2 2" xfId="34478" xr:uid="{00000000-0005-0000-0000-0000B1860000}"/>
    <cellStyle name="Normal 2 7 9 4 2 3" xfId="34479" xr:uid="{00000000-0005-0000-0000-0000B2860000}"/>
    <cellStyle name="Normal 2 7 9 4 3" xfId="34480" xr:uid="{00000000-0005-0000-0000-0000B3860000}"/>
    <cellStyle name="Normal 2 7 9 4 4" xfId="34481" xr:uid="{00000000-0005-0000-0000-0000B4860000}"/>
    <cellStyle name="Normal 2 7 9 4 5" xfId="34482" xr:uid="{00000000-0005-0000-0000-0000B5860000}"/>
    <cellStyle name="Normal 2 7 9 4 6" xfId="34483" xr:uid="{00000000-0005-0000-0000-0000B6860000}"/>
    <cellStyle name="Normal 2 7 9 5" xfId="34484" xr:uid="{00000000-0005-0000-0000-0000B7860000}"/>
    <cellStyle name="Normal 2 7 9 5 2" xfId="34485" xr:uid="{00000000-0005-0000-0000-0000B8860000}"/>
    <cellStyle name="Normal 2 7 9 5 2 2" xfId="34486" xr:uid="{00000000-0005-0000-0000-0000B9860000}"/>
    <cellStyle name="Normal 2 7 9 5 3" xfId="34487" xr:uid="{00000000-0005-0000-0000-0000BA860000}"/>
    <cellStyle name="Normal 2 7 9 5 4" xfId="34488" xr:uid="{00000000-0005-0000-0000-0000BB860000}"/>
    <cellStyle name="Normal 2 7 9 5 5" xfId="34489" xr:uid="{00000000-0005-0000-0000-0000BC860000}"/>
    <cellStyle name="Normal 2 7 9 6" xfId="34490" xr:uid="{00000000-0005-0000-0000-0000BD860000}"/>
    <cellStyle name="Normal 2 7 9 6 2" xfId="34491" xr:uid="{00000000-0005-0000-0000-0000BE860000}"/>
    <cellStyle name="Normal 2 7 9 6 3" xfId="34492" xr:uid="{00000000-0005-0000-0000-0000BF860000}"/>
    <cellStyle name="Normal 2 7 9 6 4" xfId="34493" xr:uid="{00000000-0005-0000-0000-0000C0860000}"/>
    <cellStyle name="Normal 2 7 9 7" xfId="34494" xr:uid="{00000000-0005-0000-0000-0000C1860000}"/>
    <cellStyle name="Normal 2 7 9 7 2" xfId="34495" xr:uid="{00000000-0005-0000-0000-0000C2860000}"/>
    <cellStyle name="Normal 2 7 9 8" xfId="34496" xr:uid="{00000000-0005-0000-0000-0000C3860000}"/>
    <cellStyle name="Normal 2 7 9 9" xfId="34497" xr:uid="{00000000-0005-0000-0000-0000C4860000}"/>
    <cellStyle name="Normal 2 70" xfId="34498" xr:uid="{00000000-0005-0000-0000-0000C5860000}"/>
    <cellStyle name="Normal 2 8" xfId="34499" xr:uid="{00000000-0005-0000-0000-0000C6860000}"/>
    <cellStyle name="Normal 2 8 10" xfId="34500" xr:uid="{00000000-0005-0000-0000-0000C7860000}"/>
    <cellStyle name="Normal 2 8 10 10" xfId="34501" xr:uid="{00000000-0005-0000-0000-0000C8860000}"/>
    <cellStyle name="Normal 2 8 10 11" xfId="34502" xr:uid="{00000000-0005-0000-0000-0000C9860000}"/>
    <cellStyle name="Normal 2 8 10 2" xfId="34503" xr:uid="{00000000-0005-0000-0000-0000CA860000}"/>
    <cellStyle name="Normal 2 8 10 2 2" xfId="34504" xr:uid="{00000000-0005-0000-0000-0000CB860000}"/>
    <cellStyle name="Normal 2 8 10 2 2 2" xfId="34505" xr:uid="{00000000-0005-0000-0000-0000CC860000}"/>
    <cellStyle name="Normal 2 8 10 2 2 2 2" xfId="34506" xr:uid="{00000000-0005-0000-0000-0000CD860000}"/>
    <cellStyle name="Normal 2 8 10 2 2 2 3" xfId="34507" xr:uid="{00000000-0005-0000-0000-0000CE860000}"/>
    <cellStyle name="Normal 2 8 10 2 2 3" xfId="34508" xr:uid="{00000000-0005-0000-0000-0000CF860000}"/>
    <cellStyle name="Normal 2 8 10 2 2 4" xfId="34509" xr:uid="{00000000-0005-0000-0000-0000D0860000}"/>
    <cellStyle name="Normal 2 8 10 2 2 5" xfId="34510" xr:uid="{00000000-0005-0000-0000-0000D1860000}"/>
    <cellStyle name="Normal 2 8 10 2 2 6" xfId="34511" xr:uid="{00000000-0005-0000-0000-0000D2860000}"/>
    <cellStyle name="Normal 2 8 10 2 3" xfId="34512" xr:uid="{00000000-0005-0000-0000-0000D3860000}"/>
    <cellStyle name="Normal 2 8 10 2 3 2" xfId="34513" xr:uid="{00000000-0005-0000-0000-0000D4860000}"/>
    <cellStyle name="Normal 2 8 10 2 3 2 2" xfId="34514" xr:uid="{00000000-0005-0000-0000-0000D5860000}"/>
    <cellStyle name="Normal 2 8 10 2 3 3" xfId="34515" xr:uid="{00000000-0005-0000-0000-0000D6860000}"/>
    <cellStyle name="Normal 2 8 10 2 3 4" xfId="34516" xr:uid="{00000000-0005-0000-0000-0000D7860000}"/>
    <cellStyle name="Normal 2 8 10 2 3 5" xfId="34517" xr:uid="{00000000-0005-0000-0000-0000D8860000}"/>
    <cellStyle name="Normal 2 8 10 2 4" xfId="34518" xr:uid="{00000000-0005-0000-0000-0000D9860000}"/>
    <cellStyle name="Normal 2 8 10 2 4 2" xfId="34519" xr:uid="{00000000-0005-0000-0000-0000DA860000}"/>
    <cellStyle name="Normal 2 8 10 2 4 3" xfId="34520" xr:uid="{00000000-0005-0000-0000-0000DB860000}"/>
    <cellStyle name="Normal 2 8 10 2 4 4" xfId="34521" xr:uid="{00000000-0005-0000-0000-0000DC860000}"/>
    <cellStyle name="Normal 2 8 10 2 5" xfId="34522" xr:uid="{00000000-0005-0000-0000-0000DD860000}"/>
    <cellStyle name="Normal 2 8 10 2 5 2" xfId="34523" xr:uid="{00000000-0005-0000-0000-0000DE860000}"/>
    <cellStyle name="Normal 2 8 10 2 6" xfId="34524" xr:uid="{00000000-0005-0000-0000-0000DF860000}"/>
    <cellStyle name="Normal 2 8 10 2 7" xfId="34525" xr:uid="{00000000-0005-0000-0000-0000E0860000}"/>
    <cellStyle name="Normal 2 8 10 2 8" xfId="34526" xr:uid="{00000000-0005-0000-0000-0000E1860000}"/>
    <cellStyle name="Normal 2 8 10 2 9" xfId="34527" xr:uid="{00000000-0005-0000-0000-0000E2860000}"/>
    <cellStyle name="Normal 2 8 10 3" xfId="34528" xr:uid="{00000000-0005-0000-0000-0000E3860000}"/>
    <cellStyle name="Normal 2 8 10 3 2" xfId="34529" xr:uid="{00000000-0005-0000-0000-0000E4860000}"/>
    <cellStyle name="Normal 2 8 10 3 2 2" xfId="34530" xr:uid="{00000000-0005-0000-0000-0000E5860000}"/>
    <cellStyle name="Normal 2 8 10 3 2 2 2" xfId="34531" xr:uid="{00000000-0005-0000-0000-0000E6860000}"/>
    <cellStyle name="Normal 2 8 10 3 2 2 3" xfId="34532" xr:uid="{00000000-0005-0000-0000-0000E7860000}"/>
    <cellStyle name="Normal 2 8 10 3 2 3" xfId="34533" xr:uid="{00000000-0005-0000-0000-0000E8860000}"/>
    <cellStyle name="Normal 2 8 10 3 2 4" xfId="34534" xr:uid="{00000000-0005-0000-0000-0000E9860000}"/>
    <cellStyle name="Normal 2 8 10 3 2 5" xfId="34535" xr:uid="{00000000-0005-0000-0000-0000EA860000}"/>
    <cellStyle name="Normal 2 8 10 3 2 6" xfId="34536" xr:uid="{00000000-0005-0000-0000-0000EB860000}"/>
    <cellStyle name="Normal 2 8 10 3 3" xfId="34537" xr:uid="{00000000-0005-0000-0000-0000EC860000}"/>
    <cellStyle name="Normal 2 8 10 3 3 2" xfId="34538" xr:uid="{00000000-0005-0000-0000-0000ED860000}"/>
    <cellStyle name="Normal 2 8 10 3 3 2 2" xfId="34539" xr:uid="{00000000-0005-0000-0000-0000EE860000}"/>
    <cellStyle name="Normal 2 8 10 3 3 3" xfId="34540" xr:uid="{00000000-0005-0000-0000-0000EF860000}"/>
    <cellStyle name="Normal 2 8 10 3 3 4" xfId="34541" xr:uid="{00000000-0005-0000-0000-0000F0860000}"/>
    <cellStyle name="Normal 2 8 10 3 3 5" xfId="34542" xr:uid="{00000000-0005-0000-0000-0000F1860000}"/>
    <cellStyle name="Normal 2 8 10 3 4" xfId="34543" xr:uid="{00000000-0005-0000-0000-0000F2860000}"/>
    <cellStyle name="Normal 2 8 10 3 4 2" xfId="34544" xr:uid="{00000000-0005-0000-0000-0000F3860000}"/>
    <cellStyle name="Normal 2 8 10 3 4 3" xfId="34545" xr:uid="{00000000-0005-0000-0000-0000F4860000}"/>
    <cellStyle name="Normal 2 8 10 3 4 4" xfId="34546" xr:uid="{00000000-0005-0000-0000-0000F5860000}"/>
    <cellStyle name="Normal 2 8 10 3 5" xfId="34547" xr:uid="{00000000-0005-0000-0000-0000F6860000}"/>
    <cellStyle name="Normal 2 8 10 3 5 2" xfId="34548" xr:uid="{00000000-0005-0000-0000-0000F7860000}"/>
    <cellStyle name="Normal 2 8 10 3 6" xfId="34549" xr:uid="{00000000-0005-0000-0000-0000F8860000}"/>
    <cellStyle name="Normal 2 8 10 3 7" xfId="34550" xr:uid="{00000000-0005-0000-0000-0000F9860000}"/>
    <cellStyle name="Normal 2 8 10 3 8" xfId="34551" xr:uid="{00000000-0005-0000-0000-0000FA860000}"/>
    <cellStyle name="Normal 2 8 10 3 9" xfId="34552" xr:uid="{00000000-0005-0000-0000-0000FB860000}"/>
    <cellStyle name="Normal 2 8 10 4" xfId="34553" xr:uid="{00000000-0005-0000-0000-0000FC860000}"/>
    <cellStyle name="Normal 2 8 10 4 2" xfId="34554" xr:uid="{00000000-0005-0000-0000-0000FD860000}"/>
    <cellStyle name="Normal 2 8 10 4 2 2" xfId="34555" xr:uid="{00000000-0005-0000-0000-0000FE860000}"/>
    <cellStyle name="Normal 2 8 10 4 2 3" xfId="34556" xr:uid="{00000000-0005-0000-0000-0000FF860000}"/>
    <cellStyle name="Normal 2 8 10 4 3" xfId="34557" xr:uid="{00000000-0005-0000-0000-000000870000}"/>
    <cellStyle name="Normal 2 8 10 4 4" xfId="34558" xr:uid="{00000000-0005-0000-0000-000001870000}"/>
    <cellStyle name="Normal 2 8 10 4 5" xfId="34559" xr:uid="{00000000-0005-0000-0000-000002870000}"/>
    <cellStyle name="Normal 2 8 10 4 6" xfId="34560" xr:uid="{00000000-0005-0000-0000-000003870000}"/>
    <cellStyle name="Normal 2 8 10 5" xfId="34561" xr:uid="{00000000-0005-0000-0000-000004870000}"/>
    <cellStyle name="Normal 2 8 10 5 2" xfId="34562" xr:uid="{00000000-0005-0000-0000-000005870000}"/>
    <cellStyle name="Normal 2 8 10 5 2 2" xfId="34563" xr:uid="{00000000-0005-0000-0000-000006870000}"/>
    <cellStyle name="Normal 2 8 10 5 3" xfId="34564" xr:uid="{00000000-0005-0000-0000-000007870000}"/>
    <cellStyle name="Normal 2 8 10 5 4" xfId="34565" xr:uid="{00000000-0005-0000-0000-000008870000}"/>
    <cellStyle name="Normal 2 8 10 5 5" xfId="34566" xr:uid="{00000000-0005-0000-0000-000009870000}"/>
    <cellStyle name="Normal 2 8 10 6" xfId="34567" xr:uid="{00000000-0005-0000-0000-00000A870000}"/>
    <cellStyle name="Normal 2 8 10 6 2" xfId="34568" xr:uid="{00000000-0005-0000-0000-00000B870000}"/>
    <cellStyle name="Normal 2 8 10 6 3" xfId="34569" xr:uid="{00000000-0005-0000-0000-00000C870000}"/>
    <cellStyle name="Normal 2 8 10 6 4" xfId="34570" xr:uid="{00000000-0005-0000-0000-00000D870000}"/>
    <cellStyle name="Normal 2 8 10 7" xfId="34571" xr:uid="{00000000-0005-0000-0000-00000E870000}"/>
    <cellStyle name="Normal 2 8 10 7 2" xfId="34572" xr:uid="{00000000-0005-0000-0000-00000F870000}"/>
    <cellStyle name="Normal 2 8 10 8" xfId="34573" xr:uid="{00000000-0005-0000-0000-000010870000}"/>
    <cellStyle name="Normal 2 8 10 9" xfId="34574" xr:uid="{00000000-0005-0000-0000-000011870000}"/>
    <cellStyle name="Normal 2 8 11" xfId="34575" xr:uid="{00000000-0005-0000-0000-000012870000}"/>
    <cellStyle name="Normal 2 8 11 10" xfId="34576" xr:uid="{00000000-0005-0000-0000-000013870000}"/>
    <cellStyle name="Normal 2 8 11 2" xfId="34577" xr:uid="{00000000-0005-0000-0000-000014870000}"/>
    <cellStyle name="Normal 2 8 11 2 2" xfId="34578" xr:uid="{00000000-0005-0000-0000-000015870000}"/>
    <cellStyle name="Normal 2 8 11 2 2 2" xfId="34579" xr:uid="{00000000-0005-0000-0000-000016870000}"/>
    <cellStyle name="Normal 2 8 11 2 2 3" xfId="34580" xr:uid="{00000000-0005-0000-0000-000017870000}"/>
    <cellStyle name="Normal 2 8 11 2 3" xfId="34581" xr:uid="{00000000-0005-0000-0000-000018870000}"/>
    <cellStyle name="Normal 2 8 11 2 4" xfId="34582" xr:uid="{00000000-0005-0000-0000-000019870000}"/>
    <cellStyle name="Normal 2 8 11 2 5" xfId="34583" xr:uid="{00000000-0005-0000-0000-00001A870000}"/>
    <cellStyle name="Normal 2 8 11 2 6" xfId="34584" xr:uid="{00000000-0005-0000-0000-00001B870000}"/>
    <cellStyle name="Normal 2 8 11 3" xfId="34585" xr:uid="{00000000-0005-0000-0000-00001C870000}"/>
    <cellStyle name="Normal 2 8 11 3 2" xfId="34586" xr:uid="{00000000-0005-0000-0000-00001D870000}"/>
    <cellStyle name="Normal 2 8 11 3 2 2" xfId="34587" xr:uid="{00000000-0005-0000-0000-00001E870000}"/>
    <cellStyle name="Normal 2 8 11 3 2 3" xfId="34588" xr:uid="{00000000-0005-0000-0000-00001F870000}"/>
    <cellStyle name="Normal 2 8 11 3 3" xfId="34589" xr:uid="{00000000-0005-0000-0000-000020870000}"/>
    <cellStyle name="Normal 2 8 11 3 4" xfId="34590" xr:uid="{00000000-0005-0000-0000-000021870000}"/>
    <cellStyle name="Normal 2 8 11 3 5" xfId="34591" xr:uid="{00000000-0005-0000-0000-000022870000}"/>
    <cellStyle name="Normal 2 8 11 3 6" xfId="34592" xr:uid="{00000000-0005-0000-0000-000023870000}"/>
    <cellStyle name="Normal 2 8 11 4" xfId="34593" xr:uid="{00000000-0005-0000-0000-000024870000}"/>
    <cellStyle name="Normal 2 8 11 4 2" xfId="34594" xr:uid="{00000000-0005-0000-0000-000025870000}"/>
    <cellStyle name="Normal 2 8 11 4 2 2" xfId="34595" xr:uid="{00000000-0005-0000-0000-000026870000}"/>
    <cellStyle name="Normal 2 8 11 4 3" xfId="34596" xr:uid="{00000000-0005-0000-0000-000027870000}"/>
    <cellStyle name="Normal 2 8 11 4 4" xfId="34597" xr:uid="{00000000-0005-0000-0000-000028870000}"/>
    <cellStyle name="Normal 2 8 11 4 5" xfId="34598" xr:uid="{00000000-0005-0000-0000-000029870000}"/>
    <cellStyle name="Normal 2 8 11 5" xfId="34599" xr:uid="{00000000-0005-0000-0000-00002A870000}"/>
    <cellStyle name="Normal 2 8 11 5 2" xfId="34600" xr:uid="{00000000-0005-0000-0000-00002B870000}"/>
    <cellStyle name="Normal 2 8 11 5 3" xfId="34601" xr:uid="{00000000-0005-0000-0000-00002C870000}"/>
    <cellStyle name="Normal 2 8 11 5 4" xfId="34602" xr:uid="{00000000-0005-0000-0000-00002D870000}"/>
    <cellStyle name="Normal 2 8 11 6" xfId="34603" xr:uid="{00000000-0005-0000-0000-00002E870000}"/>
    <cellStyle name="Normal 2 8 11 6 2" xfId="34604" xr:uid="{00000000-0005-0000-0000-00002F870000}"/>
    <cellStyle name="Normal 2 8 11 7" xfId="34605" xr:uid="{00000000-0005-0000-0000-000030870000}"/>
    <cellStyle name="Normal 2 8 11 8" xfId="34606" xr:uid="{00000000-0005-0000-0000-000031870000}"/>
    <cellStyle name="Normal 2 8 11 9" xfId="34607" xr:uid="{00000000-0005-0000-0000-000032870000}"/>
    <cellStyle name="Normal 2 8 12" xfId="34608" xr:uid="{00000000-0005-0000-0000-000033870000}"/>
    <cellStyle name="Normal 2 8 12 10" xfId="34609" xr:uid="{00000000-0005-0000-0000-000034870000}"/>
    <cellStyle name="Normal 2 8 12 2" xfId="34610" xr:uid="{00000000-0005-0000-0000-000035870000}"/>
    <cellStyle name="Normal 2 8 12 2 2" xfId="34611" xr:uid="{00000000-0005-0000-0000-000036870000}"/>
    <cellStyle name="Normal 2 8 12 2 2 2" xfId="34612" xr:uid="{00000000-0005-0000-0000-000037870000}"/>
    <cellStyle name="Normal 2 8 12 2 2 3" xfId="34613" xr:uid="{00000000-0005-0000-0000-000038870000}"/>
    <cellStyle name="Normal 2 8 12 2 3" xfId="34614" xr:uid="{00000000-0005-0000-0000-000039870000}"/>
    <cellStyle name="Normal 2 8 12 2 4" xfId="34615" xr:uid="{00000000-0005-0000-0000-00003A870000}"/>
    <cellStyle name="Normal 2 8 12 2 5" xfId="34616" xr:uid="{00000000-0005-0000-0000-00003B870000}"/>
    <cellStyle name="Normal 2 8 12 2 6" xfId="34617" xr:uid="{00000000-0005-0000-0000-00003C870000}"/>
    <cellStyle name="Normal 2 8 12 3" xfId="34618" xr:uid="{00000000-0005-0000-0000-00003D870000}"/>
    <cellStyle name="Normal 2 8 12 3 2" xfId="34619" xr:uid="{00000000-0005-0000-0000-00003E870000}"/>
    <cellStyle name="Normal 2 8 12 3 2 2" xfId="34620" xr:uid="{00000000-0005-0000-0000-00003F870000}"/>
    <cellStyle name="Normal 2 8 12 3 2 3" xfId="34621" xr:uid="{00000000-0005-0000-0000-000040870000}"/>
    <cellStyle name="Normal 2 8 12 3 3" xfId="34622" xr:uid="{00000000-0005-0000-0000-000041870000}"/>
    <cellStyle name="Normal 2 8 12 3 4" xfId="34623" xr:uid="{00000000-0005-0000-0000-000042870000}"/>
    <cellStyle name="Normal 2 8 12 3 5" xfId="34624" xr:uid="{00000000-0005-0000-0000-000043870000}"/>
    <cellStyle name="Normal 2 8 12 3 6" xfId="34625" xr:uid="{00000000-0005-0000-0000-000044870000}"/>
    <cellStyle name="Normal 2 8 12 4" xfId="34626" xr:uid="{00000000-0005-0000-0000-000045870000}"/>
    <cellStyle name="Normal 2 8 12 4 2" xfId="34627" xr:uid="{00000000-0005-0000-0000-000046870000}"/>
    <cellStyle name="Normal 2 8 12 4 2 2" xfId="34628" xr:uid="{00000000-0005-0000-0000-000047870000}"/>
    <cellStyle name="Normal 2 8 12 4 3" xfId="34629" xr:uid="{00000000-0005-0000-0000-000048870000}"/>
    <cellStyle name="Normal 2 8 12 4 4" xfId="34630" xr:uid="{00000000-0005-0000-0000-000049870000}"/>
    <cellStyle name="Normal 2 8 12 4 5" xfId="34631" xr:uid="{00000000-0005-0000-0000-00004A870000}"/>
    <cellStyle name="Normal 2 8 12 5" xfId="34632" xr:uid="{00000000-0005-0000-0000-00004B870000}"/>
    <cellStyle name="Normal 2 8 12 5 2" xfId="34633" xr:uid="{00000000-0005-0000-0000-00004C870000}"/>
    <cellStyle name="Normal 2 8 12 5 3" xfId="34634" xr:uid="{00000000-0005-0000-0000-00004D870000}"/>
    <cellStyle name="Normal 2 8 12 5 4" xfId="34635" xr:uid="{00000000-0005-0000-0000-00004E870000}"/>
    <cellStyle name="Normal 2 8 12 6" xfId="34636" xr:uid="{00000000-0005-0000-0000-00004F870000}"/>
    <cellStyle name="Normal 2 8 12 6 2" xfId="34637" xr:uid="{00000000-0005-0000-0000-000050870000}"/>
    <cellStyle name="Normal 2 8 12 7" xfId="34638" xr:uid="{00000000-0005-0000-0000-000051870000}"/>
    <cellStyle name="Normal 2 8 12 8" xfId="34639" xr:uid="{00000000-0005-0000-0000-000052870000}"/>
    <cellStyle name="Normal 2 8 12 9" xfId="34640" xr:uid="{00000000-0005-0000-0000-000053870000}"/>
    <cellStyle name="Normal 2 8 13" xfId="34641" xr:uid="{00000000-0005-0000-0000-000054870000}"/>
    <cellStyle name="Normal 2 8 13 10" xfId="34642" xr:uid="{00000000-0005-0000-0000-000055870000}"/>
    <cellStyle name="Normal 2 8 13 2" xfId="34643" xr:uid="{00000000-0005-0000-0000-000056870000}"/>
    <cellStyle name="Normal 2 8 13 2 2" xfId="34644" xr:uid="{00000000-0005-0000-0000-000057870000}"/>
    <cellStyle name="Normal 2 8 13 2 2 2" xfId="34645" xr:uid="{00000000-0005-0000-0000-000058870000}"/>
    <cellStyle name="Normal 2 8 13 2 2 3" xfId="34646" xr:uid="{00000000-0005-0000-0000-000059870000}"/>
    <cellStyle name="Normal 2 8 13 2 3" xfId="34647" xr:uid="{00000000-0005-0000-0000-00005A870000}"/>
    <cellStyle name="Normal 2 8 13 2 4" xfId="34648" xr:uid="{00000000-0005-0000-0000-00005B870000}"/>
    <cellStyle name="Normal 2 8 13 2 5" xfId="34649" xr:uid="{00000000-0005-0000-0000-00005C870000}"/>
    <cellStyle name="Normal 2 8 13 2 6" xfId="34650" xr:uid="{00000000-0005-0000-0000-00005D870000}"/>
    <cellStyle name="Normal 2 8 13 3" xfId="34651" xr:uid="{00000000-0005-0000-0000-00005E870000}"/>
    <cellStyle name="Normal 2 8 13 3 2" xfId="34652" xr:uid="{00000000-0005-0000-0000-00005F870000}"/>
    <cellStyle name="Normal 2 8 13 3 2 2" xfId="34653" xr:uid="{00000000-0005-0000-0000-000060870000}"/>
    <cellStyle name="Normal 2 8 13 3 2 3" xfId="34654" xr:uid="{00000000-0005-0000-0000-000061870000}"/>
    <cellStyle name="Normal 2 8 13 3 3" xfId="34655" xr:uid="{00000000-0005-0000-0000-000062870000}"/>
    <cellStyle name="Normal 2 8 13 3 4" xfId="34656" xr:uid="{00000000-0005-0000-0000-000063870000}"/>
    <cellStyle name="Normal 2 8 13 3 5" xfId="34657" xr:uid="{00000000-0005-0000-0000-000064870000}"/>
    <cellStyle name="Normal 2 8 13 3 6" xfId="34658" xr:uid="{00000000-0005-0000-0000-000065870000}"/>
    <cellStyle name="Normal 2 8 13 4" xfId="34659" xr:uid="{00000000-0005-0000-0000-000066870000}"/>
    <cellStyle name="Normal 2 8 13 4 2" xfId="34660" xr:uid="{00000000-0005-0000-0000-000067870000}"/>
    <cellStyle name="Normal 2 8 13 4 2 2" xfId="34661" xr:uid="{00000000-0005-0000-0000-000068870000}"/>
    <cellStyle name="Normal 2 8 13 4 3" xfId="34662" xr:uid="{00000000-0005-0000-0000-000069870000}"/>
    <cellStyle name="Normal 2 8 13 4 4" xfId="34663" xr:uid="{00000000-0005-0000-0000-00006A870000}"/>
    <cellStyle name="Normal 2 8 13 4 5" xfId="34664" xr:uid="{00000000-0005-0000-0000-00006B870000}"/>
    <cellStyle name="Normal 2 8 13 5" xfId="34665" xr:uid="{00000000-0005-0000-0000-00006C870000}"/>
    <cellStyle name="Normal 2 8 13 5 2" xfId="34666" xr:uid="{00000000-0005-0000-0000-00006D870000}"/>
    <cellStyle name="Normal 2 8 13 5 3" xfId="34667" xr:uid="{00000000-0005-0000-0000-00006E870000}"/>
    <cellStyle name="Normal 2 8 13 5 4" xfId="34668" xr:uid="{00000000-0005-0000-0000-00006F870000}"/>
    <cellStyle name="Normal 2 8 13 6" xfId="34669" xr:uid="{00000000-0005-0000-0000-000070870000}"/>
    <cellStyle name="Normal 2 8 13 6 2" xfId="34670" xr:uid="{00000000-0005-0000-0000-000071870000}"/>
    <cellStyle name="Normal 2 8 13 7" xfId="34671" xr:uid="{00000000-0005-0000-0000-000072870000}"/>
    <cellStyle name="Normal 2 8 13 8" xfId="34672" xr:uid="{00000000-0005-0000-0000-000073870000}"/>
    <cellStyle name="Normal 2 8 13 9" xfId="34673" xr:uid="{00000000-0005-0000-0000-000074870000}"/>
    <cellStyle name="Normal 2 8 14" xfId="34674" xr:uid="{00000000-0005-0000-0000-000075870000}"/>
    <cellStyle name="Normal 2 8 14 10" xfId="34675" xr:uid="{00000000-0005-0000-0000-000076870000}"/>
    <cellStyle name="Normal 2 8 14 2" xfId="34676" xr:uid="{00000000-0005-0000-0000-000077870000}"/>
    <cellStyle name="Normal 2 8 14 2 2" xfId="34677" xr:uid="{00000000-0005-0000-0000-000078870000}"/>
    <cellStyle name="Normal 2 8 14 2 2 2" xfId="34678" xr:uid="{00000000-0005-0000-0000-000079870000}"/>
    <cellStyle name="Normal 2 8 14 2 2 3" xfId="34679" xr:uid="{00000000-0005-0000-0000-00007A870000}"/>
    <cellStyle name="Normal 2 8 14 2 3" xfId="34680" xr:uid="{00000000-0005-0000-0000-00007B870000}"/>
    <cellStyle name="Normal 2 8 14 2 4" xfId="34681" xr:uid="{00000000-0005-0000-0000-00007C870000}"/>
    <cellStyle name="Normal 2 8 14 2 5" xfId="34682" xr:uid="{00000000-0005-0000-0000-00007D870000}"/>
    <cellStyle name="Normal 2 8 14 2 6" xfId="34683" xr:uid="{00000000-0005-0000-0000-00007E870000}"/>
    <cellStyle name="Normal 2 8 14 3" xfId="34684" xr:uid="{00000000-0005-0000-0000-00007F870000}"/>
    <cellStyle name="Normal 2 8 14 3 2" xfId="34685" xr:uid="{00000000-0005-0000-0000-000080870000}"/>
    <cellStyle name="Normal 2 8 14 3 2 2" xfId="34686" xr:uid="{00000000-0005-0000-0000-000081870000}"/>
    <cellStyle name="Normal 2 8 14 3 2 3" xfId="34687" xr:uid="{00000000-0005-0000-0000-000082870000}"/>
    <cellStyle name="Normal 2 8 14 3 3" xfId="34688" xr:uid="{00000000-0005-0000-0000-000083870000}"/>
    <cellStyle name="Normal 2 8 14 3 4" xfId="34689" xr:uid="{00000000-0005-0000-0000-000084870000}"/>
    <cellStyle name="Normal 2 8 14 3 5" xfId="34690" xr:uid="{00000000-0005-0000-0000-000085870000}"/>
    <cellStyle name="Normal 2 8 14 3 6" xfId="34691" xr:uid="{00000000-0005-0000-0000-000086870000}"/>
    <cellStyle name="Normal 2 8 14 4" xfId="34692" xr:uid="{00000000-0005-0000-0000-000087870000}"/>
    <cellStyle name="Normal 2 8 14 4 2" xfId="34693" xr:uid="{00000000-0005-0000-0000-000088870000}"/>
    <cellStyle name="Normal 2 8 14 4 2 2" xfId="34694" xr:uid="{00000000-0005-0000-0000-000089870000}"/>
    <cellStyle name="Normal 2 8 14 4 3" xfId="34695" xr:uid="{00000000-0005-0000-0000-00008A870000}"/>
    <cellStyle name="Normal 2 8 14 4 4" xfId="34696" xr:uid="{00000000-0005-0000-0000-00008B870000}"/>
    <cellStyle name="Normal 2 8 14 4 5" xfId="34697" xr:uid="{00000000-0005-0000-0000-00008C870000}"/>
    <cellStyle name="Normal 2 8 14 5" xfId="34698" xr:uid="{00000000-0005-0000-0000-00008D870000}"/>
    <cellStyle name="Normal 2 8 14 5 2" xfId="34699" xr:uid="{00000000-0005-0000-0000-00008E870000}"/>
    <cellStyle name="Normal 2 8 14 5 3" xfId="34700" xr:uid="{00000000-0005-0000-0000-00008F870000}"/>
    <cellStyle name="Normal 2 8 14 5 4" xfId="34701" xr:uid="{00000000-0005-0000-0000-000090870000}"/>
    <cellStyle name="Normal 2 8 14 6" xfId="34702" xr:uid="{00000000-0005-0000-0000-000091870000}"/>
    <cellStyle name="Normal 2 8 14 6 2" xfId="34703" xr:uid="{00000000-0005-0000-0000-000092870000}"/>
    <cellStyle name="Normal 2 8 14 7" xfId="34704" xr:uid="{00000000-0005-0000-0000-000093870000}"/>
    <cellStyle name="Normal 2 8 14 8" xfId="34705" xr:uid="{00000000-0005-0000-0000-000094870000}"/>
    <cellStyle name="Normal 2 8 14 9" xfId="34706" xr:uid="{00000000-0005-0000-0000-000095870000}"/>
    <cellStyle name="Normal 2 8 15" xfId="34707" xr:uid="{00000000-0005-0000-0000-000096870000}"/>
    <cellStyle name="Normal 2 8 15 10" xfId="34708" xr:uid="{00000000-0005-0000-0000-000097870000}"/>
    <cellStyle name="Normal 2 8 15 2" xfId="34709" xr:uid="{00000000-0005-0000-0000-000098870000}"/>
    <cellStyle name="Normal 2 8 15 2 2" xfId="34710" xr:uid="{00000000-0005-0000-0000-000099870000}"/>
    <cellStyle name="Normal 2 8 15 2 2 2" xfId="34711" xr:uid="{00000000-0005-0000-0000-00009A870000}"/>
    <cellStyle name="Normal 2 8 15 2 2 3" xfId="34712" xr:uid="{00000000-0005-0000-0000-00009B870000}"/>
    <cellStyle name="Normal 2 8 15 2 3" xfId="34713" xr:uid="{00000000-0005-0000-0000-00009C870000}"/>
    <cellStyle name="Normal 2 8 15 2 4" xfId="34714" xr:uid="{00000000-0005-0000-0000-00009D870000}"/>
    <cellStyle name="Normal 2 8 15 2 5" xfId="34715" xr:uid="{00000000-0005-0000-0000-00009E870000}"/>
    <cellStyle name="Normal 2 8 15 2 6" xfId="34716" xr:uid="{00000000-0005-0000-0000-00009F870000}"/>
    <cellStyle name="Normal 2 8 15 3" xfId="34717" xr:uid="{00000000-0005-0000-0000-0000A0870000}"/>
    <cellStyle name="Normal 2 8 15 3 2" xfId="34718" xr:uid="{00000000-0005-0000-0000-0000A1870000}"/>
    <cellStyle name="Normal 2 8 15 3 2 2" xfId="34719" xr:uid="{00000000-0005-0000-0000-0000A2870000}"/>
    <cellStyle name="Normal 2 8 15 3 2 3" xfId="34720" xr:uid="{00000000-0005-0000-0000-0000A3870000}"/>
    <cellStyle name="Normal 2 8 15 3 3" xfId="34721" xr:uid="{00000000-0005-0000-0000-0000A4870000}"/>
    <cellStyle name="Normal 2 8 15 3 4" xfId="34722" xr:uid="{00000000-0005-0000-0000-0000A5870000}"/>
    <cellStyle name="Normal 2 8 15 3 5" xfId="34723" xr:uid="{00000000-0005-0000-0000-0000A6870000}"/>
    <cellStyle name="Normal 2 8 15 3 6" xfId="34724" xr:uid="{00000000-0005-0000-0000-0000A7870000}"/>
    <cellStyle name="Normal 2 8 15 4" xfId="34725" xr:uid="{00000000-0005-0000-0000-0000A8870000}"/>
    <cellStyle name="Normal 2 8 15 4 2" xfId="34726" xr:uid="{00000000-0005-0000-0000-0000A9870000}"/>
    <cellStyle name="Normal 2 8 15 4 2 2" xfId="34727" xr:uid="{00000000-0005-0000-0000-0000AA870000}"/>
    <cellStyle name="Normal 2 8 15 4 3" xfId="34728" xr:uid="{00000000-0005-0000-0000-0000AB870000}"/>
    <cellStyle name="Normal 2 8 15 4 4" xfId="34729" xr:uid="{00000000-0005-0000-0000-0000AC870000}"/>
    <cellStyle name="Normal 2 8 15 4 5" xfId="34730" xr:uid="{00000000-0005-0000-0000-0000AD870000}"/>
    <cellStyle name="Normal 2 8 15 5" xfId="34731" xr:uid="{00000000-0005-0000-0000-0000AE870000}"/>
    <cellStyle name="Normal 2 8 15 5 2" xfId="34732" xr:uid="{00000000-0005-0000-0000-0000AF870000}"/>
    <cellStyle name="Normal 2 8 15 5 3" xfId="34733" xr:uid="{00000000-0005-0000-0000-0000B0870000}"/>
    <cellStyle name="Normal 2 8 15 5 4" xfId="34734" xr:uid="{00000000-0005-0000-0000-0000B1870000}"/>
    <cellStyle name="Normal 2 8 15 6" xfId="34735" xr:uid="{00000000-0005-0000-0000-0000B2870000}"/>
    <cellStyle name="Normal 2 8 15 6 2" xfId="34736" xr:uid="{00000000-0005-0000-0000-0000B3870000}"/>
    <cellStyle name="Normal 2 8 15 7" xfId="34737" xr:uid="{00000000-0005-0000-0000-0000B4870000}"/>
    <cellStyle name="Normal 2 8 15 8" xfId="34738" xr:uid="{00000000-0005-0000-0000-0000B5870000}"/>
    <cellStyle name="Normal 2 8 15 9" xfId="34739" xr:uid="{00000000-0005-0000-0000-0000B6870000}"/>
    <cellStyle name="Normal 2 8 16" xfId="34740" xr:uid="{00000000-0005-0000-0000-0000B7870000}"/>
    <cellStyle name="Normal 2 8 16 10" xfId="34741" xr:uid="{00000000-0005-0000-0000-0000B8870000}"/>
    <cellStyle name="Normal 2 8 16 2" xfId="34742" xr:uid="{00000000-0005-0000-0000-0000B9870000}"/>
    <cellStyle name="Normal 2 8 16 2 2" xfId="34743" xr:uid="{00000000-0005-0000-0000-0000BA870000}"/>
    <cellStyle name="Normal 2 8 16 2 2 2" xfId="34744" xr:uid="{00000000-0005-0000-0000-0000BB870000}"/>
    <cellStyle name="Normal 2 8 16 2 2 3" xfId="34745" xr:uid="{00000000-0005-0000-0000-0000BC870000}"/>
    <cellStyle name="Normal 2 8 16 2 3" xfId="34746" xr:uid="{00000000-0005-0000-0000-0000BD870000}"/>
    <cellStyle name="Normal 2 8 16 2 4" xfId="34747" xr:uid="{00000000-0005-0000-0000-0000BE870000}"/>
    <cellStyle name="Normal 2 8 16 2 5" xfId="34748" xr:uid="{00000000-0005-0000-0000-0000BF870000}"/>
    <cellStyle name="Normal 2 8 16 2 6" xfId="34749" xr:uid="{00000000-0005-0000-0000-0000C0870000}"/>
    <cellStyle name="Normal 2 8 16 3" xfId="34750" xr:uid="{00000000-0005-0000-0000-0000C1870000}"/>
    <cellStyle name="Normal 2 8 16 3 2" xfId="34751" xr:uid="{00000000-0005-0000-0000-0000C2870000}"/>
    <cellStyle name="Normal 2 8 16 3 2 2" xfId="34752" xr:uid="{00000000-0005-0000-0000-0000C3870000}"/>
    <cellStyle name="Normal 2 8 16 3 2 3" xfId="34753" xr:uid="{00000000-0005-0000-0000-0000C4870000}"/>
    <cellStyle name="Normal 2 8 16 3 3" xfId="34754" xr:uid="{00000000-0005-0000-0000-0000C5870000}"/>
    <cellStyle name="Normal 2 8 16 3 4" xfId="34755" xr:uid="{00000000-0005-0000-0000-0000C6870000}"/>
    <cellStyle name="Normal 2 8 16 3 5" xfId="34756" xr:uid="{00000000-0005-0000-0000-0000C7870000}"/>
    <cellStyle name="Normal 2 8 16 3 6" xfId="34757" xr:uid="{00000000-0005-0000-0000-0000C8870000}"/>
    <cellStyle name="Normal 2 8 16 4" xfId="34758" xr:uid="{00000000-0005-0000-0000-0000C9870000}"/>
    <cellStyle name="Normal 2 8 16 4 2" xfId="34759" xr:uid="{00000000-0005-0000-0000-0000CA870000}"/>
    <cellStyle name="Normal 2 8 16 4 2 2" xfId="34760" xr:uid="{00000000-0005-0000-0000-0000CB870000}"/>
    <cellStyle name="Normal 2 8 16 4 3" xfId="34761" xr:uid="{00000000-0005-0000-0000-0000CC870000}"/>
    <cellStyle name="Normal 2 8 16 4 4" xfId="34762" xr:uid="{00000000-0005-0000-0000-0000CD870000}"/>
    <cellStyle name="Normal 2 8 16 4 5" xfId="34763" xr:uid="{00000000-0005-0000-0000-0000CE870000}"/>
    <cellStyle name="Normal 2 8 16 5" xfId="34764" xr:uid="{00000000-0005-0000-0000-0000CF870000}"/>
    <cellStyle name="Normal 2 8 16 5 2" xfId="34765" xr:uid="{00000000-0005-0000-0000-0000D0870000}"/>
    <cellStyle name="Normal 2 8 16 5 3" xfId="34766" xr:uid="{00000000-0005-0000-0000-0000D1870000}"/>
    <cellStyle name="Normal 2 8 16 5 4" xfId="34767" xr:uid="{00000000-0005-0000-0000-0000D2870000}"/>
    <cellStyle name="Normal 2 8 16 6" xfId="34768" xr:uid="{00000000-0005-0000-0000-0000D3870000}"/>
    <cellStyle name="Normal 2 8 16 6 2" xfId="34769" xr:uid="{00000000-0005-0000-0000-0000D4870000}"/>
    <cellStyle name="Normal 2 8 16 7" xfId="34770" xr:uid="{00000000-0005-0000-0000-0000D5870000}"/>
    <cellStyle name="Normal 2 8 16 8" xfId="34771" xr:uid="{00000000-0005-0000-0000-0000D6870000}"/>
    <cellStyle name="Normal 2 8 16 9" xfId="34772" xr:uid="{00000000-0005-0000-0000-0000D7870000}"/>
    <cellStyle name="Normal 2 8 17" xfId="34773" xr:uid="{00000000-0005-0000-0000-0000D8870000}"/>
    <cellStyle name="Normal 2 8 17 10" xfId="34774" xr:uid="{00000000-0005-0000-0000-0000D9870000}"/>
    <cellStyle name="Normal 2 8 17 2" xfId="34775" xr:uid="{00000000-0005-0000-0000-0000DA870000}"/>
    <cellStyle name="Normal 2 8 17 2 2" xfId="34776" xr:uid="{00000000-0005-0000-0000-0000DB870000}"/>
    <cellStyle name="Normal 2 8 17 2 2 2" xfId="34777" xr:uid="{00000000-0005-0000-0000-0000DC870000}"/>
    <cellStyle name="Normal 2 8 17 2 2 3" xfId="34778" xr:uid="{00000000-0005-0000-0000-0000DD870000}"/>
    <cellStyle name="Normal 2 8 17 2 3" xfId="34779" xr:uid="{00000000-0005-0000-0000-0000DE870000}"/>
    <cellStyle name="Normal 2 8 17 2 4" xfId="34780" xr:uid="{00000000-0005-0000-0000-0000DF870000}"/>
    <cellStyle name="Normal 2 8 17 2 5" xfId="34781" xr:uid="{00000000-0005-0000-0000-0000E0870000}"/>
    <cellStyle name="Normal 2 8 17 2 6" xfId="34782" xr:uid="{00000000-0005-0000-0000-0000E1870000}"/>
    <cellStyle name="Normal 2 8 17 3" xfId="34783" xr:uid="{00000000-0005-0000-0000-0000E2870000}"/>
    <cellStyle name="Normal 2 8 17 3 2" xfId="34784" xr:uid="{00000000-0005-0000-0000-0000E3870000}"/>
    <cellStyle name="Normal 2 8 17 3 2 2" xfId="34785" xr:uid="{00000000-0005-0000-0000-0000E4870000}"/>
    <cellStyle name="Normal 2 8 17 3 2 3" xfId="34786" xr:uid="{00000000-0005-0000-0000-0000E5870000}"/>
    <cellStyle name="Normal 2 8 17 3 3" xfId="34787" xr:uid="{00000000-0005-0000-0000-0000E6870000}"/>
    <cellStyle name="Normal 2 8 17 3 4" xfId="34788" xr:uid="{00000000-0005-0000-0000-0000E7870000}"/>
    <cellStyle name="Normal 2 8 17 3 5" xfId="34789" xr:uid="{00000000-0005-0000-0000-0000E8870000}"/>
    <cellStyle name="Normal 2 8 17 3 6" xfId="34790" xr:uid="{00000000-0005-0000-0000-0000E9870000}"/>
    <cellStyle name="Normal 2 8 17 4" xfId="34791" xr:uid="{00000000-0005-0000-0000-0000EA870000}"/>
    <cellStyle name="Normal 2 8 17 4 2" xfId="34792" xr:uid="{00000000-0005-0000-0000-0000EB870000}"/>
    <cellStyle name="Normal 2 8 17 4 2 2" xfId="34793" xr:uid="{00000000-0005-0000-0000-0000EC870000}"/>
    <cellStyle name="Normal 2 8 17 4 3" xfId="34794" xr:uid="{00000000-0005-0000-0000-0000ED870000}"/>
    <cellStyle name="Normal 2 8 17 4 4" xfId="34795" xr:uid="{00000000-0005-0000-0000-0000EE870000}"/>
    <cellStyle name="Normal 2 8 17 4 5" xfId="34796" xr:uid="{00000000-0005-0000-0000-0000EF870000}"/>
    <cellStyle name="Normal 2 8 17 5" xfId="34797" xr:uid="{00000000-0005-0000-0000-0000F0870000}"/>
    <cellStyle name="Normal 2 8 17 5 2" xfId="34798" xr:uid="{00000000-0005-0000-0000-0000F1870000}"/>
    <cellStyle name="Normal 2 8 17 5 3" xfId="34799" xr:uid="{00000000-0005-0000-0000-0000F2870000}"/>
    <cellStyle name="Normal 2 8 17 5 4" xfId="34800" xr:uid="{00000000-0005-0000-0000-0000F3870000}"/>
    <cellStyle name="Normal 2 8 17 6" xfId="34801" xr:uid="{00000000-0005-0000-0000-0000F4870000}"/>
    <cellStyle name="Normal 2 8 17 6 2" xfId="34802" xr:uid="{00000000-0005-0000-0000-0000F5870000}"/>
    <cellStyle name="Normal 2 8 17 7" xfId="34803" xr:uid="{00000000-0005-0000-0000-0000F6870000}"/>
    <cellStyle name="Normal 2 8 17 8" xfId="34804" xr:uid="{00000000-0005-0000-0000-0000F7870000}"/>
    <cellStyle name="Normal 2 8 17 9" xfId="34805" xr:uid="{00000000-0005-0000-0000-0000F8870000}"/>
    <cellStyle name="Normal 2 8 18" xfId="34806" xr:uid="{00000000-0005-0000-0000-0000F9870000}"/>
    <cellStyle name="Normal 2 8 18 10" xfId="34807" xr:uid="{00000000-0005-0000-0000-0000FA870000}"/>
    <cellStyle name="Normal 2 8 18 2" xfId="34808" xr:uid="{00000000-0005-0000-0000-0000FB870000}"/>
    <cellStyle name="Normal 2 8 18 2 2" xfId="34809" xr:uid="{00000000-0005-0000-0000-0000FC870000}"/>
    <cellStyle name="Normal 2 8 18 2 2 2" xfId="34810" xr:uid="{00000000-0005-0000-0000-0000FD870000}"/>
    <cellStyle name="Normal 2 8 18 2 2 3" xfId="34811" xr:uid="{00000000-0005-0000-0000-0000FE870000}"/>
    <cellStyle name="Normal 2 8 18 2 3" xfId="34812" xr:uid="{00000000-0005-0000-0000-0000FF870000}"/>
    <cellStyle name="Normal 2 8 18 2 4" xfId="34813" xr:uid="{00000000-0005-0000-0000-000000880000}"/>
    <cellStyle name="Normal 2 8 18 2 5" xfId="34814" xr:uid="{00000000-0005-0000-0000-000001880000}"/>
    <cellStyle name="Normal 2 8 18 2 6" xfId="34815" xr:uid="{00000000-0005-0000-0000-000002880000}"/>
    <cellStyle name="Normal 2 8 18 3" xfId="34816" xr:uid="{00000000-0005-0000-0000-000003880000}"/>
    <cellStyle name="Normal 2 8 18 3 2" xfId="34817" xr:uid="{00000000-0005-0000-0000-000004880000}"/>
    <cellStyle name="Normal 2 8 18 3 2 2" xfId="34818" xr:uid="{00000000-0005-0000-0000-000005880000}"/>
    <cellStyle name="Normal 2 8 18 3 2 3" xfId="34819" xr:uid="{00000000-0005-0000-0000-000006880000}"/>
    <cellStyle name="Normal 2 8 18 3 3" xfId="34820" xr:uid="{00000000-0005-0000-0000-000007880000}"/>
    <cellStyle name="Normal 2 8 18 3 4" xfId="34821" xr:uid="{00000000-0005-0000-0000-000008880000}"/>
    <cellStyle name="Normal 2 8 18 3 5" xfId="34822" xr:uid="{00000000-0005-0000-0000-000009880000}"/>
    <cellStyle name="Normal 2 8 18 3 6" xfId="34823" xr:uid="{00000000-0005-0000-0000-00000A880000}"/>
    <cellStyle name="Normal 2 8 18 4" xfId="34824" xr:uid="{00000000-0005-0000-0000-00000B880000}"/>
    <cellStyle name="Normal 2 8 18 4 2" xfId="34825" xr:uid="{00000000-0005-0000-0000-00000C880000}"/>
    <cellStyle name="Normal 2 8 18 4 2 2" xfId="34826" xr:uid="{00000000-0005-0000-0000-00000D880000}"/>
    <cellStyle name="Normal 2 8 18 4 3" xfId="34827" xr:uid="{00000000-0005-0000-0000-00000E880000}"/>
    <cellStyle name="Normal 2 8 18 4 4" xfId="34828" xr:uid="{00000000-0005-0000-0000-00000F880000}"/>
    <cellStyle name="Normal 2 8 18 4 5" xfId="34829" xr:uid="{00000000-0005-0000-0000-000010880000}"/>
    <cellStyle name="Normal 2 8 18 5" xfId="34830" xr:uid="{00000000-0005-0000-0000-000011880000}"/>
    <cellStyle name="Normal 2 8 18 5 2" xfId="34831" xr:uid="{00000000-0005-0000-0000-000012880000}"/>
    <cellStyle name="Normal 2 8 18 5 3" xfId="34832" xr:uid="{00000000-0005-0000-0000-000013880000}"/>
    <cellStyle name="Normal 2 8 18 5 4" xfId="34833" xr:uid="{00000000-0005-0000-0000-000014880000}"/>
    <cellStyle name="Normal 2 8 18 6" xfId="34834" xr:uid="{00000000-0005-0000-0000-000015880000}"/>
    <cellStyle name="Normal 2 8 18 6 2" xfId="34835" xr:uid="{00000000-0005-0000-0000-000016880000}"/>
    <cellStyle name="Normal 2 8 18 7" xfId="34836" xr:uid="{00000000-0005-0000-0000-000017880000}"/>
    <cellStyle name="Normal 2 8 18 8" xfId="34837" xr:uid="{00000000-0005-0000-0000-000018880000}"/>
    <cellStyle name="Normal 2 8 18 9" xfId="34838" xr:uid="{00000000-0005-0000-0000-000019880000}"/>
    <cellStyle name="Normal 2 8 19" xfId="34839" xr:uid="{00000000-0005-0000-0000-00001A880000}"/>
    <cellStyle name="Normal 2 8 19 10" xfId="34840" xr:uid="{00000000-0005-0000-0000-00001B880000}"/>
    <cellStyle name="Normal 2 8 19 2" xfId="34841" xr:uid="{00000000-0005-0000-0000-00001C880000}"/>
    <cellStyle name="Normal 2 8 19 2 2" xfId="34842" xr:uid="{00000000-0005-0000-0000-00001D880000}"/>
    <cellStyle name="Normal 2 8 19 2 2 2" xfId="34843" xr:uid="{00000000-0005-0000-0000-00001E880000}"/>
    <cellStyle name="Normal 2 8 19 2 2 3" xfId="34844" xr:uid="{00000000-0005-0000-0000-00001F880000}"/>
    <cellStyle name="Normal 2 8 19 2 3" xfId="34845" xr:uid="{00000000-0005-0000-0000-000020880000}"/>
    <cellStyle name="Normal 2 8 19 2 4" xfId="34846" xr:uid="{00000000-0005-0000-0000-000021880000}"/>
    <cellStyle name="Normal 2 8 19 2 5" xfId="34847" xr:uid="{00000000-0005-0000-0000-000022880000}"/>
    <cellStyle name="Normal 2 8 19 2 6" xfId="34848" xr:uid="{00000000-0005-0000-0000-000023880000}"/>
    <cellStyle name="Normal 2 8 19 3" xfId="34849" xr:uid="{00000000-0005-0000-0000-000024880000}"/>
    <cellStyle name="Normal 2 8 19 3 2" xfId="34850" xr:uid="{00000000-0005-0000-0000-000025880000}"/>
    <cellStyle name="Normal 2 8 19 3 2 2" xfId="34851" xr:uid="{00000000-0005-0000-0000-000026880000}"/>
    <cellStyle name="Normal 2 8 19 3 2 3" xfId="34852" xr:uid="{00000000-0005-0000-0000-000027880000}"/>
    <cellStyle name="Normal 2 8 19 3 3" xfId="34853" xr:uid="{00000000-0005-0000-0000-000028880000}"/>
    <cellStyle name="Normal 2 8 19 3 4" xfId="34854" xr:uid="{00000000-0005-0000-0000-000029880000}"/>
    <cellStyle name="Normal 2 8 19 3 5" xfId="34855" xr:uid="{00000000-0005-0000-0000-00002A880000}"/>
    <cellStyle name="Normal 2 8 19 3 6" xfId="34856" xr:uid="{00000000-0005-0000-0000-00002B880000}"/>
    <cellStyle name="Normal 2 8 19 4" xfId="34857" xr:uid="{00000000-0005-0000-0000-00002C880000}"/>
    <cellStyle name="Normal 2 8 19 4 2" xfId="34858" xr:uid="{00000000-0005-0000-0000-00002D880000}"/>
    <cellStyle name="Normal 2 8 19 4 2 2" xfId="34859" xr:uid="{00000000-0005-0000-0000-00002E880000}"/>
    <cellStyle name="Normal 2 8 19 4 3" xfId="34860" xr:uid="{00000000-0005-0000-0000-00002F880000}"/>
    <cellStyle name="Normal 2 8 19 4 4" xfId="34861" xr:uid="{00000000-0005-0000-0000-000030880000}"/>
    <cellStyle name="Normal 2 8 19 4 5" xfId="34862" xr:uid="{00000000-0005-0000-0000-000031880000}"/>
    <cellStyle name="Normal 2 8 19 5" xfId="34863" xr:uid="{00000000-0005-0000-0000-000032880000}"/>
    <cellStyle name="Normal 2 8 19 5 2" xfId="34864" xr:uid="{00000000-0005-0000-0000-000033880000}"/>
    <cellStyle name="Normal 2 8 19 5 3" xfId="34865" xr:uid="{00000000-0005-0000-0000-000034880000}"/>
    <cellStyle name="Normal 2 8 19 5 4" xfId="34866" xr:uid="{00000000-0005-0000-0000-000035880000}"/>
    <cellStyle name="Normal 2 8 19 6" xfId="34867" xr:uid="{00000000-0005-0000-0000-000036880000}"/>
    <cellStyle name="Normal 2 8 19 6 2" xfId="34868" xr:uid="{00000000-0005-0000-0000-000037880000}"/>
    <cellStyle name="Normal 2 8 19 7" xfId="34869" xr:uid="{00000000-0005-0000-0000-000038880000}"/>
    <cellStyle name="Normal 2 8 19 8" xfId="34870" xr:uid="{00000000-0005-0000-0000-000039880000}"/>
    <cellStyle name="Normal 2 8 19 9" xfId="34871" xr:uid="{00000000-0005-0000-0000-00003A880000}"/>
    <cellStyle name="Normal 2 8 2" xfId="34872" xr:uid="{00000000-0005-0000-0000-00003B880000}"/>
    <cellStyle name="Normal 2 8 2 10" xfId="34873" xr:uid="{00000000-0005-0000-0000-00003C880000}"/>
    <cellStyle name="Normal 2 8 2 10 10" xfId="34874" xr:uid="{00000000-0005-0000-0000-00003D880000}"/>
    <cellStyle name="Normal 2 8 2 10 2" xfId="34875" xr:uid="{00000000-0005-0000-0000-00003E880000}"/>
    <cellStyle name="Normal 2 8 2 10 2 2" xfId="34876" xr:uid="{00000000-0005-0000-0000-00003F880000}"/>
    <cellStyle name="Normal 2 8 2 10 2 2 2" xfId="34877" xr:uid="{00000000-0005-0000-0000-000040880000}"/>
    <cellStyle name="Normal 2 8 2 10 2 2 3" xfId="34878" xr:uid="{00000000-0005-0000-0000-000041880000}"/>
    <cellStyle name="Normal 2 8 2 10 2 3" xfId="34879" xr:uid="{00000000-0005-0000-0000-000042880000}"/>
    <cellStyle name="Normal 2 8 2 10 2 4" xfId="34880" xr:uid="{00000000-0005-0000-0000-000043880000}"/>
    <cellStyle name="Normal 2 8 2 10 2 5" xfId="34881" xr:uid="{00000000-0005-0000-0000-000044880000}"/>
    <cellStyle name="Normal 2 8 2 10 2 6" xfId="34882" xr:uid="{00000000-0005-0000-0000-000045880000}"/>
    <cellStyle name="Normal 2 8 2 10 3" xfId="34883" xr:uid="{00000000-0005-0000-0000-000046880000}"/>
    <cellStyle name="Normal 2 8 2 10 3 2" xfId="34884" xr:uid="{00000000-0005-0000-0000-000047880000}"/>
    <cellStyle name="Normal 2 8 2 10 3 2 2" xfId="34885" xr:uid="{00000000-0005-0000-0000-000048880000}"/>
    <cellStyle name="Normal 2 8 2 10 3 2 3" xfId="34886" xr:uid="{00000000-0005-0000-0000-000049880000}"/>
    <cellStyle name="Normal 2 8 2 10 3 3" xfId="34887" xr:uid="{00000000-0005-0000-0000-00004A880000}"/>
    <cellStyle name="Normal 2 8 2 10 3 4" xfId="34888" xr:uid="{00000000-0005-0000-0000-00004B880000}"/>
    <cellStyle name="Normal 2 8 2 10 3 5" xfId="34889" xr:uid="{00000000-0005-0000-0000-00004C880000}"/>
    <cellStyle name="Normal 2 8 2 10 3 6" xfId="34890" xr:uid="{00000000-0005-0000-0000-00004D880000}"/>
    <cellStyle name="Normal 2 8 2 10 4" xfId="34891" xr:uid="{00000000-0005-0000-0000-00004E880000}"/>
    <cellStyle name="Normal 2 8 2 10 4 2" xfId="34892" xr:uid="{00000000-0005-0000-0000-00004F880000}"/>
    <cellStyle name="Normal 2 8 2 10 4 2 2" xfId="34893" xr:uid="{00000000-0005-0000-0000-000050880000}"/>
    <cellStyle name="Normal 2 8 2 10 4 3" xfId="34894" xr:uid="{00000000-0005-0000-0000-000051880000}"/>
    <cellStyle name="Normal 2 8 2 10 4 4" xfId="34895" xr:uid="{00000000-0005-0000-0000-000052880000}"/>
    <cellStyle name="Normal 2 8 2 10 4 5" xfId="34896" xr:uid="{00000000-0005-0000-0000-000053880000}"/>
    <cellStyle name="Normal 2 8 2 10 5" xfId="34897" xr:uid="{00000000-0005-0000-0000-000054880000}"/>
    <cellStyle name="Normal 2 8 2 10 5 2" xfId="34898" xr:uid="{00000000-0005-0000-0000-000055880000}"/>
    <cellStyle name="Normal 2 8 2 10 5 3" xfId="34899" xr:uid="{00000000-0005-0000-0000-000056880000}"/>
    <cellStyle name="Normal 2 8 2 10 5 4" xfId="34900" xr:uid="{00000000-0005-0000-0000-000057880000}"/>
    <cellStyle name="Normal 2 8 2 10 6" xfId="34901" xr:uid="{00000000-0005-0000-0000-000058880000}"/>
    <cellStyle name="Normal 2 8 2 10 6 2" xfId="34902" xr:uid="{00000000-0005-0000-0000-000059880000}"/>
    <cellStyle name="Normal 2 8 2 10 7" xfId="34903" xr:uid="{00000000-0005-0000-0000-00005A880000}"/>
    <cellStyle name="Normal 2 8 2 10 8" xfId="34904" xr:uid="{00000000-0005-0000-0000-00005B880000}"/>
    <cellStyle name="Normal 2 8 2 10 9" xfId="34905" xr:uid="{00000000-0005-0000-0000-00005C880000}"/>
    <cellStyle name="Normal 2 8 2 11" xfId="34906" xr:uid="{00000000-0005-0000-0000-00005D880000}"/>
    <cellStyle name="Normal 2 8 2 11 10" xfId="34907" xr:uid="{00000000-0005-0000-0000-00005E880000}"/>
    <cellStyle name="Normal 2 8 2 11 2" xfId="34908" xr:uid="{00000000-0005-0000-0000-00005F880000}"/>
    <cellStyle name="Normal 2 8 2 11 2 2" xfId="34909" xr:uid="{00000000-0005-0000-0000-000060880000}"/>
    <cellStyle name="Normal 2 8 2 11 2 2 2" xfId="34910" xr:uid="{00000000-0005-0000-0000-000061880000}"/>
    <cellStyle name="Normal 2 8 2 11 2 2 3" xfId="34911" xr:uid="{00000000-0005-0000-0000-000062880000}"/>
    <cellStyle name="Normal 2 8 2 11 2 3" xfId="34912" xr:uid="{00000000-0005-0000-0000-000063880000}"/>
    <cellStyle name="Normal 2 8 2 11 2 4" xfId="34913" xr:uid="{00000000-0005-0000-0000-000064880000}"/>
    <cellStyle name="Normal 2 8 2 11 2 5" xfId="34914" xr:uid="{00000000-0005-0000-0000-000065880000}"/>
    <cellStyle name="Normal 2 8 2 11 2 6" xfId="34915" xr:uid="{00000000-0005-0000-0000-000066880000}"/>
    <cellStyle name="Normal 2 8 2 11 3" xfId="34916" xr:uid="{00000000-0005-0000-0000-000067880000}"/>
    <cellStyle name="Normal 2 8 2 11 3 2" xfId="34917" xr:uid="{00000000-0005-0000-0000-000068880000}"/>
    <cellStyle name="Normal 2 8 2 11 3 2 2" xfId="34918" xr:uid="{00000000-0005-0000-0000-000069880000}"/>
    <cellStyle name="Normal 2 8 2 11 3 2 3" xfId="34919" xr:uid="{00000000-0005-0000-0000-00006A880000}"/>
    <cellStyle name="Normal 2 8 2 11 3 3" xfId="34920" xr:uid="{00000000-0005-0000-0000-00006B880000}"/>
    <cellStyle name="Normal 2 8 2 11 3 4" xfId="34921" xr:uid="{00000000-0005-0000-0000-00006C880000}"/>
    <cellStyle name="Normal 2 8 2 11 3 5" xfId="34922" xr:uid="{00000000-0005-0000-0000-00006D880000}"/>
    <cellStyle name="Normal 2 8 2 11 3 6" xfId="34923" xr:uid="{00000000-0005-0000-0000-00006E880000}"/>
    <cellStyle name="Normal 2 8 2 11 4" xfId="34924" xr:uid="{00000000-0005-0000-0000-00006F880000}"/>
    <cellStyle name="Normal 2 8 2 11 4 2" xfId="34925" xr:uid="{00000000-0005-0000-0000-000070880000}"/>
    <cellStyle name="Normal 2 8 2 11 4 2 2" xfId="34926" xr:uid="{00000000-0005-0000-0000-000071880000}"/>
    <cellStyle name="Normal 2 8 2 11 4 3" xfId="34927" xr:uid="{00000000-0005-0000-0000-000072880000}"/>
    <cellStyle name="Normal 2 8 2 11 4 4" xfId="34928" xr:uid="{00000000-0005-0000-0000-000073880000}"/>
    <cellStyle name="Normal 2 8 2 11 4 5" xfId="34929" xr:uid="{00000000-0005-0000-0000-000074880000}"/>
    <cellStyle name="Normal 2 8 2 11 5" xfId="34930" xr:uid="{00000000-0005-0000-0000-000075880000}"/>
    <cellStyle name="Normal 2 8 2 11 5 2" xfId="34931" xr:uid="{00000000-0005-0000-0000-000076880000}"/>
    <cellStyle name="Normal 2 8 2 11 5 3" xfId="34932" xr:uid="{00000000-0005-0000-0000-000077880000}"/>
    <cellStyle name="Normal 2 8 2 11 5 4" xfId="34933" xr:uid="{00000000-0005-0000-0000-000078880000}"/>
    <cellStyle name="Normal 2 8 2 11 6" xfId="34934" xr:uid="{00000000-0005-0000-0000-000079880000}"/>
    <cellStyle name="Normal 2 8 2 11 6 2" xfId="34935" xr:uid="{00000000-0005-0000-0000-00007A880000}"/>
    <cellStyle name="Normal 2 8 2 11 7" xfId="34936" xr:uid="{00000000-0005-0000-0000-00007B880000}"/>
    <cellStyle name="Normal 2 8 2 11 8" xfId="34937" xr:uid="{00000000-0005-0000-0000-00007C880000}"/>
    <cellStyle name="Normal 2 8 2 11 9" xfId="34938" xr:uid="{00000000-0005-0000-0000-00007D880000}"/>
    <cellStyle name="Normal 2 8 2 12" xfId="34939" xr:uid="{00000000-0005-0000-0000-00007E880000}"/>
    <cellStyle name="Normal 2 8 2 12 10" xfId="34940" xr:uid="{00000000-0005-0000-0000-00007F880000}"/>
    <cellStyle name="Normal 2 8 2 12 2" xfId="34941" xr:uid="{00000000-0005-0000-0000-000080880000}"/>
    <cellStyle name="Normal 2 8 2 12 2 2" xfId="34942" xr:uid="{00000000-0005-0000-0000-000081880000}"/>
    <cellStyle name="Normal 2 8 2 12 2 2 2" xfId="34943" xr:uid="{00000000-0005-0000-0000-000082880000}"/>
    <cellStyle name="Normal 2 8 2 12 2 2 3" xfId="34944" xr:uid="{00000000-0005-0000-0000-000083880000}"/>
    <cellStyle name="Normal 2 8 2 12 2 3" xfId="34945" xr:uid="{00000000-0005-0000-0000-000084880000}"/>
    <cellStyle name="Normal 2 8 2 12 2 4" xfId="34946" xr:uid="{00000000-0005-0000-0000-000085880000}"/>
    <cellStyle name="Normal 2 8 2 12 2 5" xfId="34947" xr:uid="{00000000-0005-0000-0000-000086880000}"/>
    <cellStyle name="Normal 2 8 2 12 2 6" xfId="34948" xr:uid="{00000000-0005-0000-0000-000087880000}"/>
    <cellStyle name="Normal 2 8 2 12 3" xfId="34949" xr:uid="{00000000-0005-0000-0000-000088880000}"/>
    <cellStyle name="Normal 2 8 2 12 3 2" xfId="34950" xr:uid="{00000000-0005-0000-0000-000089880000}"/>
    <cellStyle name="Normal 2 8 2 12 3 2 2" xfId="34951" xr:uid="{00000000-0005-0000-0000-00008A880000}"/>
    <cellStyle name="Normal 2 8 2 12 3 2 3" xfId="34952" xr:uid="{00000000-0005-0000-0000-00008B880000}"/>
    <cellStyle name="Normal 2 8 2 12 3 3" xfId="34953" xr:uid="{00000000-0005-0000-0000-00008C880000}"/>
    <cellStyle name="Normal 2 8 2 12 3 4" xfId="34954" xr:uid="{00000000-0005-0000-0000-00008D880000}"/>
    <cellStyle name="Normal 2 8 2 12 3 5" xfId="34955" xr:uid="{00000000-0005-0000-0000-00008E880000}"/>
    <cellStyle name="Normal 2 8 2 12 3 6" xfId="34956" xr:uid="{00000000-0005-0000-0000-00008F880000}"/>
    <cellStyle name="Normal 2 8 2 12 4" xfId="34957" xr:uid="{00000000-0005-0000-0000-000090880000}"/>
    <cellStyle name="Normal 2 8 2 12 4 2" xfId="34958" xr:uid="{00000000-0005-0000-0000-000091880000}"/>
    <cellStyle name="Normal 2 8 2 12 4 2 2" xfId="34959" xr:uid="{00000000-0005-0000-0000-000092880000}"/>
    <cellStyle name="Normal 2 8 2 12 4 3" xfId="34960" xr:uid="{00000000-0005-0000-0000-000093880000}"/>
    <cellStyle name="Normal 2 8 2 12 4 4" xfId="34961" xr:uid="{00000000-0005-0000-0000-000094880000}"/>
    <cellStyle name="Normal 2 8 2 12 4 5" xfId="34962" xr:uid="{00000000-0005-0000-0000-000095880000}"/>
    <cellStyle name="Normal 2 8 2 12 5" xfId="34963" xr:uid="{00000000-0005-0000-0000-000096880000}"/>
    <cellStyle name="Normal 2 8 2 12 5 2" xfId="34964" xr:uid="{00000000-0005-0000-0000-000097880000}"/>
    <cellStyle name="Normal 2 8 2 12 5 3" xfId="34965" xr:uid="{00000000-0005-0000-0000-000098880000}"/>
    <cellStyle name="Normal 2 8 2 12 5 4" xfId="34966" xr:uid="{00000000-0005-0000-0000-000099880000}"/>
    <cellStyle name="Normal 2 8 2 12 6" xfId="34967" xr:uid="{00000000-0005-0000-0000-00009A880000}"/>
    <cellStyle name="Normal 2 8 2 12 6 2" xfId="34968" xr:uid="{00000000-0005-0000-0000-00009B880000}"/>
    <cellStyle name="Normal 2 8 2 12 7" xfId="34969" xr:uid="{00000000-0005-0000-0000-00009C880000}"/>
    <cellStyle name="Normal 2 8 2 12 8" xfId="34970" xr:uid="{00000000-0005-0000-0000-00009D880000}"/>
    <cellStyle name="Normal 2 8 2 12 9" xfId="34971" xr:uid="{00000000-0005-0000-0000-00009E880000}"/>
    <cellStyle name="Normal 2 8 2 13" xfId="34972" xr:uid="{00000000-0005-0000-0000-00009F880000}"/>
    <cellStyle name="Normal 2 8 2 13 2" xfId="34973" xr:uid="{00000000-0005-0000-0000-0000A0880000}"/>
    <cellStyle name="Normal 2 8 2 13 2 2" xfId="34974" xr:uid="{00000000-0005-0000-0000-0000A1880000}"/>
    <cellStyle name="Normal 2 8 2 13 2 2 2" xfId="34975" xr:uid="{00000000-0005-0000-0000-0000A2880000}"/>
    <cellStyle name="Normal 2 8 2 13 2 2 3" xfId="34976" xr:uid="{00000000-0005-0000-0000-0000A3880000}"/>
    <cellStyle name="Normal 2 8 2 13 2 3" xfId="34977" xr:uid="{00000000-0005-0000-0000-0000A4880000}"/>
    <cellStyle name="Normal 2 8 2 13 2 4" xfId="34978" xr:uid="{00000000-0005-0000-0000-0000A5880000}"/>
    <cellStyle name="Normal 2 8 2 13 2 5" xfId="34979" xr:uid="{00000000-0005-0000-0000-0000A6880000}"/>
    <cellStyle name="Normal 2 8 2 13 2 6" xfId="34980" xr:uid="{00000000-0005-0000-0000-0000A7880000}"/>
    <cellStyle name="Normal 2 8 2 13 3" xfId="34981" xr:uid="{00000000-0005-0000-0000-0000A8880000}"/>
    <cellStyle name="Normal 2 8 2 13 3 2" xfId="34982" xr:uid="{00000000-0005-0000-0000-0000A9880000}"/>
    <cellStyle name="Normal 2 8 2 13 3 2 2" xfId="34983" xr:uid="{00000000-0005-0000-0000-0000AA880000}"/>
    <cellStyle name="Normal 2 8 2 13 3 3" xfId="34984" xr:uid="{00000000-0005-0000-0000-0000AB880000}"/>
    <cellStyle name="Normal 2 8 2 13 3 4" xfId="34985" xr:uid="{00000000-0005-0000-0000-0000AC880000}"/>
    <cellStyle name="Normal 2 8 2 13 3 5" xfId="34986" xr:uid="{00000000-0005-0000-0000-0000AD880000}"/>
    <cellStyle name="Normal 2 8 2 13 4" xfId="34987" xr:uid="{00000000-0005-0000-0000-0000AE880000}"/>
    <cellStyle name="Normal 2 8 2 13 4 2" xfId="34988" xr:uid="{00000000-0005-0000-0000-0000AF880000}"/>
    <cellStyle name="Normal 2 8 2 13 4 3" xfId="34989" xr:uid="{00000000-0005-0000-0000-0000B0880000}"/>
    <cellStyle name="Normal 2 8 2 13 4 4" xfId="34990" xr:uid="{00000000-0005-0000-0000-0000B1880000}"/>
    <cellStyle name="Normal 2 8 2 13 5" xfId="34991" xr:uid="{00000000-0005-0000-0000-0000B2880000}"/>
    <cellStyle name="Normal 2 8 2 13 5 2" xfId="34992" xr:uid="{00000000-0005-0000-0000-0000B3880000}"/>
    <cellStyle name="Normal 2 8 2 13 6" xfId="34993" xr:uid="{00000000-0005-0000-0000-0000B4880000}"/>
    <cellStyle name="Normal 2 8 2 13 7" xfId="34994" xr:uid="{00000000-0005-0000-0000-0000B5880000}"/>
    <cellStyle name="Normal 2 8 2 13 8" xfId="34995" xr:uid="{00000000-0005-0000-0000-0000B6880000}"/>
    <cellStyle name="Normal 2 8 2 13 9" xfId="34996" xr:uid="{00000000-0005-0000-0000-0000B7880000}"/>
    <cellStyle name="Normal 2 8 2 14" xfId="34997" xr:uid="{00000000-0005-0000-0000-0000B8880000}"/>
    <cellStyle name="Normal 2 8 2 14 2" xfId="34998" xr:uid="{00000000-0005-0000-0000-0000B9880000}"/>
    <cellStyle name="Normal 2 8 2 14 2 2" xfId="34999" xr:uid="{00000000-0005-0000-0000-0000BA880000}"/>
    <cellStyle name="Normal 2 8 2 14 2 2 2" xfId="35000" xr:uid="{00000000-0005-0000-0000-0000BB880000}"/>
    <cellStyle name="Normal 2 8 2 14 2 2 3" xfId="35001" xr:uid="{00000000-0005-0000-0000-0000BC880000}"/>
    <cellStyle name="Normal 2 8 2 14 2 3" xfId="35002" xr:uid="{00000000-0005-0000-0000-0000BD880000}"/>
    <cellStyle name="Normal 2 8 2 14 2 4" xfId="35003" xr:uid="{00000000-0005-0000-0000-0000BE880000}"/>
    <cellStyle name="Normal 2 8 2 14 2 5" xfId="35004" xr:uid="{00000000-0005-0000-0000-0000BF880000}"/>
    <cellStyle name="Normal 2 8 2 14 2 6" xfId="35005" xr:uid="{00000000-0005-0000-0000-0000C0880000}"/>
    <cellStyle name="Normal 2 8 2 14 3" xfId="35006" xr:uid="{00000000-0005-0000-0000-0000C1880000}"/>
    <cellStyle name="Normal 2 8 2 14 3 2" xfId="35007" xr:uid="{00000000-0005-0000-0000-0000C2880000}"/>
    <cellStyle name="Normal 2 8 2 14 3 2 2" xfId="35008" xr:uid="{00000000-0005-0000-0000-0000C3880000}"/>
    <cellStyle name="Normal 2 8 2 14 3 3" xfId="35009" xr:uid="{00000000-0005-0000-0000-0000C4880000}"/>
    <cellStyle name="Normal 2 8 2 14 3 4" xfId="35010" xr:uid="{00000000-0005-0000-0000-0000C5880000}"/>
    <cellStyle name="Normal 2 8 2 14 3 5" xfId="35011" xr:uid="{00000000-0005-0000-0000-0000C6880000}"/>
    <cellStyle name="Normal 2 8 2 14 4" xfId="35012" xr:uid="{00000000-0005-0000-0000-0000C7880000}"/>
    <cellStyle name="Normal 2 8 2 14 4 2" xfId="35013" xr:uid="{00000000-0005-0000-0000-0000C8880000}"/>
    <cellStyle name="Normal 2 8 2 14 4 3" xfId="35014" xr:uid="{00000000-0005-0000-0000-0000C9880000}"/>
    <cellStyle name="Normal 2 8 2 14 4 4" xfId="35015" xr:uid="{00000000-0005-0000-0000-0000CA880000}"/>
    <cellStyle name="Normal 2 8 2 14 5" xfId="35016" xr:uid="{00000000-0005-0000-0000-0000CB880000}"/>
    <cellStyle name="Normal 2 8 2 14 5 2" xfId="35017" xr:uid="{00000000-0005-0000-0000-0000CC880000}"/>
    <cellStyle name="Normal 2 8 2 14 6" xfId="35018" xr:uid="{00000000-0005-0000-0000-0000CD880000}"/>
    <cellStyle name="Normal 2 8 2 14 7" xfId="35019" xr:uid="{00000000-0005-0000-0000-0000CE880000}"/>
    <cellStyle name="Normal 2 8 2 14 8" xfId="35020" xr:uid="{00000000-0005-0000-0000-0000CF880000}"/>
    <cellStyle name="Normal 2 8 2 14 9" xfId="35021" xr:uid="{00000000-0005-0000-0000-0000D0880000}"/>
    <cellStyle name="Normal 2 8 2 15" xfId="35022" xr:uid="{00000000-0005-0000-0000-0000D1880000}"/>
    <cellStyle name="Normal 2 8 2 15 2" xfId="35023" xr:uid="{00000000-0005-0000-0000-0000D2880000}"/>
    <cellStyle name="Normal 2 8 2 15 2 2" xfId="35024" xr:uid="{00000000-0005-0000-0000-0000D3880000}"/>
    <cellStyle name="Normal 2 8 2 15 2 3" xfId="35025" xr:uid="{00000000-0005-0000-0000-0000D4880000}"/>
    <cellStyle name="Normal 2 8 2 15 3" xfId="35026" xr:uid="{00000000-0005-0000-0000-0000D5880000}"/>
    <cellStyle name="Normal 2 8 2 15 4" xfId="35027" xr:uid="{00000000-0005-0000-0000-0000D6880000}"/>
    <cellStyle name="Normal 2 8 2 15 5" xfId="35028" xr:uid="{00000000-0005-0000-0000-0000D7880000}"/>
    <cellStyle name="Normal 2 8 2 15 6" xfId="35029" xr:uid="{00000000-0005-0000-0000-0000D8880000}"/>
    <cellStyle name="Normal 2 8 2 16" xfId="35030" xr:uid="{00000000-0005-0000-0000-0000D9880000}"/>
    <cellStyle name="Normal 2 8 2 16 2" xfId="35031" xr:uid="{00000000-0005-0000-0000-0000DA880000}"/>
    <cellStyle name="Normal 2 8 2 16 2 2" xfId="35032" xr:uid="{00000000-0005-0000-0000-0000DB880000}"/>
    <cellStyle name="Normal 2 8 2 16 3" xfId="35033" xr:uid="{00000000-0005-0000-0000-0000DC880000}"/>
    <cellStyle name="Normal 2 8 2 16 4" xfId="35034" xr:uid="{00000000-0005-0000-0000-0000DD880000}"/>
    <cellStyle name="Normal 2 8 2 16 5" xfId="35035" xr:uid="{00000000-0005-0000-0000-0000DE880000}"/>
    <cellStyle name="Normal 2 8 2 17" xfId="35036" xr:uid="{00000000-0005-0000-0000-0000DF880000}"/>
    <cellStyle name="Normal 2 8 2 17 2" xfId="35037" xr:uid="{00000000-0005-0000-0000-0000E0880000}"/>
    <cellStyle name="Normal 2 8 2 17 2 2" xfId="35038" xr:uid="{00000000-0005-0000-0000-0000E1880000}"/>
    <cellStyle name="Normal 2 8 2 17 3" xfId="35039" xr:uid="{00000000-0005-0000-0000-0000E2880000}"/>
    <cellStyle name="Normal 2 8 2 17 4" xfId="35040" xr:uid="{00000000-0005-0000-0000-0000E3880000}"/>
    <cellStyle name="Normal 2 8 2 17 5" xfId="35041" xr:uid="{00000000-0005-0000-0000-0000E4880000}"/>
    <cellStyle name="Normal 2 8 2 18" xfId="35042" xr:uid="{00000000-0005-0000-0000-0000E5880000}"/>
    <cellStyle name="Normal 2 8 2 18 2" xfId="35043" xr:uid="{00000000-0005-0000-0000-0000E6880000}"/>
    <cellStyle name="Normal 2 8 2 19" xfId="35044" xr:uid="{00000000-0005-0000-0000-0000E7880000}"/>
    <cellStyle name="Normal 2 8 2 2" xfId="35045" xr:uid="{00000000-0005-0000-0000-0000E8880000}"/>
    <cellStyle name="Normal 2 8 2 2 10" xfId="35046" xr:uid="{00000000-0005-0000-0000-0000E9880000}"/>
    <cellStyle name="Normal 2 8 2 2 11" xfId="35047" xr:uid="{00000000-0005-0000-0000-0000EA880000}"/>
    <cellStyle name="Normal 2 8 2 2 2" xfId="35048" xr:uid="{00000000-0005-0000-0000-0000EB880000}"/>
    <cellStyle name="Normal 2 8 2 2 2 2" xfId="35049" xr:uid="{00000000-0005-0000-0000-0000EC880000}"/>
    <cellStyle name="Normal 2 8 2 2 2 2 2" xfId="35050" xr:uid="{00000000-0005-0000-0000-0000ED880000}"/>
    <cellStyle name="Normal 2 8 2 2 2 2 2 2" xfId="35051" xr:uid="{00000000-0005-0000-0000-0000EE880000}"/>
    <cellStyle name="Normal 2 8 2 2 2 2 2 3" xfId="35052" xr:uid="{00000000-0005-0000-0000-0000EF880000}"/>
    <cellStyle name="Normal 2 8 2 2 2 2 3" xfId="35053" xr:uid="{00000000-0005-0000-0000-0000F0880000}"/>
    <cellStyle name="Normal 2 8 2 2 2 2 4" xfId="35054" xr:uid="{00000000-0005-0000-0000-0000F1880000}"/>
    <cellStyle name="Normal 2 8 2 2 2 2 5" xfId="35055" xr:uid="{00000000-0005-0000-0000-0000F2880000}"/>
    <cellStyle name="Normal 2 8 2 2 2 2 6" xfId="35056" xr:uid="{00000000-0005-0000-0000-0000F3880000}"/>
    <cellStyle name="Normal 2 8 2 2 2 3" xfId="35057" xr:uid="{00000000-0005-0000-0000-0000F4880000}"/>
    <cellStyle name="Normal 2 8 2 2 2 3 2" xfId="35058" xr:uid="{00000000-0005-0000-0000-0000F5880000}"/>
    <cellStyle name="Normal 2 8 2 2 2 3 2 2" xfId="35059" xr:uid="{00000000-0005-0000-0000-0000F6880000}"/>
    <cellStyle name="Normal 2 8 2 2 2 3 3" xfId="35060" xr:uid="{00000000-0005-0000-0000-0000F7880000}"/>
    <cellStyle name="Normal 2 8 2 2 2 3 4" xfId="35061" xr:uid="{00000000-0005-0000-0000-0000F8880000}"/>
    <cellStyle name="Normal 2 8 2 2 2 3 5" xfId="35062" xr:uid="{00000000-0005-0000-0000-0000F9880000}"/>
    <cellStyle name="Normal 2 8 2 2 2 4" xfId="35063" xr:uid="{00000000-0005-0000-0000-0000FA880000}"/>
    <cellStyle name="Normal 2 8 2 2 2 4 2" xfId="35064" xr:uid="{00000000-0005-0000-0000-0000FB880000}"/>
    <cellStyle name="Normal 2 8 2 2 2 4 3" xfId="35065" xr:uid="{00000000-0005-0000-0000-0000FC880000}"/>
    <cellStyle name="Normal 2 8 2 2 2 4 4" xfId="35066" xr:uid="{00000000-0005-0000-0000-0000FD880000}"/>
    <cellStyle name="Normal 2 8 2 2 2 5" xfId="35067" xr:uid="{00000000-0005-0000-0000-0000FE880000}"/>
    <cellStyle name="Normal 2 8 2 2 2 5 2" xfId="35068" xr:uid="{00000000-0005-0000-0000-0000FF880000}"/>
    <cellStyle name="Normal 2 8 2 2 2 6" xfId="35069" xr:uid="{00000000-0005-0000-0000-000000890000}"/>
    <cellStyle name="Normal 2 8 2 2 2 7" xfId="35070" xr:uid="{00000000-0005-0000-0000-000001890000}"/>
    <cellStyle name="Normal 2 8 2 2 2 8" xfId="35071" xr:uid="{00000000-0005-0000-0000-000002890000}"/>
    <cellStyle name="Normal 2 8 2 2 2 9" xfId="35072" xr:uid="{00000000-0005-0000-0000-000003890000}"/>
    <cellStyle name="Normal 2 8 2 2 3" xfId="35073" xr:uid="{00000000-0005-0000-0000-000004890000}"/>
    <cellStyle name="Normal 2 8 2 2 3 2" xfId="35074" xr:uid="{00000000-0005-0000-0000-000005890000}"/>
    <cellStyle name="Normal 2 8 2 2 3 2 2" xfId="35075" xr:uid="{00000000-0005-0000-0000-000006890000}"/>
    <cellStyle name="Normal 2 8 2 2 3 2 2 2" xfId="35076" xr:uid="{00000000-0005-0000-0000-000007890000}"/>
    <cellStyle name="Normal 2 8 2 2 3 2 2 3" xfId="35077" xr:uid="{00000000-0005-0000-0000-000008890000}"/>
    <cellStyle name="Normal 2 8 2 2 3 2 3" xfId="35078" xr:uid="{00000000-0005-0000-0000-000009890000}"/>
    <cellStyle name="Normal 2 8 2 2 3 2 4" xfId="35079" xr:uid="{00000000-0005-0000-0000-00000A890000}"/>
    <cellStyle name="Normal 2 8 2 2 3 2 5" xfId="35080" xr:uid="{00000000-0005-0000-0000-00000B890000}"/>
    <cellStyle name="Normal 2 8 2 2 3 2 6" xfId="35081" xr:uid="{00000000-0005-0000-0000-00000C890000}"/>
    <cellStyle name="Normal 2 8 2 2 3 3" xfId="35082" xr:uid="{00000000-0005-0000-0000-00000D890000}"/>
    <cellStyle name="Normal 2 8 2 2 3 3 2" xfId="35083" xr:uid="{00000000-0005-0000-0000-00000E890000}"/>
    <cellStyle name="Normal 2 8 2 2 3 3 2 2" xfId="35084" xr:uid="{00000000-0005-0000-0000-00000F890000}"/>
    <cellStyle name="Normal 2 8 2 2 3 3 3" xfId="35085" xr:uid="{00000000-0005-0000-0000-000010890000}"/>
    <cellStyle name="Normal 2 8 2 2 3 3 4" xfId="35086" xr:uid="{00000000-0005-0000-0000-000011890000}"/>
    <cellStyle name="Normal 2 8 2 2 3 3 5" xfId="35087" xr:uid="{00000000-0005-0000-0000-000012890000}"/>
    <cellStyle name="Normal 2 8 2 2 3 4" xfId="35088" xr:uid="{00000000-0005-0000-0000-000013890000}"/>
    <cellStyle name="Normal 2 8 2 2 3 4 2" xfId="35089" xr:uid="{00000000-0005-0000-0000-000014890000}"/>
    <cellStyle name="Normal 2 8 2 2 3 4 3" xfId="35090" xr:uid="{00000000-0005-0000-0000-000015890000}"/>
    <cellStyle name="Normal 2 8 2 2 3 4 4" xfId="35091" xr:uid="{00000000-0005-0000-0000-000016890000}"/>
    <cellStyle name="Normal 2 8 2 2 3 5" xfId="35092" xr:uid="{00000000-0005-0000-0000-000017890000}"/>
    <cellStyle name="Normal 2 8 2 2 3 5 2" xfId="35093" xr:uid="{00000000-0005-0000-0000-000018890000}"/>
    <cellStyle name="Normal 2 8 2 2 3 6" xfId="35094" xr:uid="{00000000-0005-0000-0000-000019890000}"/>
    <cellStyle name="Normal 2 8 2 2 3 7" xfId="35095" xr:uid="{00000000-0005-0000-0000-00001A890000}"/>
    <cellStyle name="Normal 2 8 2 2 3 8" xfId="35096" xr:uid="{00000000-0005-0000-0000-00001B890000}"/>
    <cellStyle name="Normal 2 8 2 2 3 9" xfId="35097" xr:uid="{00000000-0005-0000-0000-00001C890000}"/>
    <cellStyle name="Normal 2 8 2 2 4" xfId="35098" xr:uid="{00000000-0005-0000-0000-00001D890000}"/>
    <cellStyle name="Normal 2 8 2 2 4 2" xfId="35099" xr:uid="{00000000-0005-0000-0000-00001E890000}"/>
    <cellStyle name="Normal 2 8 2 2 4 2 2" xfId="35100" xr:uid="{00000000-0005-0000-0000-00001F890000}"/>
    <cellStyle name="Normal 2 8 2 2 4 2 3" xfId="35101" xr:uid="{00000000-0005-0000-0000-000020890000}"/>
    <cellStyle name="Normal 2 8 2 2 4 3" xfId="35102" xr:uid="{00000000-0005-0000-0000-000021890000}"/>
    <cellStyle name="Normal 2 8 2 2 4 4" xfId="35103" xr:uid="{00000000-0005-0000-0000-000022890000}"/>
    <cellStyle name="Normal 2 8 2 2 4 5" xfId="35104" xr:uid="{00000000-0005-0000-0000-000023890000}"/>
    <cellStyle name="Normal 2 8 2 2 4 6" xfId="35105" xr:uid="{00000000-0005-0000-0000-000024890000}"/>
    <cellStyle name="Normal 2 8 2 2 5" xfId="35106" xr:uid="{00000000-0005-0000-0000-000025890000}"/>
    <cellStyle name="Normal 2 8 2 2 5 2" xfId="35107" xr:uid="{00000000-0005-0000-0000-000026890000}"/>
    <cellStyle name="Normal 2 8 2 2 5 2 2" xfId="35108" xr:uid="{00000000-0005-0000-0000-000027890000}"/>
    <cellStyle name="Normal 2 8 2 2 5 3" xfId="35109" xr:uid="{00000000-0005-0000-0000-000028890000}"/>
    <cellStyle name="Normal 2 8 2 2 5 4" xfId="35110" xr:uid="{00000000-0005-0000-0000-000029890000}"/>
    <cellStyle name="Normal 2 8 2 2 5 5" xfId="35111" xr:uid="{00000000-0005-0000-0000-00002A890000}"/>
    <cellStyle name="Normal 2 8 2 2 6" xfId="35112" xr:uid="{00000000-0005-0000-0000-00002B890000}"/>
    <cellStyle name="Normal 2 8 2 2 6 2" xfId="35113" xr:uid="{00000000-0005-0000-0000-00002C890000}"/>
    <cellStyle name="Normal 2 8 2 2 6 3" xfId="35114" xr:uid="{00000000-0005-0000-0000-00002D890000}"/>
    <cellStyle name="Normal 2 8 2 2 6 4" xfId="35115" xr:uid="{00000000-0005-0000-0000-00002E890000}"/>
    <cellStyle name="Normal 2 8 2 2 7" xfId="35116" xr:uid="{00000000-0005-0000-0000-00002F890000}"/>
    <cellStyle name="Normal 2 8 2 2 7 2" xfId="35117" xr:uid="{00000000-0005-0000-0000-000030890000}"/>
    <cellStyle name="Normal 2 8 2 2 8" xfId="35118" xr:uid="{00000000-0005-0000-0000-000031890000}"/>
    <cellStyle name="Normal 2 8 2 2 9" xfId="35119" xr:uid="{00000000-0005-0000-0000-000032890000}"/>
    <cellStyle name="Normal 2 8 2 20" xfId="35120" xr:uid="{00000000-0005-0000-0000-000033890000}"/>
    <cellStyle name="Normal 2 8 2 21" xfId="35121" xr:uid="{00000000-0005-0000-0000-000034890000}"/>
    <cellStyle name="Normal 2 8 2 22" xfId="35122" xr:uid="{00000000-0005-0000-0000-000035890000}"/>
    <cellStyle name="Normal 2 8 2 3" xfId="35123" xr:uid="{00000000-0005-0000-0000-000036890000}"/>
    <cellStyle name="Normal 2 8 2 3 10" xfId="35124" xr:uid="{00000000-0005-0000-0000-000037890000}"/>
    <cellStyle name="Normal 2 8 2 3 11" xfId="35125" xr:uid="{00000000-0005-0000-0000-000038890000}"/>
    <cellStyle name="Normal 2 8 2 3 2" xfId="35126" xr:uid="{00000000-0005-0000-0000-000039890000}"/>
    <cellStyle name="Normal 2 8 2 3 2 2" xfId="35127" xr:uid="{00000000-0005-0000-0000-00003A890000}"/>
    <cellStyle name="Normal 2 8 2 3 2 2 2" xfId="35128" xr:uid="{00000000-0005-0000-0000-00003B890000}"/>
    <cellStyle name="Normal 2 8 2 3 2 2 2 2" xfId="35129" xr:uid="{00000000-0005-0000-0000-00003C890000}"/>
    <cellStyle name="Normal 2 8 2 3 2 2 2 3" xfId="35130" xr:uid="{00000000-0005-0000-0000-00003D890000}"/>
    <cellStyle name="Normal 2 8 2 3 2 2 3" xfId="35131" xr:uid="{00000000-0005-0000-0000-00003E890000}"/>
    <cellStyle name="Normal 2 8 2 3 2 2 4" xfId="35132" xr:uid="{00000000-0005-0000-0000-00003F890000}"/>
    <cellStyle name="Normal 2 8 2 3 2 2 5" xfId="35133" xr:uid="{00000000-0005-0000-0000-000040890000}"/>
    <cellStyle name="Normal 2 8 2 3 2 2 6" xfId="35134" xr:uid="{00000000-0005-0000-0000-000041890000}"/>
    <cellStyle name="Normal 2 8 2 3 2 3" xfId="35135" xr:uid="{00000000-0005-0000-0000-000042890000}"/>
    <cellStyle name="Normal 2 8 2 3 2 3 2" xfId="35136" xr:uid="{00000000-0005-0000-0000-000043890000}"/>
    <cellStyle name="Normal 2 8 2 3 2 3 2 2" xfId="35137" xr:uid="{00000000-0005-0000-0000-000044890000}"/>
    <cellStyle name="Normal 2 8 2 3 2 3 3" xfId="35138" xr:uid="{00000000-0005-0000-0000-000045890000}"/>
    <cellStyle name="Normal 2 8 2 3 2 3 4" xfId="35139" xr:uid="{00000000-0005-0000-0000-000046890000}"/>
    <cellStyle name="Normal 2 8 2 3 2 3 5" xfId="35140" xr:uid="{00000000-0005-0000-0000-000047890000}"/>
    <cellStyle name="Normal 2 8 2 3 2 4" xfId="35141" xr:uid="{00000000-0005-0000-0000-000048890000}"/>
    <cellStyle name="Normal 2 8 2 3 2 4 2" xfId="35142" xr:uid="{00000000-0005-0000-0000-000049890000}"/>
    <cellStyle name="Normal 2 8 2 3 2 4 3" xfId="35143" xr:uid="{00000000-0005-0000-0000-00004A890000}"/>
    <cellStyle name="Normal 2 8 2 3 2 4 4" xfId="35144" xr:uid="{00000000-0005-0000-0000-00004B890000}"/>
    <cellStyle name="Normal 2 8 2 3 2 5" xfId="35145" xr:uid="{00000000-0005-0000-0000-00004C890000}"/>
    <cellStyle name="Normal 2 8 2 3 2 5 2" xfId="35146" xr:uid="{00000000-0005-0000-0000-00004D890000}"/>
    <cellStyle name="Normal 2 8 2 3 2 6" xfId="35147" xr:uid="{00000000-0005-0000-0000-00004E890000}"/>
    <cellStyle name="Normal 2 8 2 3 2 7" xfId="35148" xr:uid="{00000000-0005-0000-0000-00004F890000}"/>
    <cellStyle name="Normal 2 8 2 3 2 8" xfId="35149" xr:uid="{00000000-0005-0000-0000-000050890000}"/>
    <cellStyle name="Normal 2 8 2 3 2 9" xfId="35150" xr:uid="{00000000-0005-0000-0000-000051890000}"/>
    <cellStyle name="Normal 2 8 2 3 3" xfId="35151" xr:uid="{00000000-0005-0000-0000-000052890000}"/>
    <cellStyle name="Normal 2 8 2 3 3 2" xfId="35152" xr:uid="{00000000-0005-0000-0000-000053890000}"/>
    <cellStyle name="Normal 2 8 2 3 3 2 2" xfId="35153" xr:uid="{00000000-0005-0000-0000-000054890000}"/>
    <cellStyle name="Normal 2 8 2 3 3 2 2 2" xfId="35154" xr:uid="{00000000-0005-0000-0000-000055890000}"/>
    <cellStyle name="Normal 2 8 2 3 3 2 2 3" xfId="35155" xr:uid="{00000000-0005-0000-0000-000056890000}"/>
    <cellStyle name="Normal 2 8 2 3 3 2 3" xfId="35156" xr:uid="{00000000-0005-0000-0000-000057890000}"/>
    <cellStyle name="Normal 2 8 2 3 3 2 4" xfId="35157" xr:uid="{00000000-0005-0000-0000-000058890000}"/>
    <cellStyle name="Normal 2 8 2 3 3 2 5" xfId="35158" xr:uid="{00000000-0005-0000-0000-000059890000}"/>
    <cellStyle name="Normal 2 8 2 3 3 2 6" xfId="35159" xr:uid="{00000000-0005-0000-0000-00005A890000}"/>
    <cellStyle name="Normal 2 8 2 3 3 3" xfId="35160" xr:uid="{00000000-0005-0000-0000-00005B890000}"/>
    <cellStyle name="Normal 2 8 2 3 3 3 2" xfId="35161" xr:uid="{00000000-0005-0000-0000-00005C890000}"/>
    <cellStyle name="Normal 2 8 2 3 3 3 2 2" xfId="35162" xr:uid="{00000000-0005-0000-0000-00005D890000}"/>
    <cellStyle name="Normal 2 8 2 3 3 3 3" xfId="35163" xr:uid="{00000000-0005-0000-0000-00005E890000}"/>
    <cellStyle name="Normal 2 8 2 3 3 3 4" xfId="35164" xr:uid="{00000000-0005-0000-0000-00005F890000}"/>
    <cellStyle name="Normal 2 8 2 3 3 3 5" xfId="35165" xr:uid="{00000000-0005-0000-0000-000060890000}"/>
    <cellStyle name="Normal 2 8 2 3 3 4" xfId="35166" xr:uid="{00000000-0005-0000-0000-000061890000}"/>
    <cellStyle name="Normal 2 8 2 3 3 4 2" xfId="35167" xr:uid="{00000000-0005-0000-0000-000062890000}"/>
    <cellStyle name="Normal 2 8 2 3 3 4 3" xfId="35168" xr:uid="{00000000-0005-0000-0000-000063890000}"/>
    <cellStyle name="Normal 2 8 2 3 3 4 4" xfId="35169" xr:uid="{00000000-0005-0000-0000-000064890000}"/>
    <cellStyle name="Normal 2 8 2 3 3 5" xfId="35170" xr:uid="{00000000-0005-0000-0000-000065890000}"/>
    <cellStyle name="Normal 2 8 2 3 3 5 2" xfId="35171" xr:uid="{00000000-0005-0000-0000-000066890000}"/>
    <cellStyle name="Normal 2 8 2 3 3 6" xfId="35172" xr:uid="{00000000-0005-0000-0000-000067890000}"/>
    <cellStyle name="Normal 2 8 2 3 3 7" xfId="35173" xr:uid="{00000000-0005-0000-0000-000068890000}"/>
    <cellStyle name="Normal 2 8 2 3 3 8" xfId="35174" xr:uid="{00000000-0005-0000-0000-000069890000}"/>
    <cellStyle name="Normal 2 8 2 3 3 9" xfId="35175" xr:uid="{00000000-0005-0000-0000-00006A890000}"/>
    <cellStyle name="Normal 2 8 2 3 4" xfId="35176" xr:uid="{00000000-0005-0000-0000-00006B890000}"/>
    <cellStyle name="Normal 2 8 2 3 4 2" xfId="35177" xr:uid="{00000000-0005-0000-0000-00006C890000}"/>
    <cellStyle name="Normal 2 8 2 3 4 2 2" xfId="35178" xr:uid="{00000000-0005-0000-0000-00006D890000}"/>
    <cellStyle name="Normal 2 8 2 3 4 2 3" xfId="35179" xr:uid="{00000000-0005-0000-0000-00006E890000}"/>
    <cellStyle name="Normal 2 8 2 3 4 3" xfId="35180" xr:uid="{00000000-0005-0000-0000-00006F890000}"/>
    <cellStyle name="Normal 2 8 2 3 4 4" xfId="35181" xr:uid="{00000000-0005-0000-0000-000070890000}"/>
    <cellStyle name="Normal 2 8 2 3 4 5" xfId="35182" xr:uid="{00000000-0005-0000-0000-000071890000}"/>
    <cellStyle name="Normal 2 8 2 3 4 6" xfId="35183" xr:uid="{00000000-0005-0000-0000-000072890000}"/>
    <cellStyle name="Normal 2 8 2 3 5" xfId="35184" xr:uid="{00000000-0005-0000-0000-000073890000}"/>
    <cellStyle name="Normal 2 8 2 3 5 2" xfId="35185" xr:uid="{00000000-0005-0000-0000-000074890000}"/>
    <cellStyle name="Normal 2 8 2 3 5 2 2" xfId="35186" xr:uid="{00000000-0005-0000-0000-000075890000}"/>
    <cellStyle name="Normal 2 8 2 3 5 3" xfId="35187" xr:uid="{00000000-0005-0000-0000-000076890000}"/>
    <cellStyle name="Normal 2 8 2 3 5 4" xfId="35188" xr:uid="{00000000-0005-0000-0000-000077890000}"/>
    <cellStyle name="Normal 2 8 2 3 5 5" xfId="35189" xr:uid="{00000000-0005-0000-0000-000078890000}"/>
    <cellStyle name="Normal 2 8 2 3 6" xfId="35190" xr:uid="{00000000-0005-0000-0000-000079890000}"/>
    <cellStyle name="Normal 2 8 2 3 6 2" xfId="35191" xr:uid="{00000000-0005-0000-0000-00007A890000}"/>
    <cellStyle name="Normal 2 8 2 3 6 3" xfId="35192" xr:uid="{00000000-0005-0000-0000-00007B890000}"/>
    <cellStyle name="Normal 2 8 2 3 6 4" xfId="35193" xr:uid="{00000000-0005-0000-0000-00007C890000}"/>
    <cellStyle name="Normal 2 8 2 3 7" xfId="35194" xr:uid="{00000000-0005-0000-0000-00007D890000}"/>
    <cellStyle name="Normal 2 8 2 3 7 2" xfId="35195" xr:uid="{00000000-0005-0000-0000-00007E890000}"/>
    <cellStyle name="Normal 2 8 2 3 8" xfId="35196" xr:uid="{00000000-0005-0000-0000-00007F890000}"/>
    <cellStyle name="Normal 2 8 2 3 9" xfId="35197" xr:uid="{00000000-0005-0000-0000-000080890000}"/>
    <cellStyle name="Normal 2 8 2 4" xfId="35198" xr:uid="{00000000-0005-0000-0000-000081890000}"/>
    <cellStyle name="Normal 2 8 2 4 10" xfId="35199" xr:uid="{00000000-0005-0000-0000-000082890000}"/>
    <cellStyle name="Normal 2 8 2 4 11" xfId="35200" xr:uid="{00000000-0005-0000-0000-000083890000}"/>
    <cellStyle name="Normal 2 8 2 4 2" xfId="35201" xr:uid="{00000000-0005-0000-0000-000084890000}"/>
    <cellStyle name="Normal 2 8 2 4 2 2" xfId="35202" xr:uid="{00000000-0005-0000-0000-000085890000}"/>
    <cellStyle name="Normal 2 8 2 4 2 2 2" xfId="35203" xr:uid="{00000000-0005-0000-0000-000086890000}"/>
    <cellStyle name="Normal 2 8 2 4 2 2 2 2" xfId="35204" xr:uid="{00000000-0005-0000-0000-000087890000}"/>
    <cellStyle name="Normal 2 8 2 4 2 2 2 3" xfId="35205" xr:uid="{00000000-0005-0000-0000-000088890000}"/>
    <cellStyle name="Normal 2 8 2 4 2 2 3" xfId="35206" xr:uid="{00000000-0005-0000-0000-000089890000}"/>
    <cellStyle name="Normal 2 8 2 4 2 2 4" xfId="35207" xr:uid="{00000000-0005-0000-0000-00008A890000}"/>
    <cellStyle name="Normal 2 8 2 4 2 2 5" xfId="35208" xr:uid="{00000000-0005-0000-0000-00008B890000}"/>
    <cellStyle name="Normal 2 8 2 4 2 2 6" xfId="35209" xr:uid="{00000000-0005-0000-0000-00008C890000}"/>
    <cellStyle name="Normal 2 8 2 4 2 3" xfId="35210" xr:uid="{00000000-0005-0000-0000-00008D890000}"/>
    <cellStyle name="Normal 2 8 2 4 2 3 2" xfId="35211" xr:uid="{00000000-0005-0000-0000-00008E890000}"/>
    <cellStyle name="Normal 2 8 2 4 2 3 2 2" xfId="35212" xr:uid="{00000000-0005-0000-0000-00008F890000}"/>
    <cellStyle name="Normal 2 8 2 4 2 3 3" xfId="35213" xr:uid="{00000000-0005-0000-0000-000090890000}"/>
    <cellStyle name="Normal 2 8 2 4 2 3 4" xfId="35214" xr:uid="{00000000-0005-0000-0000-000091890000}"/>
    <cellStyle name="Normal 2 8 2 4 2 3 5" xfId="35215" xr:uid="{00000000-0005-0000-0000-000092890000}"/>
    <cellStyle name="Normal 2 8 2 4 2 4" xfId="35216" xr:uid="{00000000-0005-0000-0000-000093890000}"/>
    <cellStyle name="Normal 2 8 2 4 2 4 2" xfId="35217" xr:uid="{00000000-0005-0000-0000-000094890000}"/>
    <cellStyle name="Normal 2 8 2 4 2 4 3" xfId="35218" xr:uid="{00000000-0005-0000-0000-000095890000}"/>
    <cellStyle name="Normal 2 8 2 4 2 4 4" xfId="35219" xr:uid="{00000000-0005-0000-0000-000096890000}"/>
    <cellStyle name="Normal 2 8 2 4 2 5" xfId="35220" xr:uid="{00000000-0005-0000-0000-000097890000}"/>
    <cellStyle name="Normal 2 8 2 4 2 5 2" xfId="35221" xr:uid="{00000000-0005-0000-0000-000098890000}"/>
    <cellStyle name="Normal 2 8 2 4 2 6" xfId="35222" xr:uid="{00000000-0005-0000-0000-000099890000}"/>
    <cellStyle name="Normal 2 8 2 4 2 7" xfId="35223" xr:uid="{00000000-0005-0000-0000-00009A890000}"/>
    <cellStyle name="Normal 2 8 2 4 2 8" xfId="35224" xr:uid="{00000000-0005-0000-0000-00009B890000}"/>
    <cellStyle name="Normal 2 8 2 4 2 9" xfId="35225" xr:uid="{00000000-0005-0000-0000-00009C890000}"/>
    <cellStyle name="Normal 2 8 2 4 3" xfId="35226" xr:uid="{00000000-0005-0000-0000-00009D890000}"/>
    <cellStyle name="Normal 2 8 2 4 3 2" xfId="35227" xr:uid="{00000000-0005-0000-0000-00009E890000}"/>
    <cellStyle name="Normal 2 8 2 4 3 2 2" xfId="35228" xr:uid="{00000000-0005-0000-0000-00009F890000}"/>
    <cellStyle name="Normal 2 8 2 4 3 2 2 2" xfId="35229" xr:uid="{00000000-0005-0000-0000-0000A0890000}"/>
    <cellStyle name="Normal 2 8 2 4 3 2 2 3" xfId="35230" xr:uid="{00000000-0005-0000-0000-0000A1890000}"/>
    <cellStyle name="Normal 2 8 2 4 3 2 3" xfId="35231" xr:uid="{00000000-0005-0000-0000-0000A2890000}"/>
    <cellStyle name="Normal 2 8 2 4 3 2 4" xfId="35232" xr:uid="{00000000-0005-0000-0000-0000A3890000}"/>
    <cellStyle name="Normal 2 8 2 4 3 2 5" xfId="35233" xr:uid="{00000000-0005-0000-0000-0000A4890000}"/>
    <cellStyle name="Normal 2 8 2 4 3 2 6" xfId="35234" xr:uid="{00000000-0005-0000-0000-0000A5890000}"/>
    <cellStyle name="Normal 2 8 2 4 3 3" xfId="35235" xr:uid="{00000000-0005-0000-0000-0000A6890000}"/>
    <cellStyle name="Normal 2 8 2 4 3 3 2" xfId="35236" xr:uid="{00000000-0005-0000-0000-0000A7890000}"/>
    <cellStyle name="Normal 2 8 2 4 3 3 2 2" xfId="35237" xr:uid="{00000000-0005-0000-0000-0000A8890000}"/>
    <cellStyle name="Normal 2 8 2 4 3 3 3" xfId="35238" xr:uid="{00000000-0005-0000-0000-0000A9890000}"/>
    <cellStyle name="Normal 2 8 2 4 3 3 4" xfId="35239" xr:uid="{00000000-0005-0000-0000-0000AA890000}"/>
    <cellStyle name="Normal 2 8 2 4 3 3 5" xfId="35240" xr:uid="{00000000-0005-0000-0000-0000AB890000}"/>
    <cellStyle name="Normal 2 8 2 4 3 4" xfId="35241" xr:uid="{00000000-0005-0000-0000-0000AC890000}"/>
    <cellStyle name="Normal 2 8 2 4 3 4 2" xfId="35242" xr:uid="{00000000-0005-0000-0000-0000AD890000}"/>
    <cellStyle name="Normal 2 8 2 4 3 4 3" xfId="35243" xr:uid="{00000000-0005-0000-0000-0000AE890000}"/>
    <cellStyle name="Normal 2 8 2 4 3 4 4" xfId="35244" xr:uid="{00000000-0005-0000-0000-0000AF890000}"/>
    <cellStyle name="Normal 2 8 2 4 3 5" xfId="35245" xr:uid="{00000000-0005-0000-0000-0000B0890000}"/>
    <cellStyle name="Normal 2 8 2 4 3 5 2" xfId="35246" xr:uid="{00000000-0005-0000-0000-0000B1890000}"/>
    <cellStyle name="Normal 2 8 2 4 3 6" xfId="35247" xr:uid="{00000000-0005-0000-0000-0000B2890000}"/>
    <cellStyle name="Normal 2 8 2 4 3 7" xfId="35248" xr:uid="{00000000-0005-0000-0000-0000B3890000}"/>
    <cellStyle name="Normal 2 8 2 4 3 8" xfId="35249" xr:uid="{00000000-0005-0000-0000-0000B4890000}"/>
    <cellStyle name="Normal 2 8 2 4 3 9" xfId="35250" xr:uid="{00000000-0005-0000-0000-0000B5890000}"/>
    <cellStyle name="Normal 2 8 2 4 4" xfId="35251" xr:uid="{00000000-0005-0000-0000-0000B6890000}"/>
    <cellStyle name="Normal 2 8 2 4 4 2" xfId="35252" xr:uid="{00000000-0005-0000-0000-0000B7890000}"/>
    <cellStyle name="Normal 2 8 2 4 4 2 2" xfId="35253" xr:uid="{00000000-0005-0000-0000-0000B8890000}"/>
    <cellStyle name="Normal 2 8 2 4 4 2 3" xfId="35254" xr:uid="{00000000-0005-0000-0000-0000B9890000}"/>
    <cellStyle name="Normal 2 8 2 4 4 3" xfId="35255" xr:uid="{00000000-0005-0000-0000-0000BA890000}"/>
    <cellStyle name="Normal 2 8 2 4 4 4" xfId="35256" xr:uid="{00000000-0005-0000-0000-0000BB890000}"/>
    <cellStyle name="Normal 2 8 2 4 4 5" xfId="35257" xr:uid="{00000000-0005-0000-0000-0000BC890000}"/>
    <cellStyle name="Normal 2 8 2 4 4 6" xfId="35258" xr:uid="{00000000-0005-0000-0000-0000BD890000}"/>
    <cellStyle name="Normal 2 8 2 4 5" xfId="35259" xr:uid="{00000000-0005-0000-0000-0000BE890000}"/>
    <cellStyle name="Normal 2 8 2 4 5 2" xfId="35260" xr:uid="{00000000-0005-0000-0000-0000BF890000}"/>
    <cellStyle name="Normal 2 8 2 4 5 2 2" xfId="35261" xr:uid="{00000000-0005-0000-0000-0000C0890000}"/>
    <cellStyle name="Normal 2 8 2 4 5 3" xfId="35262" xr:uid="{00000000-0005-0000-0000-0000C1890000}"/>
    <cellStyle name="Normal 2 8 2 4 5 4" xfId="35263" xr:uid="{00000000-0005-0000-0000-0000C2890000}"/>
    <cellStyle name="Normal 2 8 2 4 5 5" xfId="35264" xr:uid="{00000000-0005-0000-0000-0000C3890000}"/>
    <cellStyle name="Normal 2 8 2 4 6" xfId="35265" xr:uid="{00000000-0005-0000-0000-0000C4890000}"/>
    <cellStyle name="Normal 2 8 2 4 6 2" xfId="35266" xr:uid="{00000000-0005-0000-0000-0000C5890000}"/>
    <cellStyle name="Normal 2 8 2 4 6 3" xfId="35267" xr:uid="{00000000-0005-0000-0000-0000C6890000}"/>
    <cellStyle name="Normal 2 8 2 4 6 4" xfId="35268" xr:uid="{00000000-0005-0000-0000-0000C7890000}"/>
    <cellStyle name="Normal 2 8 2 4 7" xfId="35269" xr:uid="{00000000-0005-0000-0000-0000C8890000}"/>
    <cellStyle name="Normal 2 8 2 4 7 2" xfId="35270" xr:uid="{00000000-0005-0000-0000-0000C9890000}"/>
    <cellStyle name="Normal 2 8 2 4 8" xfId="35271" xr:uid="{00000000-0005-0000-0000-0000CA890000}"/>
    <cellStyle name="Normal 2 8 2 4 9" xfId="35272" xr:uid="{00000000-0005-0000-0000-0000CB890000}"/>
    <cellStyle name="Normal 2 8 2 5" xfId="35273" xr:uid="{00000000-0005-0000-0000-0000CC890000}"/>
    <cellStyle name="Normal 2 8 2 5 10" xfId="35274" xr:uid="{00000000-0005-0000-0000-0000CD890000}"/>
    <cellStyle name="Normal 2 8 2 5 11" xfId="35275" xr:uid="{00000000-0005-0000-0000-0000CE890000}"/>
    <cellStyle name="Normal 2 8 2 5 2" xfId="35276" xr:uid="{00000000-0005-0000-0000-0000CF890000}"/>
    <cellStyle name="Normal 2 8 2 5 2 2" xfId="35277" xr:uid="{00000000-0005-0000-0000-0000D0890000}"/>
    <cellStyle name="Normal 2 8 2 5 2 2 2" xfId="35278" xr:uid="{00000000-0005-0000-0000-0000D1890000}"/>
    <cellStyle name="Normal 2 8 2 5 2 2 2 2" xfId="35279" xr:uid="{00000000-0005-0000-0000-0000D2890000}"/>
    <cellStyle name="Normal 2 8 2 5 2 2 2 3" xfId="35280" xr:uid="{00000000-0005-0000-0000-0000D3890000}"/>
    <cellStyle name="Normal 2 8 2 5 2 2 3" xfId="35281" xr:uid="{00000000-0005-0000-0000-0000D4890000}"/>
    <cellStyle name="Normal 2 8 2 5 2 2 4" xfId="35282" xr:uid="{00000000-0005-0000-0000-0000D5890000}"/>
    <cellStyle name="Normal 2 8 2 5 2 2 5" xfId="35283" xr:uid="{00000000-0005-0000-0000-0000D6890000}"/>
    <cellStyle name="Normal 2 8 2 5 2 2 6" xfId="35284" xr:uid="{00000000-0005-0000-0000-0000D7890000}"/>
    <cellStyle name="Normal 2 8 2 5 2 3" xfId="35285" xr:uid="{00000000-0005-0000-0000-0000D8890000}"/>
    <cellStyle name="Normal 2 8 2 5 2 3 2" xfId="35286" xr:uid="{00000000-0005-0000-0000-0000D9890000}"/>
    <cellStyle name="Normal 2 8 2 5 2 3 2 2" xfId="35287" xr:uid="{00000000-0005-0000-0000-0000DA890000}"/>
    <cellStyle name="Normal 2 8 2 5 2 3 3" xfId="35288" xr:uid="{00000000-0005-0000-0000-0000DB890000}"/>
    <cellStyle name="Normal 2 8 2 5 2 3 4" xfId="35289" xr:uid="{00000000-0005-0000-0000-0000DC890000}"/>
    <cellStyle name="Normal 2 8 2 5 2 3 5" xfId="35290" xr:uid="{00000000-0005-0000-0000-0000DD890000}"/>
    <cellStyle name="Normal 2 8 2 5 2 4" xfId="35291" xr:uid="{00000000-0005-0000-0000-0000DE890000}"/>
    <cellStyle name="Normal 2 8 2 5 2 4 2" xfId="35292" xr:uid="{00000000-0005-0000-0000-0000DF890000}"/>
    <cellStyle name="Normal 2 8 2 5 2 4 3" xfId="35293" xr:uid="{00000000-0005-0000-0000-0000E0890000}"/>
    <cellStyle name="Normal 2 8 2 5 2 4 4" xfId="35294" xr:uid="{00000000-0005-0000-0000-0000E1890000}"/>
    <cellStyle name="Normal 2 8 2 5 2 5" xfId="35295" xr:uid="{00000000-0005-0000-0000-0000E2890000}"/>
    <cellStyle name="Normal 2 8 2 5 2 5 2" xfId="35296" xr:uid="{00000000-0005-0000-0000-0000E3890000}"/>
    <cellStyle name="Normal 2 8 2 5 2 6" xfId="35297" xr:uid="{00000000-0005-0000-0000-0000E4890000}"/>
    <cellStyle name="Normal 2 8 2 5 2 7" xfId="35298" xr:uid="{00000000-0005-0000-0000-0000E5890000}"/>
    <cellStyle name="Normal 2 8 2 5 2 8" xfId="35299" xr:uid="{00000000-0005-0000-0000-0000E6890000}"/>
    <cellStyle name="Normal 2 8 2 5 2 9" xfId="35300" xr:uid="{00000000-0005-0000-0000-0000E7890000}"/>
    <cellStyle name="Normal 2 8 2 5 3" xfId="35301" xr:uid="{00000000-0005-0000-0000-0000E8890000}"/>
    <cellStyle name="Normal 2 8 2 5 3 2" xfId="35302" xr:uid="{00000000-0005-0000-0000-0000E9890000}"/>
    <cellStyle name="Normal 2 8 2 5 3 2 2" xfId="35303" xr:uid="{00000000-0005-0000-0000-0000EA890000}"/>
    <cellStyle name="Normal 2 8 2 5 3 2 2 2" xfId="35304" xr:uid="{00000000-0005-0000-0000-0000EB890000}"/>
    <cellStyle name="Normal 2 8 2 5 3 2 2 3" xfId="35305" xr:uid="{00000000-0005-0000-0000-0000EC890000}"/>
    <cellStyle name="Normal 2 8 2 5 3 2 3" xfId="35306" xr:uid="{00000000-0005-0000-0000-0000ED890000}"/>
    <cellStyle name="Normal 2 8 2 5 3 2 4" xfId="35307" xr:uid="{00000000-0005-0000-0000-0000EE890000}"/>
    <cellStyle name="Normal 2 8 2 5 3 2 5" xfId="35308" xr:uid="{00000000-0005-0000-0000-0000EF890000}"/>
    <cellStyle name="Normal 2 8 2 5 3 2 6" xfId="35309" xr:uid="{00000000-0005-0000-0000-0000F0890000}"/>
    <cellStyle name="Normal 2 8 2 5 3 3" xfId="35310" xr:uid="{00000000-0005-0000-0000-0000F1890000}"/>
    <cellStyle name="Normal 2 8 2 5 3 3 2" xfId="35311" xr:uid="{00000000-0005-0000-0000-0000F2890000}"/>
    <cellStyle name="Normal 2 8 2 5 3 3 2 2" xfId="35312" xr:uid="{00000000-0005-0000-0000-0000F3890000}"/>
    <cellStyle name="Normal 2 8 2 5 3 3 3" xfId="35313" xr:uid="{00000000-0005-0000-0000-0000F4890000}"/>
    <cellStyle name="Normal 2 8 2 5 3 3 4" xfId="35314" xr:uid="{00000000-0005-0000-0000-0000F5890000}"/>
    <cellStyle name="Normal 2 8 2 5 3 3 5" xfId="35315" xr:uid="{00000000-0005-0000-0000-0000F6890000}"/>
    <cellStyle name="Normal 2 8 2 5 3 4" xfId="35316" xr:uid="{00000000-0005-0000-0000-0000F7890000}"/>
    <cellStyle name="Normal 2 8 2 5 3 4 2" xfId="35317" xr:uid="{00000000-0005-0000-0000-0000F8890000}"/>
    <cellStyle name="Normal 2 8 2 5 3 4 3" xfId="35318" xr:uid="{00000000-0005-0000-0000-0000F9890000}"/>
    <cellStyle name="Normal 2 8 2 5 3 4 4" xfId="35319" xr:uid="{00000000-0005-0000-0000-0000FA890000}"/>
    <cellStyle name="Normal 2 8 2 5 3 5" xfId="35320" xr:uid="{00000000-0005-0000-0000-0000FB890000}"/>
    <cellStyle name="Normal 2 8 2 5 3 5 2" xfId="35321" xr:uid="{00000000-0005-0000-0000-0000FC890000}"/>
    <cellStyle name="Normal 2 8 2 5 3 6" xfId="35322" xr:uid="{00000000-0005-0000-0000-0000FD890000}"/>
    <cellStyle name="Normal 2 8 2 5 3 7" xfId="35323" xr:uid="{00000000-0005-0000-0000-0000FE890000}"/>
    <cellStyle name="Normal 2 8 2 5 3 8" xfId="35324" xr:uid="{00000000-0005-0000-0000-0000FF890000}"/>
    <cellStyle name="Normal 2 8 2 5 3 9" xfId="35325" xr:uid="{00000000-0005-0000-0000-0000008A0000}"/>
    <cellStyle name="Normal 2 8 2 5 4" xfId="35326" xr:uid="{00000000-0005-0000-0000-0000018A0000}"/>
    <cellStyle name="Normal 2 8 2 5 4 2" xfId="35327" xr:uid="{00000000-0005-0000-0000-0000028A0000}"/>
    <cellStyle name="Normal 2 8 2 5 4 2 2" xfId="35328" xr:uid="{00000000-0005-0000-0000-0000038A0000}"/>
    <cellStyle name="Normal 2 8 2 5 4 2 3" xfId="35329" xr:uid="{00000000-0005-0000-0000-0000048A0000}"/>
    <cellStyle name="Normal 2 8 2 5 4 3" xfId="35330" xr:uid="{00000000-0005-0000-0000-0000058A0000}"/>
    <cellStyle name="Normal 2 8 2 5 4 4" xfId="35331" xr:uid="{00000000-0005-0000-0000-0000068A0000}"/>
    <cellStyle name="Normal 2 8 2 5 4 5" xfId="35332" xr:uid="{00000000-0005-0000-0000-0000078A0000}"/>
    <cellStyle name="Normal 2 8 2 5 4 6" xfId="35333" xr:uid="{00000000-0005-0000-0000-0000088A0000}"/>
    <cellStyle name="Normal 2 8 2 5 5" xfId="35334" xr:uid="{00000000-0005-0000-0000-0000098A0000}"/>
    <cellStyle name="Normal 2 8 2 5 5 2" xfId="35335" xr:uid="{00000000-0005-0000-0000-00000A8A0000}"/>
    <cellStyle name="Normal 2 8 2 5 5 2 2" xfId="35336" xr:uid="{00000000-0005-0000-0000-00000B8A0000}"/>
    <cellStyle name="Normal 2 8 2 5 5 3" xfId="35337" xr:uid="{00000000-0005-0000-0000-00000C8A0000}"/>
    <cellStyle name="Normal 2 8 2 5 5 4" xfId="35338" xr:uid="{00000000-0005-0000-0000-00000D8A0000}"/>
    <cellStyle name="Normal 2 8 2 5 5 5" xfId="35339" xr:uid="{00000000-0005-0000-0000-00000E8A0000}"/>
    <cellStyle name="Normal 2 8 2 5 6" xfId="35340" xr:uid="{00000000-0005-0000-0000-00000F8A0000}"/>
    <cellStyle name="Normal 2 8 2 5 6 2" xfId="35341" xr:uid="{00000000-0005-0000-0000-0000108A0000}"/>
    <cellStyle name="Normal 2 8 2 5 6 3" xfId="35342" xr:uid="{00000000-0005-0000-0000-0000118A0000}"/>
    <cellStyle name="Normal 2 8 2 5 6 4" xfId="35343" xr:uid="{00000000-0005-0000-0000-0000128A0000}"/>
    <cellStyle name="Normal 2 8 2 5 7" xfId="35344" xr:uid="{00000000-0005-0000-0000-0000138A0000}"/>
    <cellStyle name="Normal 2 8 2 5 7 2" xfId="35345" xr:uid="{00000000-0005-0000-0000-0000148A0000}"/>
    <cellStyle name="Normal 2 8 2 5 8" xfId="35346" xr:uid="{00000000-0005-0000-0000-0000158A0000}"/>
    <cellStyle name="Normal 2 8 2 5 9" xfId="35347" xr:uid="{00000000-0005-0000-0000-0000168A0000}"/>
    <cellStyle name="Normal 2 8 2 6" xfId="35348" xr:uid="{00000000-0005-0000-0000-0000178A0000}"/>
    <cellStyle name="Normal 2 8 2 6 10" xfId="35349" xr:uid="{00000000-0005-0000-0000-0000188A0000}"/>
    <cellStyle name="Normal 2 8 2 6 11" xfId="35350" xr:uid="{00000000-0005-0000-0000-0000198A0000}"/>
    <cellStyle name="Normal 2 8 2 6 2" xfId="35351" xr:uid="{00000000-0005-0000-0000-00001A8A0000}"/>
    <cellStyle name="Normal 2 8 2 6 2 2" xfId="35352" xr:uid="{00000000-0005-0000-0000-00001B8A0000}"/>
    <cellStyle name="Normal 2 8 2 6 2 2 2" xfId="35353" xr:uid="{00000000-0005-0000-0000-00001C8A0000}"/>
    <cellStyle name="Normal 2 8 2 6 2 2 2 2" xfId="35354" xr:uid="{00000000-0005-0000-0000-00001D8A0000}"/>
    <cellStyle name="Normal 2 8 2 6 2 2 2 3" xfId="35355" xr:uid="{00000000-0005-0000-0000-00001E8A0000}"/>
    <cellStyle name="Normal 2 8 2 6 2 2 3" xfId="35356" xr:uid="{00000000-0005-0000-0000-00001F8A0000}"/>
    <cellStyle name="Normal 2 8 2 6 2 2 4" xfId="35357" xr:uid="{00000000-0005-0000-0000-0000208A0000}"/>
    <cellStyle name="Normal 2 8 2 6 2 2 5" xfId="35358" xr:uid="{00000000-0005-0000-0000-0000218A0000}"/>
    <cellStyle name="Normal 2 8 2 6 2 2 6" xfId="35359" xr:uid="{00000000-0005-0000-0000-0000228A0000}"/>
    <cellStyle name="Normal 2 8 2 6 2 3" xfId="35360" xr:uid="{00000000-0005-0000-0000-0000238A0000}"/>
    <cellStyle name="Normal 2 8 2 6 2 3 2" xfId="35361" xr:uid="{00000000-0005-0000-0000-0000248A0000}"/>
    <cellStyle name="Normal 2 8 2 6 2 3 2 2" xfId="35362" xr:uid="{00000000-0005-0000-0000-0000258A0000}"/>
    <cellStyle name="Normal 2 8 2 6 2 3 3" xfId="35363" xr:uid="{00000000-0005-0000-0000-0000268A0000}"/>
    <cellStyle name="Normal 2 8 2 6 2 3 4" xfId="35364" xr:uid="{00000000-0005-0000-0000-0000278A0000}"/>
    <cellStyle name="Normal 2 8 2 6 2 3 5" xfId="35365" xr:uid="{00000000-0005-0000-0000-0000288A0000}"/>
    <cellStyle name="Normal 2 8 2 6 2 4" xfId="35366" xr:uid="{00000000-0005-0000-0000-0000298A0000}"/>
    <cellStyle name="Normal 2 8 2 6 2 4 2" xfId="35367" xr:uid="{00000000-0005-0000-0000-00002A8A0000}"/>
    <cellStyle name="Normal 2 8 2 6 2 4 3" xfId="35368" xr:uid="{00000000-0005-0000-0000-00002B8A0000}"/>
    <cellStyle name="Normal 2 8 2 6 2 4 4" xfId="35369" xr:uid="{00000000-0005-0000-0000-00002C8A0000}"/>
    <cellStyle name="Normal 2 8 2 6 2 5" xfId="35370" xr:uid="{00000000-0005-0000-0000-00002D8A0000}"/>
    <cellStyle name="Normal 2 8 2 6 2 5 2" xfId="35371" xr:uid="{00000000-0005-0000-0000-00002E8A0000}"/>
    <cellStyle name="Normal 2 8 2 6 2 6" xfId="35372" xr:uid="{00000000-0005-0000-0000-00002F8A0000}"/>
    <cellStyle name="Normal 2 8 2 6 2 7" xfId="35373" xr:uid="{00000000-0005-0000-0000-0000308A0000}"/>
    <cellStyle name="Normal 2 8 2 6 2 8" xfId="35374" xr:uid="{00000000-0005-0000-0000-0000318A0000}"/>
    <cellStyle name="Normal 2 8 2 6 2 9" xfId="35375" xr:uid="{00000000-0005-0000-0000-0000328A0000}"/>
    <cellStyle name="Normal 2 8 2 6 3" xfId="35376" xr:uid="{00000000-0005-0000-0000-0000338A0000}"/>
    <cellStyle name="Normal 2 8 2 6 3 2" xfId="35377" xr:uid="{00000000-0005-0000-0000-0000348A0000}"/>
    <cellStyle name="Normal 2 8 2 6 3 2 2" xfId="35378" xr:uid="{00000000-0005-0000-0000-0000358A0000}"/>
    <cellStyle name="Normal 2 8 2 6 3 2 2 2" xfId="35379" xr:uid="{00000000-0005-0000-0000-0000368A0000}"/>
    <cellStyle name="Normal 2 8 2 6 3 2 2 3" xfId="35380" xr:uid="{00000000-0005-0000-0000-0000378A0000}"/>
    <cellStyle name="Normal 2 8 2 6 3 2 3" xfId="35381" xr:uid="{00000000-0005-0000-0000-0000388A0000}"/>
    <cellStyle name="Normal 2 8 2 6 3 2 4" xfId="35382" xr:uid="{00000000-0005-0000-0000-0000398A0000}"/>
    <cellStyle name="Normal 2 8 2 6 3 2 5" xfId="35383" xr:uid="{00000000-0005-0000-0000-00003A8A0000}"/>
    <cellStyle name="Normal 2 8 2 6 3 2 6" xfId="35384" xr:uid="{00000000-0005-0000-0000-00003B8A0000}"/>
    <cellStyle name="Normal 2 8 2 6 3 3" xfId="35385" xr:uid="{00000000-0005-0000-0000-00003C8A0000}"/>
    <cellStyle name="Normal 2 8 2 6 3 3 2" xfId="35386" xr:uid="{00000000-0005-0000-0000-00003D8A0000}"/>
    <cellStyle name="Normal 2 8 2 6 3 3 2 2" xfId="35387" xr:uid="{00000000-0005-0000-0000-00003E8A0000}"/>
    <cellStyle name="Normal 2 8 2 6 3 3 3" xfId="35388" xr:uid="{00000000-0005-0000-0000-00003F8A0000}"/>
    <cellStyle name="Normal 2 8 2 6 3 3 4" xfId="35389" xr:uid="{00000000-0005-0000-0000-0000408A0000}"/>
    <cellStyle name="Normal 2 8 2 6 3 3 5" xfId="35390" xr:uid="{00000000-0005-0000-0000-0000418A0000}"/>
    <cellStyle name="Normal 2 8 2 6 3 4" xfId="35391" xr:uid="{00000000-0005-0000-0000-0000428A0000}"/>
    <cellStyle name="Normal 2 8 2 6 3 4 2" xfId="35392" xr:uid="{00000000-0005-0000-0000-0000438A0000}"/>
    <cellStyle name="Normal 2 8 2 6 3 4 3" xfId="35393" xr:uid="{00000000-0005-0000-0000-0000448A0000}"/>
    <cellStyle name="Normal 2 8 2 6 3 4 4" xfId="35394" xr:uid="{00000000-0005-0000-0000-0000458A0000}"/>
    <cellStyle name="Normal 2 8 2 6 3 5" xfId="35395" xr:uid="{00000000-0005-0000-0000-0000468A0000}"/>
    <cellStyle name="Normal 2 8 2 6 3 5 2" xfId="35396" xr:uid="{00000000-0005-0000-0000-0000478A0000}"/>
    <cellStyle name="Normal 2 8 2 6 3 6" xfId="35397" xr:uid="{00000000-0005-0000-0000-0000488A0000}"/>
    <cellStyle name="Normal 2 8 2 6 3 7" xfId="35398" xr:uid="{00000000-0005-0000-0000-0000498A0000}"/>
    <cellStyle name="Normal 2 8 2 6 3 8" xfId="35399" xr:uid="{00000000-0005-0000-0000-00004A8A0000}"/>
    <cellStyle name="Normal 2 8 2 6 3 9" xfId="35400" xr:uid="{00000000-0005-0000-0000-00004B8A0000}"/>
    <cellStyle name="Normal 2 8 2 6 4" xfId="35401" xr:uid="{00000000-0005-0000-0000-00004C8A0000}"/>
    <cellStyle name="Normal 2 8 2 6 4 2" xfId="35402" xr:uid="{00000000-0005-0000-0000-00004D8A0000}"/>
    <cellStyle name="Normal 2 8 2 6 4 2 2" xfId="35403" xr:uid="{00000000-0005-0000-0000-00004E8A0000}"/>
    <cellStyle name="Normal 2 8 2 6 4 2 3" xfId="35404" xr:uid="{00000000-0005-0000-0000-00004F8A0000}"/>
    <cellStyle name="Normal 2 8 2 6 4 3" xfId="35405" xr:uid="{00000000-0005-0000-0000-0000508A0000}"/>
    <cellStyle name="Normal 2 8 2 6 4 4" xfId="35406" xr:uid="{00000000-0005-0000-0000-0000518A0000}"/>
    <cellStyle name="Normal 2 8 2 6 4 5" xfId="35407" xr:uid="{00000000-0005-0000-0000-0000528A0000}"/>
    <cellStyle name="Normal 2 8 2 6 4 6" xfId="35408" xr:uid="{00000000-0005-0000-0000-0000538A0000}"/>
    <cellStyle name="Normal 2 8 2 6 5" xfId="35409" xr:uid="{00000000-0005-0000-0000-0000548A0000}"/>
    <cellStyle name="Normal 2 8 2 6 5 2" xfId="35410" xr:uid="{00000000-0005-0000-0000-0000558A0000}"/>
    <cellStyle name="Normal 2 8 2 6 5 2 2" xfId="35411" xr:uid="{00000000-0005-0000-0000-0000568A0000}"/>
    <cellStyle name="Normal 2 8 2 6 5 3" xfId="35412" xr:uid="{00000000-0005-0000-0000-0000578A0000}"/>
    <cellStyle name="Normal 2 8 2 6 5 4" xfId="35413" xr:uid="{00000000-0005-0000-0000-0000588A0000}"/>
    <cellStyle name="Normal 2 8 2 6 5 5" xfId="35414" xr:uid="{00000000-0005-0000-0000-0000598A0000}"/>
    <cellStyle name="Normal 2 8 2 6 6" xfId="35415" xr:uid="{00000000-0005-0000-0000-00005A8A0000}"/>
    <cellStyle name="Normal 2 8 2 6 6 2" xfId="35416" xr:uid="{00000000-0005-0000-0000-00005B8A0000}"/>
    <cellStyle name="Normal 2 8 2 6 6 3" xfId="35417" xr:uid="{00000000-0005-0000-0000-00005C8A0000}"/>
    <cellStyle name="Normal 2 8 2 6 6 4" xfId="35418" xr:uid="{00000000-0005-0000-0000-00005D8A0000}"/>
    <cellStyle name="Normal 2 8 2 6 7" xfId="35419" xr:uid="{00000000-0005-0000-0000-00005E8A0000}"/>
    <cellStyle name="Normal 2 8 2 6 7 2" xfId="35420" xr:uid="{00000000-0005-0000-0000-00005F8A0000}"/>
    <cellStyle name="Normal 2 8 2 6 8" xfId="35421" xr:uid="{00000000-0005-0000-0000-0000608A0000}"/>
    <cellStyle name="Normal 2 8 2 6 9" xfId="35422" xr:uid="{00000000-0005-0000-0000-0000618A0000}"/>
    <cellStyle name="Normal 2 8 2 7" xfId="35423" xr:uid="{00000000-0005-0000-0000-0000628A0000}"/>
    <cellStyle name="Normal 2 8 2 7 10" xfId="35424" xr:uid="{00000000-0005-0000-0000-0000638A0000}"/>
    <cellStyle name="Normal 2 8 2 7 11" xfId="35425" xr:uid="{00000000-0005-0000-0000-0000648A0000}"/>
    <cellStyle name="Normal 2 8 2 7 2" xfId="35426" xr:uid="{00000000-0005-0000-0000-0000658A0000}"/>
    <cellStyle name="Normal 2 8 2 7 2 2" xfId="35427" xr:uid="{00000000-0005-0000-0000-0000668A0000}"/>
    <cellStyle name="Normal 2 8 2 7 2 2 2" xfId="35428" xr:uid="{00000000-0005-0000-0000-0000678A0000}"/>
    <cellStyle name="Normal 2 8 2 7 2 2 2 2" xfId="35429" xr:uid="{00000000-0005-0000-0000-0000688A0000}"/>
    <cellStyle name="Normal 2 8 2 7 2 2 2 3" xfId="35430" xr:uid="{00000000-0005-0000-0000-0000698A0000}"/>
    <cellStyle name="Normal 2 8 2 7 2 2 3" xfId="35431" xr:uid="{00000000-0005-0000-0000-00006A8A0000}"/>
    <cellStyle name="Normal 2 8 2 7 2 2 4" xfId="35432" xr:uid="{00000000-0005-0000-0000-00006B8A0000}"/>
    <cellStyle name="Normal 2 8 2 7 2 2 5" xfId="35433" xr:uid="{00000000-0005-0000-0000-00006C8A0000}"/>
    <cellStyle name="Normal 2 8 2 7 2 2 6" xfId="35434" xr:uid="{00000000-0005-0000-0000-00006D8A0000}"/>
    <cellStyle name="Normal 2 8 2 7 2 3" xfId="35435" xr:uid="{00000000-0005-0000-0000-00006E8A0000}"/>
    <cellStyle name="Normal 2 8 2 7 2 3 2" xfId="35436" xr:uid="{00000000-0005-0000-0000-00006F8A0000}"/>
    <cellStyle name="Normal 2 8 2 7 2 3 2 2" xfId="35437" xr:uid="{00000000-0005-0000-0000-0000708A0000}"/>
    <cellStyle name="Normal 2 8 2 7 2 3 3" xfId="35438" xr:uid="{00000000-0005-0000-0000-0000718A0000}"/>
    <cellStyle name="Normal 2 8 2 7 2 3 4" xfId="35439" xr:uid="{00000000-0005-0000-0000-0000728A0000}"/>
    <cellStyle name="Normal 2 8 2 7 2 3 5" xfId="35440" xr:uid="{00000000-0005-0000-0000-0000738A0000}"/>
    <cellStyle name="Normal 2 8 2 7 2 4" xfId="35441" xr:uid="{00000000-0005-0000-0000-0000748A0000}"/>
    <cellStyle name="Normal 2 8 2 7 2 4 2" xfId="35442" xr:uid="{00000000-0005-0000-0000-0000758A0000}"/>
    <cellStyle name="Normal 2 8 2 7 2 4 3" xfId="35443" xr:uid="{00000000-0005-0000-0000-0000768A0000}"/>
    <cellStyle name="Normal 2 8 2 7 2 4 4" xfId="35444" xr:uid="{00000000-0005-0000-0000-0000778A0000}"/>
    <cellStyle name="Normal 2 8 2 7 2 5" xfId="35445" xr:uid="{00000000-0005-0000-0000-0000788A0000}"/>
    <cellStyle name="Normal 2 8 2 7 2 5 2" xfId="35446" xr:uid="{00000000-0005-0000-0000-0000798A0000}"/>
    <cellStyle name="Normal 2 8 2 7 2 6" xfId="35447" xr:uid="{00000000-0005-0000-0000-00007A8A0000}"/>
    <cellStyle name="Normal 2 8 2 7 2 7" xfId="35448" xr:uid="{00000000-0005-0000-0000-00007B8A0000}"/>
    <cellStyle name="Normal 2 8 2 7 2 8" xfId="35449" xr:uid="{00000000-0005-0000-0000-00007C8A0000}"/>
    <cellStyle name="Normal 2 8 2 7 2 9" xfId="35450" xr:uid="{00000000-0005-0000-0000-00007D8A0000}"/>
    <cellStyle name="Normal 2 8 2 7 3" xfId="35451" xr:uid="{00000000-0005-0000-0000-00007E8A0000}"/>
    <cellStyle name="Normal 2 8 2 7 3 2" xfId="35452" xr:uid="{00000000-0005-0000-0000-00007F8A0000}"/>
    <cellStyle name="Normal 2 8 2 7 3 2 2" xfId="35453" xr:uid="{00000000-0005-0000-0000-0000808A0000}"/>
    <cellStyle name="Normal 2 8 2 7 3 2 2 2" xfId="35454" xr:uid="{00000000-0005-0000-0000-0000818A0000}"/>
    <cellStyle name="Normal 2 8 2 7 3 2 2 3" xfId="35455" xr:uid="{00000000-0005-0000-0000-0000828A0000}"/>
    <cellStyle name="Normal 2 8 2 7 3 2 3" xfId="35456" xr:uid="{00000000-0005-0000-0000-0000838A0000}"/>
    <cellStyle name="Normal 2 8 2 7 3 2 4" xfId="35457" xr:uid="{00000000-0005-0000-0000-0000848A0000}"/>
    <cellStyle name="Normal 2 8 2 7 3 2 5" xfId="35458" xr:uid="{00000000-0005-0000-0000-0000858A0000}"/>
    <cellStyle name="Normal 2 8 2 7 3 2 6" xfId="35459" xr:uid="{00000000-0005-0000-0000-0000868A0000}"/>
    <cellStyle name="Normal 2 8 2 7 3 3" xfId="35460" xr:uid="{00000000-0005-0000-0000-0000878A0000}"/>
    <cellStyle name="Normal 2 8 2 7 3 3 2" xfId="35461" xr:uid="{00000000-0005-0000-0000-0000888A0000}"/>
    <cellStyle name="Normal 2 8 2 7 3 3 2 2" xfId="35462" xr:uid="{00000000-0005-0000-0000-0000898A0000}"/>
    <cellStyle name="Normal 2 8 2 7 3 3 3" xfId="35463" xr:uid="{00000000-0005-0000-0000-00008A8A0000}"/>
    <cellStyle name="Normal 2 8 2 7 3 3 4" xfId="35464" xr:uid="{00000000-0005-0000-0000-00008B8A0000}"/>
    <cellStyle name="Normal 2 8 2 7 3 3 5" xfId="35465" xr:uid="{00000000-0005-0000-0000-00008C8A0000}"/>
    <cellStyle name="Normal 2 8 2 7 3 4" xfId="35466" xr:uid="{00000000-0005-0000-0000-00008D8A0000}"/>
    <cellStyle name="Normal 2 8 2 7 3 4 2" xfId="35467" xr:uid="{00000000-0005-0000-0000-00008E8A0000}"/>
    <cellStyle name="Normal 2 8 2 7 3 4 3" xfId="35468" xr:uid="{00000000-0005-0000-0000-00008F8A0000}"/>
    <cellStyle name="Normal 2 8 2 7 3 4 4" xfId="35469" xr:uid="{00000000-0005-0000-0000-0000908A0000}"/>
    <cellStyle name="Normal 2 8 2 7 3 5" xfId="35470" xr:uid="{00000000-0005-0000-0000-0000918A0000}"/>
    <cellStyle name="Normal 2 8 2 7 3 5 2" xfId="35471" xr:uid="{00000000-0005-0000-0000-0000928A0000}"/>
    <cellStyle name="Normal 2 8 2 7 3 6" xfId="35472" xr:uid="{00000000-0005-0000-0000-0000938A0000}"/>
    <cellStyle name="Normal 2 8 2 7 3 7" xfId="35473" xr:uid="{00000000-0005-0000-0000-0000948A0000}"/>
    <cellStyle name="Normal 2 8 2 7 3 8" xfId="35474" xr:uid="{00000000-0005-0000-0000-0000958A0000}"/>
    <cellStyle name="Normal 2 8 2 7 3 9" xfId="35475" xr:uid="{00000000-0005-0000-0000-0000968A0000}"/>
    <cellStyle name="Normal 2 8 2 7 4" xfId="35476" xr:uid="{00000000-0005-0000-0000-0000978A0000}"/>
    <cellStyle name="Normal 2 8 2 7 4 2" xfId="35477" xr:uid="{00000000-0005-0000-0000-0000988A0000}"/>
    <cellStyle name="Normal 2 8 2 7 4 2 2" xfId="35478" xr:uid="{00000000-0005-0000-0000-0000998A0000}"/>
    <cellStyle name="Normal 2 8 2 7 4 2 3" xfId="35479" xr:uid="{00000000-0005-0000-0000-00009A8A0000}"/>
    <cellStyle name="Normal 2 8 2 7 4 3" xfId="35480" xr:uid="{00000000-0005-0000-0000-00009B8A0000}"/>
    <cellStyle name="Normal 2 8 2 7 4 4" xfId="35481" xr:uid="{00000000-0005-0000-0000-00009C8A0000}"/>
    <cellStyle name="Normal 2 8 2 7 4 5" xfId="35482" xr:uid="{00000000-0005-0000-0000-00009D8A0000}"/>
    <cellStyle name="Normal 2 8 2 7 4 6" xfId="35483" xr:uid="{00000000-0005-0000-0000-00009E8A0000}"/>
    <cellStyle name="Normal 2 8 2 7 5" xfId="35484" xr:uid="{00000000-0005-0000-0000-00009F8A0000}"/>
    <cellStyle name="Normal 2 8 2 7 5 2" xfId="35485" xr:uid="{00000000-0005-0000-0000-0000A08A0000}"/>
    <cellStyle name="Normal 2 8 2 7 5 2 2" xfId="35486" xr:uid="{00000000-0005-0000-0000-0000A18A0000}"/>
    <cellStyle name="Normal 2 8 2 7 5 3" xfId="35487" xr:uid="{00000000-0005-0000-0000-0000A28A0000}"/>
    <cellStyle name="Normal 2 8 2 7 5 4" xfId="35488" xr:uid="{00000000-0005-0000-0000-0000A38A0000}"/>
    <cellStyle name="Normal 2 8 2 7 5 5" xfId="35489" xr:uid="{00000000-0005-0000-0000-0000A48A0000}"/>
    <cellStyle name="Normal 2 8 2 7 6" xfId="35490" xr:uid="{00000000-0005-0000-0000-0000A58A0000}"/>
    <cellStyle name="Normal 2 8 2 7 6 2" xfId="35491" xr:uid="{00000000-0005-0000-0000-0000A68A0000}"/>
    <cellStyle name="Normal 2 8 2 7 6 3" xfId="35492" xr:uid="{00000000-0005-0000-0000-0000A78A0000}"/>
    <cellStyle name="Normal 2 8 2 7 6 4" xfId="35493" xr:uid="{00000000-0005-0000-0000-0000A88A0000}"/>
    <cellStyle name="Normal 2 8 2 7 7" xfId="35494" xr:uid="{00000000-0005-0000-0000-0000A98A0000}"/>
    <cellStyle name="Normal 2 8 2 7 7 2" xfId="35495" xr:uid="{00000000-0005-0000-0000-0000AA8A0000}"/>
    <cellStyle name="Normal 2 8 2 7 8" xfId="35496" xr:uid="{00000000-0005-0000-0000-0000AB8A0000}"/>
    <cellStyle name="Normal 2 8 2 7 9" xfId="35497" xr:uid="{00000000-0005-0000-0000-0000AC8A0000}"/>
    <cellStyle name="Normal 2 8 2 8" xfId="35498" xr:uid="{00000000-0005-0000-0000-0000AD8A0000}"/>
    <cellStyle name="Normal 2 8 2 8 10" xfId="35499" xr:uid="{00000000-0005-0000-0000-0000AE8A0000}"/>
    <cellStyle name="Normal 2 8 2 8 2" xfId="35500" xr:uid="{00000000-0005-0000-0000-0000AF8A0000}"/>
    <cellStyle name="Normal 2 8 2 8 2 2" xfId="35501" xr:uid="{00000000-0005-0000-0000-0000B08A0000}"/>
    <cellStyle name="Normal 2 8 2 8 2 2 2" xfId="35502" xr:uid="{00000000-0005-0000-0000-0000B18A0000}"/>
    <cellStyle name="Normal 2 8 2 8 2 2 3" xfId="35503" xr:uid="{00000000-0005-0000-0000-0000B28A0000}"/>
    <cellStyle name="Normal 2 8 2 8 2 3" xfId="35504" xr:uid="{00000000-0005-0000-0000-0000B38A0000}"/>
    <cellStyle name="Normal 2 8 2 8 2 4" xfId="35505" xr:uid="{00000000-0005-0000-0000-0000B48A0000}"/>
    <cellStyle name="Normal 2 8 2 8 2 5" xfId="35506" xr:uid="{00000000-0005-0000-0000-0000B58A0000}"/>
    <cellStyle name="Normal 2 8 2 8 2 6" xfId="35507" xr:uid="{00000000-0005-0000-0000-0000B68A0000}"/>
    <cellStyle name="Normal 2 8 2 8 3" xfId="35508" xr:uid="{00000000-0005-0000-0000-0000B78A0000}"/>
    <cellStyle name="Normal 2 8 2 8 3 2" xfId="35509" xr:uid="{00000000-0005-0000-0000-0000B88A0000}"/>
    <cellStyle name="Normal 2 8 2 8 3 2 2" xfId="35510" xr:uid="{00000000-0005-0000-0000-0000B98A0000}"/>
    <cellStyle name="Normal 2 8 2 8 3 2 3" xfId="35511" xr:uid="{00000000-0005-0000-0000-0000BA8A0000}"/>
    <cellStyle name="Normal 2 8 2 8 3 3" xfId="35512" xr:uid="{00000000-0005-0000-0000-0000BB8A0000}"/>
    <cellStyle name="Normal 2 8 2 8 3 4" xfId="35513" xr:uid="{00000000-0005-0000-0000-0000BC8A0000}"/>
    <cellStyle name="Normal 2 8 2 8 3 5" xfId="35514" xr:uid="{00000000-0005-0000-0000-0000BD8A0000}"/>
    <cellStyle name="Normal 2 8 2 8 3 6" xfId="35515" xr:uid="{00000000-0005-0000-0000-0000BE8A0000}"/>
    <cellStyle name="Normal 2 8 2 8 4" xfId="35516" xr:uid="{00000000-0005-0000-0000-0000BF8A0000}"/>
    <cellStyle name="Normal 2 8 2 8 4 2" xfId="35517" xr:uid="{00000000-0005-0000-0000-0000C08A0000}"/>
    <cellStyle name="Normal 2 8 2 8 4 2 2" xfId="35518" xr:uid="{00000000-0005-0000-0000-0000C18A0000}"/>
    <cellStyle name="Normal 2 8 2 8 4 3" xfId="35519" xr:uid="{00000000-0005-0000-0000-0000C28A0000}"/>
    <cellStyle name="Normal 2 8 2 8 4 4" xfId="35520" xr:uid="{00000000-0005-0000-0000-0000C38A0000}"/>
    <cellStyle name="Normal 2 8 2 8 4 5" xfId="35521" xr:uid="{00000000-0005-0000-0000-0000C48A0000}"/>
    <cellStyle name="Normal 2 8 2 8 5" xfId="35522" xr:uid="{00000000-0005-0000-0000-0000C58A0000}"/>
    <cellStyle name="Normal 2 8 2 8 5 2" xfId="35523" xr:uid="{00000000-0005-0000-0000-0000C68A0000}"/>
    <cellStyle name="Normal 2 8 2 8 5 3" xfId="35524" xr:uid="{00000000-0005-0000-0000-0000C78A0000}"/>
    <cellStyle name="Normal 2 8 2 8 5 4" xfId="35525" xr:uid="{00000000-0005-0000-0000-0000C88A0000}"/>
    <cellStyle name="Normal 2 8 2 8 6" xfId="35526" xr:uid="{00000000-0005-0000-0000-0000C98A0000}"/>
    <cellStyle name="Normal 2 8 2 8 6 2" xfId="35527" xr:uid="{00000000-0005-0000-0000-0000CA8A0000}"/>
    <cellStyle name="Normal 2 8 2 8 7" xfId="35528" xr:uid="{00000000-0005-0000-0000-0000CB8A0000}"/>
    <cellStyle name="Normal 2 8 2 8 8" xfId="35529" xr:uid="{00000000-0005-0000-0000-0000CC8A0000}"/>
    <cellStyle name="Normal 2 8 2 8 9" xfId="35530" xr:uid="{00000000-0005-0000-0000-0000CD8A0000}"/>
    <cellStyle name="Normal 2 8 2 9" xfId="35531" xr:uid="{00000000-0005-0000-0000-0000CE8A0000}"/>
    <cellStyle name="Normal 2 8 2 9 10" xfId="35532" xr:uid="{00000000-0005-0000-0000-0000CF8A0000}"/>
    <cellStyle name="Normal 2 8 2 9 2" xfId="35533" xr:uid="{00000000-0005-0000-0000-0000D08A0000}"/>
    <cellStyle name="Normal 2 8 2 9 2 2" xfId="35534" xr:uid="{00000000-0005-0000-0000-0000D18A0000}"/>
    <cellStyle name="Normal 2 8 2 9 2 2 2" xfId="35535" xr:uid="{00000000-0005-0000-0000-0000D28A0000}"/>
    <cellStyle name="Normal 2 8 2 9 2 2 3" xfId="35536" xr:uid="{00000000-0005-0000-0000-0000D38A0000}"/>
    <cellStyle name="Normal 2 8 2 9 2 3" xfId="35537" xr:uid="{00000000-0005-0000-0000-0000D48A0000}"/>
    <cellStyle name="Normal 2 8 2 9 2 4" xfId="35538" xr:uid="{00000000-0005-0000-0000-0000D58A0000}"/>
    <cellStyle name="Normal 2 8 2 9 2 5" xfId="35539" xr:uid="{00000000-0005-0000-0000-0000D68A0000}"/>
    <cellStyle name="Normal 2 8 2 9 2 6" xfId="35540" xr:uid="{00000000-0005-0000-0000-0000D78A0000}"/>
    <cellStyle name="Normal 2 8 2 9 3" xfId="35541" xr:uid="{00000000-0005-0000-0000-0000D88A0000}"/>
    <cellStyle name="Normal 2 8 2 9 3 2" xfId="35542" xr:uid="{00000000-0005-0000-0000-0000D98A0000}"/>
    <cellStyle name="Normal 2 8 2 9 3 2 2" xfId="35543" xr:uid="{00000000-0005-0000-0000-0000DA8A0000}"/>
    <cellStyle name="Normal 2 8 2 9 3 2 3" xfId="35544" xr:uid="{00000000-0005-0000-0000-0000DB8A0000}"/>
    <cellStyle name="Normal 2 8 2 9 3 3" xfId="35545" xr:uid="{00000000-0005-0000-0000-0000DC8A0000}"/>
    <cellStyle name="Normal 2 8 2 9 3 4" xfId="35546" xr:uid="{00000000-0005-0000-0000-0000DD8A0000}"/>
    <cellStyle name="Normal 2 8 2 9 3 5" xfId="35547" xr:uid="{00000000-0005-0000-0000-0000DE8A0000}"/>
    <cellStyle name="Normal 2 8 2 9 3 6" xfId="35548" xr:uid="{00000000-0005-0000-0000-0000DF8A0000}"/>
    <cellStyle name="Normal 2 8 2 9 4" xfId="35549" xr:uid="{00000000-0005-0000-0000-0000E08A0000}"/>
    <cellStyle name="Normal 2 8 2 9 4 2" xfId="35550" xr:uid="{00000000-0005-0000-0000-0000E18A0000}"/>
    <cellStyle name="Normal 2 8 2 9 4 2 2" xfId="35551" xr:uid="{00000000-0005-0000-0000-0000E28A0000}"/>
    <cellStyle name="Normal 2 8 2 9 4 3" xfId="35552" xr:uid="{00000000-0005-0000-0000-0000E38A0000}"/>
    <cellStyle name="Normal 2 8 2 9 4 4" xfId="35553" xr:uid="{00000000-0005-0000-0000-0000E48A0000}"/>
    <cellStyle name="Normal 2 8 2 9 4 5" xfId="35554" xr:uid="{00000000-0005-0000-0000-0000E58A0000}"/>
    <cellStyle name="Normal 2 8 2 9 5" xfId="35555" xr:uid="{00000000-0005-0000-0000-0000E68A0000}"/>
    <cellStyle name="Normal 2 8 2 9 5 2" xfId="35556" xr:uid="{00000000-0005-0000-0000-0000E78A0000}"/>
    <cellStyle name="Normal 2 8 2 9 5 3" xfId="35557" xr:uid="{00000000-0005-0000-0000-0000E88A0000}"/>
    <cellStyle name="Normal 2 8 2 9 5 4" xfId="35558" xr:uid="{00000000-0005-0000-0000-0000E98A0000}"/>
    <cellStyle name="Normal 2 8 2 9 6" xfId="35559" xr:uid="{00000000-0005-0000-0000-0000EA8A0000}"/>
    <cellStyle name="Normal 2 8 2 9 6 2" xfId="35560" xr:uid="{00000000-0005-0000-0000-0000EB8A0000}"/>
    <cellStyle name="Normal 2 8 2 9 7" xfId="35561" xr:uid="{00000000-0005-0000-0000-0000EC8A0000}"/>
    <cellStyle name="Normal 2 8 2 9 8" xfId="35562" xr:uid="{00000000-0005-0000-0000-0000ED8A0000}"/>
    <cellStyle name="Normal 2 8 2 9 9" xfId="35563" xr:uid="{00000000-0005-0000-0000-0000EE8A0000}"/>
    <cellStyle name="Normal 2 8 20" xfId="35564" xr:uid="{00000000-0005-0000-0000-0000EF8A0000}"/>
    <cellStyle name="Normal 2 8 20 10" xfId="35565" xr:uid="{00000000-0005-0000-0000-0000F08A0000}"/>
    <cellStyle name="Normal 2 8 20 2" xfId="35566" xr:uid="{00000000-0005-0000-0000-0000F18A0000}"/>
    <cellStyle name="Normal 2 8 20 2 2" xfId="35567" xr:uid="{00000000-0005-0000-0000-0000F28A0000}"/>
    <cellStyle name="Normal 2 8 20 2 2 2" xfId="35568" xr:uid="{00000000-0005-0000-0000-0000F38A0000}"/>
    <cellStyle name="Normal 2 8 20 2 2 3" xfId="35569" xr:uid="{00000000-0005-0000-0000-0000F48A0000}"/>
    <cellStyle name="Normal 2 8 20 2 3" xfId="35570" xr:uid="{00000000-0005-0000-0000-0000F58A0000}"/>
    <cellStyle name="Normal 2 8 20 2 4" xfId="35571" xr:uid="{00000000-0005-0000-0000-0000F68A0000}"/>
    <cellStyle name="Normal 2 8 20 2 5" xfId="35572" xr:uid="{00000000-0005-0000-0000-0000F78A0000}"/>
    <cellStyle name="Normal 2 8 20 2 6" xfId="35573" xr:uid="{00000000-0005-0000-0000-0000F88A0000}"/>
    <cellStyle name="Normal 2 8 20 3" xfId="35574" xr:uid="{00000000-0005-0000-0000-0000F98A0000}"/>
    <cellStyle name="Normal 2 8 20 3 2" xfId="35575" xr:uid="{00000000-0005-0000-0000-0000FA8A0000}"/>
    <cellStyle name="Normal 2 8 20 3 2 2" xfId="35576" xr:uid="{00000000-0005-0000-0000-0000FB8A0000}"/>
    <cellStyle name="Normal 2 8 20 3 2 3" xfId="35577" xr:uid="{00000000-0005-0000-0000-0000FC8A0000}"/>
    <cellStyle name="Normal 2 8 20 3 3" xfId="35578" xr:uid="{00000000-0005-0000-0000-0000FD8A0000}"/>
    <cellStyle name="Normal 2 8 20 3 4" xfId="35579" xr:uid="{00000000-0005-0000-0000-0000FE8A0000}"/>
    <cellStyle name="Normal 2 8 20 3 5" xfId="35580" xr:uid="{00000000-0005-0000-0000-0000FF8A0000}"/>
    <cellStyle name="Normal 2 8 20 3 6" xfId="35581" xr:uid="{00000000-0005-0000-0000-0000008B0000}"/>
    <cellStyle name="Normal 2 8 20 4" xfId="35582" xr:uid="{00000000-0005-0000-0000-0000018B0000}"/>
    <cellStyle name="Normal 2 8 20 4 2" xfId="35583" xr:uid="{00000000-0005-0000-0000-0000028B0000}"/>
    <cellStyle name="Normal 2 8 20 4 2 2" xfId="35584" xr:uid="{00000000-0005-0000-0000-0000038B0000}"/>
    <cellStyle name="Normal 2 8 20 4 3" xfId="35585" xr:uid="{00000000-0005-0000-0000-0000048B0000}"/>
    <cellStyle name="Normal 2 8 20 4 4" xfId="35586" xr:uid="{00000000-0005-0000-0000-0000058B0000}"/>
    <cellStyle name="Normal 2 8 20 4 5" xfId="35587" xr:uid="{00000000-0005-0000-0000-0000068B0000}"/>
    <cellStyle name="Normal 2 8 20 5" xfId="35588" xr:uid="{00000000-0005-0000-0000-0000078B0000}"/>
    <cellStyle name="Normal 2 8 20 5 2" xfId="35589" xr:uid="{00000000-0005-0000-0000-0000088B0000}"/>
    <cellStyle name="Normal 2 8 20 5 3" xfId="35590" xr:uid="{00000000-0005-0000-0000-0000098B0000}"/>
    <cellStyle name="Normal 2 8 20 5 4" xfId="35591" xr:uid="{00000000-0005-0000-0000-00000A8B0000}"/>
    <cellStyle name="Normal 2 8 20 6" xfId="35592" xr:uid="{00000000-0005-0000-0000-00000B8B0000}"/>
    <cellStyle name="Normal 2 8 20 6 2" xfId="35593" xr:uid="{00000000-0005-0000-0000-00000C8B0000}"/>
    <cellStyle name="Normal 2 8 20 7" xfId="35594" xr:uid="{00000000-0005-0000-0000-00000D8B0000}"/>
    <cellStyle name="Normal 2 8 20 8" xfId="35595" xr:uid="{00000000-0005-0000-0000-00000E8B0000}"/>
    <cellStyle name="Normal 2 8 20 9" xfId="35596" xr:uid="{00000000-0005-0000-0000-00000F8B0000}"/>
    <cellStyle name="Normal 2 8 21" xfId="35597" xr:uid="{00000000-0005-0000-0000-0000108B0000}"/>
    <cellStyle name="Normal 2 8 21 10" xfId="35598" xr:uid="{00000000-0005-0000-0000-0000118B0000}"/>
    <cellStyle name="Normal 2 8 21 2" xfId="35599" xr:uid="{00000000-0005-0000-0000-0000128B0000}"/>
    <cellStyle name="Normal 2 8 21 2 2" xfId="35600" xr:uid="{00000000-0005-0000-0000-0000138B0000}"/>
    <cellStyle name="Normal 2 8 21 2 2 2" xfId="35601" xr:uid="{00000000-0005-0000-0000-0000148B0000}"/>
    <cellStyle name="Normal 2 8 21 2 2 3" xfId="35602" xr:uid="{00000000-0005-0000-0000-0000158B0000}"/>
    <cellStyle name="Normal 2 8 21 2 3" xfId="35603" xr:uid="{00000000-0005-0000-0000-0000168B0000}"/>
    <cellStyle name="Normal 2 8 21 2 4" xfId="35604" xr:uid="{00000000-0005-0000-0000-0000178B0000}"/>
    <cellStyle name="Normal 2 8 21 2 5" xfId="35605" xr:uid="{00000000-0005-0000-0000-0000188B0000}"/>
    <cellStyle name="Normal 2 8 21 2 6" xfId="35606" xr:uid="{00000000-0005-0000-0000-0000198B0000}"/>
    <cellStyle name="Normal 2 8 21 3" xfId="35607" xr:uid="{00000000-0005-0000-0000-00001A8B0000}"/>
    <cellStyle name="Normal 2 8 21 3 2" xfId="35608" xr:uid="{00000000-0005-0000-0000-00001B8B0000}"/>
    <cellStyle name="Normal 2 8 21 3 2 2" xfId="35609" xr:uid="{00000000-0005-0000-0000-00001C8B0000}"/>
    <cellStyle name="Normal 2 8 21 3 2 3" xfId="35610" xr:uid="{00000000-0005-0000-0000-00001D8B0000}"/>
    <cellStyle name="Normal 2 8 21 3 3" xfId="35611" xr:uid="{00000000-0005-0000-0000-00001E8B0000}"/>
    <cellStyle name="Normal 2 8 21 3 4" xfId="35612" xr:uid="{00000000-0005-0000-0000-00001F8B0000}"/>
    <cellStyle name="Normal 2 8 21 3 5" xfId="35613" xr:uid="{00000000-0005-0000-0000-0000208B0000}"/>
    <cellStyle name="Normal 2 8 21 3 6" xfId="35614" xr:uid="{00000000-0005-0000-0000-0000218B0000}"/>
    <cellStyle name="Normal 2 8 21 4" xfId="35615" xr:uid="{00000000-0005-0000-0000-0000228B0000}"/>
    <cellStyle name="Normal 2 8 21 4 2" xfId="35616" xr:uid="{00000000-0005-0000-0000-0000238B0000}"/>
    <cellStyle name="Normal 2 8 21 4 2 2" xfId="35617" xr:uid="{00000000-0005-0000-0000-0000248B0000}"/>
    <cellStyle name="Normal 2 8 21 4 3" xfId="35618" xr:uid="{00000000-0005-0000-0000-0000258B0000}"/>
    <cellStyle name="Normal 2 8 21 4 4" xfId="35619" xr:uid="{00000000-0005-0000-0000-0000268B0000}"/>
    <cellStyle name="Normal 2 8 21 4 5" xfId="35620" xr:uid="{00000000-0005-0000-0000-0000278B0000}"/>
    <cellStyle name="Normal 2 8 21 5" xfId="35621" xr:uid="{00000000-0005-0000-0000-0000288B0000}"/>
    <cellStyle name="Normal 2 8 21 5 2" xfId="35622" xr:uid="{00000000-0005-0000-0000-0000298B0000}"/>
    <cellStyle name="Normal 2 8 21 5 3" xfId="35623" xr:uid="{00000000-0005-0000-0000-00002A8B0000}"/>
    <cellStyle name="Normal 2 8 21 5 4" xfId="35624" xr:uid="{00000000-0005-0000-0000-00002B8B0000}"/>
    <cellStyle name="Normal 2 8 21 6" xfId="35625" xr:uid="{00000000-0005-0000-0000-00002C8B0000}"/>
    <cellStyle name="Normal 2 8 21 6 2" xfId="35626" xr:uid="{00000000-0005-0000-0000-00002D8B0000}"/>
    <cellStyle name="Normal 2 8 21 7" xfId="35627" xr:uid="{00000000-0005-0000-0000-00002E8B0000}"/>
    <cellStyle name="Normal 2 8 21 8" xfId="35628" xr:uid="{00000000-0005-0000-0000-00002F8B0000}"/>
    <cellStyle name="Normal 2 8 21 9" xfId="35629" xr:uid="{00000000-0005-0000-0000-0000308B0000}"/>
    <cellStyle name="Normal 2 8 22" xfId="35630" xr:uid="{00000000-0005-0000-0000-0000318B0000}"/>
    <cellStyle name="Normal 2 8 22 10" xfId="35631" xr:uid="{00000000-0005-0000-0000-0000328B0000}"/>
    <cellStyle name="Normal 2 8 22 2" xfId="35632" xr:uid="{00000000-0005-0000-0000-0000338B0000}"/>
    <cellStyle name="Normal 2 8 22 2 2" xfId="35633" xr:uid="{00000000-0005-0000-0000-0000348B0000}"/>
    <cellStyle name="Normal 2 8 22 2 2 2" xfId="35634" xr:uid="{00000000-0005-0000-0000-0000358B0000}"/>
    <cellStyle name="Normal 2 8 22 2 2 3" xfId="35635" xr:uid="{00000000-0005-0000-0000-0000368B0000}"/>
    <cellStyle name="Normal 2 8 22 2 3" xfId="35636" xr:uid="{00000000-0005-0000-0000-0000378B0000}"/>
    <cellStyle name="Normal 2 8 22 2 4" xfId="35637" xr:uid="{00000000-0005-0000-0000-0000388B0000}"/>
    <cellStyle name="Normal 2 8 22 2 5" xfId="35638" xr:uid="{00000000-0005-0000-0000-0000398B0000}"/>
    <cellStyle name="Normal 2 8 22 2 6" xfId="35639" xr:uid="{00000000-0005-0000-0000-00003A8B0000}"/>
    <cellStyle name="Normal 2 8 22 3" xfId="35640" xr:uid="{00000000-0005-0000-0000-00003B8B0000}"/>
    <cellStyle name="Normal 2 8 22 3 2" xfId="35641" xr:uid="{00000000-0005-0000-0000-00003C8B0000}"/>
    <cellStyle name="Normal 2 8 22 3 2 2" xfId="35642" xr:uid="{00000000-0005-0000-0000-00003D8B0000}"/>
    <cellStyle name="Normal 2 8 22 3 2 3" xfId="35643" xr:uid="{00000000-0005-0000-0000-00003E8B0000}"/>
    <cellStyle name="Normal 2 8 22 3 3" xfId="35644" xr:uid="{00000000-0005-0000-0000-00003F8B0000}"/>
    <cellStyle name="Normal 2 8 22 3 4" xfId="35645" xr:uid="{00000000-0005-0000-0000-0000408B0000}"/>
    <cellStyle name="Normal 2 8 22 3 5" xfId="35646" xr:uid="{00000000-0005-0000-0000-0000418B0000}"/>
    <cellStyle name="Normal 2 8 22 3 6" xfId="35647" xr:uid="{00000000-0005-0000-0000-0000428B0000}"/>
    <cellStyle name="Normal 2 8 22 4" xfId="35648" xr:uid="{00000000-0005-0000-0000-0000438B0000}"/>
    <cellStyle name="Normal 2 8 22 4 2" xfId="35649" xr:uid="{00000000-0005-0000-0000-0000448B0000}"/>
    <cellStyle name="Normal 2 8 22 4 2 2" xfId="35650" xr:uid="{00000000-0005-0000-0000-0000458B0000}"/>
    <cellStyle name="Normal 2 8 22 4 3" xfId="35651" xr:uid="{00000000-0005-0000-0000-0000468B0000}"/>
    <cellStyle name="Normal 2 8 22 4 4" xfId="35652" xr:uid="{00000000-0005-0000-0000-0000478B0000}"/>
    <cellStyle name="Normal 2 8 22 4 5" xfId="35653" xr:uid="{00000000-0005-0000-0000-0000488B0000}"/>
    <cellStyle name="Normal 2 8 22 5" xfId="35654" xr:uid="{00000000-0005-0000-0000-0000498B0000}"/>
    <cellStyle name="Normal 2 8 22 5 2" xfId="35655" xr:uid="{00000000-0005-0000-0000-00004A8B0000}"/>
    <cellStyle name="Normal 2 8 22 5 3" xfId="35656" xr:uid="{00000000-0005-0000-0000-00004B8B0000}"/>
    <cellStyle name="Normal 2 8 22 5 4" xfId="35657" xr:uid="{00000000-0005-0000-0000-00004C8B0000}"/>
    <cellStyle name="Normal 2 8 22 6" xfId="35658" xr:uid="{00000000-0005-0000-0000-00004D8B0000}"/>
    <cellStyle name="Normal 2 8 22 6 2" xfId="35659" xr:uid="{00000000-0005-0000-0000-00004E8B0000}"/>
    <cellStyle name="Normal 2 8 22 7" xfId="35660" xr:uid="{00000000-0005-0000-0000-00004F8B0000}"/>
    <cellStyle name="Normal 2 8 22 8" xfId="35661" xr:uid="{00000000-0005-0000-0000-0000508B0000}"/>
    <cellStyle name="Normal 2 8 22 9" xfId="35662" xr:uid="{00000000-0005-0000-0000-0000518B0000}"/>
    <cellStyle name="Normal 2 8 23" xfId="35663" xr:uid="{00000000-0005-0000-0000-0000528B0000}"/>
    <cellStyle name="Normal 2 8 23 10" xfId="35664" xr:uid="{00000000-0005-0000-0000-0000538B0000}"/>
    <cellStyle name="Normal 2 8 23 2" xfId="35665" xr:uid="{00000000-0005-0000-0000-0000548B0000}"/>
    <cellStyle name="Normal 2 8 23 2 2" xfId="35666" xr:uid="{00000000-0005-0000-0000-0000558B0000}"/>
    <cellStyle name="Normal 2 8 23 2 2 2" xfId="35667" xr:uid="{00000000-0005-0000-0000-0000568B0000}"/>
    <cellStyle name="Normal 2 8 23 2 2 3" xfId="35668" xr:uid="{00000000-0005-0000-0000-0000578B0000}"/>
    <cellStyle name="Normal 2 8 23 2 3" xfId="35669" xr:uid="{00000000-0005-0000-0000-0000588B0000}"/>
    <cellStyle name="Normal 2 8 23 2 4" xfId="35670" xr:uid="{00000000-0005-0000-0000-0000598B0000}"/>
    <cellStyle name="Normal 2 8 23 2 5" xfId="35671" xr:uid="{00000000-0005-0000-0000-00005A8B0000}"/>
    <cellStyle name="Normal 2 8 23 2 6" xfId="35672" xr:uid="{00000000-0005-0000-0000-00005B8B0000}"/>
    <cellStyle name="Normal 2 8 23 3" xfId="35673" xr:uid="{00000000-0005-0000-0000-00005C8B0000}"/>
    <cellStyle name="Normal 2 8 23 3 2" xfId="35674" xr:uid="{00000000-0005-0000-0000-00005D8B0000}"/>
    <cellStyle name="Normal 2 8 23 3 2 2" xfId="35675" xr:uid="{00000000-0005-0000-0000-00005E8B0000}"/>
    <cellStyle name="Normal 2 8 23 3 2 3" xfId="35676" xr:uid="{00000000-0005-0000-0000-00005F8B0000}"/>
    <cellStyle name="Normal 2 8 23 3 3" xfId="35677" xr:uid="{00000000-0005-0000-0000-0000608B0000}"/>
    <cellStyle name="Normal 2 8 23 3 4" xfId="35678" xr:uid="{00000000-0005-0000-0000-0000618B0000}"/>
    <cellStyle name="Normal 2 8 23 3 5" xfId="35679" xr:uid="{00000000-0005-0000-0000-0000628B0000}"/>
    <cellStyle name="Normal 2 8 23 3 6" xfId="35680" xr:uid="{00000000-0005-0000-0000-0000638B0000}"/>
    <cellStyle name="Normal 2 8 23 4" xfId="35681" xr:uid="{00000000-0005-0000-0000-0000648B0000}"/>
    <cellStyle name="Normal 2 8 23 4 2" xfId="35682" xr:uid="{00000000-0005-0000-0000-0000658B0000}"/>
    <cellStyle name="Normal 2 8 23 4 2 2" xfId="35683" xr:uid="{00000000-0005-0000-0000-0000668B0000}"/>
    <cellStyle name="Normal 2 8 23 4 3" xfId="35684" xr:uid="{00000000-0005-0000-0000-0000678B0000}"/>
    <cellStyle name="Normal 2 8 23 4 4" xfId="35685" xr:uid="{00000000-0005-0000-0000-0000688B0000}"/>
    <cellStyle name="Normal 2 8 23 4 5" xfId="35686" xr:uid="{00000000-0005-0000-0000-0000698B0000}"/>
    <cellStyle name="Normal 2 8 23 5" xfId="35687" xr:uid="{00000000-0005-0000-0000-00006A8B0000}"/>
    <cellStyle name="Normal 2 8 23 5 2" xfId="35688" xr:uid="{00000000-0005-0000-0000-00006B8B0000}"/>
    <cellStyle name="Normal 2 8 23 5 3" xfId="35689" xr:uid="{00000000-0005-0000-0000-00006C8B0000}"/>
    <cellStyle name="Normal 2 8 23 5 4" xfId="35690" xr:uid="{00000000-0005-0000-0000-00006D8B0000}"/>
    <cellStyle name="Normal 2 8 23 6" xfId="35691" xr:uid="{00000000-0005-0000-0000-00006E8B0000}"/>
    <cellStyle name="Normal 2 8 23 6 2" xfId="35692" xr:uid="{00000000-0005-0000-0000-00006F8B0000}"/>
    <cellStyle name="Normal 2 8 23 7" xfId="35693" xr:uid="{00000000-0005-0000-0000-0000708B0000}"/>
    <cellStyle name="Normal 2 8 23 8" xfId="35694" xr:uid="{00000000-0005-0000-0000-0000718B0000}"/>
    <cellStyle name="Normal 2 8 23 9" xfId="35695" xr:uid="{00000000-0005-0000-0000-0000728B0000}"/>
    <cellStyle name="Normal 2 8 24" xfId="35696" xr:uid="{00000000-0005-0000-0000-0000738B0000}"/>
    <cellStyle name="Normal 2 8 24 10" xfId="35697" xr:uid="{00000000-0005-0000-0000-0000748B0000}"/>
    <cellStyle name="Normal 2 8 24 2" xfId="35698" xr:uid="{00000000-0005-0000-0000-0000758B0000}"/>
    <cellStyle name="Normal 2 8 24 2 2" xfId="35699" xr:uid="{00000000-0005-0000-0000-0000768B0000}"/>
    <cellStyle name="Normal 2 8 24 2 2 2" xfId="35700" xr:uid="{00000000-0005-0000-0000-0000778B0000}"/>
    <cellStyle name="Normal 2 8 24 2 2 3" xfId="35701" xr:uid="{00000000-0005-0000-0000-0000788B0000}"/>
    <cellStyle name="Normal 2 8 24 2 3" xfId="35702" xr:uid="{00000000-0005-0000-0000-0000798B0000}"/>
    <cellStyle name="Normal 2 8 24 2 4" xfId="35703" xr:uid="{00000000-0005-0000-0000-00007A8B0000}"/>
    <cellStyle name="Normal 2 8 24 2 5" xfId="35704" xr:uid="{00000000-0005-0000-0000-00007B8B0000}"/>
    <cellStyle name="Normal 2 8 24 2 6" xfId="35705" xr:uid="{00000000-0005-0000-0000-00007C8B0000}"/>
    <cellStyle name="Normal 2 8 24 3" xfId="35706" xr:uid="{00000000-0005-0000-0000-00007D8B0000}"/>
    <cellStyle name="Normal 2 8 24 3 2" xfId="35707" xr:uid="{00000000-0005-0000-0000-00007E8B0000}"/>
    <cellStyle name="Normal 2 8 24 3 2 2" xfId="35708" xr:uid="{00000000-0005-0000-0000-00007F8B0000}"/>
    <cellStyle name="Normal 2 8 24 3 2 3" xfId="35709" xr:uid="{00000000-0005-0000-0000-0000808B0000}"/>
    <cellStyle name="Normal 2 8 24 3 3" xfId="35710" xr:uid="{00000000-0005-0000-0000-0000818B0000}"/>
    <cellStyle name="Normal 2 8 24 3 4" xfId="35711" xr:uid="{00000000-0005-0000-0000-0000828B0000}"/>
    <cellStyle name="Normal 2 8 24 3 5" xfId="35712" xr:uid="{00000000-0005-0000-0000-0000838B0000}"/>
    <cellStyle name="Normal 2 8 24 3 6" xfId="35713" xr:uid="{00000000-0005-0000-0000-0000848B0000}"/>
    <cellStyle name="Normal 2 8 24 4" xfId="35714" xr:uid="{00000000-0005-0000-0000-0000858B0000}"/>
    <cellStyle name="Normal 2 8 24 4 2" xfId="35715" xr:uid="{00000000-0005-0000-0000-0000868B0000}"/>
    <cellStyle name="Normal 2 8 24 4 2 2" xfId="35716" xr:uid="{00000000-0005-0000-0000-0000878B0000}"/>
    <cellStyle name="Normal 2 8 24 4 3" xfId="35717" xr:uid="{00000000-0005-0000-0000-0000888B0000}"/>
    <cellStyle name="Normal 2 8 24 4 4" xfId="35718" xr:uid="{00000000-0005-0000-0000-0000898B0000}"/>
    <cellStyle name="Normal 2 8 24 4 5" xfId="35719" xr:uid="{00000000-0005-0000-0000-00008A8B0000}"/>
    <cellStyle name="Normal 2 8 24 5" xfId="35720" xr:uid="{00000000-0005-0000-0000-00008B8B0000}"/>
    <cellStyle name="Normal 2 8 24 5 2" xfId="35721" xr:uid="{00000000-0005-0000-0000-00008C8B0000}"/>
    <cellStyle name="Normal 2 8 24 5 3" xfId="35722" xr:uid="{00000000-0005-0000-0000-00008D8B0000}"/>
    <cellStyle name="Normal 2 8 24 5 4" xfId="35723" xr:uid="{00000000-0005-0000-0000-00008E8B0000}"/>
    <cellStyle name="Normal 2 8 24 6" xfId="35724" xr:uid="{00000000-0005-0000-0000-00008F8B0000}"/>
    <cellStyle name="Normal 2 8 24 6 2" xfId="35725" xr:uid="{00000000-0005-0000-0000-0000908B0000}"/>
    <cellStyle name="Normal 2 8 24 7" xfId="35726" xr:uid="{00000000-0005-0000-0000-0000918B0000}"/>
    <cellStyle name="Normal 2 8 24 8" xfId="35727" xr:uid="{00000000-0005-0000-0000-0000928B0000}"/>
    <cellStyle name="Normal 2 8 24 9" xfId="35728" xr:uid="{00000000-0005-0000-0000-0000938B0000}"/>
    <cellStyle name="Normal 2 8 25" xfId="35729" xr:uid="{00000000-0005-0000-0000-0000948B0000}"/>
    <cellStyle name="Normal 2 8 25 10" xfId="35730" xr:uid="{00000000-0005-0000-0000-0000958B0000}"/>
    <cellStyle name="Normal 2 8 25 2" xfId="35731" xr:uid="{00000000-0005-0000-0000-0000968B0000}"/>
    <cellStyle name="Normal 2 8 25 2 2" xfId="35732" xr:uid="{00000000-0005-0000-0000-0000978B0000}"/>
    <cellStyle name="Normal 2 8 25 2 2 2" xfId="35733" xr:uid="{00000000-0005-0000-0000-0000988B0000}"/>
    <cellStyle name="Normal 2 8 25 2 2 3" xfId="35734" xr:uid="{00000000-0005-0000-0000-0000998B0000}"/>
    <cellStyle name="Normal 2 8 25 2 3" xfId="35735" xr:uid="{00000000-0005-0000-0000-00009A8B0000}"/>
    <cellStyle name="Normal 2 8 25 2 4" xfId="35736" xr:uid="{00000000-0005-0000-0000-00009B8B0000}"/>
    <cellStyle name="Normal 2 8 25 2 5" xfId="35737" xr:uid="{00000000-0005-0000-0000-00009C8B0000}"/>
    <cellStyle name="Normal 2 8 25 2 6" xfId="35738" xr:uid="{00000000-0005-0000-0000-00009D8B0000}"/>
    <cellStyle name="Normal 2 8 25 3" xfId="35739" xr:uid="{00000000-0005-0000-0000-00009E8B0000}"/>
    <cellStyle name="Normal 2 8 25 3 2" xfId="35740" xr:uid="{00000000-0005-0000-0000-00009F8B0000}"/>
    <cellStyle name="Normal 2 8 25 3 2 2" xfId="35741" xr:uid="{00000000-0005-0000-0000-0000A08B0000}"/>
    <cellStyle name="Normal 2 8 25 3 2 3" xfId="35742" xr:uid="{00000000-0005-0000-0000-0000A18B0000}"/>
    <cellStyle name="Normal 2 8 25 3 3" xfId="35743" xr:uid="{00000000-0005-0000-0000-0000A28B0000}"/>
    <cellStyle name="Normal 2 8 25 3 4" xfId="35744" xr:uid="{00000000-0005-0000-0000-0000A38B0000}"/>
    <cellStyle name="Normal 2 8 25 3 5" xfId="35745" xr:uid="{00000000-0005-0000-0000-0000A48B0000}"/>
    <cellStyle name="Normal 2 8 25 3 6" xfId="35746" xr:uid="{00000000-0005-0000-0000-0000A58B0000}"/>
    <cellStyle name="Normal 2 8 25 4" xfId="35747" xr:uid="{00000000-0005-0000-0000-0000A68B0000}"/>
    <cellStyle name="Normal 2 8 25 4 2" xfId="35748" xr:uid="{00000000-0005-0000-0000-0000A78B0000}"/>
    <cellStyle name="Normal 2 8 25 4 2 2" xfId="35749" xr:uid="{00000000-0005-0000-0000-0000A88B0000}"/>
    <cellStyle name="Normal 2 8 25 4 3" xfId="35750" xr:uid="{00000000-0005-0000-0000-0000A98B0000}"/>
    <cellStyle name="Normal 2 8 25 4 4" xfId="35751" xr:uid="{00000000-0005-0000-0000-0000AA8B0000}"/>
    <cellStyle name="Normal 2 8 25 4 5" xfId="35752" xr:uid="{00000000-0005-0000-0000-0000AB8B0000}"/>
    <cellStyle name="Normal 2 8 25 5" xfId="35753" xr:uid="{00000000-0005-0000-0000-0000AC8B0000}"/>
    <cellStyle name="Normal 2 8 25 5 2" xfId="35754" xr:uid="{00000000-0005-0000-0000-0000AD8B0000}"/>
    <cellStyle name="Normal 2 8 25 5 3" xfId="35755" xr:uid="{00000000-0005-0000-0000-0000AE8B0000}"/>
    <cellStyle name="Normal 2 8 25 5 4" xfId="35756" xr:uid="{00000000-0005-0000-0000-0000AF8B0000}"/>
    <cellStyle name="Normal 2 8 25 6" xfId="35757" xr:uid="{00000000-0005-0000-0000-0000B08B0000}"/>
    <cellStyle name="Normal 2 8 25 6 2" xfId="35758" xr:uid="{00000000-0005-0000-0000-0000B18B0000}"/>
    <cellStyle name="Normal 2 8 25 7" xfId="35759" xr:uid="{00000000-0005-0000-0000-0000B28B0000}"/>
    <cellStyle name="Normal 2 8 25 8" xfId="35760" xr:uid="{00000000-0005-0000-0000-0000B38B0000}"/>
    <cellStyle name="Normal 2 8 25 9" xfId="35761" xr:uid="{00000000-0005-0000-0000-0000B48B0000}"/>
    <cellStyle name="Normal 2 8 26" xfId="35762" xr:uid="{00000000-0005-0000-0000-0000B58B0000}"/>
    <cellStyle name="Normal 2 8 26 10" xfId="35763" xr:uid="{00000000-0005-0000-0000-0000B68B0000}"/>
    <cellStyle name="Normal 2 8 26 2" xfId="35764" xr:uid="{00000000-0005-0000-0000-0000B78B0000}"/>
    <cellStyle name="Normal 2 8 26 2 2" xfId="35765" xr:uid="{00000000-0005-0000-0000-0000B88B0000}"/>
    <cellStyle name="Normal 2 8 26 2 2 2" xfId="35766" xr:uid="{00000000-0005-0000-0000-0000B98B0000}"/>
    <cellStyle name="Normal 2 8 26 2 2 3" xfId="35767" xr:uid="{00000000-0005-0000-0000-0000BA8B0000}"/>
    <cellStyle name="Normal 2 8 26 2 3" xfId="35768" xr:uid="{00000000-0005-0000-0000-0000BB8B0000}"/>
    <cellStyle name="Normal 2 8 26 2 4" xfId="35769" xr:uid="{00000000-0005-0000-0000-0000BC8B0000}"/>
    <cellStyle name="Normal 2 8 26 2 5" xfId="35770" xr:uid="{00000000-0005-0000-0000-0000BD8B0000}"/>
    <cellStyle name="Normal 2 8 26 2 6" xfId="35771" xr:uid="{00000000-0005-0000-0000-0000BE8B0000}"/>
    <cellStyle name="Normal 2 8 26 3" xfId="35772" xr:uid="{00000000-0005-0000-0000-0000BF8B0000}"/>
    <cellStyle name="Normal 2 8 26 3 2" xfId="35773" xr:uid="{00000000-0005-0000-0000-0000C08B0000}"/>
    <cellStyle name="Normal 2 8 26 3 2 2" xfId="35774" xr:uid="{00000000-0005-0000-0000-0000C18B0000}"/>
    <cellStyle name="Normal 2 8 26 3 2 3" xfId="35775" xr:uid="{00000000-0005-0000-0000-0000C28B0000}"/>
    <cellStyle name="Normal 2 8 26 3 3" xfId="35776" xr:uid="{00000000-0005-0000-0000-0000C38B0000}"/>
    <cellStyle name="Normal 2 8 26 3 4" xfId="35777" xr:uid="{00000000-0005-0000-0000-0000C48B0000}"/>
    <cellStyle name="Normal 2 8 26 3 5" xfId="35778" xr:uid="{00000000-0005-0000-0000-0000C58B0000}"/>
    <cellStyle name="Normal 2 8 26 3 6" xfId="35779" xr:uid="{00000000-0005-0000-0000-0000C68B0000}"/>
    <cellStyle name="Normal 2 8 26 4" xfId="35780" xr:uid="{00000000-0005-0000-0000-0000C78B0000}"/>
    <cellStyle name="Normal 2 8 26 4 2" xfId="35781" xr:uid="{00000000-0005-0000-0000-0000C88B0000}"/>
    <cellStyle name="Normal 2 8 26 4 2 2" xfId="35782" xr:uid="{00000000-0005-0000-0000-0000C98B0000}"/>
    <cellStyle name="Normal 2 8 26 4 3" xfId="35783" xr:uid="{00000000-0005-0000-0000-0000CA8B0000}"/>
    <cellStyle name="Normal 2 8 26 4 4" xfId="35784" xr:uid="{00000000-0005-0000-0000-0000CB8B0000}"/>
    <cellStyle name="Normal 2 8 26 4 5" xfId="35785" xr:uid="{00000000-0005-0000-0000-0000CC8B0000}"/>
    <cellStyle name="Normal 2 8 26 5" xfId="35786" xr:uid="{00000000-0005-0000-0000-0000CD8B0000}"/>
    <cellStyle name="Normal 2 8 26 5 2" xfId="35787" xr:uid="{00000000-0005-0000-0000-0000CE8B0000}"/>
    <cellStyle name="Normal 2 8 26 5 3" xfId="35788" xr:uid="{00000000-0005-0000-0000-0000CF8B0000}"/>
    <cellStyle name="Normal 2 8 26 5 4" xfId="35789" xr:uid="{00000000-0005-0000-0000-0000D08B0000}"/>
    <cellStyle name="Normal 2 8 26 6" xfId="35790" xr:uid="{00000000-0005-0000-0000-0000D18B0000}"/>
    <cellStyle name="Normal 2 8 26 6 2" xfId="35791" xr:uid="{00000000-0005-0000-0000-0000D28B0000}"/>
    <cellStyle name="Normal 2 8 26 7" xfId="35792" xr:uid="{00000000-0005-0000-0000-0000D38B0000}"/>
    <cellStyle name="Normal 2 8 26 8" xfId="35793" xr:uid="{00000000-0005-0000-0000-0000D48B0000}"/>
    <cellStyle name="Normal 2 8 26 9" xfId="35794" xr:uid="{00000000-0005-0000-0000-0000D58B0000}"/>
    <cellStyle name="Normal 2 8 27" xfId="35795" xr:uid="{00000000-0005-0000-0000-0000D68B0000}"/>
    <cellStyle name="Normal 2 8 27 10" xfId="35796" xr:uid="{00000000-0005-0000-0000-0000D78B0000}"/>
    <cellStyle name="Normal 2 8 27 2" xfId="35797" xr:uid="{00000000-0005-0000-0000-0000D88B0000}"/>
    <cellStyle name="Normal 2 8 27 2 2" xfId="35798" xr:uid="{00000000-0005-0000-0000-0000D98B0000}"/>
    <cellStyle name="Normal 2 8 27 2 2 2" xfId="35799" xr:uid="{00000000-0005-0000-0000-0000DA8B0000}"/>
    <cellStyle name="Normal 2 8 27 2 2 3" xfId="35800" xr:uid="{00000000-0005-0000-0000-0000DB8B0000}"/>
    <cellStyle name="Normal 2 8 27 2 3" xfId="35801" xr:uid="{00000000-0005-0000-0000-0000DC8B0000}"/>
    <cellStyle name="Normal 2 8 27 2 4" xfId="35802" xr:uid="{00000000-0005-0000-0000-0000DD8B0000}"/>
    <cellStyle name="Normal 2 8 27 2 5" xfId="35803" xr:uid="{00000000-0005-0000-0000-0000DE8B0000}"/>
    <cellStyle name="Normal 2 8 27 2 6" xfId="35804" xr:uid="{00000000-0005-0000-0000-0000DF8B0000}"/>
    <cellStyle name="Normal 2 8 27 3" xfId="35805" xr:uid="{00000000-0005-0000-0000-0000E08B0000}"/>
    <cellStyle name="Normal 2 8 27 3 2" xfId="35806" xr:uid="{00000000-0005-0000-0000-0000E18B0000}"/>
    <cellStyle name="Normal 2 8 27 3 2 2" xfId="35807" xr:uid="{00000000-0005-0000-0000-0000E28B0000}"/>
    <cellStyle name="Normal 2 8 27 3 2 3" xfId="35808" xr:uid="{00000000-0005-0000-0000-0000E38B0000}"/>
    <cellStyle name="Normal 2 8 27 3 3" xfId="35809" xr:uid="{00000000-0005-0000-0000-0000E48B0000}"/>
    <cellStyle name="Normal 2 8 27 3 4" xfId="35810" xr:uid="{00000000-0005-0000-0000-0000E58B0000}"/>
    <cellStyle name="Normal 2 8 27 3 5" xfId="35811" xr:uid="{00000000-0005-0000-0000-0000E68B0000}"/>
    <cellStyle name="Normal 2 8 27 3 6" xfId="35812" xr:uid="{00000000-0005-0000-0000-0000E78B0000}"/>
    <cellStyle name="Normal 2 8 27 4" xfId="35813" xr:uid="{00000000-0005-0000-0000-0000E88B0000}"/>
    <cellStyle name="Normal 2 8 27 4 2" xfId="35814" xr:uid="{00000000-0005-0000-0000-0000E98B0000}"/>
    <cellStyle name="Normal 2 8 27 4 2 2" xfId="35815" xr:uid="{00000000-0005-0000-0000-0000EA8B0000}"/>
    <cellStyle name="Normal 2 8 27 4 3" xfId="35816" xr:uid="{00000000-0005-0000-0000-0000EB8B0000}"/>
    <cellStyle name="Normal 2 8 27 4 4" xfId="35817" xr:uid="{00000000-0005-0000-0000-0000EC8B0000}"/>
    <cellStyle name="Normal 2 8 27 4 5" xfId="35818" xr:uid="{00000000-0005-0000-0000-0000ED8B0000}"/>
    <cellStyle name="Normal 2 8 27 5" xfId="35819" xr:uid="{00000000-0005-0000-0000-0000EE8B0000}"/>
    <cellStyle name="Normal 2 8 27 5 2" xfId="35820" xr:uid="{00000000-0005-0000-0000-0000EF8B0000}"/>
    <cellStyle name="Normal 2 8 27 5 3" xfId="35821" xr:uid="{00000000-0005-0000-0000-0000F08B0000}"/>
    <cellStyle name="Normal 2 8 27 5 4" xfId="35822" xr:uid="{00000000-0005-0000-0000-0000F18B0000}"/>
    <cellStyle name="Normal 2 8 27 6" xfId="35823" xr:uid="{00000000-0005-0000-0000-0000F28B0000}"/>
    <cellStyle name="Normal 2 8 27 6 2" xfId="35824" xr:uid="{00000000-0005-0000-0000-0000F38B0000}"/>
    <cellStyle name="Normal 2 8 27 7" xfId="35825" xr:uid="{00000000-0005-0000-0000-0000F48B0000}"/>
    <cellStyle name="Normal 2 8 27 8" xfId="35826" xr:uid="{00000000-0005-0000-0000-0000F58B0000}"/>
    <cellStyle name="Normal 2 8 27 9" xfId="35827" xr:uid="{00000000-0005-0000-0000-0000F68B0000}"/>
    <cellStyle name="Normal 2 8 28" xfId="35828" xr:uid="{00000000-0005-0000-0000-0000F78B0000}"/>
    <cellStyle name="Normal 2 8 28 10" xfId="35829" xr:uid="{00000000-0005-0000-0000-0000F88B0000}"/>
    <cellStyle name="Normal 2 8 28 2" xfId="35830" xr:uid="{00000000-0005-0000-0000-0000F98B0000}"/>
    <cellStyle name="Normal 2 8 28 2 2" xfId="35831" xr:uid="{00000000-0005-0000-0000-0000FA8B0000}"/>
    <cellStyle name="Normal 2 8 28 2 2 2" xfId="35832" xr:uid="{00000000-0005-0000-0000-0000FB8B0000}"/>
    <cellStyle name="Normal 2 8 28 2 2 3" xfId="35833" xr:uid="{00000000-0005-0000-0000-0000FC8B0000}"/>
    <cellStyle name="Normal 2 8 28 2 3" xfId="35834" xr:uid="{00000000-0005-0000-0000-0000FD8B0000}"/>
    <cellStyle name="Normal 2 8 28 2 4" xfId="35835" xr:uid="{00000000-0005-0000-0000-0000FE8B0000}"/>
    <cellStyle name="Normal 2 8 28 2 5" xfId="35836" xr:uid="{00000000-0005-0000-0000-0000FF8B0000}"/>
    <cellStyle name="Normal 2 8 28 2 6" xfId="35837" xr:uid="{00000000-0005-0000-0000-0000008C0000}"/>
    <cellStyle name="Normal 2 8 28 3" xfId="35838" xr:uid="{00000000-0005-0000-0000-0000018C0000}"/>
    <cellStyle name="Normal 2 8 28 3 2" xfId="35839" xr:uid="{00000000-0005-0000-0000-0000028C0000}"/>
    <cellStyle name="Normal 2 8 28 3 2 2" xfId="35840" xr:uid="{00000000-0005-0000-0000-0000038C0000}"/>
    <cellStyle name="Normal 2 8 28 3 2 3" xfId="35841" xr:uid="{00000000-0005-0000-0000-0000048C0000}"/>
    <cellStyle name="Normal 2 8 28 3 3" xfId="35842" xr:uid="{00000000-0005-0000-0000-0000058C0000}"/>
    <cellStyle name="Normal 2 8 28 3 4" xfId="35843" xr:uid="{00000000-0005-0000-0000-0000068C0000}"/>
    <cellStyle name="Normal 2 8 28 3 5" xfId="35844" xr:uid="{00000000-0005-0000-0000-0000078C0000}"/>
    <cellStyle name="Normal 2 8 28 3 6" xfId="35845" xr:uid="{00000000-0005-0000-0000-0000088C0000}"/>
    <cellStyle name="Normal 2 8 28 4" xfId="35846" xr:uid="{00000000-0005-0000-0000-0000098C0000}"/>
    <cellStyle name="Normal 2 8 28 4 2" xfId="35847" xr:uid="{00000000-0005-0000-0000-00000A8C0000}"/>
    <cellStyle name="Normal 2 8 28 4 2 2" xfId="35848" xr:uid="{00000000-0005-0000-0000-00000B8C0000}"/>
    <cellStyle name="Normal 2 8 28 4 3" xfId="35849" xr:uid="{00000000-0005-0000-0000-00000C8C0000}"/>
    <cellStyle name="Normal 2 8 28 4 4" xfId="35850" xr:uid="{00000000-0005-0000-0000-00000D8C0000}"/>
    <cellStyle name="Normal 2 8 28 4 5" xfId="35851" xr:uid="{00000000-0005-0000-0000-00000E8C0000}"/>
    <cellStyle name="Normal 2 8 28 5" xfId="35852" xr:uid="{00000000-0005-0000-0000-00000F8C0000}"/>
    <cellStyle name="Normal 2 8 28 5 2" xfId="35853" xr:uid="{00000000-0005-0000-0000-0000108C0000}"/>
    <cellStyle name="Normal 2 8 28 5 3" xfId="35854" xr:uid="{00000000-0005-0000-0000-0000118C0000}"/>
    <cellStyle name="Normal 2 8 28 5 4" xfId="35855" xr:uid="{00000000-0005-0000-0000-0000128C0000}"/>
    <cellStyle name="Normal 2 8 28 6" xfId="35856" xr:uid="{00000000-0005-0000-0000-0000138C0000}"/>
    <cellStyle name="Normal 2 8 28 6 2" xfId="35857" xr:uid="{00000000-0005-0000-0000-0000148C0000}"/>
    <cellStyle name="Normal 2 8 28 7" xfId="35858" xr:uid="{00000000-0005-0000-0000-0000158C0000}"/>
    <cellStyle name="Normal 2 8 28 8" xfId="35859" xr:uid="{00000000-0005-0000-0000-0000168C0000}"/>
    <cellStyle name="Normal 2 8 28 9" xfId="35860" xr:uid="{00000000-0005-0000-0000-0000178C0000}"/>
    <cellStyle name="Normal 2 8 29" xfId="35861" xr:uid="{00000000-0005-0000-0000-0000188C0000}"/>
    <cellStyle name="Normal 2 8 29 10" xfId="35862" xr:uid="{00000000-0005-0000-0000-0000198C0000}"/>
    <cellStyle name="Normal 2 8 29 2" xfId="35863" xr:uid="{00000000-0005-0000-0000-00001A8C0000}"/>
    <cellStyle name="Normal 2 8 29 2 2" xfId="35864" xr:uid="{00000000-0005-0000-0000-00001B8C0000}"/>
    <cellStyle name="Normal 2 8 29 2 2 2" xfId="35865" xr:uid="{00000000-0005-0000-0000-00001C8C0000}"/>
    <cellStyle name="Normal 2 8 29 2 2 3" xfId="35866" xr:uid="{00000000-0005-0000-0000-00001D8C0000}"/>
    <cellStyle name="Normal 2 8 29 2 3" xfId="35867" xr:uid="{00000000-0005-0000-0000-00001E8C0000}"/>
    <cellStyle name="Normal 2 8 29 2 4" xfId="35868" xr:uid="{00000000-0005-0000-0000-00001F8C0000}"/>
    <cellStyle name="Normal 2 8 29 2 5" xfId="35869" xr:uid="{00000000-0005-0000-0000-0000208C0000}"/>
    <cellStyle name="Normal 2 8 29 2 6" xfId="35870" xr:uid="{00000000-0005-0000-0000-0000218C0000}"/>
    <cellStyle name="Normal 2 8 29 3" xfId="35871" xr:uid="{00000000-0005-0000-0000-0000228C0000}"/>
    <cellStyle name="Normal 2 8 29 3 2" xfId="35872" xr:uid="{00000000-0005-0000-0000-0000238C0000}"/>
    <cellStyle name="Normal 2 8 29 3 2 2" xfId="35873" xr:uid="{00000000-0005-0000-0000-0000248C0000}"/>
    <cellStyle name="Normal 2 8 29 3 2 3" xfId="35874" xr:uid="{00000000-0005-0000-0000-0000258C0000}"/>
    <cellStyle name="Normal 2 8 29 3 3" xfId="35875" xr:uid="{00000000-0005-0000-0000-0000268C0000}"/>
    <cellStyle name="Normal 2 8 29 3 4" xfId="35876" xr:uid="{00000000-0005-0000-0000-0000278C0000}"/>
    <cellStyle name="Normal 2 8 29 3 5" xfId="35877" xr:uid="{00000000-0005-0000-0000-0000288C0000}"/>
    <cellStyle name="Normal 2 8 29 3 6" xfId="35878" xr:uid="{00000000-0005-0000-0000-0000298C0000}"/>
    <cellStyle name="Normal 2 8 29 4" xfId="35879" xr:uid="{00000000-0005-0000-0000-00002A8C0000}"/>
    <cellStyle name="Normal 2 8 29 4 2" xfId="35880" xr:uid="{00000000-0005-0000-0000-00002B8C0000}"/>
    <cellStyle name="Normal 2 8 29 4 2 2" xfId="35881" xr:uid="{00000000-0005-0000-0000-00002C8C0000}"/>
    <cellStyle name="Normal 2 8 29 4 3" xfId="35882" xr:uid="{00000000-0005-0000-0000-00002D8C0000}"/>
    <cellStyle name="Normal 2 8 29 4 4" xfId="35883" xr:uid="{00000000-0005-0000-0000-00002E8C0000}"/>
    <cellStyle name="Normal 2 8 29 4 5" xfId="35884" xr:uid="{00000000-0005-0000-0000-00002F8C0000}"/>
    <cellStyle name="Normal 2 8 29 5" xfId="35885" xr:uid="{00000000-0005-0000-0000-0000308C0000}"/>
    <cellStyle name="Normal 2 8 29 5 2" xfId="35886" xr:uid="{00000000-0005-0000-0000-0000318C0000}"/>
    <cellStyle name="Normal 2 8 29 5 3" xfId="35887" xr:uid="{00000000-0005-0000-0000-0000328C0000}"/>
    <cellStyle name="Normal 2 8 29 5 4" xfId="35888" xr:uid="{00000000-0005-0000-0000-0000338C0000}"/>
    <cellStyle name="Normal 2 8 29 6" xfId="35889" xr:uid="{00000000-0005-0000-0000-0000348C0000}"/>
    <cellStyle name="Normal 2 8 29 6 2" xfId="35890" xr:uid="{00000000-0005-0000-0000-0000358C0000}"/>
    <cellStyle name="Normal 2 8 29 7" xfId="35891" xr:uid="{00000000-0005-0000-0000-0000368C0000}"/>
    <cellStyle name="Normal 2 8 29 8" xfId="35892" xr:uid="{00000000-0005-0000-0000-0000378C0000}"/>
    <cellStyle name="Normal 2 8 29 9" xfId="35893" xr:uid="{00000000-0005-0000-0000-0000388C0000}"/>
    <cellStyle name="Normal 2 8 3" xfId="35894" xr:uid="{00000000-0005-0000-0000-0000398C0000}"/>
    <cellStyle name="Normal 2 8 3 10" xfId="35895" xr:uid="{00000000-0005-0000-0000-00003A8C0000}"/>
    <cellStyle name="Normal 2 8 3 10 10" xfId="35896" xr:uid="{00000000-0005-0000-0000-00003B8C0000}"/>
    <cellStyle name="Normal 2 8 3 10 2" xfId="35897" xr:uid="{00000000-0005-0000-0000-00003C8C0000}"/>
    <cellStyle name="Normal 2 8 3 10 2 2" xfId="35898" xr:uid="{00000000-0005-0000-0000-00003D8C0000}"/>
    <cellStyle name="Normal 2 8 3 10 2 2 2" xfId="35899" xr:uid="{00000000-0005-0000-0000-00003E8C0000}"/>
    <cellStyle name="Normal 2 8 3 10 2 2 3" xfId="35900" xr:uid="{00000000-0005-0000-0000-00003F8C0000}"/>
    <cellStyle name="Normal 2 8 3 10 2 3" xfId="35901" xr:uid="{00000000-0005-0000-0000-0000408C0000}"/>
    <cellStyle name="Normal 2 8 3 10 2 4" xfId="35902" xr:uid="{00000000-0005-0000-0000-0000418C0000}"/>
    <cellStyle name="Normal 2 8 3 10 2 5" xfId="35903" xr:uid="{00000000-0005-0000-0000-0000428C0000}"/>
    <cellStyle name="Normal 2 8 3 10 2 6" xfId="35904" xr:uid="{00000000-0005-0000-0000-0000438C0000}"/>
    <cellStyle name="Normal 2 8 3 10 3" xfId="35905" xr:uid="{00000000-0005-0000-0000-0000448C0000}"/>
    <cellStyle name="Normal 2 8 3 10 3 2" xfId="35906" xr:uid="{00000000-0005-0000-0000-0000458C0000}"/>
    <cellStyle name="Normal 2 8 3 10 3 2 2" xfId="35907" xr:uid="{00000000-0005-0000-0000-0000468C0000}"/>
    <cellStyle name="Normal 2 8 3 10 3 2 3" xfId="35908" xr:uid="{00000000-0005-0000-0000-0000478C0000}"/>
    <cellStyle name="Normal 2 8 3 10 3 3" xfId="35909" xr:uid="{00000000-0005-0000-0000-0000488C0000}"/>
    <cellStyle name="Normal 2 8 3 10 3 4" xfId="35910" xr:uid="{00000000-0005-0000-0000-0000498C0000}"/>
    <cellStyle name="Normal 2 8 3 10 3 5" xfId="35911" xr:uid="{00000000-0005-0000-0000-00004A8C0000}"/>
    <cellStyle name="Normal 2 8 3 10 3 6" xfId="35912" xr:uid="{00000000-0005-0000-0000-00004B8C0000}"/>
    <cellStyle name="Normal 2 8 3 10 4" xfId="35913" xr:uid="{00000000-0005-0000-0000-00004C8C0000}"/>
    <cellStyle name="Normal 2 8 3 10 4 2" xfId="35914" xr:uid="{00000000-0005-0000-0000-00004D8C0000}"/>
    <cellStyle name="Normal 2 8 3 10 4 2 2" xfId="35915" xr:uid="{00000000-0005-0000-0000-00004E8C0000}"/>
    <cellStyle name="Normal 2 8 3 10 4 3" xfId="35916" xr:uid="{00000000-0005-0000-0000-00004F8C0000}"/>
    <cellStyle name="Normal 2 8 3 10 4 4" xfId="35917" xr:uid="{00000000-0005-0000-0000-0000508C0000}"/>
    <cellStyle name="Normal 2 8 3 10 4 5" xfId="35918" xr:uid="{00000000-0005-0000-0000-0000518C0000}"/>
    <cellStyle name="Normal 2 8 3 10 5" xfId="35919" xr:uid="{00000000-0005-0000-0000-0000528C0000}"/>
    <cellStyle name="Normal 2 8 3 10 5 2" xfId="35920" xr:uid="{00000000-0005-0000-0000-0000538C0000}"/>
    <cellStyle name="Normal 2 8 3 10 5 3" xfId="35921" xr:uid="{00000000-0005-0000-0000-0000548C0000}"/>
    <cellStyle name="Normal 2 8 3 10 5 4" xfId="35922" xr:uid="{00000000-0005-0000-0000-0000558C0000}"/>
    <cellStyle name="Normal 2 8 3 10 6" xfId="35923" xr:uid="{00000000-0005-0000-0000-0000568C0000}"/>
    <cellStyle name="Normal 2 8 3 10 6 2" xfId="35924" xr:uid="{00000000-0005-0000-0000-0000578C0000}"/>
    <cellStyle name="Normal 2 8 3 10 7" xfId="35925" xr:uid="{00000000-0005-0000-0000-0000588C0000}"/>
    <cellStyle name="Normal 2 8 3 10 8" xfId="35926" xr:uid="{00000000-0005-0000-0000-0000598C0000}"/>
    <cellStyle name="Normal 2 8 3 10 9" xfId="35927" xr:uid="{00000000-0005-0000-0000-00005A8C0000}"/>
    <cellStyle name="Normal 2 8 3 11" xfId="35928" xr:uid="{00000000-0005-0000-0000-00005B8C0000}"/>
    <cellStyle name="Normal 2 8 3 11 10" xfId="35929" xr:uid="{00000000-0005-0000-0000-00005C8C0000}"/>
    <cellStyle name="Normal 2 8 3 11 2" xfId="35930" xr:uid="{00000000-0005-0000-0000-00005D8C0000}"/>
    <cellStyle name="Normal 2 8 3 11 2 2" xfId="35931" xr:uid="{00000000-0005-0000-0000-00005E8C0000}"/>
    <cellStyle name="Normal 2 8 3 11 2 2 2" xfId="35932" xr:uid="{00000000-0005-0000-0000-00005F8C0000}"/>
    <cellStyle name="Normal 2 8 3 11 2 2 3" xfId="35933" xr:uid="{00000000-0005-0000-0000-0000608C0000}"/>
    <cellStyle name="Normal 2 8 3 11 2 3" xfId="35934" xr:uid="{00000000-0005-0000-0000-0000618C0000}"/>
    <cellStyle name="Normal 2 8 3 11 2 4" xfId="35935" xr:uid="{00000000-0005-0000-0000-0000628C0000}"/>
    <cellStyle name="Normal 2 8 3 11 2 5" xfId="35936" xr:uid="{00000000-0005-0000-0000-0000638C0000}"/>
    <cellStyle name="Normal 2 8 3 11 2 6" xfId="35937" xr:uid="{00000000-0005-0000-0000-0000648C0000}"/>
    <cellStyle name="Normal 2 8 3 11 3" xfId="35938" xr:uid="{00000000-0005-0000-0000-0000658C0000}"/>
    <cellStyle name="Normal 2 8 3 11 3 2" xfId="35939" xr:uid="{00000000-0005-0000-0000-0000668C0000}"/>
    <cellStyle name="Normal 2 8 3 11 3 2 2" xfId="35940" xr:uid="{00000000-0005-0000-0000-0000678C0000}"/>
    <cellStyle name="Normal 2 8 3 11 3 2 3" xfId="35941" xr:uid="{00000000-0005-0000-0000-0000688C0000}"/>
    <cellStyle name="Normal 2 8 3 11 3 3" xfId="35942" xr:uid="{00000000-0005-0000-0000-0000698C0000}"/>
    <cellStyle name="Normal 2 8 3 11 3 4" xfId="35943" xr:uid="{00000000-0005-0000-0000-00006A8C0000}"/>
    <cellStyle name="Normal 2 8 3 11 3 5" xfId="35944" xr:uid="{00000000-0005-0000-0000-00006B8C0000}"/>
    <cellStyle name="Normal 2 8 3 11 3 6" xfId="35945" xr:uid="{00000000-0005-0000-0000-00006C8C0000}"/>
    <cellStyle name="Normal 2 8 3 11 4" xfId="35946" xr:uid="{00000000-0005-0000-0000-00006D8C0000}"/>
    <cellStyle name="Normal 2 8 3 11 4 2" xfId="35947" xr:uid="{00000000-0005-0000-0000-00006E8C0000}"/>
    <cellStyle name="Normal 2 8 3 11 4 2 2" xfId="35948" xr:uid="{00000000-0005-0000-0000-00006F8C0000}"/>
    <cellStyle name="Normal 2 8 3 11 4 3" xfId="35949" xr:uid="{00000000-0005-0000-0000-0000708C0000}"/>
    <cellStyle name="Normal 2 8 3 11 4 4" xfId="35950" xr:uid="{00000000-0005-0000-0000-0000718C0000}"/>
    <cellStyle name="Normal 2 8 3 11 4 5" xfId="35951" xr:uid="{00000000-0005-0000-0000-0000728C0000}"/>
    <cellStyle name="Normal 2 8 3 11 5" xfId="35952" xr:uid="{00000000-0005-0000-0000-0000738C0000}"/>
    <cellStyle name="Normal 2 8 3 11 5 2" xfId="35953" xr:uid="{00000000-0005-0000-0000-0000748C0000}"/>
    <cellStyle name="Normal 2 8 3 11 5 3" xfId="35954" xr:uid="{00000000-0005-0000-0000-0000758C0000}"/>
    <cellStyle name="Normal 2 8 3 11 5 4" xfId="35955" xr:uid="{00000000-0005-0000-0000-0000768C0000}"/>
    <cellStyle name="Normal 2 8 3 11 6" xfId="35956" xr:uid="{00000000-0005-0000-0000-0000778C0000}"/>
    <cellStyle name="Normal 2 8 3 11 6 2" xfId="35957" xr:uid="{00000000-0005-0000-0000-0000788C0000}"/>
    <cellStyle name="Normal 2 8 3 11 7" xfId="35958" xr:uid="{00000000-0005-0000-0000-0000798C0000}"/>
    <cellStyle name="Normal 2 8 3 11 8" xfId="35959" xr:uid="{00000000-0005-0000-0000-00007A8C0000}"/>
    <cellStyle name="Normal 2 8 3 11 9" xfId="35960" xr:uid="{00000000-0005-0000-0000-00007B8C0000}"/>
    <cellStyle name="Normal 2 8 3 12" xfId="35961" xr:uid="{00000000-0005-0000-0000-00007C8C0000}"/>
    <cellStyle name="Normal 2 8 3 12 10" xfId="35962" xr:uid="{00000000-0005-0000-0000-00007D8C0000}"/>
    <cellStyle name="Normal 2 8 3 12 2" xfId="35963" xr:uid="{00000000-0005-0000-0000-00007E8C0000}"/>
    <cellStyle name="Normal 2 8 3 12 2 2" xfId="35964" xr:uid="{00000000-0005-0000-0000-00007F8C0000}"/>
    <cellStyle name="Normal 2 8 3 12 2 2 2" xfId="35965" xr:uid="{00000000-0005-0000-0000-0000808C0000}"/>
    <cellStyle name="Normal 2 8 3 12 2 2 3" xfId="35966" xr:uid="{00000000-0005-0000-0000-0000818C0000}"/>
    <cellStyle name="Normal 2 8 3 12 2 3" xfId="35967" xr:uid="{00000000-0005-0000-0000-0000828C0000}"/>
    <cellStyle name="Normal 2 8 3 12 2 4" xfId="35968" xr:uid="{00000000-0005-0000-0000-0000838C0000}"/>
    <cellStyle name="Normal 2 8 3 12 2 5" xfId="35969" xr:uid="{00000000-0005-0000-0000-0000848C0000}"/>
    <cellStyle name="Normal 2 8 3 12 2 6" xfId="35970" xr:uid="{00000000-0005-0000-0000-0000858C0000}"/>
    <cellStyle name="Normal 2 8 3 12 3" xfId="35971" xr:uid="{00000000-0005-0000-0000-0000868C0000}"/>
    <cellStyle name="Normal 2 8 3 12 3 2" xfId="35972" xr:uid="{00000000-0005-0000-0000-0000878C0000}"/>
    <cellStyle name="Normal 2 8 3 12 3 2 2" xfId="35973" xr:uid="{00000000-0005-0000-0000-0000888C0000}"/>
    <cellStyle name="Normal 2 8 3 12 3 2 3" xfId="35974" xr:uid="{00000000-0005-0000-0000-0000898C0000}"/>
    <cellStyle name="Normal 2 8 3 12 3 3" xfId="35975" xr:uid="{00000000-0005-0000-0000-00008A8C0000}"/>
    <cellStyle name="Normal 2 8 3 12 3 4" xfId="35976" xr:uid="{00000000-0005-0000-0000-00008B8C0000}"/>
    <cellStyle name="Normal 2 8 3 12 3 5" xfId="35977" xr:uid="{00000000-0005-0000-0000-00008C8C0000}"/>
    <cellStyle name="Normal 2 8 3 12 3 6" xfId="35978" xr:uid="{00000000-0005-0000-0000-00008D8C0000}"/>
    <cellStyle name="Normal 2 8 3 12 4" xfId="35979" xr:uid="{00000000-0005-0000-0000-00008E8C0000}"/>
    <cellStyle name="Normal 2 8 3 12 4 2" xfId="35980" xr:uid="{00000000-0005-0000-0000-00008F8C0000}"/>
    <cellStyle name="Normal 2 8 3 12 4 2 2" xfId="35981" xr:uid="{00000000-0005-0000-0000-0000908C0000}"/>
    <cellStyle name="Normal 2 8 3 12 4 3" xfId="35982" xr:uid="{00000000-0005-0000-0000-0000918C0000}"/>
    <cellStyle name="Normal 2 8 3 12 4 4" xfId="35983" xr:uid="{00000000-0005-0000-0000-0000928C0000}"/>
    <cellStyle name="Normal 2 8 3 12 4 5" xfId="35984" xr:uid="{00000000-0005-0000-0000-0000938C0000}"/>
    <cellStyle name="Normal 2 8 3 12 5" xfId="35985" xr:uid="{00000000-0005-0000-0000-0000948C0000}"/>
    <cellStyle name="Normal 2 8 3 12 5 2" xfId="35986" xr:uid="{00000000-0005-0000-0000-0000958C0000}"/>
    <cellStyle name="Normal 2 8 3 12 5 3" xfId="35987" xr:uid="{00000000-0005-0000-0000-0000968C0000}"/>
    <cellStyle name="Normal 2 8 3 12 5 4" xfId="35988" xr:uid="{00000000-0005-0000-0000-0000978C0000}"/>
    <cellStyle name="Normal 2 8 3 12 6" xfId="35989" xr:uid="{00000000-0005-0000-0000-0000988C0000}"/>
    <cellStyle name="Normal 2 8 3 12 6 2" xfId="35990" xr:uid="{00000000-0005-0000-0000-0000998C0000}"/>
    <cellStyle name="Normal 2 8 3 12 7" xfId="35991" xr:uid="{00000000-0005-0000-0000-00009A8C0000}"/>
    <cellStyle name="Normal 2 8 3 12 8" xfId="35992" xr:uid="{00000000-0005-0000-0000-00009B8C0000}"/>
    <cellStyle name="Normal 2 8 3 12 9" xfId="35993" xr:uid="{00000000-0005-0000-0000-00009C8C0000}"/>
    <cellStyle name="Normal 2 8 3 13" xfId="35994" xr:uid="{00000000-0005-0000-0000-00009D8C0000}"/>
    <cellStyle name="Normal 2 8 3 13 2" xfId="35995" xr:uid="{00000000-0005-0000-0000-00009E8C0000}"/>
    <cellStyle name="Normal 2 8 3 13 2 2" xfId="35996" xr:uid="{00000000-0005-0000-0000-00009F8C0000}"/>
    <cellStyle name="Normal 2 8 3 13 2 2 2" xfId="35997" xr:uid="{00000000-0005-0000-0000-0000A08C0000}"/>
    <cellStyle name="Normal 2 8 3 13 2 2 3" xfId="35998" xr:uid="{00000000-0005-0000-0000-0000A18C0000}"/>
    <cellStyle name="Normal 2 8 3 13 2 3" xfId="35999" xr:uid="{00000000-0005-0000-0000-0000A28C0000}"/>
    <cellStyle name="Normal 2 8 3 13 2 4" xfId="36000" xr:uid="{00000000-0005-0000-0000-0000A38C0000}"/>
    <cellStyle name="Normal 2 8 3 13 2 5" xfId="36001" xr:uid="{00000000-0005-0000-0000-0000A48C0000}"/>
    <cellStyle name="Normal 2 8 3 13 2 6" xfId="36002" xr:uid="{00000000-0005-0000-0000-0000A58C0000}"/>
    <cellStyle name="Normal 2 8 3 13 3" xfId="36003" xr:uid="{00000000-0005-0000-0000-0000A68C0000}"/>
    <cellStyle name="Normal 2 8 3 13 3 2" xfId="36004" xr:uid="{00000000-0005-0000-0000-0000A78C0000}"/>
    <cellStyle name="Normal 2 8 3 13 3 2 2" xfId="36005" xr:uid="{00000000-0005-0000-0000-0000A88C0000}"/>
    <cellStyle name="Normal 2 8 3 13 3 3" xfId="36006" xr:uid="{00000000-0005-0000-0000-0000A98C0000}"/>
    <cellStyle name="Normal 2 8 3 13 3 4" xfId="36007" xr:uid="{00000000-0005-0000-0000-0000AA8C0000}"/>
    <cellStyle name="Normal 2 8 3 13 3 5" xfId="36008" xr:uid="{00000000-0005-0000-0000-0000AB8C0000}"/>
    <cellStyle name="Normal 2 8 3 13 4" xfId="36009" xr:uid="{00000000-0005-0000-0000-0000AC8C0000}"/>
    <cellStyle name="Normal 2 8 3 13 4 2" xfId="36010" xr:uid="{00000000-0005-0000-0000-0000AD8C0000}"/>
    <cellStyle name="Normal 2 8 3 13 4 3" xfId="36011" xr:uid="{00000000-0005-0000-0000-0000AE8C0000}"/>
    <cellStyle name="Normal 2 8 3 13 4 4" xfId="36012" xr:uid="{00000000-0005-0000-0000-0000AF8C0000}"/>
    <cellStyle name="Normal 2 8 3 13 5" xfId="36013" xr:uid="{00000000-0005-0000-0000-0000B08C0000}"/>
    <cellStyle name="Normal 2 8 3 13 5 2" xfId="36014" xr:uid="{00000000-0005-0000-0000-0000B18C0000}"/>
    <cellStyle name="Normal 2 8 3 13 6" xfId="36015" xr:uid="{00000000-0005-0000-0000-0000B28C0000}"/>
    <cellStyle name="Normal 2 8 3 13 7" xfId="36016" xr:uid="{00000000-0005-0000-0000-0000B38C0000}"/>
    <cellStyle name="Normal 2 8 3 13 8" xfId="36017" xr:uid="{00000000-0005-0000-0000-0000B48C0000}"/>
    <cellStyle name="Normal 2 8 3 13 9" xfId="36018" xr:uid="{00000000-0005-0000-0000-0000B58C0000}"/>
    <cellStyle name="Normal 2 8 3 14" xfId="36019" xr:uid="{00000000-0005-0000-0000-0000B68C0000}"/>
    <cellStyle name="Normal 2 8 3 14 2" xfId="36020" xr:uid="{00000000-0005-0000-0000-0000B78C0000}"/>
    <cellStyle name="Normal 2 8 3 14 2 2" xfId="36021" xr:uid="{00000000-0005-0000-0000-0000B88C0000}"/>
    <cellStyle name="Normal 2 8 3 14 2 2 2" xfId="36022" xr:uid="{00000000-0005-0000-0000-0000B98C0000}"/>
    <cellStyle name="Normal 2 8 3 14 2 2 3" xfId="36023" xr:uid="{00000000-0005-0000-0000-0000BA8C0000}"/>
    <cellStyle name="Normal 2 8 3 14 2 3" xfId="36024" xr:uid="{00000000-0005-0000-0000-0000BB8C0000}"/>
    <cellStyle name="Normal 2 8 3 14 2 4" xfId="36025" xr:uid="{00000000-0005-0000-0000-0000BC8C0000}"/>
    <cellStyle name="Normal 2 8 3 14 2 5" xfId="36026" xr:uid="{00000000-0005-0000-0000-0000BD8C0000}"/>
    <cellStyle name="Normal 2 8 3 14 2 6" xfId="36027" xr:uid="{00000000-0005-0000-0000-0000BE8C0000}"/>
    <cellStyle name="Normal 2 8 3 14 3" xfId="36028" xr:uid="{00000000-0005-0000-0000-0000BF8C0000}"/>
    <cellStyle name="Normal 2 8 3 14 3 2" xfId="36029" xr:uid="{00000000-0005-0000-0000-0000C08C0000}"/>
    <cellStyle name="Normal 2 8 3 14 3 2 2" xfId="36030" xr:uid="{00000000-0005-0000-0000-0000C18C0000}"/>
    <cellStyle name="Normal 2 8 3 14 3 3" xfId="36031" xr:uid="{00000000-0005-0000-0000-0000C28C0000}"/>
    <cellStyle name="Normal 2 8 3 14 3 4" xfId="36032" xr:uid="{00000000-0005-0000-0000-0000C38C0000}"/>
    <cellStyle name="Normal 2 8 3 14 3 5" xfId="36033" xr:uid="{00000000-0005-0000-0000-0000C48C0000}"/>
    <cellStyle name="Normal 2 8 3 14 4" xfId="36034" xr:uid="{00000000-0005-0000-0000-0000C58C0000}"/>
    <cellStyle name="Normal 2 8 3 14 4 2" xfId="36035" xr:uid="{00000000-0005-0000-0000-0000C68C0000}"/>
    <cellStyle name="Normal 2 8 3 14 4 3" xfId="36036" xr:uid="{00000000-0005-0000-0000-0000C78C0000}"/>
    <cellStyle name="Normal 2 8 3 14 4 4" xfId="36037" xr:uid="{00000000-0005-0000-0000-0000C88C0000}"/>
    <cellStyle name="Normal 2 8 3 14 5" xfId="36038" xr:uid="{00000000-0005-0000-0000-0000C98C0000}"/>
    <cellStyle name="Normal 2 8 3 14 5 2" xfId="36039" xr:uid="{00000000-0005-0000-0000-0000CA8C0000}"/>
    <cellStyle name="Normal 2 8 3 14 6" xfId="36040" xr:uid="{00000000-0005-0000-0000-0000CB8C0000}"/>
    <cellStyle name="Normal 2 8 3 14 7" xfId="36041" xr:uid="{00000000-0005-0000-0000-0000CC8C0000}"/>
    <cellStyle name="Normal 2 8 3 14 8" xfId="36042" xr:uid="{00000000-0005-0000-0000-0000CD8C0000}"/>
    <cellStyle name="Normal 2 8 3 14 9" xfId="36043" xr:uid="{00000000-0005-0000-0000-0000CE8C0000}"/>
    <cellStyle name="Normal 2 8 3 15" xfId="36044" xr:uid="{00000000-0005-0000-0000-0000CF8C0000}"/>
    <cellStyle name="Normal 2 8 3 15 2" xfId="36045" xr:uid="{00000000-0005-0000-0000-0000D08C0000}"/>
    <cellStyle name="Normal 2 8 3 15 2 2" xfId="36046" xr:uid="{00000000-0005-0000-0000-0000D18C0000}"/>
    <cellStyle name="Normal 2 8 3 15 2 3" xfId="36047" xr:uid="{00000000-0005-0000-0000-0000D28C0000}"/>
    <cellStyle name="Normal 2 8 3 15 3" xfId="36048" xr:uid="{00000000-0005-0000-0000-0000D38C0000}"/>
    <cellStyle name="Normal 2 8 3 15 4" xfId="36049" xr:uid="{00000000-0005-0000-0000-0000D48C0000}"/>
    <cellStyle name="Normal 2 8 3 15 5" xfId="36050" xr:uid="{00000000-0005-0000-0000-0000D58C0000}"/>
    <cellStyle name="Normal 2 8 3 15 6" xfId="36051" xr:uid="{00000000-0005-0000-0000-0000D68C0000}"/>
    <cellStyle name="Normal 2 8 3 16" xfId="36052" xr:uid="{00000000-0005-0000-0000-0000D78C0000}"/>
    <cellStyle name="Normal 2 8 3 16 2" xfId="36053" xr:uid="{00000000-0005-0000-0000-0000D88C0000}"/>
    <cellStyle name="Normal 2 8 3 16 2 2" xfId="36054" xr:uid="{00000000-0005-0000-0000-0000D98C0000}"/>
    <cellStyle name="Normal 2 8 3 16 3" xfId="36055" xr:uid="{00000000-0005-0000-0000-0000DA8C0000}"/>
    <cellStyle name="Normal 2 8 3 16 4" xfId="36056" xr:uid="{00000000-0005-0000-0000-0000DB8C0000}"/>
    <cellStyle name="Normal 2 8 3 16 5" xfId="36057" xr:uid="{00000000-0005-0000-0000-0000DC8C0000}"/>
    <cellStyle name="Normal 2 8 3 17" xfId="36058" xr:uid="{00000000-0005-0000-0000-0000DD8C0000}"/>
    <cellStyle name="Normal 2 8 3 17 2" xfId="36059" xr:uid="{00000000-0005-0000-0000-0000DE8C0000}"/>
    <cellStyle name="Normal 2 8 3 17 2 2" xfId="36060" xr:uid="{00000000-0005-0000-0000-0000DF8C0000}"/>
    <cellStyle name="Normal 2 8 3 17 3" xfId="36061" xr:uid="{00000000-0005-0000-0000-0000E08C0000}"/>
    <cellStyle name="Normal 2 8 3 17 4" xfId="36062" xr:uid="{00000000-0005-0000-0000-0000E18C0000}"/>
    <cellStyle name="Normal 2 8 3 17 5" xfId="36063" xr:uid="{00000000-0005-0000-0000-0000E28C0000}"/>
    <cellStyle name="Normal 2 8 3 18" xfId="36064" xr:uid="{00000000-0005-0000-0000-0000E38C0000}"/>
    <cellStyle name="Normal 2 8 3 18 2" xfId="36065" xr:uid="{00000000-0005-0000-0000-0000E48C0000}"/>
    <cellStyle name="Normal 2 8 3 19" xfId="36066" xr:uid="{00000000-0005-0000-0000-0000E58C0000}"/>
    <cellStyle name="Normal 2 8 3 2" xfId="36067" xr:uid="{00000000-0005-0000-0000-0000E68C0000}"/>
    <cellStyle name="Normal 2 8 3 2 10" xfId="36068" xr:uid="{00000000-0005-0000-0000-0000E78C0000}"/>
    <cellStyle name="Normal 2 8 3 2 11" xfId="36069" xr:uid="{00000000-0005-0000-0000-0000E88C0000}"/>
    <cellStyle name="Normal 2 8 3 2 2" xfId="36070" xr:uid="{00000000-0005-0000-0000-0000E98C0000}"/>
    <cellStyle name="Normal 2 8 3 2 2 2" xfId="36071" xr:uid="{00000000-0005-0000-0000-0000EA8C0000}"/>
    <cellStyle name="Normal 2 8 3 2 2 2 2" xfId="36072" xr:uid="{00000000-0005-0000-0000-0000EB8C0000}"/>
    <cellStyle name="Normal 2 8 3 2 2 2 2 2" xfId="36073" xr:uid="{00000000-0005-0000-0000-0000EC8C0000}"/>
    <cellStyle name="Normal 2 8 3 2 2 2 2 3" xfId="36074" xr:uid="{00000000-0005-0000-0000-0000ED8C0000}"/>
    <cellStyle name="Normal 2 8 3 2 2 2 3" xfId="36075" xr:uid="{00000000-0005-0000-0000-0000EE8C0000}"/>
    <cellStyle name="Normal 2 8 3 2 2 2 4" xfId="36076" xr:uid="{00000000-0005-0000-0000-0000EF8C0000}"/>
    <cellStyle name="Normal 2 8 3 2 2 2 5" xfId="36077" xr:uid="{00000000-0005-0000-0000-0000F08C0000}"/>
    <cellStyle name="Normal 2 8 3 2 2 2 6" xfId="36078" xr:uid="{00000000-0005-0000-0000-0000F18C0000}"/>
    <cellStyle name="Normal 2 8 3 2 2 3" xfId="36079" xr:uid="{00000000-0005-0000-0000-0000F28C0000}"/>
    <cellStyle name="Normal 2 8 3 2 2 3 2" xfId="36080" xr:uid="{00000000-0005-0000-0000-0000F38C0000}"/>
    <cellStyle name="Normal 2 8 3 2 2 3 2 2" xfId="36081" xr:uid="{00000000-0005-0000-0000-0000F48C0000}"/>
    <cellStyle name="Normal 2 8 3 2 2 3 3" xfId="36082" xr:uid="{00000000-0005-0000-0000-0000F58C0000}"/>
    <cellStyle name="Normal 2 8 3 2 2 3 4" xfId="36083" xr:uid="{00000000-0005-0000-0000-0000F68C0000}"/>
    <cellStyle name="Normal 2 8 3 2 2 3 5" xfId="36084" xr:uid="{00000000-0005-0000-0000-0000F78C0000}"/>
    <cellStyle name="Normal 2 8 3 2 2 4" xfId="36085" xr:uid="{00000000-0005-0000-0000-0000F88C0000}"/>
    <cellStyle name="Normal 2 8 3 2 2 4 2" xfId="36086" xr:uid="{00000000-0005-0000-0000-0000F98C0000}"/>
    <cellStyle name="Normal 2 8 3 2 2 4 3" xfId="36087" xr:uid="{00000000-0005-0000-0000-0000FA8C0000}"/>
    <cellStyle name="Normal 2 8 3 2 2 4 4" xfId="36088" xr:uid="{00000000-0005-0000-0000-0000FB8C0000}"/>
    <cellStyle name="Normal 2 8 3 2 2 5" xfId="36089" xr:uid="{00000000-0005-0000-0000-0000FC8C0000}"/>
    <cellStyle name="Normal 2 8 3 2 2 5 2" xfId="36090" xr:uid="{00000000-0005-0000-0000-0000FD8C0000}"/>
    <cellStyle name="Normal 2 8 3 2 2 6" xfId="36091" xr:uid="{00000000-0005-0000-0000-0000FE8C0000}"/>
    <cellStyle name="Normal 2 8 3 2 2 7" xfId="36092" xr:uid="{00000000-0005-0000-0000-0000FF8C0000}"/>
    <cellStyle name="Normal 2 8 3 2 2 8" xfId="36093" xr:uid="{00000000-0005-0000-0000-0000008D0000}"/>
    <cellStyle name="Normal 2 8 3 2 2 9" xfId="36094" xr:uid="{00000000-0005-0000-0000-0000018D0000}"/>
    <cellStyle name="Normal 2 8 3 2 3" xfId="36095" xr:uid="{00000000-0005-0000-0000-0000028D0000}"/>
    <cellStyle name="Normal 2 8 3 2 3 2" xfId="36096" xr:uid="{00000000-0005-0000-0000-0000038D0000}"/>
    <cellStyle name="Normal 2 8 3 2 3 2 2" xfId="36097" xr:uid="{00000000-0005-0000-0000-0000048D0000}"/>
    <cellStyle name="Normal 2 8 3 2 3 2 2 2" xfId="36098" xr:uid="{00000000-0005-0000-0000-0000058D0000}"/>
    <cellStyle name="Normal 2 8 3 2 3 2 2 3" xfId="36099" xr:uid="{00000000-0005-0000-0000-0000068D0000}"/>
    <cellStyle name="Normal 2 8 3 2 3 2 3" xfId="36100" xr:uid="{00000000-0005-0000-0000-0000078D0000}"/>
    <cellStyle name="Normal 2 8 3 2 3 2 4" xfId="36101" xr:uid="{00000000-0005-0000-0000-0000088D0000}"/>
    <cellStyle name="Normal 2 8 3 2 3 2 5" xfId="36102" xr:uid="{00000000-0005-0000-0000-0000098D0000}"/>
    <cellStyle name="Normal 2 8 3 2 3 2 6" xfId="36103" xr:uid="{00000000-0005-0000-0000-00000A8D0000}"/>
    <cellStyle name="Normal 2 8 3 2 3 3" xfId="36104" xr:uid="{00000000-0005-0000-0000-00000B8D0000}"/>
    <cellStyle name="Normal 2 8 3 2 3 3 2" xfId="36105" xr:uid="{00000000-0005-0000-0000-00000C8D0000}"/>
    <cellStyle name="Normal 2 8 3 2 3 3 2 2" xfId="36106" xr:uid="{00000000-0005-0000-0000-00000D8D0000}"/>
    <cellStyle name="Normal 2 8 3 2 3 3 3" xfId="36107" xr:uid="{00000000-0005-0000-0000-00000E8D0000}"/>
    <cellStyle name="Normal 2 8 3 2 3 3 4" xfId="36108" xr:uid="{00000000-0005-0000-0000-00000F8D0000}"/>
    <cellStyle name="Normal 2 8 3 2 3 3 5" xfId="36109" xr:uid="{00000000-0005-0000-0000-0000108D0000}"/>
    <cellStyle name="Normal 2 8 3 2 3 4" xfId="36110" xr:uid="{00000000-0005-0000-0000-0000118D0000}"/>
    <cellStyle name="Normal 2 8 3 2 3 4 2" xfId="36111" xr:uid="{00000000-0005-0000-0000-0000128D0000}"/>
    <cellStyle name="Normal 2 8 3 2 3 4 3" xfId="36112" xr:uid="{00000000-0005-0000-0000-0000138D0000}"/>
    <cellStyle name="Normal 2 8 3 2 3 4 4" xfId="36113" xr:uid="{00000000-0005-0000-0000-0000148D0000}"/>
    <cellStyle name="Normal 2 8 3 2 3 5" xfId="36114" xr:uid="{00000000-0005-0000-0000-0000158D0000}"/>
    <cellStyle name="Normal 2 8 3 2 3 5 2" xfId="36115" xr:uid="{00000000-0005-0000-0000-0000168D0000}"/>
    <cellStyle name="Normal 2 8 3 2 3 6" xfId="36116" xr:uid="{00000000-0005-0000-0000-0000178D0000}"/>
    <cellStyle name="Normal 2 8 3 2 3 7" xfId="36117" xr:uid="{00000000-0005-0000-0000-0000188D0000}"/>
    <cellStyle name="Normal 2 8 3 2 3 8" xfId="36118" xr:uid="{00000000-0005-0000-0000-0000198D0000}"/>
    <cellStyle name="Normal 2 8 3 2 3 9" xfId="36119" xr:uid="{00000000-0005-0000-0000-00001A8D0000}"/>
    <cellStyle name="Normal 2 8 3 2 4" xfId="36120" xr:uid="{00000000-0005-0000-0000-00001B8D0000}"/>
    <cellStyle name="Normal 2 8 3 2 4 2" xfId="36121" xr:uid="{00000000-0005-0000-0000-00001C8D0000}"/>
    <cellStyle name="Normal 2 8 3 2 4 2 2" xfId="36122" xr:uid="{00000000-0005-0000-0000-00001D8D0000}"/>
    <cellStyle name="Normal 2 8 3 2 4 2 3" xfId="36123" xr:uid="{00000000-0005-0000-0000-00001E8D0000}"/>
    <cellStyle name="Normal 2 8 3 2 4 3" xfId="36124" xr:uid="{00000000-0005-0000-0000-00001F8D0000}"/>
    <cellStyle name="Normal 2 8 3 2 4 4" xfId="36125" xr:uid="{00000000-0005-0000-0000-0000208D0000}"/>
    <cellStyle name="Normal 2 8 3 2 4 5" xfId="36126" xr:uid="{00000000-0005-0000-0000-0000218D0000}"/>
    <cellStyle name="Normal 2 8 3 2 4 6" xfId="36127" xr:uid="{00000000-0005-0000-0000-0000228D0000}"/>
    <cellStyle name="Normal 2 8 3 2 5" xfId="36128" xr:uid="{00000000-0005-0000-0000-0000238D0000}"/>
    <cellStyle name="Normal 2 8 3 2 5 2" xfId="36129" xr:uid="{00000000-0005-0000-0000-0000248D0000}"/>
    <cellStyle name="Normal 2 8 3 2 5 2 2" xfId="36130" xr:uid="{00000000-0005-0000-0000-0000258D0000}"/>
    <cellStyle name="Normal 2 8 3 2 5 3" xfId="36131" xr:uid="{00000000-0005-0000-0000-0000268D0000}"/>
    <cellStyle name="Normal 2 8 3 2 5 4" xfId="36132" xr:uid="{00000000-0005-0000-0000-0000278D0000}"/>
    <cellStyle name="Normal 2 8 3 2 5 5" xfId="36133" xr:uid="{00000000-0005-0000-0000-0000288D0000}"/>
    <cellStyle name="Normal 2 8 3 2 6" xfId="36134" xr:uid="{00000000-0005-0000-0000-0000298D0000}"/>
    <cellStyle name="Normal 2 8 3 2 6 2" xfId="36135" xr:uid="{00000000-0005-0000-0000-00002A8D0000}"/>
    <cellStyle name="Normal 2 8 3 2 6 3" xfId="36136" xr:uid="{00000000-0005-0000-0000-00002B8D0000}"/>
    <cellStyle name="Normal 2 8 3 2 6 4" xfId="36137" xr:uid="{00000000-0005-0000-0000-00002C8D0000}"/>
    <cellStyle name="Normal 2 8 3 2 7" xfId="36138" xr:uid="{00000000-0005-0000-0000-00002D8D0000}"/>
    <cellStyle name="Normal 2 8 3 2 7 2" xfId="36139" xr:uid="{00000000-0005-0000-0000-00002E8D0000}"/>
    <cellStyle name="Normal 2 8 3 2 8" xfId="36140" xr:uid="{00000000-0005-0000-0000-00002F8D0000}"/>
    <cellStyle name="Normal 2 8 3 2 9" xfId="36141" xr:uid="{00000000-0005-0000-0000-0000308D0000}"/>
    <cellStyle name="Normal 2 8 3 20" xfId="36142" xr:uid="{00000000-0005-0000-0000-0000318D0000}"/>
    <cellStyle name="Normal 2 8 3 21" xfId="36143" xr:uid="{00000000-0005-0000-0000-0000328D0000}"/>
    <cellStyle name="Normal 2 8 3 22" xfId="36144" xr:uid="{00000000-0005-0000-0000-0000338D0000}"/>
    <cellStyle name="Normal 2 8 3 3" xfId="36145" xr:uid="{00000000-0005-0000-0000-0000348D0000}"/>
    <cellStyle name="Normal 2 8 3 3 10" xfId="36146" xr:uid="{00000000-0005-0000-0000-0000358D0000}"/>
    <cellStyle name="Normal 2 8 3 3 11" xfId="36147" xr:uid="{00000000-0005-0000-0000-0000368D0000}"/>
    <cellStyle name="Normal 2 8 3 3 2" xfId="36148" xr:uid="{00000000-0005-0000-0000-0000378D0000}"/>
    <cellStyle name="Normal 2 8 3 3 2 2" xfId="36149" xr:uid="{00000000-0005-0000-0000-0000388D0000}"/>
    <cellStyle name="Normal 2 8 3 3 2 2 2" xfId="36150" xr:uid="{00000000-0005-0000-0000-0000398D0000}"/>
    <cellStyle name="Normal 2 8 3 3 2 2 2 2" xfId="36151" xr:uid="{00000000-0005-0000-0000-00003A8D0000}"/>
    <cellStyle name="Normal 2 8 3 3 2 2 2 3" xfId="36152" xr:uid="{00000000-0005-0000-0000-00003B8D0000}"/>
    <cellStyle name="Normal 2 8 3 3 2 2 3" xfId="36153" xr:uid="{00000000-0005-0000-0000-00003C8D0000}"/>
    <cellStyle name="Normal 2 8 3 3 2 2 4" xfId="36154" xr:uid="{00000000-0005-0000-0000-00003D8D0000}"/>
    <cellStyle name="Normal 2 8 3 3 2 2 5" xfId="36155" xr:uid="{00000000-0005-0000-0000-00003E8D0000}"/>
    <cellStyle name="Normal 2 8 3 3 2 2 6" xfId="36156" xr:uid="{00000000-0005-0000-0000-00003F8D0000}"/>
    <cellStyle name="Normal 2 8 3 3 2 3" xfId="36157" xr:uid="{00000000-0005-0000-0000-0000408D0000}"/>
    <cellStyle name="Normal 2 8 3 3 2 3 2" xfId="36158" xr:uid="{00000000-0005-0000-0000-0000418D0000}"/>
    <cellStyle name="Normal 2 8 3 3 2 3 2 2" xfId="36159" xr:uid="{00000000-0005-0000-0000-0000428D0000}"/>
    <cellStyle name="Normal 2 8 3 3 2 3 3" xfId="36160" xr:uid="{00000000-0005-0000-0000-0000438D0000}"/>
    <cellStyle name="Normal 2 8 3 3 2 3 4" xfId="36161" xr:uid="{00000000-0005-0000-0000-0000448D0000}"/>
    <cellStyle name="Normal 2 8 3 3 2 3 5" xfId="36162" xr:uid="{00000000-0005-0000-0000-0000458D0000}"/>
    <cellStyle name="Normal 2 8 3 3 2 4" xfId="36163" xr:uid="{00000000-0005-0000-0000-0000468D0000}"/>
    <cellStyle name="Normal 2 8 3 3 2 4 2" xfId="36164" xr:uid="{00000000-0005-0000-0000-0000478D0000}"/>
    <cellStyle name="Normal 2 8 3 3 2 4 3" xfId="36165" xr:uid="{00000000-0005-0000-0000-0000488D0000}"/>
    <cellStyle name="Normal 2 8 3 3 2 4 4" xfId="36166" xr:uid="{00000000-0005-0000-0000-0000498D0000}"/>
    <cellStyle name="Normal 2 8 3 3 2 5" xfId="36167" xr:uid="{00000000-0005-0000-0000-00004A8D0000}"/>
    <cellStyle name="Normal 2 8 3 3 2 5 2" xfId="36168" xr:uid="{00000000-0005-0000-0000-00004B8D0000}"/>
    <cellStyle name="Normal 2 8 3 3 2 6" xfId="36169" xr:uid="{00000000-0005-0000-0000-00004C8D0000}"/>
    <cellStyle name="Normal 2 8 3 3 2 7" xfId="36170" xr:uid="{00000000-0005-0000-0000-00004D8D0000}"/>
    <cellStyle name="Normal 2 8 3 3 2 8" xfId="36171" xr:uid="{00000000-0005-0000-0000-00004E8D0000}"/>
    <cellStyle name="Normal 2 8 3 3 2 9" xfId="36172" xr:uid="{00000000-0005-0000-0000-00004F8D0000}"/>
    <cellStyle name="Normal 2 8 3 3 3" xfId="36173" xr:uid="{00000000-0005-0000-0000-0000508D0000}"/>
    <cellStyle name="Normal 2 8 3 3 3 2" xfId="36174" xr:uid="{00000000-0005-0000-0000-0000518D0000}"/>
    <cellStyle name="Normal 2 8 3 3 3 2 2" xfId="36175" xr:uid="{00000000-0005-0000-0000-0000528D0000}"/>
    <cellStyle name="Normal 2 8 3 3 3 2 2 2" xfId="36176" xr:uid="{00000000-0005-0000-0000-0000538D0000}"/>
    <cellStyle name="Normal 2 8 3 3 3 2 2 3" xfId="36177" xr:uid="{00000000-0005-0000-0000-0000548D0000}"/>
    <cellStyle name="Normal 2 8 3 3 3 2 3" xfId="36178" xr:uid="{00000000-0005-0000-0000-0000558D0000}"/>
    <cellStyle name="Normal 2 8 3 3 3 2 4" xfId="36179" xr:uid="{00000000-0005-0000-0000-0000568D0000}"/>
    <cellStyle name="Normal 2 8 3 3 3 2 5" xfId="36180" xr:uid="{00000000-0005-0000-0000-0000578D0000}"/>
    <cellStyle name="Normal 2 8 3 3 3 2 6" xfId="36181" xr:uid="{00000000-0005-0000-0000-0000588D0000}"/>
    <cellStyle name="Normal 2 8 3 3 3 3" xfId="36182" xr:uid="{00000000-0005-0000-0000-0000598D0000}"/>
    <cellStyle name="Normal 2 8 3 3 3 3 2" xfId="36183" xr:uid="{00000000-0005-0000-0000-00005A8D0000}"/>
    <cellStyle name="Normal 2 8 3 3 3 3 2 2" xfId="36184" xr:uid="{00000000-0005-0000-0000-00005B8D0000}"/>
    <cellStyle name="Normal 2 8 3 3 3 3 3" xfId="36185" xr:uid="{00000000-0005-0000-0000-00005C8D0000}"/>
    <cellStyle name="Normal 2 8 3 3 3 3 4" xfId="36186" xr:uid="{00000000-0005-0000-0000-00005D8D0000}"/>
    <cellStyle name="Normal 2 8 3 3 3 3 5" xfId="36187" xr:uid="{00000000-0005-0000-0000-00005E8D0000}"/>
    <cellStyle name="Normal 2 8 3 3 3 4" xfId="36188" xr:uid="{00000000-0005-0000-0000-00005F8D0000}"/>
    <cellStyle name="Normal 2 8 3 3 3 4 2" xfId="36189" xr:uid="{00000000-0005-0000-0000-0000608D0000}"/>
    <cellStyle name="Normal 2 8 3 3 3 4 3" xfId="36190" xr:uid="{00000000-0005-0000-0000-0000618D0000}"/>
    <cellStyle name="Normal 2 8 3 3 3 4 4" xfId="36191" xr:uid="{00000000-0005-0000-0000-0000628D0000}"/>
    <cellStyle name="Normal 2 8 3 3 3 5" xfId="36192" xr:uid="{00000000-0005-0000-0000-0000638D0000}"/>
    <cellStyle name="Normal 2 8 3 3 3 5 2" xfId="36193" xr:uid="{00000000-0005-0000-0000-0000648D0000}"/>
    <cellStyle name="Normal 2 8 3 3 3 6" xfId="36194" xr:uid="{00000000-0005-0000-0000-0000658D0000}"/>
    <cellStyle name="Normal 2 8 3 3 3 7" xfId="36195" xr:uid="{00000000-0005-0000-0000-0000668D0000}"/>
    <cellStyle name="Normal 2 8 3 3 3 8" xfId="36196" xr:uid="{00000000-0005-0000-0000-0000678D0000}"/>
    <cellStyle name="Normal 2 8 3 3 3 9" xfId="36197" xr:uid="{00000000-0005-0000-0000-0000688D0000}"/>
    <cellStyle name="Normal 2 8 3 3 4" xfId="36198" xr:uid="{00000000-0005-0000-0000-0000698D0000}"/>
    <cellStyle name="Normal 2 8 3 3 4 2" xfId="36199" xr:uid="{00000000-0005-0000-0000-00006A8D0000}"/>
    <cellStyle name="Normal 2 8 3 3 4 2 2" xfId="36200" xr:uid="{00000000-0005-0000-0000-00006B8D0000}"/>
    <cellStyle name="Normal 2 8 3 3 4 2 3" xfId="36201" xr:uid="{00000000-0005-0000-0000-00006C8D0000}"/>
    <cellStyle name="Normal 2 8 3 3 4 3" xfId="36202" xr:uid="{00000000-0005-0000-0000-00006D8D0000}"/>
    <cellStyle name="Normal 2 8 3 3 4 4" xfId="36203" xr:uid="{00000000-0005-0000-0000-00006E8D0000}"/>
    <cellStyle name="Normal 2 8 3 3 4 5" xfId="36204" xr:uid="{00000000-0005-0000-0000-00006F8D0000}"/>
    <cellStyle name="Normal 2 8 3 3 4 6" xfId="36205" xr:uid="{00000000-0005-0000-0000-0000708D0000}"/>
    <cellStyle name="Normal 2 8 3 3 5" xfId="36206" xr:uid="{00000000-0005-0000-0000-0000718D0000}"/>
    <cellStyle name="Normal 2 8 3 3 5 2" xfId="36207" xr:uid="{00000000-0005-0000-0000-0000728D0000}"/>
    <cellStyle name="Normal 2 8 3 3 5 2 2" xfId="36208" xr:uid="{00000000-0005-0000-0000-0000738D0000}"/>
    <cellStyle name="Normal 2 8 3 3 5 3" xfId="36209" xr:uid="{00000000-0005-0000-0000-0000748D0000}"/>
    <cellStyle name="Normal 2 8 3 3 5 4" xfId="36210" xr:uid="{00000000-0005-0000-0000-0000758D0000}"/>
    <cellStyle name="Normal 2 8 3 3 5 5" xfId="36211" xr:uid="{00000000-0005-0000-0000-0000768D0000}"/>
    <cellStyle name="Normal 2 8 3 3 6" xfId="36212" xr:uid="{00000000-0005-0000-0000-0000778D0000}"/>
    <cellStyle name="Normal 2 8 3 3 6 2" xfId="36213" xr:uid="{00000000-0005-0000-0000-0000788D0000}"/>
    <cellStyle name="Normal 2 8 3 3 6 3" xfId="36214" xr:uid="{00000000-0005-0000-0000-0000798D0000}"/>
    <cellStyle name="Normal 2 8 3 3 6 4" xfId="36215" xr:uid="{00000000-0005-0000-0000-00007A8D0000}"/>
    <cellStyle name="Normal 2 8 3 3 7" xfId="36216" xr:uid="{00000000-0005-0000-0000-00007B8D0000}"/>
    <cellStyle name="Normal 2 8 3 3 7 2" xfId="36217" xr:uid="{00000000-0005-0000-0000-00007C8D0000}"/>
    <cellStyle name="Normal 2 8 3 3 8" xfId="36218" xr:uid="{00000000-0005-0000-0000-00007D8D0000}"/>
    <cellStyle name="Normal 2 8 3 3 9" xfId="36219" xr:uid="{00000000-0005-0000-0000-00007E8D0000}"/>
    <cellStyle name="Normal 2 8 3 4" xfId="36220" xr:uid="{00000000-0005-0000-0000-00007F8D0000}"/>
    <cellStyle name="Normal 2 8 3 4 10" xfId="36221" xr:uid="{00000000-0005-0000-0000-0000808D0000}"/>
    <cellStyle name="Normal 2 8 3 4 11" xfId="36222" xr:uid="{00000000-0005-0000-0000-0000818D0000}"/>
    <cellStyle name="Normal 2 8 3 4 2" xfId="36223" xr:uid="{00000000-0005-0000-0000-0000828D0000}"/>
    <cellStyle name="Normal 2 8 3 4 2 2" xfId="36224" xr:uid="{00000000-0005-0000-0000-0000838D0000}"/>
    <cellStyle name="Normal 2 8 3 4 2 2 2" xfId="36225" xr:uid="{00000000-0005-0000-0000-0000848D0000}"/>
    <cellStyle name="Normal 2 8 3 4 2 2 2 2" xfId="36226" xr:uid="{00000000-0005-0000-0000-0000858D0000}"/>
    <cellStyle name="Normal 2 8 3 4 2 2 2 3" xfId="36227" xr:uid="{00000000-0005-0000-0000-0000868D0000}"/>
    <cellStyle name="Normal 2 8 3 4 2 2 3" xfId="36228" xr:uid="{00000000-0005-0000-0000-0000878D0000}"/>
    <cellStyle name="Normal 2 8 3 4 2 2 4" xfId="36229" xr:uid="{00000000-0005-0000-0000-0000888D0000}"/>
    <cellStyle name="Normal 2 8 3 4 2 2 5" xfId="36230" xr:uid="{00000000-0005-0000-0000-0000898D0000}"/>
    <cellStyle name="Normal 2 8 3 4 2 2 6" xfId="36231" xr:uid="{00000000-0005-0000-0000-00008A8D0000}"/>
    <cellStyle name="Normal 2 8 3 4 2 3" xfId="36232" xr:uid="{00000000-0005-0000-0000-00008B8D0000}"/>
    <cellStyle name="Normal 2 8 3 4 2 3 2" xfId="36233" xr:uid="{00000000-0005-0000-0000-00008C8D0000}"/>
    <cellStyle name="Normal 2 8 3 4 2 3 2 2" xfId="36234" xr:uid="{00000000-0005-0000-0000-00008D8D0000}"/>
    <cellStyle name="Normal 2 8 3 4 2 3 3" xfId="36235" xr:uid="{00000000-0005-0000-0000-00008E8D0000}"/>
    <cellStyle name="Normal 2 8 3 4 2 3 4" xfId="36236" xr:uid="{00000000-0005-0000-0000-00008F8D0000}"/>
    <cellStyle name="Normal 2 8 3 4 2 3 5" xfId="36237" xr:uid="{00000000-0005-0000-0000-0000908D0000}"/>
    <cellStyle name="Normal 2 8 3 4 2 4" xfId="36238" xr:uid="{00000000-0005-0000-0000-0000918D0000}"/>
    <cellStyle name="Normal 2 8 3 4 2 4 2" xfId="36239" xr:uid="{00000000-0005-0000-0000-0000928D0000}"/>
    <cellStyle name="Normal 2 8 3 4 2 4 3" xfId="36240" xr:uid="{00000000-0005-0000-0000-0000938D0000}"/>
    <cellStyle name="Normal 2 8 3 4 2 4 4" xfId="36241" xr:uid="{00000000-0005-0000-0000-0000948D0000}"/>
    <cellStyle name="Normal 2 8 3 4 2 5" xfId="36242" xr:uid="{00000000-0005-0000-0000-0000958D0000}"/>
    <cellStyle name="Normal 2 8 3 4 2 5 2" xfId="36243" xr:uid="{00000000-0005-0000-0000-0000968D0000}"/>
    <cellStyle name="Normal 2 8 3 4 2 6" xfId="36244" xr:uid="{00000000-0005-0000-0000-0000978D0000}"/>
    <cellStyle name="Normal 2 8 3 4 2 7" xfId="36245" xr:uid="{00000000-0005-0000-0000-0000988D0000}"/>
    <cellStyle name="Normal 2 8 3 4 2 8" xfId="36246" xr:uid="{00000000-0005-0000-0000-0000998D0000}"/>
    <cellStyle name="Normal 2 8 3 4 2 9" xfId="36247" xr:uid="{00000000-0005-0000-0000-00009A8D0000}"/>
    <cellStyle name="Normal 2 8 3 4 3" xfId="36248" xr:uid="{00000000-0005-0000-0000-00009B8D0000}"/>
    <cellStyle name="Normal 2 8 3 4 3 2" xfId="36249" xr:uid="{00000000-0005-0000-0000-00009C8D0000}"/>
    <cellStyle name="Normal 2 8 3 4 3 2 2" xfId="36250" xr:uid="{00000000-0005-0000-0000-00009D8D0000}"/>
    <cellStyle name="Normal 2 8 3 4 3 2 2 2" xfId="36251" xr:uid="{00000000-0005-0000-0000-00009E8D0000}"/>
    <cellStyle name="Normal 2 8 3 4 3 2 2 3" xfId="36252" xr:uid="{00000000-0005-0000-0000-00009F8D0000}"/>
    <cellStyle name="Normal 2 8 3 4 3 2 3" xfId="36253" xr:uid="{00000000-0005-0000-0000-0000A08D0000}"/>
    <cellStyle name="Normal 2 8 3 4 3 2 4" xfId="36254" xr:uid="{00000000-0005-0000-0000-0000A18D0000}"/>
    <cellStyle name="Normal 2 8 3 4 3 2 5" xfId="36255" xr:uid="{00000000-0005-0000-0000-0000A28D0000}"/>
    <cellStyle name="Normal 2 8 3 4 3 2 6" xfId="36256" xr:uid="{00000000-0005-0000-0000-0000A38D0000}"/>
    <cellStyle name="Normal 2 8 3 4 3 3" xfId="36257" xr:uid="{00000000-0005-0000-0000-0000A48D0000}"/>
    <cellStyle name="Normal 2 8 3 4 3 3 2" xfId="36258" xr:uid="{00000000-0005-0000-0000-0000A58D0000}"/>
    <cellStyle name="Normal 2 8 3 4 3 3 2 2" xfId="36259" xr:uid="{00000000-0005-0000-0000-0000A68D0000}"/>
    <cellStyle name="Normal 2 8 3 4 3 3 3" xfId="36260" xr:uid="{00000000-0005-0000-0000-0000A78D0000}"/>
    <cellStyle name="Normal 2 8 3 4 3 3 4" xfId="36261" xr:uid="{00000000-0005-0000-0000-0000A88D0000}"/>
    <cellStyle name="Normal 2 8 3 4 3 3 5" xfId="36262" xr:uid="{00000000-0005-0000-0000-0000A98D0000}"/>
    <cellStyle name="Normal 2 8 3 4 3 4" xfId="36263" xr:uid="{00000000-0005-0000-0000-0000AA8D0000}"/>
    <cellStyle name="Normal 2 8 3 4 3 4 2" xfId="36264" xr:uid="{00000000-0005-0000-0000-0000AB8D0000}"/>
    <cellStyle name="Normal 2 8 3 4 3 4 3" xfId="36265" xr:uid="{00000000-0005-0000-0000-0000AC8D0000}"/>
    <cellStyle name="Normal 2 8 3 4 3 4 4" xfId="36266" xr:uid="{00000000-0005-0000-0000-0000AD8D0000}"/>
    <cellStyle name="Normal 2 8 3 4 3 5" xfId="36267" xr:uid="{00000000-0005-0000-0000-0000AE8D0000}"/>
    <cellStyle name="Normal 2 8 3 4 3 5 2" xfId="36268" xr:uid="{00000000-0005-0000-0000-0000AF8D0000}"/>
    <cellStyle name="Normal 2 8 3 4 3 6" xfId="36269" xr:uid="{00000000-0005-0000-0000-0000B08D0000}"/>
    <cellStyle name="Normal 2 8 3 4 3 7" xfId="36270" xr:uid="{00000000-0005-0000-0000-0000B18D0000}"/>
    <cellStyle name="Normal 2 8 3 4 3 8" xfId="36271" xr:uid="{00000000-0005-0000-0000-0000B28D0000}"/>
    <cellStyle name="Normal 2 8 3 4 3 9" xfId="36272" xr:uid="{00000000-0005-0000-0000-0000B38D0000}"/>
    <cellStyle name="Normal 2 8 3 4 4" xfId="36273" xr:uid="{00000000-0005-0000-0000-0000B48D0000}"/>
    <cellStyle name="Normal 2 8 3 4 4 2" xfId="36274" xr:uid="{00000000-0005-0000-0000-0000B58D0000}"/>
    <cellStyle name="Normal 2 8 3 4 4 2 2" xfId="36275" xr:uid="{00000000-0005-0000-0000-0000B68D0000}"/>
    <cellStyle name="Normal 2 8 3 4 4 2 3" xfId="36276" xr:uid="{00000000-0005-0000-0000-0000B78D0000}"/>
    <cellStyle name="Normal 2 8 3 4 4 3" xfId="36277" xr:uid="{00000000-0005-0000-0000-0000B88D0000}"/>
    <cellStyle name="Normal 2 8 3 4 4 4" xfId="36278" xr:uid="{00000000-0005-0000-0000-0000B98D0000}"/>
    <cellStyle name="Normal 2 8 3 4 4 5" xfId="36279" xr:uid="{00000000-0005-0000-0000-0000BA8D0000}"/>
    <cellStyle name="Normal 2 8 3 4 4 6" xfId="36280" xr:uid="{00000000-0005-0000-0000-0000BB8D0000}"/>
    <cellStyle name="Normal 2 8 3 4 5" xfId="36281" xr:uid="{00000000-0005-0000-0000-0000BC8D0000}"/>
    <cellStyle name="Normal 2 8 3 4 5 2" xfId="36282" xr:uid="{00000000-0005-0000-0000-0000BD8D0000}"/>
    <cellStyle name="Normal 2 8 3 4 5 2 2" xfId="36283" xr:uid="{00000000-0005-0000-0000-0000BE8D0000}"/>
    <cellStyle name="Normal 2 8 3 4 5 3" xfId="36284" xr:uid="{00000000-0005-0000-0000-0000BF8D0000}"/>
    <cellStyle name="Normal 2 8 3 4 5 4" xfId="36285" xr:uid="{00000000-0005-0000-0000-0000C08D0000}"/>
    <cellStyle name="Normal 2 8 3 4 5 5" xfId="36286" xr:uid="{00000000-0005-0000-0000-0000C18D0000}"/>
    <cellStyle name="Normal 2 8 3 4 6" xfId="36287" xr:uid="{00000000-0005-0000-0000-0000C28D0000}"/>
    <cellStyle name="Normal 2 8 3 4 6 2" xfId="36288" xr:uid="{00000000-0005-0000-0000-0000C38D0000}"/>
    <cellStyle name="Normal 2 8 3 4 6 3" xfId="36289" xr:uid="{00000000-0005-0000-0000-0000C48D0000}"/>
    <cellStyle name="Normal 2 8 3 4 6 4" xfId="36290" xr:uid="{00000000-0005-0000-0000-0000C58D0000}"/>
    <cellStyle name="Normal 2 8 3 4 7" xfId="36291" xr:uid="{00000000-0005-0000-0000-0000C68D0000}"/>
    <cellStyle name="Normal 2 8 3 4 7 2" xfId="36292" xr:uid="{00000000-0005-0000-0000-0000C78D0000}"/>
    <cellStyle name="Normal 2 8 3 4 8" xfId="36293" xr:uid="{00000000-0005-0000-0000-0000C88D0000}"/>
    <cellStyle name="Normal 2 8 3 4 9" xfId="36294" xr:uid="{00000000-0005-0000-0000-0000C98D0000}"/>
    <cellStyle name="Normal 2 8 3 5" xfId="36295" xr:uid="{00000000-0005-0000-0000-0000CA8D0000}"/>
    <cellStyle name="Normal 2 8 3 5 10" xfId="36296" xr:uid="{00000000-0005-0000-0000-0000CB8D0000}"/>
    <cellStyle name="Normal 2 8 3 5 11" xfId="36297" xr:uid="{00000000-0005-0000-0000-0000CC8D0000}"/>
    <cellStyle name="Normal 2 8 3 5 2" xfId="36298" xr:uid="{00000000-0005-0000-0000-0000CD8D0000}"/>
    <cellStyle name="Normal 2 8 3 5 2 2" xfId="36299" xr:uid="{00000000-0005-0000-0000-0000CE8D0000}"/>
    <cellStyle name="Normal 2 8 3 5 2 2 2" xfId="36300" xr:uid="{00000000-0005-0000-0000-0000CF8D0000}"/>
    <cellStyle name="Normal 2 8 3 5 2 2 2 2" xfId="36301" xr:uid="{00000000-0005-0000-0000-0000D08D0000}"/>
    <cellStyle name="Normal 2 8 3 5 2 2 2 3" xfId="36302" xr:uid="{00000000-0005-0000-0000-0000D18D0000}"/>
    <cellStyle name="Normal 2 8 3 5 2 2 3" xfId="36303" xr:uid="{00000000-0005-0000-0000-0000D28D0000}"/>
    <cellStyle name="Normal 2 8 3 5 2 2 4" xfId="36304" xr:uid="{00000000-0005-0000-0000-0000D38D0000}"/>
    <cellStyle name="Normal 2 8 3 5 2 2 5" xfId="36305" xr:uid="{00000000-0005-0000-0000-0000D48D0000}"/>
    <cellStyle name="Normal 2 8 3 5 2 2 6" xfId="36306" xr:uid="{00000000-0005-0000-0000-0000D58D0000}"/>
    <cellStyle name="Normal 2 8 3 5 2 3" xfId="36307" xr:uid="{00000000-0005-0000-0000-0000D68D0000}"/>
    <cellStyle name="Normal 2 8 3 5 2 3 2" xfId="36308" xr:uid="{00000000-0005-0000-0000-0000D78D0000}"/>
    <cellStyle name="Normal 2 8 3 5 2 3 2 2" xfId="36309" xr:uid="{00000000-0005-0000-0000-0000D88D0000}"/>
    <cellStyle name="Normal 2 8 3 5 2 3 3" xfId="36310" xr:uid="{00000000-0005-0000-0000-0000D98D0000}"/>
    <cellStyle name="Normal 2 8 3 5 2 3 4" xfId="36311" xr:uid="{00000000-0005-0000-0000-0000DA8D0000}"/>
    <cellStyle name="Normal 2 8 3 5 2 3 5" xfId="36312" xr:uid="{00000000-0005-0000-0000-0000DB8D0000}"/>
    <cellStyle name="Normal 2 8 3 5 2 4" xfId="36313" xr:uid="{00000000-0005-0000-0000-0000DC8D0000}"/>
    <cellStyle name="Normal 2 8 3 5 2 4 2" xfId="36314" xr:uid="{00000000-0005-0000-0000-0000DD8D0000}"/>
    <cellStyle name="Normal 2 8 3 5 2 4 3" xfId="36315" xr:uid="{00000000-0005-0000-0000-0000DE8D0000}"/>
    <cellStyle name="Normal 2 8 3 5 2 4 4" xfId="36316" xr:uid="{00000000-0005-0000-0000-0000DF8D0000}"/>
    <cellStyle name="Normal 2 8 3 5 2 5" xfId="36317" xr:uid="{00000000-0005-0000-0000-0000E08D0000}"/>
    <cellStyle name="Normal 2 8 3 5 2 5 2" xfId="36318" xr:uid="{00000000-0005-0000-0000-0000E18D0000}"/>
    <cellStyle name="Normal 2 8 3 5 2 6" xfId="36319" xr:uid="{00000000-0005-0000-0000-0000E28D0000}"/>
    <cellStyle name="Normal 2 8 3 5 2 7" xfId="36320" xr:uid="{00000000-0005-0000-0000-0000E38D0000}"/>
    <cellStyle name="Normal 2 8 3 5 2 8" xfId="36321" xr:uid="{00000000-0005-0000-0000-0000E48D0000}"/>
    <cellStyle name="Normal 2 8 3 5 2 9" xfId="36322" xr:uid="{00000000-0005-0000-0000-0000E58D0000}"/>
    <cellStyle name="Normal 2 8 3 5 3" xfId="36323" xr:uid="{00000000-0005-0000-0000-0000E68D0000}"/>
    <cellStyle name="Normal 2 8 3 5 3 2" xfId="36324" xr:uid="{00000000-0005-0000-0000-0000E78D0000}"/>
    <cellStyle name="Normal 2 8 3 5 3 2 2" xfId="36325" xr:uid="{00000000-0005-0000-0000-0000E88D0000}"/>
    <cellStyle name="Normal 2 8 3 5 3 2 2 2" xfId="36326" xr:uid="{00000000-0005-0000-0000-0000E98D0000}"/>
    <cellStyle name="Normal 2 8 3 5 3 2 2 3" xfId="36327" xr:uid="{00000000-0005-0000-0000-0000EA8D0000}"/>
    <cellStyle name="Normal 2 8 3 5 3 2 3" xfId="36328" xr:uid="{00000000-0005-0000-0000-0000EB8D0000}"/>
    <cellStyle name="Normal 2 8 3 5 3 2 4" xfId="36329" xr:uid="{00000000-0005-0000-0000-0000EC8D0000}"/>
    <cellStyle name="Normal 2 8 3 5 3 2 5" xfId="36330" xr:uid="{00000000-0005-0000-0000-0000ED8D0000}"/>
    <cellStyle name="Normal 2 8 3 5 3 2 6" xfId="36331" xr:uid="{00000000-0005-0000-0000-0000EE8D0000}"/>
    <cellStyle name="Normal 2 8 3 5 3 3" xfId="36332" xr:uid="{00000000-0005-0000-0000-0000EF8D0000}"/>
    <cellStyle name="Normal 2 8 3 5 3 3 2" xfId="36333" xr:uid="{00000000-0005-0000-0000-0000F08D0000}"/>
    <cellStyle name="Normal 2 8 3 5 3 3 2 2" xfId="36334" xr:uid="{00000000-0005-0000-0000-0000F18D0000}"/>
    <cellStyle name="Normal 2 8 3 5 3 3 3" xfId="36335" xr:uid="{00000000-0005-0000-0000-0000F28D0000}"/>
    <cellStyle name="Normal 2 8 3 5 3 3 4" xfId="36336" xr:uid="{00000000-0005-0000-0000-0000F38D0000}"/>
    <cellStyle name="Normal 2 8 3 5 3 3 5" xfId="36337" xr:uid="{00000000-0005-0000-0000-0000F48D0000}"/>
    <cellStyle name="Normal 2 8 3 5 3 4" xfId="36338" xr:uid="{00000000-0005-0000-0000-0000F58D0000}"/>
    <cellStyle name="Normal 2 8 3 5 3 4 2" xfId="36339" xr:uid="{00000000-0005-0000-0000-0000F68D0000}"/>
    <cellStyle name="Normal 2 8 3 5 3 4 3" xfId="36340" xr:uid="{00000000-0005-0000-0000-0000F78D0000}"/>
    <cellStyle name="Normal 2 8 3 5 3 4 4" xfId="36341" xr:uid="{00000000-0005-0000-0000-0000F88D0000}"/>
    <cellStyle name="Normal 2 8 3 5 3 5" xfId="36342" xr:uid="{00000000-0005-0000-0000-0000F98D0000}"/>
    <cellStyle name="Normal 2 8 3 5 3 5 2" xfId="36343" xr:uid="{00000000-0005-0000-0000-0000FA8D0000}"/>
    <cellStyle name="Normal 2 8 3 5 3 6" xfId="36344" xr:uid="{00000000-0005-0000-0000-0000FB8D0000}"/>
    <cellStyle name="Normal 2 8 3 5 3 7" xfId="36345" xr:uid="{00000000-0005-0000-0000-0000FC8D0000}"/>
    <cellStyle name="Normal 2 8 3 5 3 8" xfId="36346" xr:uid="{00000000-0005-0000-0000-0000FD8D0000}"/>
    <cellStyle name="Normal 2 8 3 5 3 9" xfId="36347" xr:uid="{00000000-0005-0000-0000-0000FE8D0000}"/>
    <cellStyle name="Normal 2 8 3 5 4" xfId="36348" xr:uid="{00000000-0005-0000-0000-0000FF8D0000}"/>
    <cellStyle name="Normal 2 8 3 5 4 2" xfId="36349" xr:uid="{00000000-0005-0000-0000-0000008E0000}"/>
    <cellStyle name="Normal 2 8 3 5 4 2 2" xfId="36350" xr:uid="{00000000-0005-0000-0000-0000018E0000}"/>
    <cellStyle name="Normal 2 8 3 5 4 2 3" xfId="36351" xr:uid="{00000000-0005-0000-0000-0000028E0000}"/>
    <cellStyle name="Normal 2 8 3 5 4 3" xfId="36352" xr:uid="{00000000-0005-0000-0000-0000038E0000}"/>
    <cellStyle name="Normal 2 8 3 5 4 4" xfId="36353" xr:uid="{00000000-0005-0000-0000-0000048E0000}"/>
    <cellStyle name="Normal 2 8 3 5 4 5" xfId="36354" xr:uid="{00000000-0005-0000-0000-0000058E0000}"/>
    <cellStyle name="Normal 2 8 3 5 4 6" xfId="36355" xr:uid="{00000000-0005-0000-0000-0000068E0000}"/>
    <cellStyle name="Normal 2 8 3 5 5" xfId="36356" xr:uid="{00000000-0005-0000-0000-0000078E0000}"/>
    <cellStyle name="Normal 2 8 3 5 5 2" xfId="36357" xr:uid="{00000000-0005-0000-0000-0000088E0000}"/>
    <cellStyle name="Normal 2 8 3 5 5 2 2" xfId="36358" xr:uid="{00000000-0005-0000-0000-0000098E0000}"/>
    <cellStyle name="Normal 2 8 3 5 5 3" xfId="36359" xr:uid="{00000000-0005-0000-0000-00000A8E0000}"/>
    <cellStyle name="Normal 2 8 3 5 5 4" xfId="36360" xr:uid="{00000000-0005-0000-0000-00000B8E0000}"/>
    <cellStyle name="Normal 2 8 3 5 5 5" xfId="36361" xr:uid="{00000000-0005-0000-0000-00000C8E0000}"/>
    <cellStyle name="Normal 2 8 3 5 6" xfId="36362" xr:uid="{00000000-0005-0000-0000-00000D8E0000}"/>
    <cellStyle name="Normal 2 8 3 5 6 2" xfId="36363" xr:uid="{00000000-0005-0000-0000-00000E8E0000}"/>
    <cellStyle name="Normal 2 8 3 5 6 3" xfId="36364" xr:uid="{00000000-0005-0000-0000-00000F8E0000}"/>
    <cellStyle name="Normal 2 8 3 5 6 4" xfId="36365" xr:uid="{00000000-0005-0000-0000-0000108E0000}"/>
    <cellStyle name="Normal 2 8 3 5 7" xfId="36366" xr:uid="{00000000-0005-0000-0000-0000118E0000}"/>
    <cellStyle name="Normal 2 8 3 5 7 2" xfId="36367" xr:uid="{00000000-0005-0000-0000-0000128E0000}"/>
    <cellStyle name="Normal 2 8 3 5 8" xfId="36368" xr:uid="{00000000-0005-0000-0000-0000138E0000}"/>
    <cellStyle name="Normal 2 8 3 5 9" xfId="36369" xr:uid="{00000000-0005-0000-0000-0000148E0000}"/>
    <cellStyle name="Normal 2 8 3 6" xfId="36370" xr:uid="{00000000-0005-0000-0000-0000158E0000}"/>
    <cellStyle name="Normal 2 8 3 6 10" xfId="36371" xr:uid="{00000000-0005-0000-0000-0000168E0000}"/>
    <cellStyle name="Normal 2 8 3 6 11" xfId="36372" xr:uid="{00000000-0005-0000-0000-0000178E0000}"/>
    <cellStyle name="Normal 2 8 3 6 2" xfId="36373" xr:uid="{00000000-0005-0000-0000-0000188E0000}"/>
    <cellStyle name="Normal 2 8 3 6 2 2" xfId="36374" xr:uid="{00000000-0005-0000-0000-0000198E0000}"/>
    <cellStyle name="Normal 2 8 3 6 2 2 2" xfId="36375" xr:uid="{00000000-0005-0000-0000-00001A8E0000}"/>
    <cellStyle name="Normal 2 8 3 6 2 2 2 2" xfId="36376" xr:uid="{00000000-0005-0000-0000-00001B8E0000}"/>
    <cellStyle name="Normal 2 8 3 6 2 2 2 3" xfId="36377" xr:uid="{00000000-0005-0000-0000-00001C8E0000}"/>
    <cellStyle name="Normal 2 8 3 6 2 2 3" xfId="36378" xr:uid="{00000000-0005-0000-0000-00001D8E0000}"/>
    <cellStyle name="Normal 2 8 3 6 2 2 4" xfId="36379" xr:uid="{00000000-0005-0000-0000-00001E8E0000}"/>
    <cellStyle name="Normal 2 8 3 6 2 2 5" xfId="36380" xr:uid="{00000000-0005-0000-0000-00001F8E0000}"/>
    <cellStyle name="Normal 2 8 3 6 2 2 6" xfId="36381" xr:uid="{00000000-0005-0000-0000-0000208E0000}"/>
    <cellStyle name="Normal 2 8 3 6 2 3" xfId="36382" xr:uid="{00000000-0005-0000-0000-0000218E0000}"/>
    <cellStyle name="Normal 2 8 3 6 2 3 2" xfId="36383" xr:uid="{00000000-0005-0000-0000-0000228E0000}"/>
    <cellStyle name="Normal 2 8 3 6 2 3 2 2" xfId="36384" xr:uid="{00000000-0005-0000-0000-0000238E0000}"/>
    <cellStyle name="Normal 2 8 3 6 2 3 3" xfId="36385" xr:uid="{00000000-0005-0000-0000-0000248E0000}"/>
    <cellStyle name="Normal 2 8 3 6 2 3 4" xfId="36386" xr:uid="{00000000-0005-0000-0000-0000258E0000}"/>
    <cellStyle name="Normal 2 8 3 6 2 3 5" xfId="36387" xr:uid="{00000000-0005-0000-0000-0000268E0000}"/>
    <cellStyle name="Normal 2 8 3 6 2 4" xfId="36388" xr:uid="{00000000-0005-0000-0000-0000278E0000}"/>
    <cellStyle name="Normal 2 8 3 6 2 4 2" xfId="36389" xr:uid="{00000000-0005-0000-0000-0000288E0000}"/>
    <cellStyle name="Normal 2 8 3 6 2 4 3" xfId="36390" xr:uid="{00000000-0005-0000-0000-0000298E0000}"/>
    <cellStyle name="Normal 2 8 3 6 2 4 4" xfId="36391" xr:uid="{00000000-0005-0000-0000-00002A8E0000}"/>
    <cellStyle name="Normal 2 8 3 6 2 5" xfId="36392" xr:uid="{00000000-0005-0000-0000-00002B8E0000}"/>
    <cellStyle name="Normal 2 8 3 6 2 5 2" xfId="36393" xr:uid="{00000000-0005-0000-0000-00002C8E0000}"/>
    <cellStyle name="Normal 2 8 3 6 2 6" xfId="36394" xr:uid="{00000000-0005-0000-0000-00002D8E0000}"/>
    <cellStyle name="Normal 2 8 3 6 2 7" xfId="36395" xr:uid="{00000000-0005-0000-0000-00002E8E0000}"/>
    <cellStyle name="Normal 2 8 3 6 2 8" xfId="36396" xr:uid="{00000000-0005-0000-0000-00002F8E0000}"/>
    <cellStyle name="Normal 2 8 3 6 2 9" xfId="36397" xr:uid="{00000000-0005-0000-0000-0000308E0000}"/>
    <cellStyle name="Normal 2 8 3 6 3" xfId="36398" xr:uid="{00000000-0005-0000-0000-0000318E0000}"/>
    <cellStyle name="Normal 2 8 3 6 3 2" xfId="36399" xr:uid="{00000000-0005-0000-0000-0000328E0000}"/>
    <cellStyle name="Normal 2 8 3 6 3 2 2" xfId="36400" xr:uid="{00000000-0005-0000-0000-0000338E0000}"/>
    <cellStyle name="Normal 2 8 3 6 3 2 2 2" xfId="36401" xr:uid="{00000000-0005-0000-0000-0000348E0000}"/>
    <cellStyle name="Normal 2 8 3 6 3 2 2 3" xfId="36402" xr:uid="{00000000-0005-0000-0000-0000358E0000}"/>
    <cellStyle name="Normal 2 8 3 6 3 2 3" xfId="36403" xr:uid="{00000000-0005-0000-0000-0000368E0000}"/>
    <cellStyle name="Normal 2 8 3 6 3 2 4" xfId="36404" xr:uid="{00000000-0005-0000-0000-0000378E0000}"/>
    <cellStyle name="Normal 2 8 3 6 3 2 5" xfId="36405" xr:uid="{00000000-0005-0000-0000-0000388E0000}"/>
    <cellStyle name="Normal 2 8 3 6 3 2 6" xfId="36406" xr:uid="{00000000-0005-0000-0000-0000398E0000}"/>
    <cellStyle name="Normal 2 8 3 6 3 3" xfId="36407" xr:uid="{00000000-0005-0000-0000-00003A8E0000}"/>
    <cellStyle name="Normal 2 8 3 6 3 3 2" xfId="36408" xr:uid="{00000000-0005-0000-0000-00003B8E0000}"/>
    <cellStyle name="Normal 2 8 3 6 3 3 2 2" xfId="36409" xr:uid="{00000000-0005-0000-0000-00003C8E0000}"/>
    <cellStyle name="Normal 2 8 3 6 3 3 3" xfId="36410" xr:uid="{00000000-0005-0000-0000-00003D8E0000}"/>
    <cellStyle name="Normal 2 8 3 6 3 3 4" xfId="36411" xr:uid="{00000000-0005-0000-0000-00003E8E0000}"/>
    <cellStyle name="Normal 2 8 3 6 3 3 5" xfId="36412" xr:uid="{00000000-0005-0000-0000-00003F8E0000}"/>
    <cellStyle name="Normal 2 8 3 6 3 4" xfId="36413" xr:uid="{00000000-0005-0000-0000-0000408E0000}"/>
    <cellStyle name="Normal 2 8 3 6 3 4 2" xfId="36414" xr:uid="{00000000-0005-0000-0000-0000418E0000}"/>
    <cellStyle name="Normal 2 8 3 6 3 4 3" xfId="36415" xr:uid="{00000000-0005-0000-0000-0000428E0000}"/>
    <cellStyle name="Normal 2 8 3 6 3 4 4" xfId="36416" xr:uid="{00000000-0005-0000-0000-0000438E0000}"/>
    <cellStyle name="Normal 2 8 3 6 3 5" xfId="36417" xr:uid="{00000000-0005-0000-0000-0000448E0000}"/>
    <cellStyle name="Normal 2 8 3 6 3 5 2" xfId="36418" xr:uid="{00000000-0005-0000-0000-0000458E0000}"/>
    <cellStyle name="Normal 2 8 3 6 3 6" xfId="36419" xr:uid="{00000000-0005-0000-0000-0000468E0000}"/>
    <cellStyle name="Normal 2 8 3 6 3 7" xfId="36420" xr:uid="{00000000-0005-0000-0000-0000478E0000}"/>
    <cellStyle name="Normal 2 8 3 6 3 8" xfId="36421" xr:uid="{00000000-0005-0000-0000-0000488E0000}"/>
    <cellStyle name="Normal 2 8 3 6 3 9" xfId="36422" xr:uid="{00000000-0005-0000-0000-0000498E0000}"/>
    <cellStyle name="Normal 2 8 3 6 4" xfId="36423" xr:uid="{00000000-0005-0000-0000-00004A8E0000}"/>
    <cellStyle name="Normal 2 8 3 6 4 2" xfId="36424" xr:uid="{00000000-0005-0000-0000-00004B8E0000}"/>
    <cellStyle name="Normal 2 8 3 6 4 2 2" xfId="36425" xr:uid="{00000000-0005-0000-0000-00004C8E0000}"/>
    <cellStyle name="Normal 2 8 3 6 4 2 3" xfId="36426" xr:uid="{00000000-0005-0000-0000-00004D8E0000}"/>
    <cellStyle name="Normal 2 8 3 6 4 3" xfId="36427" xr:uid="{00000000-0005-0000-0000-00004E8E0000}"/>
    <cellStyle name="Normal 2 8 3 6 4 4" xfId="36428" xr:uid="{00000000-0005-0000-0000-00004F8E0000}"/>
    <cellStyle name="Normal 2 8 3 6 4 5" xfId="36429" xr:uid="{00000000-0005-0000-0000-0000508E0000}"/>
    <cellStyle name="Normal 2 8 3 6 4 6" xfId="36430" xr:uid="{00000000-0005-0000-0000-0000518E0000}"/>
    <cellStyle name="Normal 2 8 3 6 5" xfId="36431" xr:uid="{00000000-0005-0000-0000-0000528E0000}"/>
    <cellStyle name="Normal 2 8 3 6 5 2" xfId="36432" xr:uid="{00000000-0005-0000-0000-0000538E0000}"/>
    <cellStyle name="Normal 2 8 3 6 5 2 2" xfId="36433" xr:uid="{00000000-0005-0000-0000-0000548E0000}"/>
    <cellStyle name="Normal 2 8 3 6 5 3" xfId="36434" xr:uid="{00000000-0005-0000-0000-0000558E0000}"/>
    <cellStyle name="Normal 2 8 3 6 5 4" xfId="36435" xr:uid="{00000000-0005-0000-0000-0000568E0000}"/>
    <cellStyle name="Normal 2 8 3 6 5 5" xfId="36436" xr:uid="{00000000-0005-0000-0000-0000578E0000}"/>
    <cellStyle name="Normal 2 8 3 6 6" xfId="36437" xr:uid="{00000000-0005-0000-0000-0000588E0000}"/>
    <cellStyle name="Normal 2 8 3 6 6 2" xfId="36438" xr:uid="{00000000-0005-0000-0000-0000598E0000}"/>
    <cellStyle name="Normal 2 8 3 6 6 3" xfId="36439" xr:uid="{00000000-0005-0000-0000-00005A8E0000}"/>
    <cellStyle name="Normal 2 8 3 6 6 4" xfId="36440" xr:uid="{00000000-0005-0000-0000-00005B8E0000}"/>
    <cellStyle name="Normal 2 8 3 6 7" xfId="36441" xr:uid="{00000000-0005-0000-0000-00005C8E0000}"/>
    <cellStyle name="Normal 2 8 3 6 7 2" xfId="36442" xr:uid="{00000000-0005-0000-0000-00005D8E0000}"/>
    <cellStyle name="Normal 2 8 3 6 8" xfId="36443" xr:uid="{00000000-0005-0000-0000-00005E8E0000}"/>
    <cellStyle name="Normal 2 8 3 6 9" xfId="36444" xr:uid="{00000000-0005-0000-0000-00005F8E0000}"/>
    <cellStyle name="Normal 2 8 3 7" xfId="36445" xr:uid="{00000000-0005-0000-0000-0000608E0000}"/>
    <cellStyle name="Normal 2 8 3 7 10" xfId="36446" xr:uid="{00000000-0005-0000-0000-0000618E0000}"/>
    <cellStyle name="Normal 2 8 3 7 11" xfId="36447" xr:uid="{00000000-0005-0000-0000-0000628E0000}"/>
    <cellStyle name="Normal 2 8 3 7 2" xfId="36448" xr:uid="{00000000-0005-0000-0000-0000638E0000}"/>
    <cellStyle name="Normal 2 8 3 7 2 2" xfId="36449" xr:uid="{00000000-0005-0000-0000-0000648E0000}"/>
    <cellStyle name="Normal 2 8 3 7 2 2 2" xfId="36450" xr:uid="{00000000-0005-0000-0000-0000658E0000}"/>
    <cellStyle name="Normal 2 8 3 7 2 2 2 2" xfId="36451" xr:uid="{00000000-0005-0000-0000-0000668E0000}"/>
    <cellStyle name="Normal 2 8 3 7 2 2 2 3" xfId="36452" xr:uid="{00000000-0005-0000-0000-0000678E0000}"/>
    <cellStyle name="Normal 2 8 3 7 2 2 3" xfId="36453" xr:uid="{00000000-0005-0000-0000-0000688E0000}"/>
    <cellStyle name="Normal 2 8 3 7 2 2 4" xfId="36454" xr:uid="{00000000-0005-0000-0000-0000698E0000}"/>
    <cellStyle name="Normal 2 8 3 7 2 2 5" xfId="36455" xr:uid="{00000000-0005-0000-0000-00006A8E0000}"/>
    <cellStyle name="Normal 2 8 3 7 2 2 6" xfId="36456" xr:uid="{00000000-0005-0000-0000-00006B8E0000}"/>
    <cellStyle name="Normal 2 8 3 7 2 3" xfId="36457" xr:uid="{00000000-0005-0000-0000-00006C8E0000}"/>
    <cellStyle name="Normal 2 8 3 7 2 3 2" xfId="36458" xr:uid="{00000000-0005-0000-0000-00006D8E0000}"/>
    <cellStyle name="Normal 2 8 3 7 2 3 2 2" xfId="36459" xr:uid="{00000000-0005-0000-0000-00006E8E0000}"/>
    <cellStyle name="Normal 2 8 3 7 2 3 3" xfId="36460" xr:uid="{00000000-0005-0000-0000-00006F8E0000}"/>
    <cellStyle name="Normal 2 8 3 7 2 3 4" xfId="36461" xr:uid="{00000000-0005-0000-0000-0000708E0000}"/>
    <cellStyle name="Normal 2 8 3 7 2 3 5" xfId="36462" xr:uid="{00000000-0005-0000-0000-0000718E0000}"/>
    <cellStyle name="Normal 2 8 3 7 2 4" xfId="36463" xr:uid="{00000000-0005-0000-0000-0000728E0000}"/>
    <cellStyle name="Normal 2 8 3 7 2 4 2" xfId="36464" xr:uid="{00000000-0005-0000-0000-0000738E0000}"/>
    <cellStyle name="Normal 2 8 3 7 2 4 3" xfId="36465" xr:uid="{00000000-0005-0000-0000-0000748E0000}"/>
    <cellStyle name="Normal 2 8 3 7 2 4 4" xfId="36466" xr:uid="{00000000-0005-0000-0000-0000758E0000}"/>
    <cellStyle name="Normal 2 8 3 7 2 5" xfId="36467" xr:uid="{00000000-0005-0000-0000-0000768E0000}"/>
    <cellStyle name="Normal 2 8 3 7 2 5 2" xfId="36468" xr:uid="{00000000-0005-0000-0000-0000778E0000}"/>
    <cellStyle name="Normal 2 8 3 7 2 6" xfId="36469" xr:uid="{00000000-0005-0000-0000-0000788E0000}"/>
    <cellStyle name="Normal 2 8 3 7 2 7" xfId="36470" xr:uid="{00000000-0005-0000-0000-0000798E0000}"/>
    <cellStyle name="Normal 2 8 3 7 2 8" xfId="36471" xr:uid="{00000000-0005-0000-0000-00007A8E0000}"/>
    <cellStyle name="Normal 2 8 3 7 2 9" xfId="36472" xr:uid="{00000000-0005-0000-0000-00007B8E0000}"/>
    <cellStyle name="Normal 2 8 3 7 3" xfId="36473" xr:uid="{00000000-0005-0000-0000-00007C8E0000}"/>
    <cellStyle name="Normal 2 8 3 7 3 2" xfId="36474" xr:uid="{00000000-0005-0000-0000-00007D8E0000}"/>
    <cellStyle name="Normal 2 8 3 7 3 2 2" xfId="36475" xr:uid="{00000000-0005-0000-0000-00007E8E0000}"/>
    <cellStyle name="Normal 2 8 3 7 3 2 2 2" xfId="36476" xr:uid="{00000000-0005-0000-0000-00007F8E0000}"/>
    <cellStyle name="Normal 2 8 3 7 3 2 2 3" xfId="36477" xr:uid="{00000000-0005-0000-0000-0000808E0000}"/>
    <cellStyle name="Normal 2 8 3 7 3 2 3" xfId="36478" xr:uid="{00000000-0005-0000-0000-0000818E0000}"/>
    <cellStyle name="Normal 2 8 3 7 3 2 4" xfId="36479" xr:uid="{00000000-0005-0000-0000-0000828E0000}"/>
    <cellStyle name="Normal 2 8 3 7 3 2 5" xfId="36480" xr:uid="{00000000-0005-0000-0000-0000838E0000}"/>
    <cellStyle name="Normal 2 8 3 7 3 2 6" xfId="36481" xr:uid="{00000000-0005-0000-0000-0000848E0000}"/>
    <cellStyle name="Normal 2 8 3 7 3 3" xfId="36482" xr:uid="{00000000-0005-0000-0000-0000858E0000}"/>
    <cellStyle name="Normal 2 8 3 7 3 3 2" xfId="36483" xr:uid="{00000000-0005-0000-0000-0000868E0000}"/>
    <cellStyle name="Normal 2 8 3 7 3 3 2 2" xfId="36484" xr:uid="{00000000-0005-0000-0000-0000878E0000}"/>
    <cellStyle name="Normal 2 8 3 7 3 3 3" xfId="36485" xr:uid="{00000000-0005-0000-0000-0000888E0000}"/>
    <cellStyle name="Normal 2 8 3 7 3 3 4" xfId="36486" xr:uid="{00000000-0005-0000-0000-0000898E0000}"/>
    <cellStyle name="Normal 2 8 3 7 3 3 5" xfId="36487" xr:uid="{00000000-0005-0000-0000-00008A8E0000}"/>
    <cellStyle name="Normal 2 8 3 7 3 4" xfId="36488" xr:uid="{00000000-0005-0000-0000-00008B8E0000}"/>
    <cellStyle name="Normal 2 8 3 7 3 4 2" xfId="36489" xr:uid="{00000000-0005-0000-0000-00008C8E0000}"/>
    <cellStyle name="Normal 2 8 3 7 3 4 3" xfId="36490" xr:uid="{00000000-0005-0000-0000-00008D8E0000}"/>
    <cellStyle name="Normal 2 8 3 7 3 4 4" xfId="36491" xr:uid="{00000000-0005-0000-0000-00008E8E0000}"/>
    <cellStyle name="Normal 2 8 3 7 3 5" xfId="36492" xr:uid="{00000000-0005-0000-0000-00008F8E0000}"/>
    <cellStyle name="Normal 2 8 3 7 3 5 2" xfId="36493" xr:uid="{00000000-0005-0000-0000-0000908E0000}"/>
    <cellStyle name="Normal 2 8 3 7 3 6" xfId="36494" xr:uid="{00000000-0005-0000-0000-0000918E0000}"/>
    <cellStyle name="Normal 2 8 3 7 3 7" xfId="36495" xr:uid="{00000000-0005-0000-0000-0000928E0000}"/>
    <cellStyle name="Normal 2 8 3 7 3 8" xfId="36496" xr:uid="{00000000-0005-0000-0000-0000938E0000}"/>
    <cellStyle name="Normal 2 8 3 7 3 9" xfId="36497" xr:uid="{00000000-0005-0000-0000-0000948E0000}"/>
    <cellStyle name="Normal 2 8 3 7 4" xfId="36498" xr:uid="{00000000-0005-0000-0000-0000958E0000}"/>
    <cellStyle name="Normal 2 8 3 7 4 2" xfId="36499" xr:uid="{00000000-0005-0000-0000-0000968E0000}"/>
    <cellStyle name="Normal 2 8 3 7 4 2 2" xfId="36500" xr:uid="{00000000-0005-0000-0000-0000978E0000}"/>
    <cellStyle name="Normal 2 8 3 7 4 2 3" xfId="36501" xr:uid="{00000000-0005-0000-0000-0000988E0000}"/>
    <cellStyle name="Normal 2 8 3 7 4 3" xfId="36502" xr:uid="{00000000-0005-0000-0000-0000998E0000}"/>
    <cellStyle name="Normal 2 8 3 7 4 4" xfId="36503" xr:uid="{00000000-0005-0000-0000-00009A8E0000}"/>
    <cellStyle name="Normal 2 8 3 7 4 5" xfId="36504" xr:uid="{00000000-0005-0000-0000-00009B8E0000}"/>
    <cellStyle name="Normal 2 8 3 7 4 6" xfId="36505" xr:uid="{00000000-0005-0000-0000-00009C8E0000}"/>
    <cellStyle name="Normal 2 8 3 7 5" xfId="36506" xr:uid="{00000000-0005-0000-0000-00009D8E0000}"/>
    <cellStyle name="Normal 2 8 3 7 5 2" xfId="36507" xr:uid="{00000000-0005-0000-0000-00009E8E0000}"/>
    <cellStyle name="Normal 2 8 3 7 5 2 2" xfId="36508" xr:uid="{00000000-0005-0000-0000-00009F8E0000}"/>
    <cellStyle name="Normal 2 8 3 7 5 3" xfId="36509" xr:uid="{00000000-0005-0000-0000-0000A08E0000}"/>
    <cellStyle name="Normal 2 8 3 7 5 4" xfId="36510" xr:uid="{00000000-0005-0000-0000-0000A18E0000}"/>
    <cellStyle name="Normal 2 8 3 7 5 5" xfId="36511" xr:uid="{00000000-0005-0000-0000-0000A28E0000}"/>
    <cellStyle name="Normal 2 8 3 7 6" xfId="36512" xr:uid="{00000000-0005-0000-0000-0000A38E0000}"/>
    <cellStyle name="Normal 2 8 3 7 6 2" xfId="36513" xr:uid="{00000000-0005-0000-0000-0000A48E0000}"/>
    <cellStyle name="Normal 2 8 3 7 6 3" xfId="36514" xr:uid="{00000000-0005-0000-0000-0000A58E0000}"/>
    <cellStyle name="Normal 2 8 3 7 6 4" xfId="36515" xr:uid="{00000000-0005-0000-0000-0000A68E0000}"/>
    <cellStyle name="Normal 2 8 3 7 7" xfId="36516" xr:uid="{00000000-0005-0000-0000-0000A78E0000}"/>
    <cellStyle name="Normal 2 8 3 7 7 2" xfId="36517" xr:uid="{00000000-0005-0000-0000-0000A88E0000}"/>
    <cellStyle name="Normal 2 8 3 7 8" xfId="36518" xr:uid="{00000000-0005-0000-0000-0000A98E0000}"/>
    <cellStyle name="Normal 2 8 3 7 9" xfId="36519" xr:uid="{00000000-0005-0000-0000-0000AA8E0000}"/>
    <cellStyle name="Normal 2 8 3 8" xfId="36520" xr:uid="{00000000-0005-0000-0000-0000AB8E0000}"/>
    <cellStyle name="Normal 2 8 3 8 10" xfId="36521" xr:uid="{00000000-0005-0000-0000-0000AC8E0000}"/>
    <cellStyle name="Normal 2 8 3 8 2" xfId="36522" xr:uid="{00000000-0005-0000-0000-0000AD8E0000}"/>
    <cellStyle name="Normal 2 8 3 8 2 2" xfId="36523" xr:uid="{00000000-0005-0000-0000-0000AE8E0000}"/>
    <cellStyle name="Normal 2 8 3 8 2 2 2" xfId="36524" xr:uid="{00000000-0005-0000-0000-0000AF8E0000}"/>
    <cellStyle name="Normal 2 8 3 8 2 2 3" xfId="36525" xr:uid="{00000000-0005-0000-0000-0000B08E0000}"/>
    <cellStyle name="Normal 2 8 3 8 2 3" xfId="36526" xr:uid="{00000000-0005-0000-0000-0000B18E0000}"/>
    <cellStyle name="Normal 2 8 3 8 2 4" xfId="36527" xr:uid="{00000000-0005-0000-0000-0000B28E0000}"/>
    <cellStyle name="Normal 2 8 3 8 2 5" xfId="36528" xr:uid="{00000000-0005-0000-0000-0000B38E0000}"/>
    <cellStyle name="Normal 2 8 3 8 2 6" xfId="36529" xr:uid="{00000000-0005-0000-0000-0000B48E0000}"/>
    <cellStyle name="Normal 2 8 3 8 3" xfId="36530" xr:uid="{00000000-0005-0000-0000-0000B58E0000}"/>
    <cellStyle name="Normal 2 8 3 8 3 2" xfId="36531" xr:uid="{00000000-0005-0000-0000-0000B68E0000}"/>
    <cellStyle name="Normal 2 8 3 8 3 2 2" xfId="36532" xr:uid="{00000000-0005-0000-0000-0000B78E0000}"/>
    <cellStyle name="Normal 2 8 3 8 3 2 3" xfId="36533" xr:uid="{00000000-0005-0000-0000-0000B88E0000}"/>
    <cellStyle name="Normal 2 8 3 8 3 3" xfId="36534" xr:uid="{00000000-0005-0000-0000-0000B98E0000}"/>
    <cellStyle name="Normal 2 8 3 8 3 4" xfId="36535" xr:uid="{00000000-0005-0000-0000-0000BA8E0000}"/>
    <cellStyle name="Normal 2 8 3 8 3 5" xfId="36536" xr:uid="{00000000-0005-0000-0000-0000BB8E0000}"/>
    <cellStyle name="Normal 2 8 3 8 3 6" xfId="36537" xr:uid="{00000000-0005-0000-0000-0000BC8E0000}"/>
    <cellStyle name="Normal 2 8 3 8 4" xfId="36538" xr:uid="{00000000-0005-0000-0000-0000BD8E0000}"/>
    <cellStyle name="Normal 2 8 3 8 4 2" xfId="36539" xr:uid="{00000000-0005-0000-0000-0000BE8E0000}"/>
    <cellStyle name="Normal 2 8 3 8 4 2 2" xfId="36540" xr:uid="{00000000-0005-0000-0000-0000BF8E0000}"/>
    <cellStyle name="Normal 2 8 3 8 4 3" xfId="36541" xr:uid="{00000000-0005-0000-0000-0000C08E0000}"/>
    <cellStyle name="Normal 2 8 3 8 4 4" xfId="36542" xr:uid="{00000000-0005-0000-0000-0000C18E0000}"/>
    <cellStyle name="Normal 2 8 3 8 4 5" xfId="36543" xr:uid="{00000000-0005-0000-0000-0000C28E0000}"/>
    <cellStyle name="Normal 2 8 3 8 5" xfId="36544" xr:uid="{00000000-0005-0000-0000-0000C38E0000}"/>
    <cellStyle name="Normal 2 8 3 8 5 2" xfId="36545" xr:uid="{00000000-0005-0000-0000-0000C48E0000}"/>
    <cellStyle name="Normal 2 8 3 8 5 3" xfId="36546" xr:uid="{00000000-0005-0000-0000-0000C58E0000}"/>
    <cellStyle name="Normal 2 8 3 8 5 4" xfId="36547" xr:uid="{00000000-0005-0000-0000-0000C68E0000}"/>
    <cellStyle name="Normal 2 8 3 8 6" xfId="36548" xr:uid="{00000000-0005-0000-0000-0000C78E0000}"/>
    <cellStyle name="Normal 2 8 3 8 6 2" xfId="36549" xr:uid="{00000000-0005-0000-0000-0000C88E0000}"/>
    <cellStyle name="Normal 2 8 3 8 7" xfId="36550" xr:uid="{00000000-0005-0000-0000-0000C98E0000}"/>
    <cellStyle name="Normal 2 8 3 8 8" xfId="36551" xr:uid="{00000000-0005-0000-0000-0000CA8E0000}"/>
    <cellStyle name="Normal 2 8 3 8 9" xfId="36552" xr:uid="{00000000-0005-0000-0000-0000CB8E0000}"/>
    <cellStyle name="Normal 2 8 3 9" xfId="36553" xr:uid="{00000000-0005-0000-0000-0000CC8E0000}"/>
    <cellStyle name="Normal 2 8 3 9 10" xfId="36554" xr:uid="{00000000-0005-0000-0000-0000CD8E0000}"/>
    <cellStyle name="Normal 2 8 3 9 2" xfId="36555" xr:uid="{00000000-0005-0000-0000-0000CE8E0000}"/>
    <cellStyle name="Normal 2 8 3 9 2 2" xfId="36556" xr:uid="{00000000-0005-0000-0000-0000CF8E0000}"/>
    <cellStyle name="Normal 2 8 3 9 2 2 2" xfId="36557" xr:uid="{00000000-0005-0000-0000-0000D08E0000}"/>
    <cellStyle name="Normal 2 8 3 9 2 2 3" xfId="36558" xr:uid="{00000000-0005-0000-0000-0000D18E0000}"/>
    <cellStyle name="Normal 2 8 3 9 2 3" xfId="36559" xr:uid="{00000000-0005-0000-0000-0000D28E0000}"/>
    <cellStyle name="Normal 2 8 3 9 2 4" xfId="36560" xr:uid="{00000000-0005-0000-0000-0000D38E0000}"/>
    <cellStyle name="Normal 2 8 3 9 2 5" xfId="36561" xr:uid="{00000000-0005-0000-0000-0000D48E0000}"/>
    <cellStyle name="Normal 2 8 3 9 2 6" xfId="36562" xr:uid="{00000000-0005-0000-0000-0000D58E0000}"/>
    <cellStyle name="Normal 2 8 3 9 3" xfId="36563" xr:uid="{00000000-0005-0000-0000-0000D68E0000}"/>
    <cellStyle name="Normal 2 8 3 9 3 2" xfId="36564" xr:uid="{00000000-0005-0000-0000-0000D78E0000}"/>
    <cellStyle name="Normal 2 8 3 9 3 2 2" xfId="36565" xr:uid="{00000000-0005-0000-0000-0000D88E0000}"/>
    <cellStyle name="Normal 2 8 3 9 3 2 3" xfId="36566" xr:uid="{00000000-0005-0000-0000-0000D98E0000}"/>
    <cellStyle name="Normal 2 8 3 9 3 3" xfId="36567" xr:uid="{00000000-0005-0000-0000-0000DA8E0000}"/>
    <cellStyle name="Normal 2 8 3 9 3 4" xfId="36568" xr:uid="{00000000-0005-0000-0000-0000DB8E0000}"/>
    <cellStyle name="Normal 2 8 3 9 3 5" xfId="36569" xr:uid="{00000000-0005-0000-0000-0000DC8E0000}"/>
    <cellStyle name="Normal 2 8 3 9 3 6" xfId="36570" xr:uid="{00000000-0005-0000-0000-0000DD8E0000}"/>
    <cellStyle name="Normal 2 8 3 9 4" xfId="36571" xr:uid="{00000000-0005-0000-0000-0000DE8E0000}"/>
    <cellStyle name="Normal 2 8 3 9 4 2" xfId="36572" xr:uid="{00000000-0005-0000-0000-0000DF8E0000}"/>
    <cellStyle name="Normal 2 8 3 9 4 2 2" xfId="36573" xr:uid="{00000000-0005-0000-0000-0000E08E0000}"/>
    <cellStyle name="Normal 2 8 3 9 4 3" xfId="36574" xr:uid="{00000000-0005-0000-0000-0000E18E0000}"/>
    <cellStyle name="Normal 2 8 3 9 4 4" xfId="36575" xr:uid="{00000000-0005-0000-0000-0000E28E0000}"/>
    <cellStyle name="Normal 2 8 3 9 4 5" xfId="36576" xr:uid="{00000000-0005-0000-0000-0000E38E0000}"/>
    <cellStyle name="Normal 2 8 3 9 5" xfId="36577" xr:uid="{00000000-0005-0000-0000-0000E48E0000}"/>
    <cellStyle name="Normal 2 8 3 9 5 2" xfId="36578" xr:uid="{00000000-0005-0000-0000-0000E58E0000}"/>
    <cellStyle name="Normal 2 8 3 9 5 3" xfId="36579" xr:uid="{00000000-0005-0000-0000-0000E68E0000}"/>
    <cellStyle name="Normal 2 8 3 9 5 4" xfId="36580" xr:uid="{00000000-0005-0000-0000-0000E78E0000}"/>
    <cellStyle name="Normal 2 8 3 9 6" xfId="36581" xr:uid="{00000000-0005-0000-0000-0000E88E0000}"/>
    <cellStyle name="Normal 2 8 3 9 6 2" xfId="36582" xr:uid="{00000000-0005-0000-0000-0000E98E0000}"/>
    <cellStyle name="Normal 2 8 3 9 7" xfId="36583" xr:uid="{00000000-0005-0000-0000-0000EA8E0000}"/>
    <cellStyle name="Normal 2 8 3 9 8" xfId="36584" xr:uid="{00000000-0005-0000-0000-0000EB8E0000}"/>
    <cellStyle name="Normal 2 8 3 9 9" xfId="36585" xr:uid="{00000000-0005-0000-0000-0000EC8E0000}"/>
    <cellStyle name="Normal 2 8 30" xfId="36586" xr:uid="{00000000-0005-0000-0000-0000ED8E0000}"/>
    <cellStyle name="Normal 2 8 30 2" xfId="36587" xr:uid="{00000000-0005-0000-0000-0000EE8E0000}"/>
    <cellStyle name="Normal 2 8 30 2 2" xfId="36588" xr:uid="{00000000-0005-0000-0000-0000EF8E0000}"/>
    <cellStyle name="Normal 2 8 30 2 2 2" xfId="36589" xr:uid="{00000000-0005-0000-0000-0000F08E0000}"/>
    <cellStyle name="Normal 2 8 30 2 2 3" xfId="36590" xr:uid="{00000000-0005-0000-0000-0000F18E0000}"/>
    <cellStyle name="Normal 2 8 30 2 3" xfId="36591" xr:uid="{00000000-0005-0000-0000-0000F28E0000}"/>
    <cellStyle name="Normal 2 8 30 2 4" xfId="36592" xr:uid="{00000000-0005-0000-0000-0000F38E0000}"/>
    <cellStyle name="Normal 2 8 30 2 5" xfId="36593" xr:uid="{00000000-0005-0000-0000-0000F48E0000}"/>
    <cellStyle name="Normal 2 8 30 2 6" xfId="36594" xr:uid="{00000000-0005-0000-0000-0000F58E0000}"/>
    <cellStyle name="Normal 2 8 30 3" xfId="36595" xr:uid="{00000000-0005-0000-0000-0000F68E0000}"/>
    <cellStyle name="Normal 2 8 30 3 2" xfId="36596" xr:uid="{00000000-0005-0000-0000-0000F78E0000}"/>
    <cellStyle name="Normal 2 8 30 3 2 2" xfId="36597" xr:uid="{00000000-0005-0000-0000-0000F88E0000}"/>
    <cellStyle name="Normal 2 8 30 3 3" xfId="36598" xr:uid="{00000000-0005-0000-0000-0000F98E0000}"/>
    <cellStyle name="Normal 2 8 30 3 4" xfId="36599" xr:uid="{00000000-0005-0000-0000-0000FA8E0000}"/>
    <cellStyle name="Normal 2 8 30 3 5" xfId="36600" xr:uid="{00000000-0005-0000-0000-0000FB8E0000}"/>
    <cellStyle name="Normal 2 8 30 4" xfId="36601" xr:uid="{00000000-0005-0000-0000-0000FC8E0000}"/>
    <cellStyle name="Normal 2 8 30 4 2" xfId="36602" xr:uid="{00000000-0005-0000-0000-0000FD8E0000}"/>
    <cellStyle name="Normal 2 8 30 4 3" xfId="36603" xr:uid="{00000000-0005-0000-0000-0000FE8E0000}"/>
    <cellStyle name="Normal 2 8 30 4 4" xfId="36604" xr:uid="{00000000-0005-0000-0000-0000FF8E0000}"/>
    <cellStyle name="Normal 2 8 30 5" xfId="36605" xr:uid="{00000000-0005-0000-0000-0000008F0000}"/>
    <cellStyle name="Normal 2 8 30 5 2" xfId="36606" xr:uid="{00000000-0005-0000-0000-0000018F0000}"/>
    <cellStyle name="Normal 2 8 30 6" xfId="36607" xr:uid="{00000000-0005-0000-0000-0000028F0000}"/>
    <cellStyle name="Normal 2 8 30 7" xfId="36608" xr:uid="{00000000-0005-0000-0000-0000038F0000}"/>
    <cellStyle name="Normal 2 8 30 8" xfId="36609" xr:uid="{00000000-0005-0000-0000-0000048F0000}"/>
    <cellStyle name="Normal 2 8 30 9" xfId="36610" xr:uid="{00000000-0005-0000-0000-0000058F0000}"/>
    <cellStyle name="Normal 2 8 31" xfId="36611" xr:uid="{00000000-0005-0000-0000-0000068F0000}"/>
    <cellStyle name="Normal 2 8 31 2" xfId="36612" xr:uid="{00000000-0005-0000-0000-0000078F0000}"/>
    <cellStyle name="Normal 2 8 31 2 2" xfId="36613" xr:uid="{00000000-0005-0000-0000-0000088F0000}"/>
    <cellStyle name="Normal 2 8 31 2 2 2" xfId="36614" xr:uid="{00000000-0005-0000-0000-0000098F0000}"/>
    <cellStyle name="Normal 2 8 31 2 2 3" xfId="36615" xr:uid="{00000000-0005-0000-0000-00000A8F0000}"/>
    <cellStyle name="Normal 2 8 31 2 3" xfId="36616" xr:uid="{00000000-0005-0000-0000-00000B8F0000}"/>
    <cellStyle name="Normal 2 8 31 2 4" xfId="36617" xr:uid="{00000000-0005-0000-0000-00000C8F0000}"/>
    <cellStyle name="Normal 2 8 31 2 5" xfId="36618" xr:uid="{00000000-0005-0000-0000-00000D8F0000}"/>
    <cellStyle name="Normal 2 8 31 2 6" xfId="36619" xr:uid="{00000000-0005-0000-0000-00000E8F0000}"/>
    <cellStyle name="Normal 2 8 31 3" xfId="36620" xr:uid="{00000000-0005-0000-0000-00000F8F0000}"/>
    <cellStyle name="Normal 2 8 31 3 2" xfId="36621" xr:uid="{00000000-0005-0000-0000-0000108F0000}"/>
    <cellStyle name="Normal 2 8 31 3 2 2" xfId="36622" xr:uid="{00000000-0005-0000-0000-0000118F0000}"/>
    <cellStyle name="Normal 2 8 31 3 3" xfId="36623" xr:uid="{00000000-0005-0000-0000-0000128F0000}"/>
    <cellStyle name="Normal 2 8 31 3 4" xfId="36624" xr:uid="{00000000-0005-0000-0000-0000138F0000}"/>
    <cellStyle name="Normal 2 8 31 3 5" xfId="36625" xr:uid="{00000000-0005-0000-0000-0000148F0000}"/>
    <cellStyle name="Normal 2 8 31 4" xfId="36626" xr:uid="{00000000-0005-0000-0000-0000158F0000}"/>
    <cellStyle name="Normal 2 8 31 4 2" xfId="36627" xr:uid="{00000000-0005-0000-0000-0000168F0000}"/>
    <cellStyle name="Normal 2 8 31 4 3" xfId="36628" xr:uid="{00000000-0005-0000-0000-0000178F0000}"/>
    <cellStyle name="Normal 2 8 31 4 4" xfId="36629" xr:uid="{00000000-0005-0000-0000-0000188F0000}"/>
    <cellStyle name="Normal 2 8 31 5" xfId="36630" xr:uid="{00000000-0005-0000-0000-0000198F0000}"/>
    <cellStyle name="Normal 2 8 31 5 2" xfId="36631" xr:uid="{00000000-0005-0000-0000-00001A8F0000}"/>
    <cellStyle name="Normal 2 8 31 6" xfId="36632" xr:uid="{00000000-0005-0000-0000-00001B8F0000}"/>
    <cellStyle name="Normal 2 8 31 7" xfId="36633" xr:uid="{00000000-0005-0000-0000-00001C8F0000}"/>
    <cellStyle name="Normal 2 8 31 8" xfId="36634" xr:uid="{00000000-0005-0000-0000-00001D8F0000}"/>
    <cellStyle name="Normal 2 8 31 9" xfId="36635" xr:uid="{00000000-0005-0000-0000-00001E8F0000}"/>
    <cellStyle name="Normal 2 8 32" xfId="36636" xr:uid="{00000000-0005-0000-0000-00001F8F0000}"/>
    <cellStyle name="Normal 2 8 32 2" xfId="36637" xr:uid="{00000000-0005-0000-0000-0000208F0000}"/>
    <cellStyle name="Normal 2 8 32 2 2" xfId="36638" xr:uid="{00000000-0005-0000-0000-0000218F0000}"/>
    <cellStyle name="Normal 2 8 32 2 3" xfId="36639" xr:uid="{00000000-0005-0000-0000-0000228F0000}"/>
    <cellStyle name="Normal 2 8 32 3" xfId="36640" xr:uid="{00000000-0005-0000-0000-0000238F0000}"/>
    <cellStyle name="Normal 2 8 32 4" xfId="36641" xr:uid="{00000000-0005-0000-0000-0000248F0000}"/>
    <cellStyle name="Normal 2 8 32 5" xfId="36642" xr:uid="{00000000-0005-0000-0000-0000258F0000}"/>
    <cellStyle name="Normal 2 8 32 6" xfId="36643" xr:uid="{00000000-0005-0000-0000-0000268F0000}"/>
    <cellStyle name="Normal 2 8 33" xfId="36644" xr:uid="{00000000-0005-0000-0000-0000278F0000}"/>
    <cellStyle name="Normal 2 8 33 2" xfId="36645" xr:uid="{00000000-0005-0000-0000-0000288F0000}"/>
    <cellStyle name="Normal 2 8 33 2 2" xfId="36646" xr:uid="{00000000-0005-0000-0000-0000298F0000}"/>
    <cellStyle name="Normal 2 8 33 3" xfId="36647" xr:uid="{00000000-0005-0000-0000-00002A8F0000}"/>
    <cellStyle name="Normal 2 8 33 4" xfId="36648" xr:uid="{00000000-0005-0000-0000-00002B8F0000}"/>
    <cellStyle name="Normal 2 8 33 5" xfId="36649" xr:uid="{00000000-0005-0000-0000-00002C8F0000}"/>
    <cellStyle name="Normal 2 8 34" xfId="36650" xr:uid="{00000000-0005-0000-0000-00002D8F0000}"/>
    <cellStyle name="Normal 2 8 34 2" xfId="36651" xr:uid="{00000000-0005-0000-0000-00002E8F0000}"/>
    <cellStyle name="Normal 2 8 34 2 2" xfId="36652" xr:uid="{00000000-0005-0000-0000-00002F8F0000}"/>
    <cellStyle name="Normal 2 8 34 3" xfId="36653" xr:uid="{00000000-0005-0000-0000-0000308F0000}"/>
    <cellStyle name="Normal 2 8 34 4" xfId="36654" xr:uid="{00000000-0005-0000-0000-0000318F0000}"/>
    <cellStyle name="Normal 2 8 34 5" xfId="36655" xr:uid="{00000000-0005-0000-0000-0000328F0000}"/>
    <cellStyle name="Normal 2 8 35" xfId="36656" xr:uid="{00000000-0005-0000-0000-0000338F0000}"/>
    <cellStyle name="Normal 2 8 35 2" xfId="36657" xr:uid="{00000000-0005-0000-0000-0000348F0000}"/>
    <cellStyle name="Normal 2 8 36" xfId="36658" xr:uid="{00000000-0005-0000-0000-0000358F0000}"/>
    <cellStyle name="Normal 2 8 37" xfId="36659" xr:uid="{00000000-0005-0000-0000-0000368F0000}"/>
    <cellStyle name="Normal 2 8 38" xfId="36660" xr:uid="{00000000-0005-0000-0000-0000378F0000}"/>
    <cellStyle name="Normal 2 8 39" xfId="36661" xr:uid="{00000000-0005-0000-0000-0000388F0000}"/>
    <cellStyle name="Normal 2 8 4" xfId="36662" xr:uid="{00000000-0005-0000-0000-0000398F0000}"/>
    <cellStyle name="Normal 2 8 4 10" xfId="36663" xr:uid="{00000000-0005-0000-0000-00003A8F0000}"/>
    <cellStyle name="Normal 2 8 4 10 10" xfId="36664" xr:uid="{00000000-0005-0000-0000-00003B8F0000}"/>
    <cellStyle name="Normal 2 8 4 10 2" xfId="36665" xr:uid="{00000000-0005-0000-0000-00003C8F0000}"/>
    <cellStyle name="Normal 2 8 4 10 2 2" xfId="36666" xr:uid="{00000000-0005-0000-0000-00003D8F0000}"/>
    <cellStyle name="Normal 2 8 4 10 2 2 2" xfId="36667" xr:uid="{00000000-0005-0000-0000-00003E8F0000}"/>
    <cellStyle name="Normal 2 8 4 10 2 2 3" xfId="36668" xr:uid="{00000000-0005-0000-0000-00003F8F0000}"/>
    <cellStyle name="Normal 2 8 4 10 2 3" xfId="36669" xr:uid="{00000000-0005-0000-0000-0000408F0000}"/>
    <cellStyle name="Normal 2 8 4 10 2 4" xfId="36670" xr:uid="{00000000-0005-0000-0000-0000418F0000}"/>
    <cellStyle name="Normal 2 8 4 10 2 5" xfId="36671" xr:uid="{00000000-0005-0000-0000-0000428F0000}"/>
    <cellStyle name="Normal 2 8 4 10 2 6" xfId="36672" xr:uid="{00000000-0005-0000-0000-0000438F0000}"/>
    <cellStyle name="Normal 2 8 4 10 3" xfId="36673" xr:uid="{00000000-0005-0000-0000-0000448F0000}"/>
    <cellStyle name="Normal 2 8 4 10 3 2" xfId="36674" xr:uid="{00000000-0005-0000-0000-0000458F0000}"/>
    <cellStyle name="Normal 2 8 4 10 3 2 2" xfId="36675" xr:uid="{00000000-0005-0000-0000-0000468F0000}"/>
    <cellStyle name="Normal 2 8 4 10 3 2 3" xfId="36676" xr:uid="{00000000-0005-0000-0000-0000478F0000}"/>
    <cellStyle name="Normal 2 8 4 10 3 3" xfId="36677" xr:uid="{00000000-0005-0000-0000-0000488F0000}"/>
    <cellStyle name="Normal 2 8 4 10 3 4" xfId="36678" xr:uid="{00000000-0005-0000-0000-0000498F0000}"/>
    <cellStyle name="Normal 2 8 4 10 3 5" xfId="36679" xr:uid="{00000000-0005-0000-0000-00004A8F0000}"/>
    <cellStyle name="Normal 2 8 4 10 3 6" xfId="36680" xr:uid="{00000000-0005-0000-0000-00004B8F0000}"/>
    <cellStyle name="Normal 2 8 4 10 4" xfId="36681" xr:uid="{00000000-0005-0000-0000-00004C8F0000}"/>
    <cellStyle name="Normal 2 8 4 10 4 2" xfId="36682" xr:uid="{00000000-0005-0000-0000-00004D8F0000}"/>
    <cellStyle name="Normal 2 8 4 10 4 2 2" xfId="36683" xr:uid="{00000000-0005-0000-0000-00004E8F0000}"/>
    <cellStyle name="Normal 2 8 4 10 4 3" xfId="36684" xr:uid="{00000000-0005-0000-0000-00004F8F0000}"/>
    <cellStyle name="Normal 2 8 4 10 4 4" xfId="36685" xr:uid="{00000000-0005-0000-0000-0000508F0000}"/>
    <cellStyle name="Normal 2 8 4 10 4 5" xfId="36686" xr:uid="{00000000-0005-0000-0000-0000518F0000}"/>
    <cellStyle name="Normal 2 8 4 10 5" xfId="36687" xr:uid="{00000000-0005-0000-0000-0000528F0000}"/>
    <cellStyle name="Normal 2 8 4 10 5 2" xfId="36688" xr:uid="{00000000-0005-0000-0000-0000538F0000}"/>
    <cellStyle name="Normal 2 8 4 10 5 3" xfId="36689" xr:uid="{00000000-0005-0000-0000-0000548F0000}"/>
    <cellStyle name="Normal 2 8 4 10 5 4" xfId="36690" xr:uid="{00000000-0005-0000-0000-0000558F0000}"/>
    <cellStyle name="Normal 2 8 4 10 6" xfId="36691" xr:uid="{00000000-0005-0000-0000-0000568F0000}"/>
    <cellStyle name="Normal 2 8 4 10 6 2" xfId="36692" xr:uid="{00000000-0005-0000-0000-0000578F0000}"/>
    <cellStyle name="Normal 2 8 4 10 7" xfId="36693" xr:uid="{00000000-0005-0000-0000-0000588F0000}"/>
    <cellStyle name="Normal 2 8 4 10 8" xfId="36694" xr:uid="{00000000-0005-0000-0000-0000598F0000}"/>
    <cellStyle name="Normal 2 8 4 10 9" xfId="36695" xr:uid="{00000000-0005-0000-0000-00005A8F0000}"/>
    <cellStyle name="Normal 2 8 4 11" xfId="36696" xr:uid="{00000000-0005-0000-0000-00005B8F0000}"/>
    <cellStyle name="Normal 2 8 4 11 10" xfId="36697" xr:uid="{00000000-0005-0000-0000-00005C8F0000}"/>
    <cellStyle name="Normal 2 8 4 11 2" xfId="36698" xr:uid="{00000000-0005-0000-0000-00005D8F0000}"/>
    <cellStyle name="Normal 2 8 4 11 2 2" xfId="36699" xr:uid="{00000000-0005-0000-0000-00005E8F0000}"/>
    <cellStyle name="Normal 2 8 4 11 2 2 2" xfId="36700" xr:uid="{00000000-0005-0000-0000-00005F8F0000}"/>
    <cellStyle name="Normal 2 8 4 11 2 2 3" xfId="36701" xr:uid="{00000000-0005-0000-0000-0000608F0000}"/>
    <cellStyle name="Normal 2 8 4 11 2 3" xfId="36702" xr:uid="{00000000-0005-0000-0000-0000618F0000}"/>
    <cellStyle name="Normal 2 8 4 11 2 4" xfId="36703" xr:uid="{00000000-0005-0000-0000-0000628F0000}"/>
    <cellStyle name="Normal 2 8 4 11 2 5" xfId="36704" xr:uid="{00000000-0005-0000-0000-0000638F0000}"/>
    <cellStyle name="Normal 2 8 4 11 2 6" xfId="36705" xr:uid="{00000000-0005-0000-0000-0000648F0000}"/>
    <cellStyle name="Normal 2 8 4 11 3" xfId="36706" xr:uid="{00000000-0005-0000-0000-0000658F0000}"/>
    <cellStyle name="Normal 2 8 4 11 3 2" xfId="36707" xr:uid="{00000000-0005-0000-0000-0000668F0000}"/>
    <cellStyle name="Normal 2 8 4 11 3 2 2" xfId="36708" xr:uid="{00000000-0005-0000-0000-0000678F0000}"/>
    <cellStyle name="Normal 2 8 4 11 3 2 3" xfId="36709" xr:uid="{00000000-0005-0000-0000-0000688F0000}"/>
    <cellStyle name="Normal 2 8 4 11 3 3" xfId="36710" xr:uid="{00000000-0005-0000-0000-0000698F0000}"/>
    <cellStyle name="Normal 2 8 4 11 3 4" xfId="36711" xr:uid="{00000000-0005-0000-0000-00006A8F0000}"/>
    <cellStyle name="Normal 2 8 4 11 3 5" xfId="36712" xr:uid="{00000000-0005-0000-0000-00006B8F0000}"/>
    <cellStyle name="Normal 2 8 4 11 3 6" xfId="36713" xr:uid="{00000000-0005-0000-0000-00006C8F0000}"/>
    <cellStyle name="Normal 2 8 4 11 4" xfId="36714" xr:uid="{00000000-0005-0000-0000-00006D8F0000}"/>
    <cellStyle name="Normal 2 8 4 11 4 2" xfId="36715" xr:uid="{00000000-0005-0000-0000-00006E8F0000}"/>
    <cellStyle name="Normal 2 8 4 11 4 2 2" xfId="36716" xr:uid="{00000000-0005-0000-0000-00006F8F0000}"/>
    <cellStyle name="Normal 2 8 4 11 4 3" xfId="36717" xr:uid="{00000000-0005-0000-0000-0000708F0000}"/>
    <cellStyle name="Normal 2 8 4 11 4 4" xfId="36718" xr:uid="{00000000-0005-0000-0000-0000718F0000}"/>
    <cellStyle name="Normal 2 8 4 11 4 5" xfId="36719" xr:uid="{00000000-0005-0000-0000-0000728F0000}"/>
    <cellStyle name="Normal 2 8 4 11 5" xfId="36720" xr:uid="{00000000-0005-0000-0000-0000738F0000}"/>
    <cellStyle name="Normal 2 8 4 11 5 2" xfId="36721" xr:uid="{00000000-0005-0000-0000-0000748F0000}"/>
    <cellStyle name="Normal 2 8 4 11 5 3" xfId="36722" xr:uid="{00000000-0005-0000-0000-0000758F0000}"/>
    <cellStyle name="Normal 2 8 4 11 5 4" xfId="36723" xr:uid="{00000000-0005-0000-0000-0000768F0000}"/>
    <cellStyle name="Normal 2 8 4 11 6" xfId="36724" xr:uid="{00000000-0005-0000-0000-0000778F0000}"/>
    <cellStyle name="Normal 2 8 4 11 6 2" xfId="36725" xr:uid="{00000000-0005-0000-0000-0000788F0000}"/>
    <cellStyle name="Normal 2 8 4 11 7" xfId="36726" xr:uid="{00000000-0005-0000-0000-0000798F0000}"/>
    <cellStyle name="Normal 2 8 4 11 8" xfId="36727" xr:uid="{00000000-0005-0000-0000-00007A8F0000}"/>
    <cellStyle name="Normal 2 8 4 11 9" xfId="36728" xr:uid="{00000000-0005-0000-0000-00007B8F0000}"/>
    <cellStyle name="Normal 2 8 4 12" xfId="36729" xr:uid="{00000000-0005-0000-0000-00007C8F0000}"/>
    <cellStyle name="Normal 2 8 4 12 10" xfId="36730" xr:uid="{00000000-0005-0000-0000-00007D8F0000}"/>
    <cellStyle name="Normal 2 8 4 12 2" xfId="36731" xr:uid="{00000000-0005-0000-0000-00007E8F0000}"/>
    <cellStyle name="Normal 2 8 4 12 2 2" xfId="36732" xr:uid="{00000000-0005-0000-0000-00007F8F0000}"/>
    <cellStyle name="Normal 2 8 4 12 2 2 2" xfId="36733" xr:uid="{00000000-0005-0000-0000-0000808F0000}"/>
    <cellStyle name="Normal 2 8 4 12 2 2 3" xfId="36734" xr:uid="{00000000-0005-0000-0000-0000818F0000}"/>
    <cellStyle name="Normal 2 8 4 12 2 3" xfId="36735" xr:uid="{00000000-0005-0000-0000-0000828F0000}"/>
    <cellStyle name="Normal 2 8 4 12 2 4" xfId="36736" xr:uid="{00000000-0005-0000-0000-0000838F0000}"/>
    <cellStyle name="Normal 2 8 4 12 2 5" xfId="36737" xr:uid="{00000000-0005-0000-0000-0000848F0000}"/>
    <cellStyle name="Normal 2 8 4 12 2 6" xfId="36738" xr:uid="{00000000-0005-0000-0000-0000858F0000}"/>
    <cellStyle name="Normal 2 8 4 12 3" xfId="36739" xr:uid="{00000000-0005-0000-0000-0000868F0000}"/>
    <cellStyle name="Normal 2 8 4 12 3 2" xfId="36740" xr:uid="{00000000-0005-0000-0000-0000878F0000}"/>
    <cellStyle name="Normal 2 8 4 12 3 2 2" xfId="36741" xr:uid="{00000000-0005-0000-0000-0000888F0000}"/>
    <cellStyle name="Normal 2 8 4 12 3 2 3" xfId="36742" xr:uid="{00000000-0005-0000-0000-0000898F0000}"/>
    <cellStyle name="Normal 2 8 4 12 3 3" xfId="36743" xr:uid="{00000000-0005-0000-0000-00008A8F0000}"/>
    <cellStyle name="Normal 2 8 4 12 3 4" xfId="36744" xr:uid="{00000000-0005-0000-0000-00008B8F0000}"/>
    <cellStyle name="Normal 2 8 4 12 3 5" xfId="36745" xr:uid="{00000000-0005-0000-0000-00008C8F0000}"/>
    <cellStyle name="Normal 2 8 4 12 3 6" xfId="36746" xr:uid="{00000000-0005-0000-0000-00008D8F0000}"/>
    <cellStyle name="Normal 2 8 4 12 4" xfId="36747" xr:uid="{00000000-0005-0000-0000-00008E8F0000}"/>
    <cellStyle name="Normal 2 8 4 12 4 2" xfId="36748" xr:uid="{00000000-0005-0000-0000-00008F8F0000}"/>
    <cellStyle name="Normal 2 8 4 12 4 2 2" xfId="36749" xr:uid="{00000000-0005-0000-0000-0000908F0000}"/>
    <cellStyle name="Normal 2 8 4 12 4 3" xfId="36750" xr:uid="{00000000-0005-0000-0000-0000918F0000}"/>
    <cellStyle name="Normal 2 8 4 12 4 4" xfId="36751" xr:uid="{00000000-0005-0000-0000-0000928F0000}"/>
    <cellStyle name="Normal 2 8 4 12 4 5" xfId="36752" xr:uid="{00000000-0005-0000-0000-0000938F0000}"/>
    <cellStyle name="Normal 2 8 4 12 5" xfId="36753" xr:uid="{00000000-0005-0000-0000-0000948F0000}"/>
    <cellStyle name="Normal 2 8 4 12 5 2" xfId="36754" xr:uid="{00000000-0005-0000-0000-0000958F0000}"/>
    <cellStyle name="Normal 2 8 4 12 5 3" xfId="36755" xr:uid="{00000000-0005-0000-0000-0000968F0000}"/>
    <cellStyle name="Normal 2 8 4 12 5 4" xfId="36756" xr:uid="{00000000-0005-0000-0000-0000978F0000}"/>
    <cellStyle name="Normal 2 8 4 12 6" xfId="36757" xr:uid="{00000000-0005-0000-0000-0000988F0000}"/>
    <cellStyle name="Normal 2 8 4 12 6 2" xfId="36758" xr:uid="{00000000-0005-0000-0000-0000998F0000}"/>
    <cellStyle name="Normal 2 8 4 12 7" xfId="36759" xr:uid="{00000000-0005-0000-0000-00009A8F0000}"/>
    <cellStyle name="Normal 2 8 4 12 8" xfId="36760" xr:uid="{00000000-0005-0000-0000-00009B8F0000}"/>
    <cellStyle name="Normal 2 8 4 12 9" xfId="36761" xr:uid="{00000000-0005-0000-0000-00009C8F0000}"/>
    <cellStyle name="Normal 2 8 4 13" xfId="36762" xr:uid="{00000000-0005-0000-0000-00009D8F0000}"/>
    <cellStyle name="Normal 2 8 4 13 2" xfId="36763" xr:uid="{00000000-0005-0000-0000-00009E8F0000}"/>
    <cellStyle name="Normal 2 8 4 13 2 2" xfId="36764" xr:uid="{00000000-0005-0000-0000-00009F8F0000}"/>
    <cellStyle name="Normal 2 8 4 13 2 2 2" xfId="36765" xr:uid="{00000000-0005-0000-0000-0000A08F0000}"/>
    <cellStyle name="Normal 2 8 4 13 2 2 3" xfId="36766" xr:uid="{00000000-0005-0000-0000-0000A18F0000}"/>
    <cellStyle name="Normal 2 8 4 13 2 3" xfId="36767" xr:uid="{00000000-0005-0000-0000-0000A28F0000}"/>
    <cellStyle name="Normal 2 8 4 13 2 4" xfId="36768" xr:uid="{00000000-0005-0000-0000-0000A38F0000}"/>
    <cellStyle name="Normal 2 8 4 13 2 5" xfId="36769" xr:uid="{00000000-0005-0000-0000-0000A48F0000}"/>
    <cellStyle name="Normal 2 8 4 13 2 6" xfId="36770" xr:uid="{00000000-0005-0000-0000-0000A58F0000}"/>
    <cellStyle name="Normal 2 8 4 13 3" xfId="36771" xr:uid="{00000000-0005-0000-0000-0000A68F0000}"/>
    <cellStyle name="Normal 2 8 4 13 3 2" xfId="36772" xr:uid="{00000000-0005-0000-0000-0000A78F0000}"/>
    <cellStyle name="Normal 2 8 4 13 3 2 2" xfId="36773" xr:uid="{00000000-0005-0000-0000-0000A88F0000}"/>
    <cellStyle name="Normal 2 8 4 13 3 3" xfId="36774" xr:uid="{00000000-0005-0000-0000-0000A98F0000}"/>
    <cellStyle name="Normal 2 8 4 13 3 4" xfId="36775" xr:uid="{00000000-0005-0000-0000-0000AA8F0000}"/>
    <cellStyle name="Normal 2 8 4 13 3 5" xfId="36776" xr:uid="{00000000-0005-0000-0000-0000AB8F0000}"/>
    <cellStyle name="Normal 2 8 4 13 4" xfId="36777" xr:uid="{00000000-0005-0000-0000-0000AC8F0000}"/>
    <cellStyle name="Normal 2 8 4 13 4 2" xfId="36778" xr:uid="{00000000-0005-0000-0000-0000AD8F0000}"/>
    <cellStyle name="Normal 2 8 4 13 4 3" xfId="36779" xr:uid="{00000000-0005-0000-0000-0000AE8F0000}"/>
    <cellStyle name="Normal 2 8 4 13 4 4" xfId="36780" xr:uid="{00000000-0005-0000-0000-0000AF8F0000}"/>
    <cellStyle name="Normal 2 8 4 13 5" xfId="36781" xr:uid="{00000000-0005-0000-0000-0000B08F0000}"/>
    <cellStyle name="Normal 2 8 4 13 5 2" xfId="36782" xr:uid="{00000000-0005-0000-0000-0000B18F0000}"/>
    <cellStyle name="Normal 2 8 4 13 6" xfId="36783" xr:uid="{00000000-0005-0000-0000-0000B28F0000}"/>
    <cellStyle name="Normal 2 8 4 13 7" xfId="36784" xr:uid="{00000000-0005-0000-0000-0000B38F0000}"/>
    <cellStyle name="Normal 2 8 4 13 8" xfId="36785" xr:uid="{00000000-0005-0000-0000-0000B48F0000}"/>
    <cellStyle name="Normal 2 8 4 13 9" xfId="36786" xr:uid="{00000000-0005-0000-0000-0000B58F0000}"/>
    <cellStyle name="Normal 2 8 4 14" xfId="36787" xr:uid="{00000000-0005-0000-0000-0000B68F0000}"/>
    <cellStyle name="Normal 2 8 4 14 2" xfId="36788" xr:uid="{00000000-0005-0000-0000-0000B78F0000}"/>
    <cellStyle name="Normal 2 8 4 14 2 2" xfId="36789" xr:uid="{00000000-0005-0000-0000-0000B88F0000}"/>
    <cellStyle name="Normal 2 8 4 14 2 2 2" xfId="36790" xr:uid="{00000000-0005-0000-0000-0000B98F0000}"/>
    <cellStyle name="Normal 2 8 4 14 2 2 3" xfId="36791" xr:uid="{00000000-0005-0000-0000-0000BA8F0000}"/>
    <cellStyle name="Normal 2 8 4 14 2 3" xfId="36792" xr:uid="{00000000-0005-0000-0000-0000BB8F0000}"/>
    <cellStyle name="Normal 2 8 4 14 2 4" xfId="36793" xr:uid="{00000000-0005-0000-0000-0000BC8F0000}"/>
    <cellStyle name="Normal 2 8 4 14 2 5" xfId="36794" xr:uid="{00000000-0005-0000-0000-0000BD8F0000}"/>
    <cellStyle name="Normal 2 8 4 14 2 6" xfId="36795" xr:uid="{00000000-0005-0000-0000-0000BE8F0000}"/>
    <cellStyle name="Normal 2 8 4 14 3" xfId="36796" xr:uid="{00000000-0005-0000-0000-0000BF8F0000}"/>
    <cellStyle name="Normal 2 8 4 14 3 2" xfId="36797" xr:uid="{00000000-0005-0000-0000-0000C08F0000}"/>
    <cellStyle name="Normal 2 8 4 14 3 2 2" xfId="36798" xr:uid="{00000000-0005-0000-0000-0000C18F0000}"/>
    <cellStyle name="Normal 2 8 4 14 3 3" xfId="36799" xr:uid="{00000000-0005-0000-0000-0000C28F0000}"/>
    <cellStyle name="Normal 2 8 4 14 3 4" xfId="36800" xr:uid="{00000000-0005-0000-0000-0000C38F0000}"/>
    <cellStyle name="Normal 2 8 4 14 3 5" xfId="36801" xr:uid="{00000000-0005-0000-0000-0000C48F0000}"/>
    <cellStyle name="Normal 2 8 4 14 4" xfId="36802" xr:uid="{00000000-0005-0000-0000-0000C58F0000}"/>
    <cellStyle name="Normal 2 8 4 14 4 2" xfId="36803" xr:uid="{00000000-0005-0000-0000-0000C68F0000}"/>
    <cellStyle name="Normal 2 8 4 14 4 3" xfId="36804" xr:uid="{00000000-0005-0000-0000-0000C78F0000}"/>
    <cellStyle name="Normal 2 8 4 14 4 4" xfId="36805" xr:uid="{00000000-0005-0000-0000-0000C88F0000}"/>
    <cellStyle name="Normal 2 8 4 14 5" xfId="36806" xr:uid="{00000000-0005-0000-0000-0000C98F0000}"/>
    <cellStyle name="Normal 2 8 4 14 5 2" xfId="36807" xr:uid="{00000000-0005-0000-0000-0000CA8F0000}"/>
    <cellStyle name="Normal 2 8 4 14 6" xfId="36808" xr:uid="{00000000-0005-0000-0000-0000CB8F0000}"/>
    <cellStyle name="Normal 2 8 4 14 7" xfId="36809" xr:uid="{00000000-0005-0000-0000-0000CC8F0000}"/>
    <cellStyle name="Normal 2 8 4 14 8" xfId="36810" xr:uid="{00000000-0005-0000-0000-0000CD8F0000}"/>
    <cellStyle name="Normal 2 8 4 14 9" xfId="36811" xr:uid="{00000000-0005-0000-0000-0000CE8F0000}"/>
    <cellStyle name="Normal 2 8 4 15" xfId="36812" xr:uid="{00000000-0005-0000-0000-0000CF8F0000}"/>
    <cellStyle name="Normal 2 8 4 15 2" xfId="36813" xr:uid="{00000000-0005-0000-0000-0000D08F0000}"/>
    <cellStyle name="Normal 2 8 4 15 2 2" xfId="36814" xr:uid="{00000000-0005-0000-0000-0000D18F0000}"/>
    <cellStyle name="Normal 2 8 4 15 2 3" xfId="36815" xr:uid="{00000000-0005-0000-0000-0000D28F0000}"/>
    <cellStyle name="Normal 2 8 4 15 3" xfId="36816" xr:uid="{00000000-0005-0000-0000-0000D38F0000}"/>
    <cellStyle name="Normal 2 8 4 15 4" xfId="36817" xr:uid="{00000000-0005-0000-0000-0000D48F0000}"/>
    <cellStyle name="Normal 2 8 4 15 5" xfId="36818" xr:uid="{00000000-0005-0000-0000-0000D58F0000}"/>
    <cellStyle name="Normal 2 8 4 15 6" xfId="36819" xr:uid="{00000000-0005-0000-0000-0000D68F0000}"/>
    <cellStyle name="Normal 2 8 4 16" xfId="36820" xr:uid="{00000000-0005-0000-0000-0000D78F0000}"/>
    <cellStyle name="Normal 2 8 4 16 2" xfId="36821" xr:uid="{00000000-0005-0000-0000-0000D88F0000}"/>
    <cellStyle name="Normal 2 8 4 16 2 2" xfId="36822" xr:uid="{00000000-0005-0000-0000-0000D98F0000}"/>
    <cellStyle name="Normal 2 8 4 16 3" xfId="36823" xr:uid="{00000000-0005-0000-0000-0000DA8F0000}"/>
    <cellStyle name="Normal 2 8 4 16 4" xfId="36824" xr:uid="{00000000-0005-0000-0000-0000DB8F0000}"/>
    <cellStyle name="Normal 2 8 4 16 5" xfId="36825" xr:uid="{00000000-0005-0000-0000-0000DC8F0000}"/>
    <cellStyle name="Normal 2 8 4 17" xfId="36826" xr:uid="{00000000-0005-0000-0000-0000DD8F0000}"/>
    <cellStyle name="Normal 2 8 4 17 2" xfId="36827" xr:uid="{00000000-0005-0000-0000-0000DE8F0000}"/>
    <cellStyle name="Normal 2 8 4 17 2 2" xfId="36828" xr:uid="{00000000-0005-0000-0000-0000DF8F0000}"/>
    <cellStyle name="Normal 2 8 4 17 3" xfId="36829" xr:uid="{00000000-0005-0000-0000-0000E08F0000}"/>
    <cellStyle name="Normal 2 8 4 17 4" xfId="36830" xr:uid="{00000000-0005-0000-0000-0000E18F0000}"/>
    <cellStyle name="Normal 2 8 4 17 5" xfId="36831" xr:uid="{00000000-0005-0000-0000-0000E28F0000}"/>
    <cellStyle name="Normal 2 8 4 18" xfId="36832" xr:uid="{00000000-0005-0000-0000-0000E38F0000}"/>
    <cellStyle name="Normal 2 8 4 18 2" xfId="36833" xr:uid="{00000000-0005-0000-0000-0000E48F0000}"/>
    <cellStyle name="Normal 2 8 4 19" xfId="36834" xr:uid="{00000000-0005-0000-0000-0000E58F0000}"/>
    <cellStyle name="Normal 2 8 4 2" xfId="36835" xr:uid="{00000000-0005-0000-0000-0000E68F0000}"/>
    <cellStyle name="Normal 2 8 4 2 10" xfId="36836" xr:uid="{00000000-0005-0000-0000-0000E78F0000}"/>
    <cellStyle name="Normal 2 8 4 2 11" xfId="36837" xr:uid="{00000000-0005-0000-0000-0000E88F0000}"/>
    <cellStyle name="Normal 2 8 4 2 2" xfId="36838" xr:uid="{00000000-0005-0000-0000-0000E98F0000}"/>
    <cellStyle name="Normal 2 8 4 2 2 2" xfId="36839" xr:uid="{00000000-0005-0000-0000-0000EA8F0000}"/>
    <cellStyle name="Normal 2 8 4 2 2 2 2" xfId="36840" xr:uid="{00000000-0005-0000-0000-0000EB8F0000}"/>
    <cellStyle name="Normal 2 8 4 2 2 2 2 2" xfId="36841" xr:uid="{00000000-0005-0000-0000-0000EC8F0000}"/>
    <cellStyle name="Normal 2 8 4 2 2 2 2 3" xfId="36842" xr:uid="{00000000-0005-0000-0000-0000ED8F0000}"/>
    <cellStyle name="Normal 2 8 4 2 2 2 3" xfId="36843" xr:uid="{00000000-0005-0000-0000-0000EE8F0000}"/>
    <cellStyle name="Normal 2 8 4 2 2 2 4" xfId="36844" xr:uid="{00000000-0005-0000-0000-0000EF8F0000}"/>
    <cellStyle name="Normal 2 8 4 2 2 2 5" xfId="36845" xr:uid="{00000000-0005-0000-0000-0000F08F0000}"/>
    <cellStyle name="Normal 2 8 4 2 2 2 6" xfId="36846" xr:uid="{00000000-0005-0000-0000-0000F18F0000}"/>
    <cellStyle name="Normal 2 8 4 2 2 3" xfId="36847" xr:uid="{00000000-0005-0000-0000-0000F28F0000}"/>
    <cellStyle name="Normal 2 8 4 2 2 3 2" xfId="36848" xr:uid="{00000000-0005-0000-0000-0000F38F0000}"/>
    <cellStyle name="Normal 2 8 4 2 2 3 2 2" xfId="36849" xr:uid="{00000000-0005-0000-0000-0000F48F0000}"/>
    <cellStyle name="Normal 2 8 4 2 2 3 3" xfId="36850" xr:uid="{00000000-0005-0000-0000-0000F58F0000}"/>
    <cellStyle name="Normal 2 8 4 2 2 3 4" xfId="36851" xr:uid="{00000000-0005-0000-0000-0000F68F0000}"/>
    <cellStyle name="Normal 2 8 4 2 2 3 5" xfId="36852" xr:uid="{00000000-0005-0000-0000-0000F78F0000}"/>
    <cellStyle name="Normal 2 8 4 2 2 4" xfId="36853" xr:uid="{00000000-0005-0000-0000-0000F88F0000}"/>
    <cellStyle name="Normal 2 8 4 2 2 4 2" xfId="36854" xr:uid="{00000000-0005-0000-0000-0000F98F0000}"/>
    <cellStyle name="Normal 2 8 4 2 2 4 3" xfId="36855" xr:uid="{00000000-0005-0000-0000-0000FA8F0000}"/>
    <cellStyle name="Normal 2 8 4 2 2 4 4" xfId="36856" xr:uid="{00000000-0005-0000-0000-0000FB8F0000}"/>
    <cellStyle name="Normal 2 8 4 2 2 5" xfId="36857" xr:uid="{00000000-0005-0000-0000-0000FC8F0000}"/>
    <cellStyle name="Normal 2 8 4 2 2 5 2" xfId="36858" xr:uid="{00000000-0005-0000-0000-0000FD8F0000}"/>
    <cellStyle name="Normal 2 8 4 2 2 6" xfId="36859" xr:uid="{00000000-0005-0000-0000-0000FE8F0000}"/>
    <cellStyle name="Normal 2 8 4 2 2 7" xfId="36860" xr:uid="{00000000-0005-0000-0000-0000FF8F0000}"/>
    <cellStyle name="Normal 2 8 4 2 2 8" xfId="36861" xr:uid="{00000000-0005-0000-0000-000000900000}"/>
    <cellStyle name="Normal 2 8 4 2 2 9" xfId="36862" xr:uid="{00000000-0005-0000-0000-000001900000}"/>
    <cellStyle name="Normal 2 8 4 2 3" xfId="36863" xr:uid="{00000000-0005-0000-0000-000002900000}"/>
    <cellStyle name="Normal 2 8 4 2 3 2" xfId="36864" xr:uid="{00000000-0005-0000-0000-000003900000}"/>
    <cellStyle name="Normal 2 8 4 2 3 2 2" xfId="36865" xr:uid="{00000000-0005-0000-0000-000004900000}"/>
    <cellStyle name="Normal 2 8 4 2 3 2 2 2" xfId="36866" xr:uid="{00000000-0005-0000-0000-000005900000}"/>
    <cellStyle name="Normal 2 8 4 2 3 2 2 3" xfId="36867" xr:uid="{00000000-0005-0000-0000-000006900000}"/>
    <cellStyle name="Normal 2 8 4 2 3 2 3" xfId="36868" xr:uid="{00000000-0005-0000-0000-000007900000}"/>
    <cellStyle name="Normal 2 8 4 2 3 2 4" xfId="36869" xr:uid="{00000000-0005-0000-0000-000008900000}"/>
    <cellStyle name="Normal 2 8 4 2 3 2 5" xfId="36870" xr:uid="{00000000-0005-0000-0000-000009900000}"/>
    <cellStyle name="Normal 2 8 4 2 3 2 6" xfId="36871" xr:uid="{00000000-0005-0000-0000-00000A900000}"/>
    <cellStyle name="Normal 2 8 4 2 3 3" xfId="36872" xr:uid="{00000000-0005-0000-0000-00000B900000}"/>
    <cellStyle name="Normal 2 8 4 2 3 3 2" xfId="36873" xr:uid="{00000000-0005-0000-0000-00000C900000}"/>
    <cellStyle name="Normal 2 8 4 2 3 3 2 2" xfId="36874" xr:uid="{00000000-0005-0000-0000-00000D900000}"/>
    <cellStyle name="Normal 2 8 4 2 3 3 3" xfId="36875" xr:uid="{00000000-0005-0000-0000-00000E900000}"/>
    <cellStyle name="Normal 2 8 4 2 3 3 4" xfId="36876" xr:uid="{00000000-0005-0000-0000-00000F900000}"/>
    <cellStyle name="Normal 2 8 4 2 3 3 5" xfId="36877" xr:uid="{00000000-0005-0000-0000-000010900000}"/>
    <cellStyle name="Normal 2 8 4 2 3 4" xfId="36878" xr:uid="{00000000-0005-0000-0000-000011900000}"/>
    <cellStyle name="Normal 2 8 4 2 3 4 2" xfId="36879" xr:uid="{00000000-0005-0000-0000-000012900000}"/>
    <cellStyle name="Normal 2 8 4 2 3 4 3" xfId="36880" xr:uid="{00000000-0005-0000-0000-000013900000}"/>
    <cellStyle name="Normal 2 8 4 2 3 4 4" xfId="36881" xr:uid="{00000000-0005-0000-0000-000014900000}"/>
    <cellStyle name="Normal 2 8 4 2 3 5" xfId="36882" xr:uid="{00000000-0005-0000-0000-000015900000}"/>
    <cellStyle name="Normal 2 8 4 2 3 5 2" xfId="36883" xr:uid="{00000000-0005-0000-0000-000016900000}"/>
    <cellStyle name="Normal 2 8 4 2 3 6" xfId="36884" xr:uid="{00000000-0005-0000-0000-000017900000}"/>
    <cellStyle name="Normal 2 8 4 2 3 7" xfId="36885" xr:uid="{00000000-0005-0000-0000-000018900000}"/>
    <cellStyle name="Normal 2 8 4 2 3 8" xfId="36886" xr:uid="{00000000-0005-0000-0000-000019900000}"/>
    <cellStyle name="Normal 2 8 4 2 3 9" xfId="36887" xr:uid="{00000000-0005-0000-0000-00001A900000}"/>
    <cellStyle name="Normal 2 8 4 2 4" xfId="36888" xr:uid="{00000000-0005-0000-0000-00001B900000}"/>
    <cellStyle name="Normal 2 8 4 2 4 2" xfId="36889" xr:uid="{00000000-0005-0000-0000-00001C900000}"/>
    <cellStyle name="Normal 2 8 4 2 4 2 2" xfId="36890" xr:uid="{00000000-0005-0000-0000-00001D900000}"/>
    <cellStyle name="Normal 2 8 4 2 4 2 3" xfId="36891" xr:uid="{00000000-0005-0000-0000-00001E900000}"/>
    <cellStyle name="Normal 2 8 4 2 4 3" xfId="36892" xr:uid="{00000000-0005-0000-0000-00001F900000}"/>
    <cellStyle name="Normal 2 8 4 2 4 4" xfId="36893" xr:uid="{00000000-0005-0000-0000-000020900000}"/>
    <cellStyle name="Normal 2 8 4 2 4 5" xfId="36894" xr:uid="{00000000-0005-0000-0000-000021900000}"/>
    <cellStyle name="Normal 2 8 4 2 4 6" xfId="36895" xr:uid="{00000000-0005-0000-0000-000022900000}"/>
    <cellStyle name="Normal 2 8 4 2 5" xfId="36896" xr:uid="{00000000-0005-0000-0000-000023900000}"/>
    <cellStyle name="Normal 2 8 4 2 5 2" xfId="36897" xr:uid="{00000000-0005-0000-0000-000024900000}"/>
    <cellStyle name="Normal 2 8 4 2 5 2 2" xfId="36898" xr:uid="{00000000-0005-0000-0000-000025900000}"/>
    <cellStyle name="Normal 2 8 4 2 5 3" xfId="36899" xr:uid="{00000000-0005-0000-0000-000026900000}"/>
    <cellStyle name="Normal 2 8 4 2 5 4" xfId="36900" xr:uid="{00000000-0005-0000-0000-000027900000}"/>
    <cellStyle name="Normal 2 8 4 2 5 5" xfId="36901" xr:uid="{00000000-0005-0000-0000-000028900000}"/>
    <cellStyle name="Normal 2 8 4 2 6" xfId="36902" xr:uid="{00000000-0005-0000-0000-000029900000}"/>
    <cellStyle name="Normal 2 8 4 2 6 2" xfId="36903" xr:uid="{00000000-0005-0000-0000-00002A900000}"/>
    <cellStyle name="Normal 2 8 4 2 6 3" xfId="36904" xr:uid="{00000000-0005-0000-0000-00002B900000}"/>
    <cellStyle name="Normal 2 8 4 2 6 4" xfId="36905" xr:uid="{00000000-0005-0000-0000-00002C900000}"/>
    <cellStyle name="Normal 2 8 4 2 7" xfId="36906" xr:uid="{00000000-0005-0000-0000-00002D900000}"/>
    <cellStyle name="Normal 2 8 4 2 7 2" xfId="36907" xr:uid="{00000000-0005-0000-0000-00002E900000}"/>
    <cellStyle name="Normal 2 8 4 2 8" xfId="36908" xr:uid="{00000000-0005-0000-0000-00002F900000}"/>
    <cellStyle name="Normal 2 8 4 2 9" xfId="36909" xr:uid="{00000000-0005-0000-0000-000030900000}"/>
    <cellStyle name="Normal 2 8 4 20" xfId="36910" xr:uid="{00000000-0005-0000-0000-000031900000}"/>
    <cellStyle name="Normal 2 8 4 21" xfId="36911" xr:uid="{00000000-0005-0000-0000-000032900000}"/>
    <cellStyle name="Normal 2 8 4 22" xfId="36912" xr:uid="{00000000-0005-0000-0000-000033900000}"/>
    <cellStyle name="Normal 2 8 4 3" xfId="36913" xr:uid="{00000000-0005-0000-0000-000034900000}"/>
    <cellStyle name="Normal 2 8 4 3 10" xfId="36914" xr:uid="{00000000-0005-0000-0000-000035900000}"/>
    <cellStyle name="Normal 2 8 4 3 11" xfId="36915" xr:uid="{00000000-0005-0000-0000-000036900000}"/>
    <cellStyle name="Normal 2 8 4 3 2" xfId="36916" xr:uid="{00000000-0005-0000-0000-000037900000}"/>
    <cellStyle name="Normal 2 8 4 3 2 2" xfId="36917" xr:uid="{00000000-0005-0000-0000-000038900000}"/>
    <cellStyle name="Normal 2 8 4 3 2 2 2" xfId="36918" xr:uid="{00000000-0005-0000-0000-000039900000}"/>
    <cellStyle name="Normal 2 8 4 3 2 2 2 2" xfId="36919" xr:uid="{00000000-0005-0000-0000-00003A900000}"/>
    <cellStyle name="Normal 2 8 4 3 2 2 2 3" xfId="36920" xr:uid="{00000000-0005-0000-0000-00003B900000}"/>
    <cellStyle name="Normal 2 8 4 3 2 2 3" xfId="36921" xr:uid="{00000000-0005-0000-0000-00003C900000}"/>
    <cellStyle name="Normal 2 8 4 3 2 2 4" xfId="36922" xr:uid="{00000000-0005-0000-0000-00003D900000}"/>
    <cellStyle name="Normal 2 8 4 3 2 2 5" xfId="36923" xr:uid="{00000000-0005-0000-0000-00003E900000}"/>
    <cellStyle name="Normal 2 8 4 3 2 2 6" xfId="36924" xr:uid="{00000000-0005-0000-0000-00003F900000}"/>
    <cellStyle name="Normal 2 8 4 3 2 3" xfId="36925" xr:uid="{00000000-0005-0000-0000-000040900000}"/>
    <cellStyle name="Normal 2 8 4 3 2 3 2" xfId="36926" xr:uid="{00000000-0005-0000-0000-000041900000}"/>
    <cellStyle name="Normal 2 8 4 3 2 3 2 2" xfId="36927" xr:uid="{00000000-0005-0000-0000-000042900000}"/>
    <cellStyle name="Normal 2 8 4 3 2 3 3" xfId="36928" xr:uid="{00000000-0005-0000-0000-000043900000}"/>
    <cellStyle name="Normal 2 8 4 3 2 3 4" xfId="36929" xr:uid="{00000000-0005-0000-0000-000044900000}"/>
    <cellStyle name="Normal 2 8 4 3 2 3 5" xfId="36930" xr:uid="{00000000-0005-0000-0000-000045900000}"/>
    <cellStyle name="Normal 2 8 4 3 2 4" xfId="36931" xr:uid="{00000000-0005-0000-0000-000046900000}"/>
    <cellStyle name="Normal 2 8 4 3 2 4 2" xfId="36932" xr:uid="{00000000-0005-0000-0000-000047900000}"/>
    <cellStyle name="Normal 2 8 4 3 2 4 3" xfId="36933" xr:uid="{00000000-0005-0000-0000-000048900000}"/>
    <cellStyle name="Normal 2 8 4 3 2 4 4" xfId="36934" xr:uid="{00000000-0005-0000-0000-000049900000}"/>
    <cellStyle name="Normal 2 8 4 3 2 5" xfId="36935" xr:uid="{00000000-0005-0000-0000-00004A900000}"/>
    <cellStyle name="Normal 2 8 4 3 2 5 2" xfId="36936" xr:uid="{00000000-0005-0000-0000-00004B900000}"/>
    <cellStyle name="Normal 2 8 4 3 2 6" xfId="36937" xr:uid="{00000000-0005-0000-0000-00004C900000}"/>
    <cellStyle name="Normal 2 8 4 3 2 7" xfId="36938" xr:uid="{00000000-0005-0000-0000-00004D900000}"/>
    <cellStyle name="Normal 2 8 4 3 2 8" xfId="36939" xr:uid="{00000000-0005-0000-0000-00004E900000}"/>
    <cellStyle name="Normal 2 8 4 3 2 9" xfId="36940" xr:uid="{00000000-0005-0000-0000-00004F900000}"/>
    <cellStyle name="Normal 2 8 4 3 3" xfId="36941" xr:uid="{00000000-0005-0000-0000-000050900000}"/>
    <cellStyle name="Normal 2 8 4 3 3 2" xfId="36942" xr:uid="{00000000-0005-0000-0000-000051900000}"/>
    <cellStyle name="Normal 2 8 4 3 3 2 2" xfId="36943" xr:uid="{00000000-0005-0000-0000-000052900000}"/>
    <cellStyle name="Normal 2 8 4 3 3 2 2 2" xfId="36944" xr:uid="{00000000-0005-0000-0000-000053900000}"/>
    <cellStyle name="Normal 2 8 4 3 3 2 2 3" xfId="36945" xr:uid="{00000000-0005-0000-0000-000054900000}"/>
    <cellStyle name="Normal 2 8 4 3 3 2 3" xfId="36946" xr:uid="{00000000-0005-0000-0000-000055900000}"/>
    <cellStyle name="Normal 2 8 4 3 3 2 4" xfId="36947" xr:uid="{00000000-0005-0000-0000-000056900000}"/>
    <cellStyle name="Normal 2 8 4 3 3 2 5" xfId="36948" xr:uid="{00000000-0005-0000-0000-000057900000}"/>
    <cellStyle name="Normal 2 8 4 3 3 2 6" xfId="36949" xr:uid="{00000000-0005-0000-0000-000058900000}"/>
    <cellStyle name="Normal 2 8 4 3 3 3" xfId="36950" xr:uid="{00000000-0005-0000-0000-000059900000}"/>
    <cellStyle name="Normal 2 8 4 3 3 3 2" xfId="36951" xr:uid="{00000000-0005-0000-0000-00005A900000}"/>
    <cellStyle name="Normal 2 8 4 3 3 3 2 2" xfId="36952" xr:uid="{00000000-0005-0000-0000-00005B900000}"/>
    <cellStyle name="Normal 2 8 4 3 3 3 3" xfId="36953" xr:uid="{00000000-0005-0000-0000-00005C900000}"/>
    <cellStyle name="Normal 2 8 4 3 3 3 4" xfId="36954" xr:uid="{00000000-0005-0000-0000-00005D900000}"/>
    <cellStyle name="Normal 2 8 4 3 3 3 5" xfId="36955" xr:uid="{00000000-0005-0000-0000-00005E900000}"/>
    <cellStyle name="Normal 2 8 4 3 3 4" xfId="36956" xr:uid="{00000000-0005-0000-0000-00005F900000}"/>
    <cellStyle name="Normal 2 8 4 3 3 4 2" xfId="36957" xr:uid="{00000000-0005-0000-0000-000060900000}"/>
    <cellStyle name="Normal 2 8 4 3 3 4 3" xfId="36958" xr:uid="{00000000-0005-0000-0000-000061900000}"/>
    <cellStyle name="Normal 2 8 4 3 3 4 4" xfId="36959" xr:uid="{00000000-0005-0000-0000-000062900000}"/>
    <cellStyle name="Normal 2 8 4 3 3 5" xfId="36960" xr:uid="{00000000-0005-0000-0000-000063900000}"/>
    <cellStyle name="Normal 2 8 4 3 3 5 2" xfId="36961" xr:uid="{00000000-0005-0000-0000-000064900000}"/>
    <cellStyle name="Normal 2 8 4 3 3 6" xfId="36962" xr:uid="{00000000-0005-0000-0000-000065900000}"/>
    <cellStyle name="Normal 2 8 4 3 3 7" xfId="36963" xr:uid="{00000000-0005-0000-0000-000066900000}"/>
    <cellStyle name="Normal 2 8 4 3 3 8" xfId="36964" xr:uid="{00000000-0005-0000-0000-000067900000}"/>
    <cellStyle name="Normal 2 8 4 3 3 9" xfId="36965" xr:uid="{00000000-0005-0000-0000-000068900000}"/>
    <cellStyle name="Normal 2 8 4 3 4" xfId="36966" xr:uid="{00000000-0005-0000-0000-000069900000}"/>
    <cellStyle name="Normal 2 8 4 3 4 2" xfId="36967" xr:uid="{00000000-0005-0000-0000-00006A900000}"/>
    <cellStyle name="Normal 2 8 4 3 4 2 2" xfId="36968" xr:uid="{00000000-0005-0000-0000-00006B900000}"/>
    <cellStyle name="Normal 2 8 4 3 4 2 3" xfId="36969" xr:uid="{00000000-0005-0000-0000-00006C900000}"/>
    <cellStyle name="Normal 2 8 4 3 4 3" xfId="36970" xr:uid="{00000000-0005-0000-0000-00006D900000}"/>
    <cellStyle name="Normal 2 8 4 3 4 4" xfId="36971" xr:uid="{00000000-0005-0000-0000-00006E900000}"/>
    <cellStyle name="Normal 2 8 4 3 4 5" xfId="36972" xr:uid="{00000000-0005-0000-0000-00006F900000}"/>
    <cellStyle name="Normal 2 8 4 3 4 6" xfId="36973" xr:uid="{00000000-0005-0000-0000-000070900000}"/>
    <cellStyle name="Normal 2 8 4 3 5" xfId="36974" xr:uid="{00000000-0005-0000-0000-000071900000}"/>
    <cellStyle name="Normal 2 8 4 3 5 2" xfId="36975" xr:uid="{00000000-0005-0000-0000-000072900000}"/>
    <cellStyle name="Normal 2 8 4 3 5 2 2" xfId="36976" xr:uid="{00000000-0005-0000-0000-000073900000}"/>
    <cellStyle name="Normal 2 8 4 3 5 3" xfId="36977" xr:uid="{00000000-0005-0000-0000-000074900000}"/>
    <cellStyle name="Normal 2 8 4 3 5 4" xfId="36978" xr:uid="{00000000-0005-0000-0000-000075900000}"/>
    <cellStyle name="Normal 2 8 4 3 5 5" xfId="36979" xr:uid="{00000000-0005-0000-0000-000076900000}"/>
    <cellStyle name="Normal 2 8 4 3 6" xfId="36980" xr:uid="{00000000-0005-0000-0000-000077900000}"/>
    <cellStyle name="Normal 2 8 4 3 6 2" xfId="36981" xr:uid="{00000000-0005-0000-0000-000078900000}"/>
    <cellStyle name="Normal 2 8 4 3 6 3" xfId="36982" xr:uid="{00000000-0005-0000-0000-000079900000}"/>
    <cellStyle name="Normal 2 8 4 3 6 4" xfId="36983" xr:uid="{00000000-0005-0000-0000-00007A900000}"/>
    <cellStyle name="Normal 2 8 4 3 7" xfId="36984" xr:uid="{00000000-0005-0000-0000-00007B900000}"/>
    <cellStyle name="Normal 2 8 4 3 7 2" xfId="36985" xr:uid="{00000000-0005-0000-0000-00007C900000}"/>
    <cellStyle name="Normal 2 8 4 3 8" xfId="36986" xr:uid="{00000000-0005-0000-0000-00007D900000}"/>
    <cellStyle name="Normal 2 8 4 3 9" xfId="36987" xr:uid="{00000000-0005-0000-0000-00007E900000}"/>
    <cellStyle name="Normal 2 8 4 4" xfId="36988" xr:uid="{00000000-0005-0000-0000-00007F900000}"/>
    <cellStyle name="Normal 2 8 4 4 10" xfId="36989" xr:uid="{00000000-0005-0000-0000-000080900000}"/>
    <cellStyle name="Normal 2 8 4 4 11" xfId="36990" xr:uid="{00000000-0005-0000-0000-000081900000}"/>
    <cellStyle name="Normal 2 8 4 4 2" xfId="36991" xr:uid="{00000000-0005-0000-0000-000082900000}"/>
    <cellStyle name="Normal 2 8 4 4 2 2" xfId="36992" xr:uid="{00000000-0005-0000-0000-000083900000}"/>
    <cellStyle name="Normal 2 8 4 4 2 2 2" xfId="36993" xr:uid="{00000000-0005-0000-0000-000084900000}"/>
    <cellStyle name="Normal 2 8 4 4 2 2 2 2" xfId="36994" xr:uid="{00000000-0005-0000-0000-000085900000}"/>
    <cellStyle name="Normal 2 8 4 4 2 2 2 3" xfId="36995" xr:uid="{00000000-0005-0000-0000-000086900000}"/>
    <cellStyle name="Normal 2 8 4 4 2 2 3" xfId="36996" xr:uid="{00000000-0005-0000-0000-000087900000}"/>
    <cellStyle name="Normal 2 8 4 4 2 2 4" xfId="36997" xr:uid="{00000000-0005-0000-0000-000088900000}"/>
    <cellStyle name="Normal 2 8 4 4 2 2 5" xfId="36998" xr:uid="{00000000-0005-0000-0000-000089900000}"/>
    <cellStyle name="Normal 2 8 4 4 2 2 6" xfId="36999" xr:uid="{00000000-0005-0000-0000-00008A900000}"/>
    <cellStyle name="Normal 2 8 4 4 2 3" xfId="37000" xr:uid="{00000000-0005-0000-0000-00008B900000}"/>
    <cellStyle name="Normal 2 8 4 4 2 3 2" xfId="37001" xr:uid="{00000000-0005-0000-0000-00008C900000}"/>
    <cellStyle name="Normal 2 8 4 4 2 3 2 2" xfId="37002" xr:uid="{00000000-0005-0000-0000-00008D900000}"/>
    <cellStyle name="Normal 2 8 4 4 2 3 3" xfId="37003" xr:uid="{00000000-0005-0000-0000-00008E900000}"/>
    <cellStyle name="Normal 2 8 4 4 2 3 4" xfId="37004" xr:uid="{00000000-0005-0000-0000-00008F900000}"/>
    <cellStyle name="Normal 2 8 4 4 2 3 5" xfId="37005" xr:uid="{00000000-0005-0000-0000-000090900000}"/>
    <cellStyle name="Normal 2 8 4 4 2 4" xfId="37006" xr:uid="{00000000-0005-0000-0000-000091900000}"/>
    <cellStyle name="Normal 2 8 4 4 2 4 2" xfId="37007" xr:uid="{00000000-0005-0000-0000-000092900000}"/>
    <cellStyle name="Normal 2 8 4 4 2 4 3" xfId="37008" xr:uid="{00000000-0005-0000-0000-000093900000}"/>
    <cellStyle name="Normal 2 8 4 4 2 4 4" xfId="37009" xr:uid="{00000000-0005-0000-0000-000094900000}"/>
    <cellStyle name="Normal 2 8 4 4 2 5" xfId="37010" xr:uid="{00000000-0005-0000-0000-000095900000}"/>
    <cellStyle name="Normal 2 8 4 4 2 5 2" xfId="37011" xr:uid="{00000000-0005-0000-0000-000096900000}"/>
    <cellStyle name="Normal 2 8 4 4 2 6" xfId="37012" xr:uid="{00000000-0005-0000-0000-000097900000}"/>
    <cellStyle name="Normal 2 8 4 4 2 7" xfId="37013" xr:uid="{00000000-0005-0000-0000-000098900000}"/>
    <cellStyle name="Normal 2 8 4 4 2 8" xfId="37014" xr:uid="{00000000-0005-0000-0000-000099900000}"/>
    <cellStyle name="Normal 2 8 4 4 2 9" xfId="37015" xr:uid="{00000000-0005-0000-0000-00009A900000}"/>
    <cellStyle name="Normal 2 8 4 4 3" xfId="37016" xr:uid="{00000000-0005-0000-0000-00009B900000}"/>
    <cellStyle name="Normal 2 8 4 4 3 2" xfId="37017" xr:uid="{00000000-0005-0000-0000-00009C900000}"/>
    <cellStyle name="Normal 2 8 4 4 3 2 2" xfId="37018" xr:uid="{00000000-0005-0000-0000-00009D900000}"/>
    <cellStyle name="Normal 2 8 4 4 3 2 2 2" xfId="37019" xr:uid="{00000000-0005-0000-0000-00009E900000}"/>
    <cellStyle name="Normal 2 8 4 4 3 2 2 3" xfId="37020" xr:uid="{00000000-0005-0000-0000-00009F900000}"/>
    <cellStyle name="Normal 2 8 4 4 3 2 3" xfId="37021" xr:uid="{00000000-0005-0000-0000-0000A0900000}"/>
    <cellStyle name="Normal 2 8 4 4 3 2 4" xfId="37022" xr:uid="{00000000-0005-0000-0000-0000A1900000}"/>
    <cellStyle name="Normal 2 8 4 4 3 2 5" xfId="37023" xr:uid="{00000000-0005-0000-0000-0000A2900000}"/>
    <cellStyle name="Normal 2 8 4 4 3 2 6" xfId="37024" xr:uid="{00000000-0005-0000-0000-0000A3900000}"/>
    <cellStyle name="Normal 2 8 4 4 3 3" xfId="37025" xr:uid="{00000000-0005-0000-0000-0000A4900000}"/>
    <cellStyle name="Normal 2 8 4 4 3 3 2" xfId="37026" xr:uid="{00000000-0005-0000-0000-0000A5900000}"/>
    <cellStyle name="Normal 2 8 4 4 3 3 2 2" xfId="37027" xr:uid="{00000000-0005-0000-0000-0000A6900000}"/>
    <cellStyle name="Normal 2 8 4 4 3 3 3" xfId="37028" xr:uid="{00000000-0005-0000-0000-0000A7900000}"/>
    <cellStyle name="Normal 2 8 4 4 3 3 4" xfId="37029" xr:uid="{00000000-0005-0000-0000-0000A8900000}"/>
    <cellStyle name="Normal 2 8 4 4 3 3 5" xfId="37030" xr:uid="{00000000-0005-0000-0000-0000A9900000}"/>
    <cellStyle name="Normal 2 8 4 4 3 4" xfId="37031" xr:uid="{00000000-0005-0000-0000-0000AA900000}"/>
    <cellStyle name="Normal 2 8 4 4 3 4 2" xfId="37032" xr:uid="{00000000-0005-0000-0000-0000AB900000}"/>
    <cellStyle name="Normal 2 8 4 4 3 4 3" xfId="37033" xr:uid="{00000000-0005-0000-0000-0000AC900000}"/>
    <cellStyle name="Normal 2 8 4 4 3 4 4" xfId="37034" xr:uid="{00000000-0005-0000-0000-0000AD900000}"/>
    <cellStyle name="Normal 2 8 4 4 3 5" xfId="37035" xr:uid="{00000000-0005-0000-0000-0000AE900000}"/>
    <cellStyle name="Normal 2 8 4 4 3 5 2" xfId="37036" xr:uid="{00000000-0005-0000-0000-0000AF900000}"/>
    <cellStyle name="Normal 2 8 4 4 3 6" xfId="37037" xr:uid="{00000000-0005-0000-0000-0000B0900000}"/>
    <cellStyle name="Normal 2 8 4 4 3 7" xfId="37038" xr:uid="{00000000-0005-0000-0000-0000B1900000}"/>
    <cellStyle name="Normal 2 8 4 4 3 8" xfId="37039" xr:uid="{00000000-0005-0000-0000-0000B2900000}"/>
    <cellStyle name="Normal 2 8 4 4 3 9" xfId="37040" xr:uid="{00000000-0005-0000-0000-0000B3900000}"/>
    <cellStyle name="Normal 2 8 4 4 4" xfId="37041" xr:uid="{00000000-0005-0000-0000-0000B4900000}"/>
    <cellStyle name="Normal 2 8 4 4 4 2" xfId="37042" xr:uid="{00000000-0005-0000-0000-0000B5900000}"/>
    <cellStyle name="Normal 2 8 4 4 4 2 2" xfId="37043" xr:uid="{00000000-0005-0000-0000-0000B6900000}"/>
    <cellStyle name="Normal 2 8 4 4 4 2 3" xfId="37044" xr:uid="{00000000-0005-0000-0000-0000B7900000}"/>
    <cellStyle name="Normal 2 8 4 4 4 3" xfId="37045" xr:uid="{00000000-0005-0000-0000-0000B8900000}"/>
    <cellStyle name="Normal 2 8 4 4 4 4" xfId="37046" xr:uid="{00000000-0005-0000-0000-0000B9900000}"/>
    <cellStyle name="Normal 2 8 4 4 4 5" xfId="37047" xr:uid="{00000000-0005-0000-0000-0000BA900000}"/>
    <cellStyle name="Normal 2 8 4 4 4 6" xfId="37048" xr:uid="{00000000-0005-0000-0000-0000BB900000}"/>
    <cellStyle name="Normal 2 8 4 4 5" xfId="37049" xr:uid="{00000000-0005-0000-0000-0000BC900000}"/>
    <cellStyle name="Normal 2 8 4 4 5 2" xfId="37050" xr:uid="{00000000-0005-0000-0000-0000BD900000}"/>
    <cellStyle name="Normal 2 8 4 4 5 2 2" xfId="37051" xr:uid="{00000000-0005-0000-0000-0000BE900000}"/>
    <cellStyle name="Normal 2 8 4 4 5 3" xfId="37052" xr:uid="{00000000-0005-0000-0000-0000BF900000}"/>
    <cellStyle name="Normal 2 8 4 4 5 4" xfId="37053" xr:uid="{00000000-0005-0000-0000-0000C0900000}"/>
    <cellStyle name="Normal 2 8 4 4 5 5" xfId="37054" xr:uid="{00000000-0005-0000-0000-0000C1900000}"/>
    <cellStyle name="Normal 2 8 4 4 6" xfId="37055" xr:uid="{00000000-0005-0000-0000-0000C2900000}"/>
    <cellStyle name="Normal 2 8 4 4 6 2" xfId="37056" xr:uid="{00000000-0005-0000-0000-0000C3900000}"/>
    <cellStyle name="Normal 2 8 4 4 6 3" xfId="37057" xr:uid="{00000000-0005-0000-0000-0000C4900000}"/>
    <cellStyle name="Normal 2 8 4 4 6 4" xfId="37058" xr:uid="{00000000-0005-0000-0000-0000C5900000}"/>
    <cellStyle name="Normal 2 8 4 4 7" xfId="37059" xr:uid="{00000000-0005-0000-0000-0000C6900000}"/>
    <cellStyle name="Normal 2 8 4 4 7 2" xfId="37060" xr:uid="{00000000-0005-0000-0000-0000C7900000}"/>
    <cellStyle name="Normal 2 8 4 4 8" xfId="37061" xr:uid="{00000000-0005-0000-0000-0000C8900000}"/>
    <cellStyle name="Normal 2 8 4 4 9" xfId="37062" xr:uid="{00000000-0005-0000-0000-0000C9900000}"/>
    <cellStyle name="Normal 2 8 4 5" xfId="37063" xr:uid="{00000000-0005-0000-0000-0000CA900000}"/>
    <cellStyle name="Normal 2 8 4 5 10" xfId="37064" xr:uid="{00000000-0005-0000-0000-0000CB900000}"/>
    <cellStyle name="Normal 2 8 4 5 11" xfId="37065" xr:uid="{00000000-0005-0000-0000-0000CC900000}"/>
    <cellStyle name="Normal 2 8 4 5 2" xfId="37066" xr:uid="{00000000-0005-0000-0000-0000CD900000}"/>
    <cellStyle name="Normal 2 8 4 5 2 2" xfId="37067" xr:uid="{00000000-0005-0000-0000-0000CE900000}"/>
    <cellStyle name="Normal 2 8 4 5 2 2 2" xfId="37068" xr:uid="{00000000-0005-0000-0000-0000CF900000}"/>
    <cellStyle name="Normal 2 8 4 5 2 2 2 2" xfId="37069" xr:uid="{00000000-0005-0000-0000-0000D0900000}"/>
    <cellStyle name="Normal 2 8 4 5 2 2 2 3" xfId="37070" xr:uid="{00000000-0005-0000-0000-0000D1900000}"/>
    <cellStyle name="Normal 2 8 4 5 2 2 3" xfId="37071" xr:uid="{00000000-0005-0000-0000-0000D2900000}"/>
    <cellStyle name="Normal 2 8 4 5 2 2 4" xfId="37072" xr:uid="{00000000-0005-0000-0000-0000D3900000}"/>
    <cellStyle name="Normal 2 8 4 5 2 2 5" xfId="37073" xr:uid="{00000000-0005-0000-0000-0000D4900000}"/>
    <cellStyle name="Normal 2 8 4 5 2 2 6" xfId="37074" xr:uid="{00000000-0005-0000-0000-0000D5900000}"/>
    <cellStyle name="Normal 2 8 4 5 2 3" xfId="37075" xr:uid="{00000000-0005-0000-0000-0000D6900000}"/>
    <cellStyle name="Normal 2 8 4 5 2 3 2" xfId="37076" xr:uid="{00000000-0005-0000-0000-0000D7900000}"/>
    <cellStyle name="Normal 2 8 4 5 2 3 2 2" xfId="37077" xr:uid="{00000000-0005-0000-0000-0000D8900000}"/>
    <cellStyle name="Normal 2 8 4 5 2 3 3" xfId="37078" xr:uid="{00000000-0005-0000-0000-0000D9900000}"/>
    <cellStyle name="Normal 2 8 4 5 2 3 4" xfId="37079" xr:uid="{00000000-0005-0000-0000-0000DA900000}"/>
    <cellStyle name="Normal 2 8 4 5 2 3 5" xfId="37080" xr:uid="{00000000-0005-0000-0000-0000DB900000}"/>
    <cellStyle name="Normal 2 8 4 5 2 4" xfId="37081" xr:uid="{00000000-0005-0000-0000-0000DC900000}"/>
    <cellStyle name="Normal 2 8 4 5 2 4 2" xfId="37082" xr:uid="{00000000-0005-0000-0000-0000DD900000}"/>
    <cellStyle name="Normal 2 8 4 5 2 4 3" xfId="37083" xr:uid="{00000000-0005-0000-0000-0000DE900000}"/>
    <cellStyle name="Normal 2 8 4 5 2 4 4" xfId="37084" xr:uid="{00000000-0005-0000-0000-0000DF900000}"/>
    <cellStyle name="Normal 2 8 4 5 2 5" xfId="37085" xr:uid="{00000000-0005-0000-0000-0000E0900000}"/>
    <cellStyle name="Normal 2 8 4 5 2 5 2" xfId="37086" xr:uid="{00000000-0005-0000-0000-0000E1900000}"/>
    <cellStyle name="Normal 2 8 4 5 2 6" xfId="37087" xr:uid="{00000000-0005-0000-0000-0000E2900000}"/>
    <cellStyle name="Normal 2 8 4 5 2 7" xfId="37088" xr:uid="{00000000-0005-0000-0000-0000E3900000}"/>
    <cellStyle name="Normal 2 8 4 5 2 8" xfId="37089" xr:uid="{00000000-0005-0000-0000-0000E4900000}"/>
    <cellStyle name="Normal 2 8 4 5 2 9" xfId="37090" xr:uid="{00000000-0005-0000-0000-0000E5900000}"/>
    <cellStyle name="Normal 2 8 4 5 3" xfId="37091" xr:uid="{00000000-0005-0000-0000-0000E6900000}"/>
    <cellStyle name="Normal 2 8 4 5 3 2" xfId="37092" xr:uid="{00000000-0005-0000-0000-0000E7900000}"/>
    <cellStyle name="Normal 2 8 4 5 3 2 2" xfId="37093" xr:uid="{00000000-0005-0000-0000-0000E8900000}"/>
    <cellStyle name="Normal 2 8 4 5 3 2 2 2" xfId="37094" xr:uid="{00000000-0005-0000-0000-0000E9900000}"/>
    <cellStyle name="Normal 2 8 4 5 3 2 2 3" xfId="37095" xr:uid="{00000000-0005-0000-0000-0000EA900000}"/>
    <cellStyle name="Normal 2 8 4 5 3 2 3" xfId="37096" xr:uid="{00000000-0005-0000-0000-0000EB900000}"/>
    <cellStyle name="Normal 2 8 4 5 3 2 4" xfId="37097" xr:uid="{00000000-0005-0000-0000-0000EC900000}"/>
    <cellStyle name="Normal 2 8 4 5 3 2 5" xfId="37098" xr:uid="{00000000-0005-0000-0000-0000ED900000}"/>
    <cellStyle name="Normal 2 8 4 5 3 2 6" xfId="37099" xr:uid="{00000000-0005-0000-0000-0000EE900000}"/>
    <cellStyle name="Normal 2 8 4 5 3 3" xfId="37100" xr:uid="{00000000-0005-0000-0000-0000EF900000}"/>
    <cellStyle name="Normal 2 8 4 5 3 3 2" xfId="37101" xr:uid="{00000000-0005-0000-0000-0000F0900000}"/>
    <cellStyle name="Normal 2 8 4 5 3 3 2 2" xfId="37102" xr:uid="{00000000-0005-0000-0000-0000F1900000}"/>
    <cellStyle name="Normal 2 8 4 5 3 3 3" xfId="37103" xr:uid="{00000000-0005-0000-0000-0000F2900000}"/>
    <cellStyle name="Normal 2 8 4 5 3 3 4" xfId="37104" xr:uid="{00000000-0005-0000-0000-0000F3900000}"/>
    <cellStyle name="Normal 2 8 4 5 3 3 5" xfId="37105" xr:uid="{00000000-0005-0000-0000-0000F4900000}"/>
    <cellStyle name="Normal 2 8 4 5 3 4" xfId="37106" xr:uid="{00000000-0005-0000-0000-0000F5900000}"/>
    <cellStyle name="Normal 2 8 4 5 3 4 2" xfId="37107" xr:uid="{00000000-0005-0000-0000-0000F6900000}"/>
    <cellStyle name="Normal 2 8 4 5 3 4 3" xfId="37108" xr:uid="{00000000-0005-0000-0000-0000F7900000}"/>
    <cellStyle name="Normal 2 8 4 5 3 4 4" xfId="37109" xr:uid="{00000000-0005-0000-0000-0000F8900000}"/>
    <cellStyle name="Normal 2 8 4 5 3 5" xfId="37110" xr:uid="{00000000-0005-0000-0000-0000F9900000}"/>
    <cellStyle name="Normal 2 8 4 5 3 5 2" xfId="37111" xr:uid="{00000000-0005-0000-0000-0000FA900000}"/>
    <cellStyle name="Normal 2 8 4 5 3 6" xfId="37112" xr:uid="{00000000-0005-0000-0000-0000FB900000}"/>
    <cellStyle name="Normal 2 8 4 5 3 7" xfId="37113" xr:uid="{00000000-0005-0000-0000-0000FC900000}"/>
    <cellStyle name="Normal 2 8 4 5 3 8" xfId="37114" xr:uid="{00000000-0005-0000-0000-0000FD900000}"/>
    <cellStyle name="Normal 2 8 4 5 3 9" xfId="37115" xr:uid="{00000000-0005-0000-0000-0000FE900000}"/>
    <cellStyle name="Normal 2 8 4 5 4" xfId="37116" xr:uid="{00000000-0005-0000-0000-0000FF900000}"/>
    <cellStyle name="Normal 2 8 4 5 4 2" xfId="37117" xr:uid="{00000000-0005-0000-0000-000000910000}"/>
    <cellStyle name="Normal 2 8 4 5 4 2 2" xfId="37118" xr:uid="{00000000-0005-0000-0000-000001910000}"/>
    <cellStyle name="Normal 2 8 4 5 4 2 3" xfId="37119" xr:uid="{00000000-0005-0000-0000-000002910000}"/>
    <cellStyle name="Normal 2 8 4 5 4 3" xfId="37120" xr:uid="{00000000-0005-0000-0000-000003910000}"/>
    <cellStyle name="Normal 2 8 4 5 4 4" xfId="37121" xr:uid="{00000000-0005-0000-0000-000004910000}"/>
    <cellStyle name="Normal 2 8 4 5 4 5" xfId="37122" xr:uid="{00000000-0005-0000-0000-000005910000}"/>
    <cellStyle name="Normal 2 8 4 5 4 6" xfId="37123" xr:uid="{00000000-0005-0000-0000-000006910000}"/>
    <cellStyle name="Normal 2 8 4 5 5" xfId="37124" xr:uid="{00000000-0005-0000-0000-000007910000}"/>
    <cellStyle name="Normal 2 8 4 5 5 2" xfId="37125" xr:uid="{00000000-0005-0000-0000-000008910000}"/>
    <cellStyle name="Normal 2 8 4 5 5 2 2" xfId="37126" xr:uid="{00000000-0005-0000-0000-000009910000}"/>
    <cellStyle name="Normal 2 8 4 5 5 3" xfId="37127" xr:uid="{00000000-0005-0000-0000-00000A910000}"/>
    <cellStyle name="Normal 2 8 4 5 5 4" xfId="37128" xr:uid="{00000000-0005-0000-0000-00000B910000}"/>
    <cellStyle name="Normal 2 8 4 5 5 5" xfId="37129" xr:uid="{00000000-0005-0000-0000-00000C910000}"/>
    <cellStyle name="Normal 2 8 4 5 6" xfId="37130" xr:uid="{00000000-0005-0000-0000-00000D910000}"/>
    <cellStyle name="Normal 2 8 4 5 6 2" xfId="37131" xr:uid="{00000000-0005-0000-0000-00000E910000}"/>
    <cellStyle name="Normal 2 8 4 5 6 3" xfId="37132" xr:uid="{00000000-0005-0000-0000-00000F910000}"/>
    <cellStyle name="Normal 2 8 4 5 6 4" xfId="37133" xr:uid="{00000000-0005-0000-0000-000010910000}"/>
    <cellStyle name="Normal 2 8 4 5 7" xfId="37134" xr:uid="{00000000-0005-0000-0000-000011910000}"/>
    <cellStyle name="Normal 2 8 4 5 7 2" xfId="37135" xr:uid="{00000000-0005-0000-0000-000012910000}"/>
    <cellStyle name="Normal 2 8 4 5 8" xfId="37136" xr:uid="{00000000-0005-0000-0000-000013910000}"/>
    <cellStyle name="Normal 2 8 4 5 9" xfId="37137" xr:uid="{00000000-0005-0000-0000-000014910000}"/>
    <cellStyle name="Normal 2 8 4 6" xfId="37138" xr:uid="{00000000-0005-0000-0000-000015910000}"/>
    <cellStyle name="Normal 2 8 4 6 10" xfId="37139" xr:uid="{00000000-0005-0000-0000-000016910000}"/>
    <cellStyle name="Normal 2 8 4 6 11" xfId="37140" xr:uid="{00000000-0005-0000-0000-000017910000}"/>
    <cellStyle name="Normal 2 8 4 6 2" xfId="37141" xr:uid="{00000000-0005-0000-0000-000018910000}"/>
    <cellStyle name="Normal 2 8 4 6 2 2" xfId="37142" xr:uid="{00000000-0005-0000-0000-000019910000}"/>
    <cellStyle name="Normal 2 8 4 6 2 2 2" xfId="37143" xr:uid="{00000000-0005-0000-0000-00001A910000}"/>
    <cellStyle name="Normal 2 8 4 6 2 2 2 2" xfId="37144" xr:uid="{00000000-0005-0000-0000-00001B910000}"/>
    <cellStyle name="Normal 2 8 4 6 2 2 2 3" xfId="37145" xr:uid="{00000000-0005-0000-0000-00001C910000}"/>
    <cellStyle name="Normal 2 8 4 6 2 2 3" xfId="37146" xr:uid="{00000000-0005-0000-0000-00001D910000}"/>
    <cellStyle name="Normal 2 8 4 6 2 2 4" xfId="37147" xr:uid="{00000000-0005-0000-0000-00001E910000}"/>
    <cellStyle name="Normal 2 8 4 6 2 2 5" xfId="37148" xr:uid="{00000000-0005-0000-0000-00001F910000}"/>
    <cellStyle name="Normal 2 8 4 6 2 2 6" xfId="37149" xr:uid="{00000000-0005-0000-0000-000020910000}"/>
    <cellStyle name="Normal 2 8 4 6 2 3" xfId="37150" xr:uid="{00000000-0005-0000-0000-000021910000}"/>
    <cellStyle name="Normal 2 8 4 6 2 3 2" xfId="37151" xr:uid="{00000000-0005-0000-0000-000022910000}"/>
    <cellStyle name="Normal 2 8 4 6 2 3 2 2" xfId="37152" xr:uid="{00000000-0005-0000-0000-000023910000}"/>
    <cellStyle name="Normal 2 8 4 6 2 3 3" xfId="37153" xr:uid="{00000000-0005-0000-0000-000024910000}"/>
    <cellStyle name="Normal 2 8 4 6 2 3 4" xfId="37154" xr:uid="{00000000-0005-0000-0000-000025910000}"/>
    <cellStyle name="Normal 2 8 4 6 2 3 5" xfId="37155" xr:uid="{00000000-0005-0000-0000-000026910000}"/>
    <cellStyle name="Normal 2 8 4 6 2 4" xfId="37156" xr:uid="{00000000-0005-0000-0000-000027910000}"/>
    <cellStyle name="Normal 2 8 4 6 2 4 2" xfId="37157" xr:uid="{00000000-0005-0000-0000-000028910000}"/>
    <cellStyle name="Normal 2 8 4 6 2 4 3" xfId="37158" xr:uid="{00000000-0005-0000-0000-000029910000}"/>
    <cellStyle name="Normal 2 8 4 6 2 4 4" xfId="37159" xr:uid="{00000000-0005-0000-0000-00002A910000}"/>
    <cellStyle name="Normal 2 8 4 6 2 5" xfId="37160" xr:uid="{00000000-0005-0000-0000-00002B910000}"/>
    <cellStyle name="Normal 2 8 4 6 2 5 2" xfId="37161" xr:uid="{00000000-0005-0000-0000-00002C910000}"/>
    <cellStyle name="Normal 2 8 4 6 2 6" xfId="37162" xr:uid="{00000000-0005-0000-0000-00002D910000}"/>
    <cellStyle name="Normal 2 8 4 6 2 7" xfId="37163" xr:uid="{00000000-0005-0000-0000-00002E910000}"/>
    <cellStyle name="Normal 2 8 4 6 2 8" xfId="37164" xr:uid="{00000000-0005-0000-0000-00002F910000}"/>
    <cellStyle name="Normal 2 8 4 6 2 9" xfId="37165" xr:uid="{00000000-0005-0000-0000-000030910000}"/>
    <cellStyle name="Normal 2 8 4 6 3" xfId="37166" xr:uid="{00000000-0005-0000-0000-000031910000}"/>
    <cellStyle name="Normal 2 8 4 6 3 2" xfId="37167" xr:uid="{00000000-0005-0000-0000-000032910000}"/>
    <cellStyle name="Normal 2 8 4 6 3 2 2" xfId="37168" xr:uid="{00000000-0005-0000-0000-000033910000}"/>
    <cellStyle name="Normal 2 8 4 6 3 2 2 2" xfId="37169" xr:uid="{00000000-0005-0000-0000-000034910000}"/>
    <cellStyle name="Normal 2 8 4 6 3 2 2 3" xfId="37170" xr:uid="{00000000-0005-0000-0000-000035910000}"/>
    <cellStyle name="Normal 2 8 4 6 3 2 3" xfId="37171" xr:uid="{00000000-0005-0000-0000-000036910000}"/>
    <cellStyle name="Normal 2 8 4 6 3 2 4" xfId="37172" xr:uid="{00000000-0005-0000-0000-000037910000}"/>
    <cellStyle name="Normal 2 8 4 6 3 2 5" xfId="37173" xr:uid="{00000000-0005-0000-0000-000038910000}"/>
    <cellStyle name="Normal 2 8 4 6 3 2 6" xfId="37174" xr:uid="{00000000-0005-0000-0000-000039910000}"/>
    <cellStyle name="Normal 2 8 4 6 3 3" xfId="37175" xr:uid="{00000000-0005-0000-0000-00003A910000}"/>
    <cellStyle name="Normal 2 8 4 6 3 3 2" xfId="37176" xr:uid="{00000000-0005-0000-0000-00003B910000}"/>
    <cellStyle name="Normal 2 8 4 6 3 3 2 2" xfId="37177" xr:uid="{00000000-0005-0000-0000-00003C910000}"/>
    <cellStyle name="Normal 2 8 4 6 3 3 3" xfId="37178" xr:uid="{00000000-0005-0000-0000-00003D910000}"/>
    <cellStyle name="Normal 2 8 4 6 3 3 4" xfId="37179" xr:uid="{00000000-0005-0000-0000-00003E910000}"/>
    <cellStyle name="Normal 2 8 4 6 3 3 5" xfId="37180" xr:uid="{00000000-0005-0000-0000-00003F910000}"/>
    <cellStyle name="Normal 2 8 4 6 3 4" xfId="37181" xr:uid="{00000000-0005-0000-0000-000040910000}"/>
    <cellStyle name="Normal 2 8 4 6 3 4 2" xfId="37182" xr:uid="{00000000-0005-0000-0000-000041910000}"/>
    <cellStyle name="Normal 2 8 4 6 3 4 3" xfId="37183" xr:uid="{00000000-0005-0000-0000-000042910000}"/>
    <cellStyle name="Normal 2 8 4 6 3 4 4" xfId="37184" xr:uid="{00000000-0005-0000-0000-000043910000}"/>
    <cellStyle name="Normal 2 8 4 6 3 5" xfId="37185" xr:uid="{00000000-0005-0000-0000-000044910000}"/>
    <cellStyle name="Normal 2 8 4 6 3 5 2" xfId="37186" xr:uid="{00000000-0005-0000-0000-000045910000}"/>
    <cellStyle name="Normal 2 8 4 6 3 6" xfId="37187" xr:uid="{00000000-0005-0000-0000-000046910000}"/>
    <cellStyle name="Normal 2 8 4 6 3 7" xfId="37188" xr:uid="{00000000-0005-0000-0000-000047910000}"/>
    <cellStyle name="Normal 2 8 4 6 3 8" xfId="37189" xr:uid="{00000000-0005-0000-0000-000048910000}"/>
    <cellStyle name="Normal 2 8 4 6 3 9" xfId="37190" xr:uid="{00000000-0005-0000-0000-000049910000}"/>
    <cellStyle name="Normal 2 8 4 6 4" xfId="37191" xr:uid="{00000000-0005-0000-0000-00004A910000}"/>
    <cellStyle name="Normal 2 8 4 6 4 2" xfId="37192" xr:uid="{00000000-0005-0000-0000-00004B910000}"/>
    <cellStyle name="Normal 2 8 4 6 4 2 2" xfId="37193" xr:uid="{00000000-0005-0000-0000-00004C910000}"/>
    <cellStyle name="Normal 2 8 4 6 4 2 3" xfId="37194" xr:uid="{00000000-0005-0000-0000-00004D910000}"/>
    <cellStyle name="Normal 2 8 4 6 4 3" xfId="37195" xr:uid="{00000000-0005-0000-0000-00004E910000}"/>
    <cellStyle name="Normal 2 8 4 6 4 4" xfId="37196" xr:uid="{00000000-0005-0000-0000-00004F910000}"/>
    <cellStyle name="Normal 2 8 4 6 4 5" xfId="37197" xr:uid="{00000000-0005-0000-0000-000050910000}"/>
    <cellStyle name="Normal 2 8 4 6 4 6" xfId="37198" xr:uid="{00000000-0005-0000-0000-000051910000}"/>
    <cellStyle name="Normal 2 8 4 6 5" xfId="37199" xr:uid="{00000000-0005-0000-0000-000052910000}"/>
    <cellStyle name="Normal 2 8 4 6 5 2" xfId="37200" xr:uid="{00000000-0005-0000-0000-000053910000}"/>
    <cellStyle name="Normal 2 8 4 6 5 2 2" xfId="37201" xr:uid="{00000000-0005-0000-0000-000054910000}"/>
    <cellStyle name="Normal 2 8 4 6 5 3" xfId="37202" xr:uid="{00000000-0005-0000-0000-000055910000}"/>
    <cellStyle name="Normal 2 8 4 6 5 4" xfId="37203" xr:uid="{00000000-0005-0000-0000-000056910000}"/>
    <cellStyle name="Normal 2 8 4 6 5 5" xfId="37204" xr:uid="{00000000-0005-0000-0000-000057910000}"/>
    <cellStyle name="Normal 2 8 4 6 6" xfId="37205" xr:uid="{00000000-0005-0000-0000-000058910000}"/>
    <cellStyle name="Normal 2 8 4 6 6 2" xfId="37206" xr:uid="{00000000-0005-0000-0000-000059910000}"/>
    <cellStyle name="Normal 2 8 4 6 6 3" xfId="37207" xr:uid="{00000000-0005-0000-0000-00005A910000}"/>
    <cellStyle name="Normal 2 8 4 6 6 4" xfId="37208" xr:uid="{00000000-0005-0000-0000-00005B910000}"/>
    <cellStyle name="Normal 2 8 4 6 7" xfId="37209" xr:uid="{00000000-0005-0000-0000-00005C910000}"/>
    <cellStyle name="Normal 2 8 4 6 7 2" xfId="37210" xr:uid="{00000000-0005-0000-0000-00005D910000}"/>
    <cellStyle name="Normal 2 8 4 6 8" xfId="37211" xr:uid="{00000000-0005-0000-0000-00005E910000}"/>
    <cellStyle name="Normal 2 8 4 6 9" xfId="37212" xr:uid="{00000000-0005-0000-0000-00005F910000}"/>
    <cellStyle name="Normal 2 8 4 7" xfId="37213" xr:uid="{00000000-0005-0000-0000-000060910000}"/>
    <cellStyle name="Normal 2 8 4 7 10" xfId="37214" xr:uid="{00000000-0005-0000-0000-000061910000}"/>
    <cellStyle name="Normal 2 8 4 7 11" xfId="37215" xr:uid="{00000000-0005-0000-0000-000062910000}"/>
    <cellStyle name="Normal 2 8 4 7 2" xfId="37216" xr:uid="{00000000-0005-0000-0000-000063910000}"/>
    <cellStyle name="Normal 2 8 4 7 2 2" xfId="37217" xr:uid="{00000000-0005-0000-0000-000064910000}"/>
    <cellStyle name="Normal 2 8 4 7 2 2 2" xfId="37218" xr:uid="{00000000-0005-0000-0000-000065910000}"/>
    <cellStyle name="Normal 2 8 4 7 2 2 2 2" xfId="37219" xr:uid="{00000000-0005-0000-0000-000066910000}"/>
    <cellStyle name="Normal 2 8 4 7 2 2 2 3" xfId="37220" xr:uid="{00000000-0005-0000-0000-000067910000}"/>
    <cellStyle name="Normal 2 8 4 7 2 2 3" xfId="37221" xr:uid="{00000000-0005-0000-0000-000068910000}"/>
    <cellStyle name="Normal 2 8 4 7 2 2 4" xfId="37222" xr:uid="{00000000-0005-0000-0000-000069910000}"/>
    <cellStyle name="Normal 2 8 4 7 2 2 5" xfId="37223" xr:uid="{00000000-0005-0000-0000-00006A910000}"/>
    <cellStyle name="Normal 2 8 4 7 2 2 6" xfId="37224" xr:uid="{00000000-0005-0000-0000-00006B910000}"/>
    <cellStyle name="Normal 2 8 4 7 2 3" xfId="37225" xr:uid="{00000000-0005-0000-0000-00006C910000}"/>
    <cellStyle name="Normal 2 8 4 7 2 3 2" xfId="37226" xr:uid="{00000000-0005-0000-0000-00006D910000}"/>
    <cellStyle name="Normal 2 8 4 7 2 3 2 2" xfId="37227" xr:uid="{00000000-0005-0000-0000-00006E910000}"/>
    <cellStyle name="Normal 2 8 4 7 2 3 3" xfId="37228" xr:uid="{00000000-0005-0000-0000-00006F910000}"/>
    <cellStyle name="Normal 2 8 4 7 2 3 4" xfId="37229" xr:uid="{00000000-0005-0000-0000-000070910000}"/>
    <cellStyle name="Normal 2 8 4 7 2 3 5" xfId="37230" xr:uid="{00000000-0005-0000-0000-000071910000}"/>
    <cellStyle name="Normal 2 8 4 7 2 4" xfId="37231" xr:uid="{00000000-0005-0000-0000-000072910000}"/>
    <cellStyle name="Normal 2 8 4 7 2 4 2" xfId="37232" xr:uid="{00000000-0005-0000-0000-000073910000}"/>
    <cellStyle name="Normal 2 8 4 7 2 4 3" xfId="37233" xr:uid="{00000000-0005-0000-0000-000074910000}"/>
    <cellStyle name="Normal 2 8 4 7 2 4 4" xfId="37234" xr:uid="{00000000-0005-0000-0000-000075910000}"/>
    <cellStyle name="Normal 2 8 4 7 2 5" xfId="37235" xr:uid="{00000000-0005-0000-0000-000076910000}"/>
    <cellStyle name="Normal 2 8 4 7 2 5 2" xfId="37236" xr:uid="{00000000-0005-0000-0000-000077910000}"/>
    <cellStyle name="Normal 2 8 4 7 2 6" xfId="37237" xr:uid="{00000000-0005-0000-0000-000078910000}"/>
    <cellStyle name="Normal 2 8 4 7 2 7" xfId="37238" xr:uid="{00000000-0005-0000-0000-000079910000}"/>
    <cellStyle name="Normal 2 8 4 7 2 8" xfId="37239" xr:uid="{00000000-0005-0000-0000-00007A910000}"/>
    <cellStyle name="Normal 2 8 4 7 2 9" xfId="37240" xr:uid="{00000000-0005-0000-0000-00007B910000}"/>
    <cellStyle name="Normal 2 8 4 7 3" xfId="37241" xr:uid="{00000000-0005-0000-0000-00007C910000}"/>
    <cellStyle name="Normal 2 8 4 7 3 2" xfId="37242" xr:uid="{00000000-0005-0000-0000-00007D910000}"/>
    <cellStyle name="Normal 2 8 4 7 3 2 2" xfId="37243" xr:uid="{00000000-0005-0000-0000-00007E910000}"/>
    <cellStyle name="Normal 2 8 4 7 3 2 2 2" xfId="37244" xr:uid="{00000000-0005-0000-0000-00007F910000}"/>
    <cellStyle name="Normal 2 8 4 7 3 2 2 3" xfId="37245" xr:uid="{00000000-0005-0000-0000-000080910000}"/>
    <cellStyle name="Normal 2 8 4 7 3 2 3" xfId="37246" xr:uid="{00000000-0005-0000-0000-000081910000}"/>
    <cellStyle name="Normal 2 8 4 7 3 2 4" xfId="37247" xr:uid="{00000000-0005-0000-0000-000082910000}"/>
    <cellStyle name="Normal 2 8 4 7 3 2 5" xfId="37248" xr:uid="{00000000-0005-0000-0000-000083910000}"/>
    <cellStyle name="Normal 2 8 4 7 3 2 6" xfId="37249" xr:uid="{00000000-0005-0000-0000-000084910000}"/>
    <cellStyle name="Normal 2 8 4 7 3 3" xfId="37250" xr:uid="{00000000-0005-0000-0000-000085910000}"/>
    <cellStyle name="Normal 2 8 4 7 3 3 2" xfId="37251" xr:uid="{00000000-0005-0000-0000-000086910000}"/>
    <cellStyle name="Normal 2 8 4 7 3 3 2 2" xfId="37252" xr:uid="{00000000-0005-0000-0000-000087910000}"/>
    <cellStyle name="Normal 2 8 4 7 3 3 3" xfId="37253" xr:uid="{00000000-0005-0000-0000-000088910000}"/>
    <cellStyle name="Normal 2 8 4 7 3 3 4" xfId="37254" xr:uid="{00000000-0005-0000-0000-000089910000}"/>
    <cellStyle name="Normal 2 8 4 7 3 3 5" xfId="37255" xr:uid="{00000000-0005-0000-0000-00008A910000}"/>
    <cellStyle name="Normal 2 8 4 7 3 4" xfId="37256" xr:uid="{00000000-0005-0000-0000-00008B910000}"/>
    <cellStyle name="Normal 2 8 4 7 3 4 2" xfId="37257" xr:uid="{00000000-0005-0000-0000-00008C910000}"/>
    <cellStyle name="Normal 2 8 4 7 3 4 3" xfId="37258" xr:uid="{00000000-0005-0000-0000-00008D910000}"/>
    <cellStyle name="Normal 2 8 4 7 3 4 4" xfId="37259" xr:uid="{00000000-0005-0000-0000-00008E910000}"/>
    <cellStyle name="Normal 2 8 4 7 3 5" xfId="37260" xr:uid="{00000000-0005-0000-0000-00008F910000}"/>
    <cellStyle name="Normal 2 8 4 7 3 5 2" xfId="37261" xr:uid="{00000000-0005-0000-0000-000090910000}"/>
    <cellStyle name="Normal 2 8 4 7 3 6" xfId="37262" xr:uid="{00000000-0005-0000-0000-000091910000}"/>
    <cellStyle name="Normal 2 8 4 7 3 7" xfId="37263" xr:uid="{00000000-0005-0000-0000-000092910000}"/>
    <cellStyle name="Normal 2 8 4 7 3 8" xfId="37264" xr:uid="{00000000-0005-0000-0000-000093910000}"/>
    <cellStyle name="Normal 2 8 4 7 3 9" xfId="37265" xr:uid="{00000000-0005-0000-0000-000094910000}"/>
    <cellStyle name="Normal 2 8 4 7 4" xfId="37266" xr:uid="{00000000-0005-0000-0000-000095910000}"/>
    <cellStyle name="Normal 2 8 4 7 4 2" xfId="37267" xr:uid="{00000000-0005-0000-0000-000096910000}"/>
    <cellStyle name="Normal 2 8 4 7 4 2 2" xfId="37268" xr:uid="{00000000-0005-0000-0000-000097910000}"/>
    <cellStyle name="Normal 2 8 4 7 4 2 3" xfId="37269" xr:uid="{00000000-0005-0000-0000-000098910000}"/>
    <cellStyle name="Normal 2 8 4 7 4 3" xfId="37270" xr:uid="{00000000-0005-0000-0000-000099910000}"/>
    <cellStyle name="Normal 2 8 4 7 4 4" xfId="37271" xr:uid="{00000000-0005-0000-0000-00009A910000}"/>
    <cellStyle name="Normal 2 8 4 7 4 5" xfId="37272" xr:uid="{00000000-0005-0000-0000-00009B910000}"/>
    <cellStyle name="Normal 2 8 4 7 4 6" xfId="37273" xr:uid="{00000000-0005-0000-0000-00009C910000}"/>
    <cellStyle name="Normal 2 8 4 7 5" xfId="37274" xr:uid="{00000000-0005-0000-0000-00009D910000}"/>
    <cellStyle name="Normal 2 8 4 7 5 2" xfId="37275" xr:uid="{00000000-0005-0000-0000-00009E910000}"/>
    <cellStyle name="Normal 2 8 4 7 5 2 2" xfId="37276" xr:uid="{00000000-0005-0000-0000-00009F910000}"/>
    <cellStyle name="Normal 2 8 4 7 5 3" xfId="37277" xr:uid="{00000000-0005-0000-0000-0000A0910000}"/>
    <cellStyle name="Normal 2 8 4 7 5 4" xfId="37278" xr:uid="{00000000-0005-0000-0000-0000A1910000}"/>
    <cellStyle name="Normal 2 8 4 7 5 5" xfId="37279" xr:uid="{00000000-0005-0000-0000-0000A2910000}"/>
    <cellStyle name="Normal 2 8 4 7 6" xfId="37280" xr:uid="{00000000-0005-0000-0000-0000A3910000}"/>
    <cellStyle name="Normal 2 8 4 7 6 2" xfId="37281" xr:uid="{00000000-0005-0000-0000-0000A4910000}"/>
    <cellStyle name="Normal 2 8 4 7 6 3" xfId="37282" xr:uid="{00000000-0005-0000-0000-0000A5910000}"/>
    <cellStyle name="Normal 2 8 4 7 6 4" xfId="37283" xr:uid="{00000000-0005-0000-0000-0000A6910000}"/>
    <cellStyle name="Normal 2 8 4 7 7" xfId="37284" xr:uid="{00000000-0005-0000-0000-0000A7910000}"/>
    <cellStyle name="Normal 2 8 4 7 7 2" xfId="37285" xr:uid="{00000000-0005-0000-0000-0000A8910000}"/>
    <cellStyle name="Normal 2 8 4 7 8" xfId="37286" xr:uid="{00000000-0005-0000-0000-0000A9910000}"/>
    <cellStyle name="Normal 2 8 4 7 9" xfId="37287" xr:uid="{00000000-0005-0000-0000-0000AA910000}"/>
    <cellStyle name="Normal 2 8 4 8" xfId="37288" xr:uid="{00000000-0005-0000-0000-0000AB910000}"/>
    <cellStyle name="Normal 2 8 4 8 10" xfId="37289" xr:uid="{00000000-0005-0000-0000-0000AC910000}"/>
    <cellStyle name="Normal 2 8 4 8 2" xfId="37290" xr:uid="{00000000-0005-0000-0000-0000AD910000}"/>
    <cellStyle name="Normal 2 8 4 8 2 2" xfId="37291" xr:uid="{00000000-0005-0000-0000-0000AE910000}"/>
    <cellStyle name="Normal 2 8 4 8 2 2 2" xfId="37292" xr:uid="{00000000-0005-0000-0000-0000AF910000}"/>
    <cellStyle name="Normal 2 8 4 8 2 2 3" xfId="37293" xr:uid="{00000000-0005-0000-0000-0000B0910000}"/>
    <cellStyle name="Normal 2 8 4 8 2 3" xfId="37294" xr:uid="{00000000-0005-0000-0000-0000B1910000}"/>
    <cellStyle name="Normal 2 8 4 8 2 4" xfId="37295" xr:uid="{00000000-0005-0000-0000-0000B2910000}"/>
    <cellStyle name="Normal 2 8 4 8 2 5" xfId="37296" xr:uid="{00000000-0005-0000-0000-0000B3910000}"/>
    <cellStyle name="Normal 2 8 4 8 2 6" xfId="37297" xr:uid="{00000000-0005-0000-0000-0000B4910000}"/>
    <cellStyle name="Normal 2 8 4 8 3" xfId="37298" xr:uid="{00000000-0005-0000-0000-0000B5910000}"/>
    <cellStyle name="Normal 2 8 4 8 3 2" xfId="37299" xr:uid="{00000000-0005-0000-0000-0000B6910000}"/>
    <cellStyle name="Normal 2 8 4 8 3 2 2" xfId="37300" xr:uid="{00000000-0005-0000-0000-0000B7910000}"/>
    <cellStyle name="Normal 2 8 4 8 3 2 3" xfId="37301" xr:uid="{00000000-0005-0000-0000-0000B8910000}"/>
    <cellStyle name="Normal 2 8 4 8 3 3" xfId="37302" xr:uid="{00000000-0005-0000-0000-0000B9910000}"/>
    <cellStyle name="Normal 2 8 4 8 3 4" xfId="37303" xr:uid="{00000000-0005-0000-0000-0000BA910000}"/>
    <cellStyle name="Normal 2 8 4 8 3 5" xfId="37304" xr:uid="{00000000-0005-0000-0000-0000BB910000}"/>
    <cellStyle name="Normal 2 8 4 8 3 6" xfId="37305" xr:uid="{00000000-0005-0000-0000-0000BC910000}"/>
    <cellStyle name="Normal 2 8 4 8 4" xfId="37306" xr:uid="{00000000-0005-0000-0000-0000BD910000}"/>
    <cellStyle name="Normal 2 8 4 8 4 2" xfId="37307" xr:uid="{00000000-0005-0000-0000-0000BE910000}"/>
    <cellStyle name="Normal 2 8 4 8 4 2 2" xfId="37308" xr:uid="{00000000-0005-0000-0000-0000BF910000}"/>
    <cellStyle name="Normal 2 8 4 8 4 3" xfId="37309" xr:uid="{00000000-0005-0000-0000-0000C0910000}"/>
    <cellStyle name="Normal 2 8 4 8 4 4" xfId="37310" xr:uid="{00000000-0005-0000-0000-0000C1910000}"/>
    <cellStyle name="Normal 2 8 4 8 4 5" xfId="37311" xr:uid="{00000000-0005-0000-0000-0000C2910000}"/>
    <cellStyle name="Normal 2 8 4 8 5" xfId="37312" xr:uid="{00000000-0005-0000-0000-0000C3910000}"/>
    <cellStyle name="Normal 2 8 4 8 5 2" xfId="37313" xr:uid="{00000000-0005-0000-0000-0000C4910000}"/>
    <cellStyle name="Normal 2 8 4 8 5 3" xfId="37314" xr:uid="{00000000-0005-0000-0000-0000C5910000}"/>
    <cellStyle name="Normal 2 8 4 8 5 4" xfId="37315" xr:uid="{00000000-0005-0000-0000-0000C6910000}"/>
    <cellStyle name="Normal 2 8 4 8 6" xfId="37316" xr:uid="{00000000-0005-0000-0000-0000C7910000}"/>
    <cellStyle name="Normal 2 8 4 8 6 2" xfId="37317" xr:uid="{00000000-0005-0000-0000-0000C8910000}"/>
    <cellStyle name="Normal 2 8 4 8 7" xfId="37318" xr:uid="{00000000-0005-0000-0000-0000C9910000}"/>
    <cellStyle name="Normal 2 8 4 8 8" xfId="37319" xr:uid="{00000000-0005-0000-0000-0000CA910000}"/>
    <cellStyle name="Normal 2 8 4 8 9" xfId="37320" xr:uid="{00000000-0005-0000-0000-0000CB910000}"/>
    <cellStyle name="Normal 2 8 4 9" xfId="37321" xr:uid="{00000000-0005-0000-0000-0000CC910000}"/>
    <cellStyle name="Normal 2 8 4 9 10" xfId="37322" xr:uid="{00000000-0005-0000-0000-0000CD910000}"/>
    <cellStyle name="Normal 2 8 4 9 2" xfId="37323" xr:uid="{00000000-0005-0000-0000-0000CE910000}"/>
    <cellStyle name="Normal 2 8 4 9 2 2" xfId="37324" xr:uid="{00000000-0005-0000-0000-0000CF910000}"/>
    <cellStyle name="Normal 2 8 4 9 2 2 2" xfId="37325" xr:uid="{00000000-0005-0000-0000-0000D0910000}"/>
    <cellStyle name="Normal 2 8 4 9 2 2 3" xfId="37326" xr:uid="{00000000-0005-0000-0000-0000D1910000}"/>
    <cellStyle name="Normal 2 8 4 9 2 3" xfId="37327" xr:uid="{00000000-0005-0000-0000-0000D2910000}"/>
    <cellStyle name="Normal 2 8 4 9 2 4" xfId="37328" xr:uid="{00000000-0005-0000-0000-0000D3910000}"/>
    <cellStyle name="Normal 2 8 4 9 2 5" xfId="37329" xr:uid="{00000000-0005-0000-0000-0000D4910000}"/>
    <cellStyle name="Normal 2 8 4 9 2 6" xfId="37330" xr:uid="{00000000-0005-0000-0000-0000D5910000}"/>
    <cellStyle name="Normal 2 8 4 9 3" xfId="37331" xr:uid="{00000000-0005-0000-0000-0000D6910000}"/>
    <cellStyle name="Normal 2 8 4 9 3 2" xfId="37332" xr:uid="{00000000-0005-0000-0000-0000D7910000}"/>
    <cellStyle name="Normal 2 8 4 9 3 2 2" xfId="37333" xr:uid="{00000000-0005-0000-0000-0000D8910000}"/>
    <cellStyle name="Normal 2 8 4 9 3 2 3" xfId="37334" xr:uid="{00000000-0005-0000-0000-0000D9910000}"/>
    <cellStyle name="Normal 2 8 4 9 3 3" xfId="37335" xr:uid="{00000000-0005-0000-0000-0000DA910000}"/>
    <cellStyle name="Normal 2 8 4 9 3 4" xfId="37336" xr:uid="{00000000-0005-0000-0000-0000DB910000}"/>
    <cellStyle name="Normal 2 8 4 9 3 5" xfId="37337" xr:uid="{00000000-0005-0000-0000-0000DC910000}"/>
    <cellStyle name="Normal 2 8 4 9 3 6" xfId="37338" xr:uid="{00000000-0005-0000-0000-0000DD910000}"/>
    <cellStyle name="Normal 2 8 4 9 4" xfId="37339" xr:uid="{00000000-0005-0000-0000-0000DE910000}"/>
    <cellStyle name="Normal 2 8 4 9 4 2" xfId="37340" xr:uid="{00000000-0005-0000-0000-0000DF910000}"/>
    <cellStyle name="Normal 2 8 4 9 4 2 2" xfId="37341" xr:uid="{00000000-0005-0000-0000-0000E0910000}"/>
    <cellStyle name="Normal 2 8 4 9 4 3" xfId="37342" xr:uid="{00000000-0005-0000-0000-0000E1910000}"/>
    <cellStyle name="Normal 2 8 4 9 4 4" xfId="37343" xr:uid="{00000000-0005-0000-0000-0000E2910000}"/>
    <cellStyle name="Normal 2 8 4 9 4 5" xfId="37344" xr:uid="{00000000-0005-0000-0000-0000E3910000}"/>
    <cellStyle name="Normal 2 8 4 9 5" xfId="37345" xr:uid="{00000000-0005-0000-0000-0000E4910000}"/>
    <cellStyle name="Normal 2 8 4 9 5 2" xfId="37346" xr:uid="{00000000-0005-0000-0000-0000E5910000}"/>
    <cellStyle name="Normal 2 8 4 9 5 3" xfId="37347" xr:uid="{00000000-0005-0000-0000-0000E6910000}"/>
    <cellStyle name="Normal 2 8 4 9 5 4" xfId="37348" xr:uid="{00000000-0005-0000-0000-0000E7910000}"/>
    <cellStyle name="Normal 2 8 4 9 6" xfId="37349" xr:uid="{00000000-0005-0000-0000-0000E8910000}"/>
    <cellStyle name="Normal 2 8 4 9 6 2" xfId="37350" xr:uid="{00000000-0005-0000-0000-0000E9910000}"/>
    <cellStyle name="Normal 2 8 4 9 7" xfId="37351" xr:uid="{00000000-0005-0000-0000-0000EA910000}"/>
    <cellStyle name="Normal 2 8 4 9 8" xfId="37352" xr:uid="{00000000-0005-0000-0000-0000EB910000}"/>
    <cellStyle name="Normal 2 8 4 9 9" xfId="37353" xr:uid="{00000000-0005-0000-0000-0000EC910000}"/>
    <cellStyle name="Normal 2 8 5" xfId="37354" xr:uid="{00000000-0005-0000-0000-0000ED910000}"/>
    <cellStyle name="Normal 2 8 5 10" xfId="37355" xr:uid="{00000000-0005-0000-0000-0000EE910000}"/>
    <cellStyle name="Normal 2 8 5 11" xfId="37356" xr:uid="{00000000-0005-0000-0000-0000EF910000}"/>
    <cellStyle name="Normal 2 8 5 2" xfId="37357" xr:uid="{00000000-0005-0000-0000-0000F0910000}"/>
    <cellStyle name="Normal 2 8 5 2 2" xfId="37358" xr:uid="{00000000-0005-0000-0000-0000F1910000}"/>
    <cellStyle name="Normal 2 8 5 2 2 2" xfId="37359" xr:uid="{00000000-0005-0000-0000-0000F2910000}"/>
    <cellStyle name="Normal 2 8 5 2 2 2 2" xfId="37360" xr:uid="{00000000-0005-0000-0000-0000F3910000}"/>
    <cellStyle name="Normal 2 8 5 2 2 2 3" xfId="37361" xr:uid="{00000000-0005-0000-0000-0000F4910000}"/>
    <cellStyle name="Normal 2 8 5 2 2 3" xfId="37362" xr:uid="{00000000-0005-0000-0000-0000F5910000}"/>
    <cellStyle name="Normal 2 8 5 2 2 4" xfId="37363" xr:uid="{00000000-0005-0000-0000-0000F6910000}"/>
    <cellStyle name="Normal 2 8 5 2 2 5" xfId="37364" xr:uid="{00000000-0005-0000-0000-0000F7910000}"/>
    <cellStyle name="Normal 2 8 5 2 2 6" xfId="37365" xr:uid="{00000000-0005-0000-0000-0000F8910000}"/>
    <cellStyle name="Normal 2 8 5 2 3" xfId="37366" xr:uid="{00000000-0005-0000-0000-0000F9910000}"/>
    <cellStyle name="Normal 2 8 5 2 3 2" xfId="37367" xr:uid="{00000000-0005-0000-0000-0000FA910000}"/>
    <cellStyle name="Normal 2 8 5 2 3 2 2" xfId="37368" xr:uid="{00000000-0005-0000-0000-0000FB910000}"/>
    <cellStyle name="Normal 2 8 5 2 3 3" xfId="37369" xr:uid="{00000000-0005-0000-0000-0000FC910000}"/>
    <cellStyle name="Normal 2 8 5 2 3 4" xfId="37370" xr:uid="{00000000-0005-0000-0000-0000FD910000}"/>
    <cellStyle name="Normal 2 8 5 2 3 5" xfId="37371" xr:uid="{00000000-0005-0000-0000-0000FE910000}"/>
    <cellStyle name="Normal 2 8 5 2 4" xfId="37372" xr:uid="{00000000-0005-0000-0000-0000FF910000}"/>
    <cellStyle name="Normal 2 8 5 2 4 2" xfId="37373" xr:uid="{00000000-0005-0000-0000-000000920000}"/>
    <cellStyle name="Normal 2 8 5 2 4 3" xfId="37374" xr:uid="{00000000-0005-0000-0000-000001920000}"/>
    <cellStyle name="Normal 2 8 5 2 4 4" xfId="37375" xr:uid="{00000000-0005-0000-0000-000002920000}"/>
    <cellStyle name="Normal 2 8 5 2 5" xfId="37376" xr:uid="{00000000-0005-0000-0000-000003920000}"/>
    <cellStyle name="Normal 2 8 5 2 5 2" xfId="37377" xr:uid="{00000000-0005-0000-0000-000004920000}"/>
    <cellStyle name="Normal 2 8 5 2 6" xfId="37378" xr:uid="{00000000-0005-0000-0000-000005920000}"/>
    <cellStyle name="Normal 2 8 5 2 7" xfId="37379" xr:uid="{00000000-0005-0000-0000-000006920000}"/>
    <cellStyle name="Normal 2 8 5 2 8" xfId="37380" xr:uid="{00000000-0005-0000-0000-000007920000}"/>
    <cellStyle name="Normal 2 8 5 2 9" xfId="37381" xr:uid="{00000000-0005-0000-0000-000008920000}"/>
    <cellStyle name="Normal 2 8 5 3" xfId="37382" xr:uid="{00000000-0005-0000-0000-000009920000}"/>
    <cellStyle name="Normal 2 8 5 3 2" xfId="37383" xr:uid="{00000000-0005-0000-0000-00000A920000}"/>
    <cellStyle name="Normal 2 8 5 3 2 2" xfId="37384" xr:uid="{00000000-0005-0000-0000-00000B920000}"/>
    <cellStyle name="Normal 2 8 5 3 2 2 2" xfId="37385" xr:uid="{00000000-0005-0000-0000-00000C920000}"/>
    <cellStyle name="Normal 2 8 5 3 2 2 3" xfId="37386" xr:uid="{00000000-0005-0000-0000-00000D920000}"/>
    <cellStyle name="Normal 2 8 5 3 2 3" xfId="37387" xr:uid="{00000000-0005-0000-0000-00000E920000}"/>
    <cellStyle name="Normal 2 8 5 3 2 4" xfId="37388" xr:uid="{00000000-0005-0000-0000-00000F920000}"/>
    <cellStyle name="Normal 2 8 5 3 2 5" xfId="37389" xr:uid="{00000000-0005-0000-0000-000010920000}"/>
    <cellStyle name="Normal 2 8 5 3 2 6" xfId="37390" xr:uid="{00000000-0005-0000-0000-000011920000}"/>
    <cellStyle name="Normal 2 8 5 3 3" xfId="37391" xr:uid="{00000000-0005-0000-0000-000012920000}"/>
    <cellStyle name="Normal 2 8 5 3 3 2" xfId="37392" xr:uid="{00000000-0005-0000-0000-000013920000}"/>
    <cellStyle name="Normal 2 8 5 3 3 2 2" xfId="37393" xr:uid="{00000000-0005-0000-0000-000014920000}"/>
    <cellStyle name="Normal 2 8 5 3 3 3" xfId="37394" xr:uid="{00000000-0005-0000-0000-000015920000}"/>
    <cellStyle name="Normal 2 8 5 3 3 4" xfId="37395" xr:uid="{00000000-0005-0000-0000-000016920000}"/>
    <cellStyle name="Normal 2 8 5 3 3 5" xfId="37396" xr:uid="{00000000-0005-0000-0000-000017920000}"/>
    <cellStyle name="Normal 2 8 5 3 4" xfId="37397" xr:uid="{00000000-0005-0000-0000-000018920000}"/>
    <cellStyle name="Normal 2 8 5 3 4 2" xfId="37398" xr:uid="{00000000-0005-0000-0000-000019920000}"/>
    <cellStyle name="Normal 2 8 5 3 4 3" xfId="37399" xr:uid="{00000000-0005-0000-0000-00001A920000}"/>
    <cellStyle name="Normal 2 8 5 3 4 4" xfId="37400" xr:uid="{00000000-0005-0000-0000-00001B920000}"/>
    <cellStyle name="Normal 2 8 5 3 5" xfId="37401" xr:uid="{00000000-0005-0000-0000-00001C920000}"/>
    <cellStyle name="Normal 2 8 5 3 5 2" xfId="37402" xr:uid="{00000000-0005-0000-0000-00001D920000}"/>
    <cellStyle name="Normal 2 8 5 3 6" xfId="37403" xr:uid="{00000000-0005-0000-0000-00001E920000}"/>
    <cellStyle name="Normal 2 8 5 3 7" xfId="37404" xr:uid="{00000000-0005-0000-0000-00001F920000}"/>
    <cellStyle name="Normal 2 8 5 3 8" xfId="37405" xr:uid="{00000000-0005-0000-0000-000020920000}"/>
    <cellStyle name="Normal 2 8 5 3 9" xfId="37406" xr:uid="{00000000-0005-0000-0000-000021920000}"/>
    <cellStyle name="Normal 2 8 5 4" xfId="37407" xr:uid="{00000000-0005-0000-0000-000022920000}"/>
    <cellStyle name="Normal 2 8 5 4 2" xfId="37408" xr:uid="{00000000-0005-0000-0000-000023920000}"/>
    <cellStyle name="Normal 2 8 5 4 2 2" xfId="37409" xr:uid="{00000000-0005-0000-0000-000024920000}"/>
    <cellStyle name="Normal 2 8 5 4 2 3" xfId="37410" xr:uid="{00000000-0005-0000-0000-000025920000}"/>
    <cellStyle name="Normal 2 8 5 4 3" xfId="37411" xr:uid="{00000000-0005-0000-0000-000026920000}"/>
    <cellStyle name="Normal 2 8 5 4 4" xfId="37412" xr:uid="{00000000-0005-0000-0000-000027920000}"/>
    <cellStyle name="Normal 2 8 5 4 5" xfId="37413" xr:uid="{00000000-0005-0000-0000-000028920000}"/>
    <cellStyle name="Normal 2 8 5 4 6" xfId="37414" xr:uid="{00000000-0005-0000-0000-000029920000}"/>
    <cellStyle name="Normal 2 8 5 5" xfId="37415" xr:uid="{00000000-0005-0000-0000-00002A920000}"/>
    <cellStyle name="Normal 2 8 5 5 2" xfId="37416" xr:uid="{00000000-0005-0000-0000-00002B920000}"/>
    <cellStyle name="Normal 2 8 5 5 2 2" xfId="37417" xr:uid="{00000000-0005-0000-0000-00002C920000}"/>
    <cellStyle name="Normal 2 8 5 5 3" xfId="37418" xr:uid="{00000000-0005-0000-0000-00002D920000}"/>
    <cellStyle name="Normal 2 8 5 5 4" xfId="37419" xr:uid="{00000000-0005-0000-0000-00002E920000}"/>
    <cellStyle name="Normal 2 8 5 5 5" xfId="37420" xr:uid="{00000000-0005-0000-0000-00002F920000}"/>
    <cellStyle name="Normal 2 8 5 6" xfId="37421" xr:uid="{00000000-0005-0000-0000-000030920000}"/>
    <cellStyle name="Normal 2 8 5 6 2" xfId="37422" xr:uid="{00000000-0005-0000-0000-000031920000}"/>
    <cellStyle name="Normal 2 8 5 6 3" xfId="37423" xr:uid="{00000000-0005-0000-0000-000032920000}"/>
    <cellStyle name="Normal 2 8 5 6 4" xfId="37424" xr:uid="{00000000-0005-0000-0000-000033920000}"/>
    <cellStyle name="Normal 2 8 5 7" xfId="37425" xr:uid="{00000000-0005-0000-0000-000034920000}"/>
    <cellStyle name="Normal 2 8 5 7 2" xfId="37426" xr:uid="{00000000-0005-0000-0000-000035920000}"/>
    <cellStyle name="Normal 2 8 5 8" xfId="37427" xr:uid="{00000000-0005-0000-0000-000036920000}"/>
    <cellStyle name="Normal 2 8 5 9" xfId="37428" xr:uid="{00000000-0005-0000-0000-000037920000}"/>
    <cellStyle name="Normal 2 8 6" xfId="37429" xr:uid="{00000000-0005-0000-0000-000038920000}"/>
    <cellStyle name="Normal 2 8 6 10" xfId="37430" xr:uid="{00000000-0005-0000-0000-000039920000}"/>
    <cellStyle name="Normal 2 8 6 11" xfId="37431" xr:uid="{00000000-0005-0000-0000-00003A920000}"/>
    <cellStyle name="Normal 2 8 6 2" xfId="37432" xr:uid="{00000000-0005-0000-0000-00003B920000}"/>
    <cellStyle name="Normal 2 8 6 2 2" xfId="37433" xr:uid="{00000000-0005-0000-0000-00003C920000}"/>
    <cellStyle name="Normal 2 8 6 2 2 2" xfId="37434" xr:uid="{00000000-0005-0000-0000-00003D920000}"/>
    <cellStyle name="Normal 2 8 6 2 2 2 2" xfId="37435" xr:uid="{00000000-0005-0000-0000-00003E920000}"/>
    <cellStyle name="Normal 2 8 6 2 2 2 3" xfId="37436" xr:uid="{00000000-0005-0000-0000-00003F920000}"/>
    <cellStyle name="Normal 2 8 6 2 2 3" xfId="37437" xr:uid="{00000000-0005-0000-0000-000040920000}"/>
    <cellStyle name="Normal 2 8 6 2 2 4" xfId="37438" xr:uid="{00000000-0005-0000-0000-000041920000}"/>
    <cellStyle name="Normal 2 8 6 2 2 5" xfId="37439" xr:uid="{00000000-0005-0000-0000-000042920000}"/>
    <cellStyle name="Normal 2 8 6 2 2 6" xfId="37440" xr:uid="{00000000-0005-0000-0000-000043920000}"/>
    <cellStyle name="Normal 2 8 6 2 3" xfId="37441" xr:uid="{00000000-0005-0000-0000-000044920000}"/>
    <cellStyle name="Normal 2 8 6 2 3 2" xfId="37442" xr:uid="{00000000-0005-0000-0000-000045920000}"/>
    <cellStyle name="Normal 2 8 6 2 3 2 2" xfId="37443" xr:uid="{00000000-0005-0000-0000-000046920000}"/>
    <cellStyle name="Normal 2 8 6 2 3 3" xfId="37444" xr:uid="{00000000-0005-0000-0000-000047920000}"/>
    <cellStyle name="Normal 2 8 6 2 3 4" xfId="37445" xr:uid="{00000000-0005-0000-0000-000048920000}"/>
    <cellStyle name="Normal 2 8 6 2 3 5" xfId="37446" xr:uid="{00000000-0005-0000-0000-000049920000}"/>
    <cellStyle name="Normal 2 8 6 2 4" xfId="37447" xr:uid="{00000000-0005-0000-0000-00004A920000}"/>
    <cellStyle name="Normal 2 8 6 2 4 2" xfId="37448" xr:uid="{00000000-0005-0000-0000-00004B920000}"/>
    <cellStyle name="Normal 2 8 6 2 4 3" xfId="37449" xr:uid="{00000000-0005-0000-0000-00004C920000}"/>
    <cellStyle name="Normal 2 8 6 2 4 4" xfId="37450" xr:uid="{00000000-0005-0000-0000-00004D920000}"/>
    <cellStyle name="Normal 2 8 6 2 5" xfId="37451" xr:uid="{00000000-0005-0000-0000-00004E920000}"/>
    <cellStyle name="Normal 2 8 6 2 5 2" xfId="37452" xr:uid="{00000000-0005-0000-0000-00004F920000}"/>
    <cellStyle name="Normal 2 8 6 2 6" xfId="37453" xr:uid="{00000000-0005-0000-0000-000050920000}"/>
    <cellStyle name="Normal 2 8 6 2 7" xfId="37454" xr:uid="{00000000-0005-0000-0000-000051920000}"/>
    <cellStyle name="Normal 2 8 6 2 8" xfId="37455" xr:uid="{00000000-0005-0000-0000-000052920000}"/>
    <cellStyle name="Normal 2 8 6 2 9" xfId="37456" xr:uid="{00000000-0005-0000-0000-000053920000}"/>
    <cellStyle name="Normal 2 8 6 3" xfId="37457" xr:uid="{00000000-0005-0000-0000-000054920000}"/>
    <cellStyle name="Normal 2 8 6 3 2" xfId="37458" xr:uid="{00000000-0005-0000-0000-000055920000}"/>
    <cellStyle name="Normal 2 8 6 3 2 2" xfId="37459" xr:uid="{00000000-0005-0000-0000-000056920000}"/>
    <cellStyle name="Normal 2 8 6 3 2 2 2" xfId="37460" xr:uid="{00000000-0005-0000-0000-000057920000}"/>
    <cellStyle name="Normal 2 8 6 3 2 2 3" xfId="37461" xr:uid="{00000000-0005-0000-0000-000058920000}"/>
    <cellStyle name="Normal 2 8 6 3 2 3" xfId="37462" xr:uid="{00000000-0005-0000-0000-000059920000}"/>
    <cellStyle name="Normal 2 8 6 3 2 4" xfId="37463" xr:uid="{00000000-0005-0000-0000-00005A920000}"/>
    <cellStyle name="Normal 2 8 6 3 2 5" xfId="37464" xr:uid="{00000000-0005-0000-0000-00005B920000}"/>
    <cellStyle name="Normal 2 8 6 3 2 6" xfId="37465" xr:uid="{00000000-0005-0000-0000-00005C920000}"/>
    <cellStyle name="Normal 2 8 6 3 3" xfId="37466" xr:uid="{00000000-0005-0000-0000-00005D920000}"/>
    <cellStyle name="Normal 2 8 6 3 3 2" xfId="37467" xr:uid="{00000000-0005-0000-0000-00005E920000}"/>
    <cellStyle name="Normal 2 8 6 3 3 2 2" xfId="37468" xr:uid="{00000000-0005-0000-0000-00005F920000}"/>
    <cellStyle name="Normal 2 8 6 3 3 3" xfId="37469" xr:uid="{00000000-0005-0000-0000-000060920000}"/>
    <cellStyle name="Normal 2 8 6 3 3 4" xfId="37470" xr:uid="{00000000-0005-0000-0000-000061920000}"/>
    <cellStyle name="Normal 2 8 6 3 3 5" xfId="37471" xr:uid="{00000000-0005-0000-0000-000062920000}"/>
    <cellStyle name="Normal 2 8 6 3 4" xfId="37472" xr:uid="{00000000-0005-0000-0000-000063920000}"/>
    <cellStyle name="Normal 2 8 6 3 4 2" xfId="37473" xr:uid="{00000000-0005-0000-0000-000064920000}"/>
    <cellStyle name="Normal 2 8 6 3 4 3" xfId="37474" xr:uid="{00000000-0005-0000-0000-000065920000}"/>
    <cellStyle name="Normal 2 8 6 3 4 4" xfId="37475" xr:uid="{00000000-0005-0000-0000-000066920000}"/>
    <cellStyle name="Normal 2 8 6 3 5" xfId="37476" xr:uid="{00000000-0005-0000-0000-000067920000}"/>
    <cellStyle name="Normal 2 8 6 3 5 2" xfId="37477" xr:uid="{00000000-0005-0000-0000-000068920000}"/>
    <cellStyle name="Normal 2 8 6 3 6" xfId="37478" xr:uid="{00000000-0005-0000-0000-000069920000}"/>
    <cellStyle name="Normal 2 8 6 3 7" xfId="37479" xr:uid="{00000000-0005-0000-0000-00006A920000}"/>
    <cellStyle name="Normal 2 8 6 3 8" xfId="37480" xr:uid="{00000000-0005-0000-0000-00006B920000}"/>
    <cellStyle name="Normal 2 8 6 3 9" xfId="37481" xr:uid="{00000000-0005-0000-0000-00006C920000}"/>
    <cellStyle name="Normal 2 8 6 4" xfId="37482" xr:uid="{00000000-0005-0000-0000-00006D920000}"/>
    <cellStyle name="Normal 2 8 6 4 2" xfId="37483" xr:uid="{00000000-0005-0000-0000-00006E920000}"/>
    <cellStyle name="Normal 2 8 6 4 2 2" xfId="37484" xr:uid="{00000000-0005-0000-0000-00006F920000}"/>
    <cellStyle name="Normal 2 8 6 4 2 3" xfId="37485" xr:uid="{00000000-0005-0000-0000-000070920000}"/>
    <cellStyle name="Normal 2 8 6 4 3" xfId="37486" xr:uid="{00000000-0005-0000-0000-000071920000}"/>
    <cellStyle name="Normal 2 8 6 4 4" xfId="37487" xr:uid="{00000000-0005-0000-0000-000072920000}"/>
    <cellStyle name="Normal 2 8 6 4 5" xfId="37488" xr:uid="{00000000-0005-0000-0000-000073920000}"/>
    <cellStyle name="Normal 2 8 6 4 6" xfId="37489" xr:uid="{00000000-0005-0000-0000-000074920000}"/>
    <cellStyle name="Normal 2 8 6 5" xfId="37490" xr:uid="{00000000-0005-0000-0000-000075920000}"/>
    <cellStyle name="Normal 2 8 6 5 2" xfId="37491" xr:uid="{00000000-0005-0000-0000-000076920000}"/>
    <cellStyle name="Normal 2 8 6 5 2 2" xfId="37492" xr:uid="{00000000-0005-0000-0000-000077920000}"/>
    <cellStyle name="Normal 2 8 6 5 3" xfId="37493" xr:uid="{00000000-0005-0000-0000-000078920000}"/>
    <cellStyle name="Normal 2 8 6 5 4" xfId="37494" xr:uid="{00000000-0005-0000-0000-000079920000}"/>
    <cellStyle name="Normal 2 8 6 5 5" xfId="37495" xr:uid="{00000000-0005-0000-0000-00007A920000}"/>
    <cellStyle name="Normal 2 8 6 6" xfId="37496" xr:uid="{00000000-0005-0000-0000-00007B920000}"/>
    <cellStyle name="Normal 2 8 6 6 2" xfId="37497" xr:uid="{00000000-0005-0000-0000-00007C920000}"/>
    <cellStyle name="Normal 2 8 6 6 3" xfId="37498" xr:uid="{00000000-0005-0000-0000-00007D920000}"/>
    <cellStyle name="Normal 2 8 6 6 4" xfId="37499" xr:uid="{00000000-0005-0000-0000-00007E920000}"/>
    <cellStyle name="Normal 2 8 6 7" xfId="37500" xr:uid="{00000000-0005-0000-0000-00007F920000}"/>
    <cellStyle name="Normal 2 8 6 7 2" xfId="37501" xr:uid="{00000000-0005-0000-0000-000080920000}"/>
    <cellStyle name="Normal 2 8 6 8" xfId="37502" xr:uid="{00000000-0005-0000-0000-000081920000}"/>
    <cellStyle name="Normal 2 8 6 9" xfId="37503" xr:uid="{00000000-0005-0000-0000-000082920000}"/>
    <cellStyle name="Normal 2 8 7" xfId="37504" xr:uid="{00000000-0005-0000-0000-000083920000}"/>
    <cellStyle name="Normal 2 8 7 10" xfId="37505" xr:uid="{00000000-0005-0000-0000-000084920000}"/>
    <cellStyle name="Normal 2 8 7 11" xfId="37506" xr:uid="{00000000-0005-0000-0000-000085920000}"/>
    <cellStyle name="Normal 2 8 7 2" xfId="37507" xr:uid="{00000000-0005-0000-0000-000086920000}"/>
    <cellStyle name="Normal 2 8 7 2 2" xfId="37508" xr:uid="{00000000-0005-0000-0000-000087920000}"/>
    <cellStyle name="Normal 2 8 7 2 2 2" xfId="37509" xr:uid="{00000000-0005-0000-0000-000088920000}"/>
    <cellStyle name="Normal 2 8 7 2 2 2 2" xfId="37510" xr:uid="{00000000-0005-0000-0000-000089920000}"/>
    <cellStyle name="Normal 2 8 7 2 2 2 3" xfId="37511" xr:uid="{00000000-0005-0000-0000-00008A920000}"/>
    <cellStyle name="Normal 2 8 7 2 2 3" xfId="37512" xr:uid="{00000000-0005-0000-0000-00008B920000}"/>
    <cellStyle name="Normal 2 8 7 2 2 4" xfId="37513" xr:uid="{00000000-0005-0000-0000-00008C920000}"/>
    <cellStyle name="Normal 2 8 7 2 2 5" xfId="37514" xr:uid="{00000000-0005-0000-0000-00008D920000}"/>
    <cellStyle name="Normal 2 8 7 2 2 6" xfId="37515" xr:uid="{00000000-0005-0000-0000-00008E920000}"/>
    <cellStyle name="Normal 2 8 7 2 3" xfId="37516" xr:uid="{00000000-0005-0000-0000-00008F920000}"/>
    <cellStyle name="Normal 2 8 7 2 3 2" xfId="37517" xr:uid="{00000000-0005-0000-0000-000090920000}"/>
    <cellStyle name="Normal 2 8 7 2 3 2 2" xfId="37518" xr:uid="{00000000-0005-0000-0000-000091920000}"/>
    <cellStyle name="Normal 2 8 7 2 3 3" xfId="37519" xr:uid="{00000000-0005-0000-0000-000092920000}"/>
    <cellStyle name="Normal 2 8 7 2 3 4" xfId="37520" xr:uid="{00000000-0005-0000-0000-000093920000}"/>
    <cellStyle name="Normal 2 8 7 2 3 5" xfId="37521" xr:uid="{00000000-0005-0000-0000-000094920000}"/>
    <cellStyle name="Normal 2 8 7 2 4" xfId="37522" xr:uid="{00000000-0005-0000-0000-000095920000}"/>
    <cellStyle name="Normal 2 8 7 2 4 2" xfId="37523" xr:uid="{00000000-0005-0000-0000-000096920000}"/>
    <cellStyle name="Normal 2 8 7 2 4 3" xfId="37524" xr:uid="{00000000-0005-0000-0000-000097920000}"/>
    <cellStyle name="Normal 2 8 7 2 4 4" xfId="37525" xr:uid="{00000000-0005-0000-0000-000098920000}"/>
    <cellStyle name="Normal 2 8 7 2 5" xfId="37526" xr:uid="{00000000-0005-0000-0000-000099920000}"/>
    <cellStyle name="Normal 2 8 7 2 5 2" xfId="37527" xr:uid="{00000000-0005-0000-0000-00009A920000}"/>
    <cellStyle name="Normal 2 8 7 2 6" xfId="37528" xr:uid="{00000000-0005-0000-0000-00009B920000}"/>
    <cellStyle name="Normal 2 8 7 2 7" xfId="37529" xr:uid="{00000000-0005-0000-0000-00009C920000}"/>
    <cellStyle name="Normal 2 8 7 2 8" xfId="37530" xr:uid="{00000000-0005-0000-0000-00009D920000}"/>
    <cellStyle name="Normal 2 8 7 2 9" xfId="37531" xr:uid="{00000000-0005-0000-0000-00009E920000}"/>
    <cellStyle name="Normal 2 8 7 3" xfId="37532" xr:uid="{00000000-0005-0000-0000-00009F920000}"/>
    <cellStyle name="Normal 2 8 7 3 2" xfId="37533" xr:uid="{00000000-0005-0000-0000-0000A0920000}"/>
    <cellStyle name="Normal 2 8 7 3 2 2" xfId="37534" xr:uid="{00000000-0005-0000-0000-0000A1920000}"/>
    <cellStyle name="Normal 2 8 7 3 2 2 2" xfId="37535" xr:uid="{00000000-0005-0000-0000-0000A2920000}"/>
    <cellStyle name="Normal 2 8 7 3 2 2 3" xfId="37536" xr:uid="{00000000-0005-0000-0000-0000A3920000}"/>
    <cellStyle name="Normal 2 8 7 3 2 3" xfId="37537" xr:uid="{00000000-0005-0000-0000-0000A4920000}"/>
    <cellStyle name="Normal 2 8 7 3 2 4" xfId="37538" xr:uid="{00000000-0005-0000-0000-0000A5920000}"/>
    <cellStyle name="Normal 2 8 7 3 2 5" xfId="37539" xr:uid="{00000000-0005-0000-0000-0000A6920000}"/>
    <cellStyle name="Normal 2 8 7 3 2 6" xfId="37540" xr:uid="{00000000-0005-0000-0000-0000A7920000}"/>
    <cellStyle name="Normal 2 8 7 3 3" xfId="37541" xr:uid="{00000000-0005-0000-0000-0000A8920000}"/>
    <cellStyle name="Normal 2 8 7 3 3 2" xfId="37542" xr:uid="{00000000-0005-0000-0000-0000A9920000}"/>
    <cellStyle name="Normal 2 8 7 3 3 2 2" xfId="37543" xr:uid="{00000000-0005-0000-0000-0000AA920000}"/>
    <cellStyle name="Normal 2 8 7 3 3 3" xfId="37544" xr:uid="{00000000-0005-0000-0000-0000AB920000}"/>
    <cellStyle name="Normal 2 8 7 3 3 4" xfId="37545" xr:uid="{00000000-0005-0000-0000-0000AC920000}"/>
    <cellStyle name="Normal 2 8 7 3 3 5" xfId="37546" xr:uid="{00000000-0005-0000-0000-0000AD920000}"/>
    <cellStyle name="Normal 2 8 7 3 4" xfId="37547" xr:uid="{00000000-0005-0000-0000-0000AE920000}"/>
    <cellStyle name="Normal 2 8 7 3 4 2" xfId="37548" xr:uid="{00000000-0005-0000-0000-0000AF920000}"/>
    <cellStyle name="Normal 2 8 7 3 4 3" xfId="37549" xr:uid="{00000000-0005-0000-0000-0000B0920000}"/>
    <cellStyle name="Normal 2 8 7 3 4 4" xfId="37550" xr:uid="{00000000-0005-0000-0000-0000B1920000}"/>
    <cellStyle name="Normal 2 8 7 3 5" xfId="37551" xr:uid="{00000000-0005-0000-0000-0000B2920000}"/>
    <cellStyle name="Normal 2 8 7 3 5 2" xfId="37552" xr:uid="{00000000-0005-0000-0000-0000B3920000}"/>
    <cellStyle name="Normal 2 8 7 3 6" xfId="37553" xr:uid="{00000000-0005-0000-0000-0000B4920000}"/>
    <cellStyle name="Normal 2 8 7 3 7" xfId="37554" xr:uid="{00000000-0005-0000-0000-0000B5920000}"/>
    <cellStyle name="Normal 2 8 7 3 8" xfId="37555" xr:uid="{00000000-0005-0000-0000-0000B6920000}"/>
    <cellStyle name="Normal 2 8 7 3 9" xfId="37556" xr:uid="{00000000-0005-0000-0000-0000B7920000}"/>
    <cellStyle name="Normal 2 8 7 4" xfId="37557" xr:uid="{00000000-0005-0000-0000-0000B8920000}"/>
    <cellStyle name="Normal 2 8 7 4 2" xfId="37558" xr:uid="{00000000-0005-0000-0000-0000B9920000}"/>
    <cellStyle name="Normal 2 8 7 4 2 2" xfId="37559" xr:uid="{00000000-0005-0000-0000-0000BA920000}"/>
    <cellStyle name="Normal 2 8 7 4 2 3" xfId="37560" xr:uid="{00000000-0005-0000-0000-0000BB920000}"/>
    <cellStyle name="Normal 2 8 7 4 3" xfId="37561" xr:uid="{00000000-0005-0000-0000-0000BC920000}"/>
    <cellStyle name="Normal 2 8 7 4 4" xfId="37562" xr:uid="{00000000-0005-0000-0000-0000BD920000}"/>
    <cellStyle name="Normal 2 8 7 4 5" xfId="37563" xr:uid="{00000000-0005-0000-0000-0000BE920000}"/>
    <cellStyle name="Normal 2 8 7 4 6" xfId="37564" xr:uid="{00000000-0005-0000-0000-0000BF920000}"/>
    <cellStyle name="Normal 2 8 7 5" xfId="37565" xr:uid="{00000000-0005-0000-0000-0000C0920000}"/>
    <cellStyle name="Normal 2 8 7 5 2" xfId="37566" xr:uid="{00000000-0005-0000-0000-0000C1920000}"/>
    <cellStyle name="Normal 2 8 7 5 2 2" xfId="37567" xr:uid="{00000000-0005-0000-0000-0000C2920000}"/>
    <cellStyle name="Normal 2 8 7 5 3" xfId="37568" xr:uid="{00000000-0005-0000-0000-0000C3920000}"/>
    <cellStyle name="Normal 2 8 7 5 4" xfId="37569" xr:uid="{00000000-0005-0000-0000-0000C4920000}"/>
    <cellStyle name="Normal 2 8 7 5 5" xfId="37570" xr:uid="{00000000-0005-0000-0000-0000C5920000}"/>
    <cellStyle name="Normal 2 8 7 6" xfId="37571" xr:uid="{00000000-0005-0000-0000-0000C6920000}"/>
    <cellStyle name="Normal 2 8 7 6 2" xfId="37572" xr:uid="{00000000-0005-0000-0000-0000C7920000}"/>
    <cellStyle name="Normal 2 8 7 6 3" xfId="37573" xr:uid="{00000000-0005-0000-0000-0000C8920000}"/>
    <cellStyle name="Normal 2 8 7 6 4" xfId="37574" xr:uid="{00000000-0005-0000-0000-0000C9920000}"/>
    <cellStyle name="Normal 2 8 7 7" xfId="37575" xr:uid="{00000000-0005-0000-0000-0000CA920000}"/>
    <cellStyle name="Normal 2 8 7 7 2" xfId="37576" xr:uid="{00000000-0005-0000-0000-0000CB920000}"/>
    <cellStyle name="Normal 2 8 7 8" xfId="37577" xr:uid="{00000000-0005-0000-0000-0000CC920000}"/>
    <cellStyle name="Normal 2 8 7 9" xfId="37578" xr:uid="{00000000-0005-0000-0000-0000CD920000}"/>
    <cellStyle name="Normal 2 8 8" xfId="37579" xr:uid="{00000000-0005-0000-0000-0000CE920000}"/>
    <cellStyle name="Normal 2 8 8 10" xfId="37580" xr:uid="{00000000-0005-0000-0000-0000CF920000}"/>
    <cellStyle name="Normal 2 8 8 11" xfId="37581" xr:uid="{00000000-0005-0000-0000-0000D0920000}"/>
    <cellStyle name="Normal 2 8 8 2" xfId="37582" xr:uid="{00000000-0005-0000-0000-0000D1920000}"/>
    <cellStyle name="Normal 2 8 8 2 2" xfId="37583" xr:uid="{00000000-0005-0000-0000-0000D2920000}"/>
    <cellStyle name="Normal 2 8 8 2 2 2" xfId="37584" xr:uid="{00000000-0005-0000-0000-0000D3920000}"/>
    <cellStyle name="Normal 2 8 8 2 2 2 2" xfId="37585" xr:uid="{00000000-0005-0000-0000-0000D4920000}"/>
    <cellStyle name="Normal 2 8 8 2 2 2 3" xfId="37586" xr:uid="{00000000-0005-0000-0000-0000D5920000}"/>
    <cellStyle name="Normal 2 8 8 2 2 3" xfId="37587" xr:uid="{00000000-0005-0000-0000-0000D6920000}"/>
    <cellStyle name="Normal 2 8 8 2 2 4" xfId="37588" xr:uid="{00000000-0005-0000-0000-0000D7920000}"/>
    <cellStyle name="Normal 2 8 8 2 2 5" xfId="37589" xr:uid="{00000000-0005-0000-0000-0000D8920000}"/>
    <cellStyle name="Normal 2 8 8 2 2 6" xfId="37590" xr:uid="{00000000-0005-0000-0000-0000D9920000}"/>
    <cellStyle name="Normal 2 8 8 2 3" xfId="37591" xr:uid="{00000000-0005-0000-0000-0000DA920000}"/>
    <cellStyle name="Normal 2 8 8 2 3 2" xfId="37592" xr:uid="{00000000-0005-0000-0000-0000DB920000}"/>
    <cellStyle name="Normal 2 8 8 2 3 2 2" xfId="37593" xr:uid="{00000000-0005-0000-0000-0000DC920000}"/>
    <cellStyle name="Normal 2 8 8 2 3 3" xfId="37594" xr:uid="{00000000-0005-0000-0000-0000DD920000}"/>
    <cellStyle name="Normal 2 8 8 2 3 4" xfId="37595" xr:uid="{00000000-0005-0000-0000-0000DE920000}"/>
    <cellStyle name="Normal 2 8 8 2 3 5" xfId="37596" xr:uid="{00000000-0005-0000-0000-0000DF920000}"/>
    <cellStyle name="Normal 2 8 8 2 4" xfId="37597" xr:uid="{00000000-0005-0000-0000-0000E0920000}"/>
    <cellStyle name="Normal 2 8 8 2 4 2" xfId="37598" xr:uid="{00000000-0005-0000-0000-0000E1920000}"/>
    <cellStyle name="Normal 2 8 8 2 4 3" xfId="37599" xr:uid="{00000000-0005-0000-0000-0000E2920000}"/>
    <cellStyle name="Normal 2 8 8 2 4 4" xfId="37600" xr:uid="{00000000-0005-0000-0000-0000E3920000}"/>
    <cellStyle name="Normal 2 8 8 2 5" xfId="37601" xr:uid="{00000000-0005-0000-0000-0000E4920000}"/>
    <cellStyle name="Normal 2 8 8 2 5 2" xfId="37602" xr:uid="{00000000-0005-0000-0000-0000E5920000}"/>
    <cellStyle name="Normal 2 8 8 2 6" xfId="37603" xr:uid="{00000000-0005-0000-0000-0000E6920000}"/>
    <cellStyle name="Normal 2 8 8 2 7" xfId="37604" xr:uid="{00000000-0005-0000-0000-0000E7920000}"/>
    <cellStyle name="Normal 2 8 8 2 8" xfId="37605" xr:uid="{00000000-0005-0000-0000-0000E8920000}"/>
    <cellStyle name="Normal 2 8 8 2 9" xfId="37606" xr:uid="{00000000-0005-0000-0000-0000E9920000}"/>
    <cellStyle name="Normal 2 8 8 3" xfId="37607" xr:uid="{00000000-0005-0000-0000-0000EA920000}"/>
    <cellStyle name="Normal 2 8 8 3 2" xfId="37608" xr:uid="{00000000-0005-0000-0000-0000EB920000}"/>
    <cellStyle name="Normal 2 8 8 3 2 2" xfId="37609" xr:uid="{00000000-0005-0000-0000-0000EC920000}"/>
    <cellStyle name="Normal 2 8 8 3 2 2 2" xfId="37610" xr:uid="{00000000-0005-0000-0000-0000ED920000}"/>
    <cellStyle name="Normal 2 8 8 3 2 2 3" xfId="37611" xr:uid="{00000000-0005-0000-0000-0000EE920000}"/>
    <cellStyle name="Normal 2 8 8 3 2 3" xfId="37612" xr:uid="{00000000-0005-0000-0000-0000EF920000}"/>
    <cellStyle name="Normal 2 8 8 3 2 4" xfId="37613" xr:uid="{00000000-0005-0000-0000-0000F0920000}"/>
    <cellStyle name="Normal 2 8 8 3 2 5" xfId="37614" xr:uid="{00000000-0005-0000-0000-0000F1920000}"/>
    <cellStyle name="Normal 2 8 8 3 2 6" xfId="37615" xr:uid="{00000000-0005-0000-0000-0000F2920000}"/>
    <cellStyle name="Normal 2 8 8 3 3" xfId="37616" xr:uid="{00000000-0005-0000-0000-0000F3920000}"/>
    <cellStyle name="Normal 2 8 8 3 3 2" xfId="37617" xr:uid="{00000000-0005-0000-0000-0000F4920000}"/>
    <cellStyle name="Normal 2 8 8 3 3 2 2" xfId="37618" xr:uid="{00000000-0005-0000-0000-0000F5920000}"/>
    <cellStyle name="Normal 2 8 8 3 3 3" xfId="37619" xr:uid="{00000000-0005-0000-0000-0000F6920000}"/>
    <cellStyle name="Normal 2 8 8 3 3 4" xfId="37620" xr:uid="{00000000-0005-0000-0000-0000F7920000}"/>
    <cellStyle name="Normal 2 8 8 3 3 5" xfId="37621" xr:uid="{00000000-0005-0000-0000-0000F8920000}"/>
    <cellStyle name="Normal 2 8 8 3 4" xfId="37622" xr:uid="{00000000-0005-0000-0000-0000F9920000}"/>
    <cellStyle name="Normal 2 8 8 3 4 2" xfId="37623" xr:uid="{00000000-0005-0000-0000-0000FA920000}"/>
    <cellStyle name="Normal 2 8 8 3 4 3" xfId="37624" xr:uid="{00000000-0005-0000-0000-0000FB920000}"/>
    <cellStyle name="Normal 2 8 8 3 4 4" xfId="37625" xr:uid="{00000000-0005-0000-0000-0000FC920000}"/>
    <cellStyle name="Normal 2 8 8 3 5" xfId="37626" xr:uid="{00000000-0005-0000-0000-0000FD920000}"/>
    <cellStyle name="Normal 2 8 8 3 5 2" xfId="37627" xr:uid="{00000000-0005-0000-0000-0000FE920000}"/>
    <cellStyle name="Normal 2 8 8 3 6" xfId="37628" xr:uid="{00000000-0005-0000-0000-0000FF920000}"/>
    <cellStyle name="Normal 2 8 8 3 7" xfId="37629" xr:uid="{00000000-0005-0000-0000-000000930000}"/>
    <cellStyle name="Normal 2 8 8 3 8" xfId="37630" xr:uid="{00000000-0005-0000-0000-000001930000}"/>
    <cellStyle name="Normal 2 8 8 3 9" xfId="37631" xr:uid="{00000000-0005-0000-0000-000002930000}"/>
    <cellStyle name="Normal 2 8 8 4" xfId="37632" xr:uid="{00000000-0005-0000-0000-000003930000}"/>
    <cellStyle name="Normal 2 8 8 4 2" xfId="37633" xr:uid="{00000000-0005-0000-0000-000004930000}"/>
    <cellStyle name="Normal 2 8 8 4 2 2" xfId="37634" xr:uid="{00000000-0005-0000-0000-000005930000}"/>
    <cellStyle name="Normal 2 8 8 4 2 3" xfId="37635" xr:uid="{00000000-0005-0000-0000-000006930000}"/>
    <cellStyle name="Normal 2 8 8 4 3" xfId="37636" xr:uid="{00000000-0005-0000-0000-000007930000}"/>
    <cellStyle name="Normal 2 8 8 4 4" xfId="37637" xr:uid="{00000000-0005-0000-0000-000008930000}"/>
    <cellStyle name="Normal 2 8 8 4 5" xfId="37638" xr:uid="{00000000-0005-0000-0000-000009930000}"/>
    <cellStyle name="Normal 2 8 8 4 6" xfId="37639" xr:uid="{00000000-0005-0000-0000-00000A930000}"/>
    <cellStyle name="Normal 2 8 8 5" xfId="37640" xr:uid="{00000000-0005-0000-0000-00000B930000}"/>
    <cellStyle name="Normal 2 8 8 5 2" xfId="37641" xr:uid="{00000000-0005-0000-0000-00000C930000}"/>
    <cellStyle name="Normal 2 8 8 5 2 2" xfId="37642" xr:uid="{00000000-0005-0000-0000-00000D930000}"/>
    <cellStyle name="Normal 2 8 8 5 3" xfId="37643" xr:uid="{00000000-0005-0000-0000-00000E930000}"/>
    <cellStyle name="Normal 2 8 8 5 4" xfId="37644" xr:uid="{00000000-0005-0000-0000-00000F930000}"/>
    <cellStyle name="Normal 2 8 8 5 5" xfId="37645" xr:uid="{00000000-0005-0000-0000-000010930000}"/>
    <cellStyle name="Normal 2 8 8 6" xfId="37646" xr:uid="{00000000-0005-0000-0000-000011930000}"/>
    <cellStyle name="Normal 2 8 8 6 2" xfId="37647" xr:uid="{00000000-0005-0000-0000-000012930000}"/>
    <cellStyle name="Normal 2 8 8 6 3" xfId="37648" xr:uid="{00000000-0005-0000-0000-000013930000}"/>
    <cellStyle name="Normal 2 8 8 6 4" xfId="37649" xr:uid="{00000000-0005-0000-0000-000014930000}"/>
    <cellStyle name="Normal 2 8 8 7" xfId="37650" xr:uid="{00000000-0005-0000-0000-000015930000}"/>
    <cellStyle name="Normal 2 8 8 7 2" xfId="37651" xr:uid="{00000000-0005-0000-0000-000016930000}"/>
    <cellStyle name="Normal 2 8 8 8" xfId="37652" xr:uid="{00000000-0005-0000-0000-000017930000}"/>
    <cellStyle name="Normal 2 8 8 9" xfId="37653" xr:uid="{00000000-0005-0000-0000-000018930000}"/>
    <cellStyle name="Normal 2 8 9" xfId="37654" xr:uid="{00000000-0005-0000-0000-000019930000}"/>
    <cellStyle name="Normal 2 8 9 10" xfId="37655" xr:uid="{00000000-0005-0000-0000-00001A930000}"/>
    <cellStyle name="Normal 2 8 9 11" xfId="37656" xr:uid="{00000000-0005-0000-0000-00001B930000}"/>
    <cellStyle name="Normal 2 8 9 2" xfId="37657" xr:uid="{00000000-0005-0000-0000-00001C930000}"/>
    <cellStyle name="Normal 2 8 9 2 2" xfId="37658" xr:uid="{00000000-0005-0000-0000-00001D930000}"/>
    <cellStyle name="Normal 2 8 9 2 2 2" xfId="37659" xr:uid="{00000000-0005-0000-0000-00001E930000}"/>
    <cellStyle name="Normal 2 8 9 2 2 2 2" xfId="37660" xr:uid="{00000000-0005-0000-0000-00001F930000}"/>
    <cellStyle name="Normal 2 8 9 2 2 2 3" xfId="37661" xr:uid="{00000000-0005-0000-0000-000020930000}"/>
    <cellStyle name="Normal 2 8 9 2 2 3" xfId="37662" xr:uid="{00000000-0005-0000-0000-000021930000}"/>
    <cellStyle name="Normal 2 8 9 2 2 4" xfId="37663" xr:uid="{00000000-0005-0000-0000-000022930000}"/>
    <cellStyle name="Normal 2 8 9 2 2 5" xfId="37664" xr:uid="{00000000-0005-0000-0000-000023930000}"/>
    <cellStyle name="Normal 2 8 9 2 2 6" xfId="37665" xr:uid="{00000000-0005-0000-0000-000024930000}"/>
    <cellStyle name="Normal 2 8 9 2 3" xfId="37666" xr:uid="{00000000-0005-0000-0000-000025930000}"/>
    <cellStyle name="Normal 2 8 9 2 3 2" xfId="37667" xr:uid="{00000000-0005-0000-0000-000026930000}"/>
    <cellStyle name="Normal 2 8 9 2 3 2 2" xfId="37668" xr:uid="{00000000-0005-0000-0000-000027930000}"/>
    <cellStyle name="Normal 2 8 9 2 3 3" xfId="37669" xr:uid="{00000000-0005-0000-0000-000028930000}"/>
    <cellStyle name="Normal 2 8 9 2 3 4" xfId="37670" xr:uid="{00000000-0005-0000-0000-000029930000}"/>
    <cellStyle name="Normal 2 8 9 2 3 5" xfId="37671" xr:uid="{00000000-0005-0000-0000-00002A930000}"/>
    <cellStyle name="Normal 2 8 9 2 4" xfId="37672" xr:uid="{00000000-0005-0000-0000-00002B930000}"/>
    <cellStyle name="Normal 2 8 9 2 4 2" xfId="37673" xr:uid="{00000000-0005-0000-0000-00002C930000}"/>
    <cellStyle name="Normal 2 8 9 2 4 3" xfId="37674" xr:uid="{00000000-0005-0000-0000-00002D930000}"/>
    <cellStyle name="Normal 2 8 9 2 4 4" xfId="37675" xr:uid="{00000000-0005-0000-0000-00002E930000}"/>
    <cellStyle name="Normal 2 8 9 2 5" xfId="37676" xr:uid="{00000000-0005-0000-0000-00002F930000}"/>
    <cellStyle name="Normal 2 8 9 2 5 2" xfId="37677" xr:uid="{00000000-0005-0000-0000-000030930000}"/>
    <cellStyle name="Normal 2 8 9 2 6" xfId="37678" xr:uid="{00000000-0005-0000-0000-000031930000}"/>
    <cellStyle name="Normal 2 8 9 2 7" xfId="37679" xr:uid="{00000000-0005-0000-0000-000032930000}"/>
    <cellStyle name="Normal 2 8 9 2 8" xfId="37680" xr:uid="{00000000-0005-0000-0000-000033930000}"/>
    <cellStyle name="Normal 2 8 9 2 9" xfId="37681" xr:uid="{00000000-0005-0000-0000-000034930000}"/>
    <cellStyle name="Normal 2 8 9 3" xfId="37682" xr:uid="{00000000-0005-0000-0000-000035930000}"/>
    <cellStyle name="Normal 2 8 9 3 2" xfId="37683" xr:uid="{00000000-0005-0000-0000-000036930000}"/>
    <cellStyle name="Normal 2 8 9 3 2 2" xfId="37684" xr:uid="{00000000-0005-0000-0000-000037930000}"/>
    <cellStyle name="Normal 2 8 9 3 2 2 2" xfId="37685" xr:uid="{00000000-0005-0000-0000-000038930000}"/>
    <cellStyle name="Normal 2 8 9 3 2 2 3" xfId="37686" xr:uid="{00000000-0005-0000-0000-000039930000}"/>
    <cellStyle name="Normal 2 8 9 3 2 3" xfId="37687" xr:uid="{00000000-0005-0000-0000-00003A930000}"/>
    <cellStyle name="Normal 2 8 9 3 2 4" xfId="37688" xr:uid="{00000000-0005-0000-0000-00003B930000}"/>
    <cellStyle name="Normal 2 8 9 3 2 5" xfId="37689" xr:uid="{00000000-0005-0000-0000-00003C930000}"/>
    <cellStyle name="Normal 2 8 9 3 2 6" xfId="37690" xr:uid="{00000000-0005-0000-0000-00003D930000}"/>
    <cellStyle name="Normal 2 8 9 3 3" xfId="37691" xr:uid="{00000000-0005-0000-0000-00003E930000}"/>
    <cellStyle name="Normal 2 8 9 3 3 2" xfId="37692" xr:uid="{00000000-0005-0000-0000-00003F930000}"/>
    <cellStyle name="Normal 2 8 9 3 3 2 2" xfId="37693" xr:uid="{00000000-0005-0000-0000-000040930000}"/>
    <cellStyle name="Normal 2 8 9 3 3 3" xfId="37694" xr:uid="{00000000-0005-0000-0000-000041930000}"/>
    <cellStyle name="Normal 2 8 9 3 3 4" xfId="37695" xr:uid="{00000000-0005-0000-0000-000042930000}"/>
    <cellStyle name="Normal 2 8 9 3 3 5" xfId="37696" xr:uid="{00000000-0005-0000-0000-000043930000}"/>
    <cellStyle name="Normal 2 8 9 3 4" xfId="37697" xr:uid="{00000000-0005-0000-0000-000044930000}"/>
    <cellStyle name="Normal 2 8 9 3 4 2" xfId="37698" xr:uid="{00000000-0005-0000-0000-000045930000}"/>
    <cellStyle name="Normal 2 8 9 3 4 3" xfId="37699" xr:uid="{00000000-0005-0000-0000-000046930000}"/>
    <cellStyle name="Normal 2 8 9 3 4 4" xfId="37700" xr:uid="{00000000-0005-0000-0000-000047930000}"/>
    <cellStyle name="Normal 2 8 9 3 5" xfId="37701" xr:uid="{00000000-0005-0000-0000-000048930000}"/>
    <cellStyle name="Normal 2 8 9 3 5 2" xfId="37702" xr:uid="{00000000-0005-0000-0000-000049930000}"/>
    <cellStyle name="Normal 2 8 9 3 6" xfId="37703" xr:uid="{00000000-0005-0000-0000-00004A930000}"/>
    <cellStyle name="Normal 2 8 9 3 7" xfId="37704" xr:uid="{00000000-0005-0000-0000-00004B930000}"/>
    <cellStyle name="Normal 2 8 9 3 8" xfId="37705" xr:uid="{00000000-0005-0000-0000-00004C930000}"/>
    <cellStyle name="Normal 2 8 9 3 9" xfId="37706" xr:uid="{00000000-0005-0000-0000-00004D930000}"/>
    <cellStyle name="Normal 2 8 9 4" xfId="37707" xr:uid="{00000000-0005-0000-0000-00004E930000}"/>
    <cellStyle name="Normal 2 8 9 4 2" xfId="37708" xr:uid="{00000000-0005-0000-0000-00004F930000}"/>
    <cellStyle name="Normal 2 8 9 4 2 2" xfId="37709" xr:uid="{00000000-0005-0000-0000-000050930000}"/>
    <cellStyle name="Normal 2 8 9 4 2 3" xfId="37710" xr:uid="{00000000-0005-0000-0000-000051930000}"/>
    <cellStyle name="Normal 2 8 9 4 3" xfId="37711" xr:uid="{00000000-0005-0000-0000-000052930000}"/>
    <cellStyle name="Normal 2 8 9 4 4" xfId="37712" xr:uid="{00000000-0005-0000-0000-000053930000}"/>
    <cellStyle name="Normal 2 8 9 4 5" xfId="37713" xr:uid="{00000000-0005-0000-0000-000054930000}"/>
    <cellStyle name="Normal 2 8 9 4 6" xfId="37714" xr:uid="{00000000-0005-0000-0000-000055930000}"/>
    <cellStyle name="Normal 2 8 9 5" xfId="37715" xr:uid="{00000000-0005-0000-0000-000056930000}"/>
    <cellStyle name="Normal 2 8 9 5 2" xfId="37716" xr:uid="{00000000-0005-0000-0000-000057930000}"/>
    <cellStyle name="Normal 2 8 9 5 2 2" xfId="37717" xr:uid="{00000000-0005-0000-0000-000058930000}"/>
    <cellStyle name="Normal 2 8 9 5 3" xfId="37718" xr:uid="{00000000-0005-0000-0000-000059930000}"/>
    <cellStyle name="Normal 2 8 9 5 4" xfId="37719" xr:uid="{00000000-0005-0000-0000-00005A930000}"/>
    <cellStyle name="Normal 2 8 9 5 5" xfId="37720" xr:uid="{00000000-0005-0000-0000-00005B930000}"/>
    <cellStyle name="Normal 2 8 9 6" xfId="37721" xr:uid="{00000000-0005-0000-0000-00005C930000}"/>
    <cellStyle name="Normal 2 8 9 6 2" xfId="37722" xr:uid="{00000000-0005-0000-0000-00005D930000}"/>
    <cellStyle name="Normal 2 8 9 6 3" xfId="37723" xr:uid="{00000000-0005-0000-0000-00005E930000}"/>
    <cellStyle name="Normal 2 8 9 6 4" xfId="37724" xr:uid="{00000000-0005-0000-0000-00005F930000}"/>
    <cellStyle name="Normal 2 8 9 7" xfId="37725" xr:uid="{00000000-0005-0000-0000-000060930000}"/>
    <cellStyle name="Normal 2 8 9 7 2" xfId="37726" xr:uid="{00000000-0005-0000-0000-000061930000}"/>
    <cellStyle name="Normal 2 8 9 8" xfId="37727" xr:uid="{00000000-0005-0000-0000-000062930000}"/>
    <cellStyle name="Normal 2 8 9 9" xfId="37728" xr:uid="{00000000-0005-0000-0000-000063930000}"/>
    <cellStyle name="Normal 2 9" xfId="37729" xr:uid="{00000000-0005-0000-0000-000064930000}"/>
    <cellStyle name="Normal 2 9 2" xfId="37730" xr:uid="{00000000-0005-0000-0000-000065930000}"/>
    <cellStyle name="Normal 2 9 2 10" xfId="37731" xr:uid="{00000000-0005-0000-0000-000066930000}"/>
    <cellStyle name="Normal 2 9 2 10 10" xfId="37732" xr:uid="{00000000-0005-0000-0000-000067930000}"/>
    <cellStyle name="Normal 2 9 2 10 2" xfId="37733" xr:uid="{00000000-0005-0000-0000-000068930000}"/>
    <cellStyle name="Normal 2 9 2 10 2 2" xfId="37734" xr:uid="{00000000-0005-0000-0000-000069930000}"/>
    <cellStyle name="Normal 2 9 2 10 2 2 2" xfId="37735" xr:uid="{00000000-0005-0000-0000-00006A930000}"/>
    <cellStyle name="Normal 2 9 2 10 2 2 3" xfId="37736" xr:uid="{00000000-0005-0000-0000-00006B930000}"/>
    <cellStyle name="Normal 2 9 2 10 2 3" xfId="37737" xr:uid="{00000000-0005-0000-0000-00006C930000}"/>
    <cellStyle name="Normal 2 9 2 10 2 4" xfId="37738" xr:uid="{00000000-0005-0000-0000-00006D930000}"/>
    <cellStyle name="Normal 2 9 2 10 2 5" xfId="37739" xr:uid="{00000000-0005-0000-0000-00006E930000}"/>
    <cellStyle name="Normal 2 9 2 10 2 6" xfId="37740" xr:uid="{00000000-0005-0000-0000-00006F930000}"/>
    <cellStyle name="Normal 2 9 2 10 3" xfId="37741" xr:uid="{00000000-0005-0000-0000-000070930000}"/>
    <cellStyle name="Normal 2 9 2 10 3 2" xfId="37742" xr:uid="{00000000-0005-0000-0000-000071930000}"/>
    <cellStyle name="Normal 2 9 2 10 3 2 2" xfId="37743" xr:uid="{00000000-0005-0000-0000-000072930000}"/>
    <cellStyle name="Normal 2 9 2 10 3 2 3" xfId="37744" xr:uid="{00000000-0005-0000-0000-000073930000}"/>
    <cellStyle name="Normal 2 9 2 10 3 3" xfId="37745" xr:uid="{00000000-0005-0000-0000-000074930000}"/>
    <cellStyle name="Normal 2 9 2 10 3 4" xfId="37746" xr:uid="{00000000-0005-0000-0000-000075930000}"/>
    <cellStyle name="Normal 2 9 2 10 3 5" xfId="37747" xr:uid="{00000000-0005-0000-0000-000076930000}"/>
    <cellStyle name="Normal 2 9 2 10 3 6" xfId="37748" xr:uid="{00000000-0005-0000-0000-000077930000}"/>
    <cellStyle name="Normal 2 9 2 10 4" xfId="37749" xr:uid="{00000000-0005-0000-0000-000078930000}"/>
    <cellStyle name="Normal 2 9 2 10 4 2" xfId="37750" xr:uid="{00000000-0005-0000-0000-000079930000}"/>
    <cellStyle name="Normal 2 9 2 10 4 2 2" xfId="37751" xr:uid="{00000000-0005-0000-0000-00007A930000}"/>
    <cellStyle name="Normal 2 9 2 10 4 3" xfId="37752" xr:uid="{00000000-0005-0000-0000-00007B930000}"/>
    <cellStyle name="Normal 2 9 2 10 4 4" xfId="37753" xr:uid="{00000000-0005-0000-0000-00007C930000}"/>
    <cellStyle name="Normal 2 9 2 10 4 5" xfId="37754" xr:uid="{00000000-0005-0000-0000-00007D930000}"/>
    <cellStyle name="Normal 2 9 2 10 5" xfId="37755" xr:uid="{00000000-0005-0000-0000-00007E930000}"/>
    <cellStyle name="Normal 2 9 2 10 5 2" xfId="37756" xr:uid="{00000000-0005-0000-0000-00007F930000}"/>
    <cellStyle name="Normal 2 9 2 10 5 3" xfId="37757" xr:uid="{00000000-0005-0000-0000-000080930000}"/>
    <cellStyle name="Normal 2 9 2 10 5 4" xfId="37758" xr:uid="{00000000-0005-0000-0000-000081930000}"/>
    <cellStyle name="Normal 2 9 2 10 6" xfId="37759" xr:uid="{00000000-0005-0000-0000-000082930000}"/>
    <cellStyle name="Normal 2 9 2 10 6 2" xfId="37760" xr:uid="{00000000-0005-0000-0000-000083930000}"/>
    <cellStyle name="Normal 2 9 2 10 7" xfId="37761" xr:uid="{00000000-0005-0000-0000-000084930000}"/>
    <cellStyle name="Normal 2 9 2 10 8" xfId="37762" xr:uid="{00000000-0005-0000-0000-000085930000}"/>
    <cellStyle name="Normal 2 9 2 10 9" xfId="37763" xr:uid="{00000000-0005-0000-0000-000086930000}"/>
    <cellStyle name="Normal 2 9 2 11" xfId="37764" xr:uid="{00000000-0005-0000-0000-000087930000}"/>
    <cellStyle name="Normal 2 9 2 11 10" xfId="37765" xr:uid="{00000000-0005-0000-0000-000088930000}"/>
    <cellStyle name="Normal 2 9 2 11 2" xfId="37766" xr:uid="{00000000-0005-0000-0000-000089930000}"/>
    <cellStyle name="Normal 2 9 2 11 2 2" xfId="37767" xr:uid="{00000000-0005-0000-0000-00008A930000}"/>
    <cellStyle name="Normal 2 9 2 11 2 2 2" xfId="37768" xr:uid="{00000000-0005-0000-0000-00008B930000}"/>
    <cellStyle name="Normal 2 9 2 11 2 2 3" xfId="37769" xr:uid="{00000000-0005-0000-0000-00008C930000}"/>
    <cellStyle name="Normal 2 9 2 11 2 3" xfId="37770" xr:uid="{00000000-0005-0000-0000-00008D930000}"/>
    <cellStyle name="Normal 2 9 2 11 2 4" xfId="37771" xr:uid="{00000000-0005-0000-0000-00008E930000}"/>
    <cellStyle name="Normal 2 9 2 11 2 5" xfId="37772" xr:uid="{00000000-0005-0000-0000-00008F930000}"/>
    <cellStyle name="Normal 2 9 2 11 2 6" xfId="37773" xr:uid="{00000000-0005-0000-0000-000090930000}"/>
    <cellStyle name="Normal 2 9 2 11 3" xfId="37774" xr:uid="{00000000-0005-0000-0000-000091930000}"/>
    <cellStyle name="Normal 2 9 2 11 3 2" xfId="37775" xr:uid="{00000000-0005-0000-0000-000092930000}"/>
    <cellStyle name="Normal 2 9 2 11 3 2 2" xfId="37776" xr:uid="{00000000-0005-0000-0000-000093930000}"/>
    <cellStyle name="Normal 2 9 2 11 3 2 3" xfId="37777" xr:uid="{00000000-0005-0000-0000-000094930000}"/>
    <cellStyle name="Normal 2 9 2 11 3 3" xfId="37778" xr:uid="{00000000-0005-0000-0000-000095930000}"/>
    <cellStyle name="Normal 2 9 2 11 3 4" xfId="37779" xr:uid="{00000000-0005-0000-0000-000096930000}"/>
    <cellStyle name="Normal 2 9 2 11 3 5" xfId="37780" xr:uid="{00000000-0005-0000-0000-000097930000}"/>
    <cellStyle name="Normal 2 9 2 11 3 6" xfId="37781" xr:uid="{00000000-0005-0000-0000-000098930000}"/>
    <cellStyle name="Normal 2 9 2 11 4" xfId="37782" xr:uid="{00000000-0005-0000-0000-000099930000}"/>
    <cellStyle name="Normal 2 9 2 11 4 2" xfId="37783" xr:uid="{00000000-0005-0000-0000-00009A930000}"/>
    <cellStyle name="Normal 2 9 2 11 4 2 2" xfId="37784" xr:uid="{00000000-0005-0000-0000-00009B930000}"/>
    <cellStyle name="Normal 2 9 2 11 4 3" xfId="37785" xr:uid="{00000000-0005-0000-0000-00009C930000}"/>
    <cellStyle name="Normal 2 9 2 11 4 4" xfId="37786" xr:uid="{00000000-0005-0000-0000-00009D930000}"/>
    <cellStyle name="Normal 2 9 2 11 4 5" xfId="37787" xr:uid="{00000000-0005-0000-0000-00009E930000}"/>
    <cellStyle name="Normal 2 9 2 11 5" xfId="37788" xr:uid="{00000000-0005-0000-0000-00009F930000}"/>
    <cellStyle name="Normal 2 9 2 11 5 2" xfId="37789" xr:uid="{00000000-0005-0000-0000-0000A0930000}"/>
    <cellStyle name="Normal 2 9 2 11 5 3" xfId="37790" xr:uid="{00000000-0005-0000-0000-0000A1930000}"/>
    <cellStyle name="Normal 2 9 2 11 5 4" xfId="37791" xr:uid="{00000000-0005-0000-0000-0000A2930000}"/>
    <cellStyle name="Normal 2 9 2 11 6" xfId="37792" xr:uid="{00000000-0005-0000-0000-0000A3930000}"/>
    <cellStyle name="Normal 2 9 2 11 6 2" xfId="37793" xr:uid="{00000000-0005-0000-0000-0000A4930000}"/>
    <cellStyle name="Normal 2 9 2 11 7" xfId="37794" xr:uid="{00000000-0005-0000-0000-0000A5930000}"/>
    <cellStyle name="Normal 2 9 2 11 8" xfId="37795" xr:uid="{00000000-0005-0000-0000-0000A6930000}"/>
    <cellStyle name="Normal 2 9 2 11 9" xfId="37796" xr:uid="{00000000-0005-0000-0000-0000A7930000}"/>
    <cellStyle name="Normal 2 9 2 12" xfId="37797" xr:uid="{00000000-0005-0000-0000-0000A8930000}"/>
    <cellStyle name="Normal 2 9 2 12 10" xfId="37798" xr:uid="{00000000-0005-0000-0000-0000A9930000}"/>
    <cellStyle name="Normal 2 9 2 12 2" xfId="37799" xr:uid="{00000000-0005-0000-0000-0000AA930000}"/>
    <cellStyle name="Normal 2 9 2 12 2 2" xfId="37800" xr:uid="{00000000-0005-0000-0000-0000AB930000}"/>
    <cellStyle name="Normal 2 9 2 12 2 2 2" xfId="37801" xr:uid="{00000000-0005-0000-0000-0000AC930000}"/>
    <cellStyle name="Normal 2 9 2 12 2 2 3" xfId="37802" xr:uid="{00000000-0005-0000-0000-0000AD930000}"/>
    <cellStyle name="Normal 2 9 2 12 2 3" xfId="37803" xr:uid="{00000000-0005-0000-0000-0000AE930000}"/>
    <cellStyle name="Normal 2 9 2 12 2 4" xfId="37804" xr:uid="{00000000-0005-0000-0000-0000AF930000}"/>
    <cellStyle name="Normal 2 9 2 12 2 5" xfId="37805" xr:uid="{00000000-0005-0000-0000-0000B0930000}"/>
    <cellStyle name="Normal 2 9 2 12 2 6" xfId="37806" xr:uid="{00000000-0005-0000-0000-0000B1930000}"/>
    <cellStyle name="Normal 2 9 2 12 3" xfId="37807" xr:uid="{00000000-0005-0000-0000-0000B2930000}"/>
    <cellStyle name="Normal 2 9 2 12 3 2" xfId="37808" xr:uid="{00000000-0005-0000-0000-0000B3930000}"/>
    <cellStyle name="Normal 2 9 2 12 3 2 2" xfId="37809" xr:uid="{00000000-0005-0000-0000-0000B4930000}"/>
    <cellStyle name="Normal 2 9 2 12 3 2 3" xfId="37810" xr:uid="{00000000-0005-0000-0000-0000B5930000}"/>
    <cellStyle name="Normal 2 9 2 12 3 3" xfId="37811" xr:uid="{00000000-0005-0000-0000-0000B6930000}"/>
    <cellStyle name="Normal 2 9 2 12 3 4" xfId="37812" xr:uid="{00000000-0005-0000-0000-0000B7930000}"/>
    <cellStyle name="Normal 2 9 2 12 3 5" xfId="37813" xr:uid="{00000000-0005-0000-0000-0000B8930000}"/>
    <cellStyle name="Normal 2 9 2 12 3 6" xfId="37814" xr:uid="{00000000-0005-0000-0000-0000B9930000}"/>
    <cellStyle name="Normal 2 9 2 12 4" xfId="37815" xr:uid="{00000000-0005-0000-0000-0000BA930000}"/>
    <cellStyle name="Normal 2 9 2 12 4 2" xfId="37816" xr:uid="{00000000-0005-0000-0000-0000BB930000}"/>
    <cellStyle name="Normal 2 9 2 12 4 2 2" xfId="37817" xr:uid="{00000000-0005-0000-0000-0000BC930000}"/>
    <cellStyle name="Normal 2 9 2 12 4 3" xfId="37818" xr:uid="{00000000-0005-0000-0000-0000BD930000}"/>
    <cellStyle name="Normal 2 9 2 12 4 4" xfId="37819" xr:uid="{00000000-0005-0000-0000-0000BE930000}"/>
    <cellStyle name="Normal 2 9 2 12 4 5" xfId="37820" xr:uid="{00000000-0005-0000-0000-0000BF930000}"/>
    <cellStyle name="Normal 2 9 2 12 5" xfId="37821" xr:uid="{00000000-0005-0000-0000-0000C0930000}"/>
    <cellStyle name="Normal 2 9 2 12 5 2" xfId="37822" xr:uid="{00000000-0005-0000-0000-0000C1930000}"/>
    <cellStyle name="Normal 2 9 2 12 5 3" xfId="37823" xr:uid="{00000000-0005-0000-0000-0000C2930000}"/>
    <cellStyle name="Normal 2 9 2 12 5 4" xfId="37824" xr:uid="{00000000-0005-0000-0000-0000C3930000}"/>
    <cellStyle name="Normal 2 9 2 12 6" xfId="37825" xr:uid="{00000000-0005-0000-0000-0000C4930000}"/>
    <cellStyle name="Normal 2 9 2 12 6 2" xfId="37826" xr:uid="{00000000-0005-0000-0000-0000C5930000}"/>
    <cellStyle name="Normal 2 9 2 12 7" xfId="37827" xr:uid="{00000000-0005-0000-0000-0000C6930000}"/>
    <cellStyle name="Normal 2 9 2 12 8" xfId="37828" xr:uid="{00000000-0005-0000-0000-0000C7930000}"/>
    <cellStyle name="Normal 2 9 2 12 9" xfId="37829" xr:uid="{00000000-0005-0000-0000-0000C8930000}"/>
    <cellStyle name="Normal 2 9 2 13" xfId="37830" xr:uid="{00000000-0005-0000-0000-0000C9930000}"/>
    <cellStyle name="Normal 2 9 2 13 2" xfId="37831" xr:uid="{00000000-0005-0000-0000-0000CA930000}"/>
    <cellStyle name="Normal 2 9 2 13 2 2" xfId="37832" xr:uid="{00000000-0005-0000-0000-0000CB930000}"/>
    <cellStyle name="Normal 2 9 2 13 2 2 2" xfId="37833" xr:uid="{00000000-0005-0000-0000-0000CC930000}"/>
    <cellStyle name="Normal 2 9 2 13 2 2 3" xfId="37834" xr:uid="{00000000-0005-0000-0000-0000CD930000}"/>
    <cellStyle name="Normal 2 9 2 13 2 3" xfId="37835" xr:uid="{00000000-0005-0000-0000-0000CE930000}"/>
    <cellStyle name="Normal 2 9 2 13 2 4" xfId="37836" xr:uid="{00000000-0005-0000-0000-0000CF930000}"/>
    <cellStyle name="Normal 2 9 2 13 2 5" xfId="37837" xr:uid="{00000000-0005-0000-0000-0000D0930000}"/>
    <cellStyle name="Normal 2 9 2 13 2 6" xfId="37838" xr:uid="{00000000-0005-0000-0000-0000D1930000}"/>
    <cellStyle name="Normal 2 9 2 13 3" xfId="37839" xr:uid="{00000000-0005-0000-0000-0000D2930000}"/>
    <cellStyle name="Normal 2 9 2 13 3 2" xfId="37840" xr:uid="{00000000-0005-0000-0000-0000D3930000}"/>
    <cellStyle name="Normal 2 9 2 13 3 2 2" xfId="37841" xr:uid="{00000000-0005-0000-0000-0000D4930000}"/>
    <cellStyle name="Normal 2 9 2 13 3 3" xfId="37842" xr:uid="{00000000-0005-0000-0000-0000D5930000}"/>
    <cellStyle name="Normal 2 9 2 13 3 4" xfId="37843" xr:uid="{00000000-0005-0000-0000-0000D6930000}"/>
    <cellStyle name="Normal 2 9 2 13 3 5" xfId="37844" xr:uid="{00000000-0005-0000-0000-0000D7930000}"/>
    <cellStyle name="Normal 2 9 2 13 4" xfId="37845" xr:uid="{00000000-0005-0000-0000-0000D8930000}"/>
    <cellStyle name="Normal 2 9 2 13 4 2" xfId="37846" xr:uid="{00000000-0005-0000-0000-0000D9930000}"/>
    <cellStyle name="Normal 2 9 2 13 4 3" xfId="37847" xr:uid="{00000000-0005-0000-0000-0000DA930000}"/>
    <cellStyle name="Normal 2 9 2 13 4 4" xfId="37848" xr:uid="{00000000-0005-0000-0000-0000DB930000}"/>
    <cellStyle name="Normal 2 9 2 13 5" xfId="37849" xr:uid="{00000000-0005-0000-0000-0000DC930000}"/>
    <cellStyle name="Normal 2 9 2 13 5 2" xfId="37850" xr:uid="{00000000-0005-0000-0000-0000DD930000}"/>
    <cellStyle name="Normal 2 9 2 13 6" xfId="37851" xr:uid="{00000000-0005-0000-0000-0000DE930000}"/>
    <cellStyle name="Normal 2 9 2 13 7" xfId="37852" xr:uid="{00000000-0005-0000-0000-0000DF930000}"/>
    <cellStyle name="Normal 2 9 2 13 8" xfId="37853" xr:uid="{00000000-0005-0000-0000-0000E0930000}"/>
    <cellStyle name="Normal 2 9 2 13 9" xfId="37854" xr:uid="{00000000-0005-0000-0000-0000E1930000}"/>
    <cellStyle name="Normal 2 9 2 14" xfId="37855" xr:uid="{00000000-0005-0000-0000-0000E2930000}"/>
    <cellStyle name="Normal 2 9 2 14 2" xfId="37856" xr:uid="{00000000-0005-0000-0000-0000E3930000}"/>
    <cellStyle name="Normal 2 9 2 14 2 2" xfId="37857" xr:uid="{00000000-0005-0000-0000-0000E4930000}"/>
    <cellStyle name="Normal 2 9 2 14 2 2 2" xfId="37858" xr:uid="{00000000-0005-0000-0000-0000E5930000}"/>
    <cellStyle name="Normal 2 9 2 14 2 2 3" xfId="37859" xr:uid="{00000000-0005-0000-0000-0000E6930000}"/>
    <cellStyle name="Normal 2 9 2 14 2 3" xfId="37860" xr:uid="{00000000-0005-0000-0000-0000E7930000}"/>
    <cellStyle name="Normal 2 9 2 14 2 4" xfId="37861" xr:uid="{00000000-0005-0000-0000-0000E8930000}"/>
    <cellStyle name="Normal 2 9 2 14 2 5" xfId="37862" xr:uid="{00000000-0005-0000-0000-0000E9930000}"/>
    <cellStyle name="Normal 2 9 2 14 2 6" xfId="37863" xr:uid="{00000000-0005-0000-0000-0000EA930000}"/>
    <cellStyle name="Normal 2 9 2 14 3" xfId="37864" xr:uid="{00000000-0005-0000-0000-0000EB930000}"/>
    <cellStyle name="Normal 2 9 2 14 3 2" xfId="37865" xr:uid="{00000000-0005-0000-0000-0000EC930000}"/>
    <cellStyle name="Normal 2 9 2 14 3 2 2" xfId="37866" xr:uid="{00000000-0005-0000-0000-0000ED930000}"/>
    <cellStyle name="Normal 2 9 2 14 3 3" xfId="37867" xr:uid="{00000000-0005-0000-0000-0000EE930000}"/>
    <cellStyle name="Normal 2 9 2 14 3 4" xfId="37868" xr:uid="{00000000-0005-0000-0000-0000EF930000}"/>
    <cellStyle name="Normal 2 9 2 14 3 5" xfId="37869" xr:uid="{00000000-0005-0000-0000-0000F0930000}"/>
    <cellStyle name="Normal 2 9 2 14 4" xfId="37870" xr:uid="{00000000-0005-0000-0000-0000F1930000}"/>
    <cellStyle name="Normal 2 9 2 14 4 2" xfId="37871" xr:uid="{00000000-0005-0000-0000-0000F2930000}"/>
    <cellStyle name="Normal 2 9 2 14 4 3" xfId="37872" xr:uid="{00000000-0005-0000-0000-0000F3930000}"/>
    <cellStyle name="Normal 2 9 2 14 4 4" xfId="37873" xr:uid="{00000000-0005-0000-0000-0000F4930000}"/>
    <cellStyle name="Normal 2 9 2 14 5" xfId="37874" xr:uid="{00000000-0005-0000-0000-0000F5930000}"/>
    <cellStyle name="Normal 2 9 2 14 5 2" xfId="37875" xr:uid="{00000000-0005-0000-0000-0000F6930000}"/>
    <cellStyle name="Normal 2 9 2 14 6" xfId="37876" xr:uid="{00000000-0005-0000-0000-0000F7930000}"/>
    <cellStyle name="Normal 2 9 2 14 7" xfId="37877" xr:uid="{00000000-0005-0000-0000-0000F8930000}"/>
    <cellStyle name="Normal 2 9 2 14 8" xfId="37878" xr:uid="{00000000-0005-0000-0000-0000F9930000}"/>
    <cellStyle name="Normal 2 9 2 14 9" xfId="37879" xr:uid="{00000000-0005-0000-0000-0000FA930000}"/>
    <cellStyle name="Normal 2 9 2 15" xfId="37880" xr:uid="{00000000-0005-0000-0000-0000FB930000}"/>
    <cellStyle name="Normal 2 9 2 15 2" xfId="37881" xr:uid="{00000000-0005-0000-0000-0000FC930000}"/>
    <cellStyle name="Normal 2 9 2 15 2 2" xfId="37882" xr:uid="{00000000-0005-0000-0000-0000FD930000}"/>
    <cellStyle name="Normal 2 9 2 15 2 3" xfId="37883" xr:uid="{00000000-0005-0000-0000-0000FE930000}"/>
    <cellStyle name="Normal 2 9 2 15 3" xfId="37884" xr:uid="{00000000-0005-0000-0000-0000FF930000}"/>
    <cellStyle name="Normal 2 9 2 15 4" xfId="37885" xr:uid="{00000000-0005-0000-0000-000000940000}"/>
    <cellStyle name="Normal 2 9 2 15 5" xfId="37886" xr:uid="{00000000-0005-0000-0000-000001940000}"/>
    <cellStyle name="Normal 2 9 2 15 6" xfId="37887" xr:uid="{00000000-0005-0000-0000-000002940000}"/>
    <cellStyle name="Normal 2 9 2 16" xfId="37888" xr:uid="{00000000-0005-0000-0000-000003940000}"/>
    <cellStyle name="Normal 2 9 2 16 2" xfId="37889" xr:uid="{00000000-0005-0000-0000-000004940000}"/>
    <cellStyle name="Normal 2 9 2 16 2 2" xfId="37890" xr:uid="{00000000-0005-0000-0000-000005940000}"/>
    <cellStyle name="Normal 2 9 2 16 3" xfId="37891" xr:uid="{00000000-0005-0000-0000-000006940000}"/>
    <cellStyle name="Normal 2 9 2 16 4" xfId="37892" xr:uid="{00000000-0005-0000-0000-000007940000}"/>
    <cellStyle name="Normal 2 9 2 16 5" xfId="37893" xr:uid="{00000000-0005-0000-0000-000008940000}"/>
    <cellStyle name="Normal 2 9 2 17" xfId="37894" xr:uid="{00000000-0005-0000-0000-000009940000}"/>
    <cellStyle name="Normal 2 9 2 17 2" xfId="37895" xr:uid="{00000000-0005-0000-0000-00000A940000}"/>
    <cellStyle name="Normal 2 9 2 17 2 2" xfId="37896" xr:uid="{00000000-0005-0000-0000-00000B940000}"/>
    <cellStyle name="Normal 2 9 2 17 3" xfId="37897" xr:uid="{00000000-0005-0000-0000-00000C940000}"/>
    <cellStyle name="Normal 2 9 2 17 4" xfId="37898" xr:uid="{00000000-0005-0000-0000-00000D940000}"/>
    <cellStyle name="Normal 2 9 2 17 5" xfId="37899" xr:uid="{00000000-0005-0000-0000-00000E940000}"/>
    <cellStyle name="Normal 2 9 2 18" xfId="37900" xr:uid="{00000000-0005-0000-0000-00000F940000}"/>
    <cellStyle name="Normal 2 9 2 18 2" xfId="37901" xr:uid="{00000000-0005-0000-0000-000010940000}"/>
    <cellStyle name="Normal 2 9 2 19" xfId="37902" xr:uid="{00000000-0005-0000-0000-000011940000}"/>
    <cellStyle name="Normal 2 9 2 2" xfId="37903" xr:uid="{00000000-0005-0000-0000-000012940000}"/>
    <cellStyle name="Normal 2 9 2 2 10" xfId="37904" xr:uid="{00000000-0005-0000-0000-000013940000}"/>
    <cellStyle name="Normal 2 9 2 2 11" xfId="37905" xr:uid="{00000000-0005-0000-0000-000014940000}"/>
    <cellStyle name="Normal 2 9 2 2 2" xfId="37906" xr:uid="{00000000-0005-0000-0000-000015940000}"/>
    <cellStyle name="Normal 2 9 2 2 2 2" xfId="37907" xr:uid="{00000000-0005-0000-0000-000016940000}"/>
    <cellStyle name="Normal 2 9 2 2 2 2 2" xfId="37908" xr:uid="{00000000-0005-0000-0000-000017940000}"/>
    <cellStyle name="Normal 2 9 2 2 2 2 2 2" xfId="37909" xr:uid="{00000000-0005-0000-0000-000018940000}"/>
    <cellStyle name="Normal 2 9 2 2 2 2 2 3" xfId="37910" xr:uid="{00000000-0005-0000-0000-000019940000}"/>
    <cellStyle name="Normal 2 9 2 2 2 2 3" xfId="37911" xr:uid="{00000000-0005-0000-0000-00001A940000}"/>
    <cellStyle name="Normal 2 9 2 2 2 2 4" xfId="37912" xr:uid="{00000000-0005-0000-0000-00001B940000}"/>
    <cellStyle name="Normal 2 9 2 2 2 2 5" xfId="37913" xr:uid="{00000000-0005-0000-0000-00001C940000}"/>
    <cellStyle name="Normal 2 9 2 2 2 2 6" xfId="37914" xr:uid="{00000000-0005-0000-0000-00001D940000}"/>
    <cellStyle name="Normal 2 9 2 2 2 3" xfId="37915" xr:uid="{00000000-0005-0000-0000-00001E940000}"/>
    <cellStyle name="Normal 2 9 2 2 2 3 2" xfId="37916" xr:uid="{00000000-0005-0000-0000-00001F940000}"/>
    <cellStyle name="Normal 2 9 2 2 2 3 2 2" xfId="37917" xr:uid="{00000000-0005-0000-0000-000020940000}"/>
    <cellStyle name="Normal 2 9 2 2 2 3 3" xfId="37918" xr:uid="{00000000-0005-0000-0000-000021940000}"/>
    <cellStyle name="Normal 2 9 2 2 2 3 4" xfId="37919" xr:uid="{00000000-0005-0000-0000-000022940000}"/>
    <cellStyle name="Normal 2 9 2 2 2 3 5" xfId="37920" xr:uid="{00000000-0005-0000-0000-000023940000}"/>
    <cellStyle name="Normal 2 9 2 2 2 4" xfId="37921" xr:uid="{00000000-0005-0000-0000-000024940000}"/>
    <cellStyle name="Normal 2 9 2 2 2 4 2" xfId="37922" xr:uid="{00000000-0005-0000-0000-000025940000}"/>
    <cellStyle name="Normal 2 9 2 2 2 4 3" xfId="37923" xr:uid="{00000000-0005-0000-0000-000026940000}"/>
    <cellStyle name="Normal 2 9 2 2 2 4 4" xfId="37924" xr:uid="{00000000-0005-0000-0000-000027940000}"/>
    <cellStyle name="Normal 2 9 2 2 2 5" xfId="37925" xr:uid="{00000000-0005-0000-0000-000028940000}"/>
    <cellStyle name="Normal 2 9 2 2 2 5 2" xfId="37926" xr:uid="{00000000-0005-0000-0000-000029940000}"/>
    <cellStyle name="Normal 2 9 2 2 2 6" xfId="37927" xr:uid="{00000000-0005-0000-0000-00002A940000}"/>
    <cellStyle name="Normal 2 9 2 2 2 7" xfId="37928" xr:uid="{00000000-0005-0000-0000-00002B940000}"/>
    <cellStyle name="Normal 2 9 2 2 2 8" xfId="37929" xr:uid="{00000000-0005-0000-0000-00002C940000}"/>
    <cellStyle name="Normal 2 9 2 2 2 9" xfId="37930" xr:uid="{00000000-0005-0000-0000-00002D940000}"/>
    <cellStyle name="Normal 2 9 2 2 3" xfId="37931" xr:uid="{00000000-0005-0000-0000-00002E940000}"/>
    <cellStyle name="Normal 2 9 2 2 3 2" xfId="37932" xr:uid="{00000000-0005-0000-0000-00002F940000}"/>
    <cellStyle name="Normal 2 9 2 2 3 2 2" xfId="37933" xr:uid="{00000000-0005-0000-0000-000030940000}"/>
    <cellStyle name="Normal 2 9 2 2 3 2 2 2" xfId="37934" xr:uid="{00000000-0005-0000-0000-000031940000}"/>
    <cellStyle name="Normal 2 9 2 2 3 2 2 3" xfId="37935" xr:uid="{00000000-0005-0000-0000-000032940000}"/>
    <cellStyle name="Normal 2 9 2 2 3 2 3" xfId="37936" xr:uid="{00000000-0005-0000-0000-000033940000}"/>
    <cellStyle name="Normal 2 9 2 2 3 2 4" xfId="37937" xr:uid="{00000000-0005-0000-0000-000034940000}"/>
    <cellStyle name="Normal 2 9 2 2 3 2 5" xfId="37938" xr:uid="{00000000-0005-0000-0000-000035940000}"/>
    <cellStyle name="Normal 2 9 2 2 3 2 6" xfId="37939" xr:uid="{00000000-0005-0000-0000-000036940000}"/>
    <cellStyle name="Normal 2 9 2 2 3 3" xfId="37940" xr:uid="{00000000-0005-0000-0000-000037940000}"/>
    <cellStyle name="Normal 2 9 2 2 3 3 2" xfId="37941" xr:uid="{00000000-0005-0000-0000-000038940000}"/>
    <cellStyle name="Normal 2 9 2 2 3 3 2 2" xfId="37942" xr:uid="{00000000-0005-0000-0000-000039940000}"/>
    <cellStyle name="Normal 2 9 2 2 3 3 3" xfId="37943" xr:uid="{00000000-0005-0000-0000-00003A940000}"/>
    <cellStyle name="Normal 2 9 2 2 3 3 4" xfId="37944" xr:uid="{00000000-0005-0000-0000-00003B940000}"/>
    <cellStyle name="Normal 2 9 2 2 3 3 5" xfId="37945" xr:uid="{00000000-0005-0000-0000-00003C940000}"/>
    <cellStyle name="Normal 2 9 2 2 3 4" xfId="37946" xr:uid="{00000000-0005-0000-0000-00003D940000}"/>
    <cellStyle name="Normal 2 9 2 2 3 4 2" xfId="37947" xr:uid="{00000000-0005-0000-0000-00003E940000}"/>
    <cellStyle name="Normal 2 9 2 2 3 4 3" xfId="37948" xr:uid="{00000000-0005-0000-0000-00003F940000}"/>
    <cellStyle name="Normal 2 9 2 2 3 4 4" xfId="37949" xr:uid="{00000000-0005-0000-0000-000040940000}"/>
    <cellStyle name="Normal 2 9 2 2 3 5" xfId="37950" xr:uid="{00000000-0005-0000-0000-000041940000}"/>
    <cellStyle name="Normal 2 9 2 2 3 5 2" xfId="37951" xr:uid="{00000000-0005-0000-0000-000042940000}"/>
    <cellStyle name="Normal 2 9 2 2 3 6" xfId="37952" xr:uid="{00000000-0005-0000-0000-000043940000}"/>
    <cellStyle name="Normal 2 9 2 2 3 7" xfId="37953" xr:uid="{00000000-0005-0000-0000-000044940000}"/>
    <cellStyle name="Normal 2 9 2 2 3 8" xfId="37954" xr:uid="{00000000-0005-0000-0000-000045940000}"/>
    <cellStyle name="Normal 2 9 2 2 3 9" xfId="37955" xr:uid="{00000000-0005-0000-0000-000046940000}"/>
    <cellStyle name="Normal 2 9 2 2 4" xfId="37956" xr:uid="{00000000-0005-0000-0000-000047940000}"/>
    <cellStyle name="Normal 2 9 2 2 4 2" xfId="37957" xr:uid="{00000000-0005-0000-0000-000048940000}"/>
    <cellStyle name="Normal 2 9 2 2 4 2 2" xfId="37958" xr:uid="{00000000-0005-0000-0000-000049940000}"/>
    <cellStyle name="Normal 2 9 2 2 4 2 3" xfId="37959" xr:uid="{00000000-0005-0000-0000-00004A940000}"/>
    <cellStyle name="Normal 2 9 2 2 4 3" xfId="37960" xr:uid="{00000000-0005-0000-0000-00004B940000}"/>
    <cellStyle name="Normal 2 9 2 2 4 4" xfId="37961" xr:uid="{00000000-0005-0000-0000-00004C940000}"/>
    <cellStyle name="Normal 2 9 2 2 4 5" xfId="37962" xr:uid="{00000000-0005-0000-0000-00004D940000}"/>
    <cellStyle name="Normal 2 9 2 2 4 6" xfId="37963" xr:uid="{00000000-0005-0000-0000-00004E940000}"/>
    <cellStyle name="Normal 2 9 2 2 5" xfId="37964" xr:uid="{00000000-0005-0000-0000-00004F940000}"/>
    <cellStyle name="Normal 2 9 2 2 5 2" xfId="37965" xr:uid="{00000000-0005-0000-0000-000050940000}"/>
    <cellStyle name="Normal 2 9 2 2 5 2 2" xfId="37966" xr:uid="{00000000-0005-0000-0000-000051940000}"/>
    <cellStyle name="Normal 2 9 2 2 5 3" xfId="37967" xr:uid="{00000000-0005-0000-0000-000052940000}"/>
    <cellStyle name="Normal 2 9 2 2 5 4" xfId="37968" xr:uid="{00000000-0005-0000-0000-000053940000}"/>
    <cellStyle name="Normal 2 9 2 2 5 5" xfId="37969" xr:uid="{00000000-0005-0000-0000-000054940000}"/>
    <cellStyle name="Normal 2 9 2 2 6" xfId="37970" xr:uid="{00000000-0005-0000-0000-000055940000}"/>
    <cellStyle name="Normal 2 9 2 2 6 2" xfId="37971" xr:uid="{00000000-0005-0000-0000-000056940000}"/>
    <cellStyle name="Normal 2 9 2 2 6 3" xfId="37972" xr:uid="{00000000-0005-0000-0000-000057940000}"/>
    <cellStyle name="Normal 2 9 2 2 6 4" xfId="37973" xr:uid="{00000000-0005-0000-0000-000058940000}"/>
    <cellStyle name="Normal 2 9 2 2 7" xfId="37974" xr:uid="{00000000-0005-0000-0000-000059940000}"/>
    <cellStyle name="Normal 2 9 2 2 7 2" xfId="37975" xr:uid="{00000000-0005-0000-0000-00005A940000}"/>
    <cellStyle name="Normal 2 9 2 2 8" xfId="37976" xr:uid="{00000000-0005-0000-0000-00005B940000}"/>
    <cellStyle name="Normal 2 9 2 2 9" xfId="37977" xr:uid="{00000000-0005-0000-0000-00005C940000}"/>
    <cellStyle name="Normal 2 9 2 20" xfId="37978" xr:uid="{00000000-0005-0000-0000-00005D940000}"/>
    <cellStyle name="Normal 2 9 2 21" xfId="37979" xr:uid="{00000000-0005-0000-0000-00005E940000}"/>
    <cellStyle name="Normal 2 9 2 22" xfId="37980" xr:uid="{00000000-0005-0000-0000-00005F940000}"/>
    <cellStyle name="Normal 2 9 2 3" xfId="37981" xr:uid="{00000000-0005-0000-0000-000060940000}"/>
    <cellStyle name="Normal 2 9 2 3 10" xfId="37982" xr:uid="{00000000-0005-0000-0000-000061940000}"/>
    <cellStyle name="Normal 2 9 2 3 11" xfId="37983" xr:uid="{00000000-0005-0000-0000-000062940000}"/>
    <cellStyle name="Normal 2 9 2 3 2" xfId="37984" xr:uid="{00000000-0005-0000-0000-000063940000}"/>
    <cellStyle name="Normal 2 9 2 3 2 2" xfId="37985" xr:uid="{00000000-0005-0000-0000-000064940000}"/>
    <cellStyle name="Normal 2 9 2 3 2 2 2" xfId="37986" xr:uid="{00000000-0005-0000-0000-000065940000}"/>
    <cellStyle name="Normal 2 9 2 3 2 2 2 2" xfId="37987" xr:uid="{00000000-0005-0000-0000-000066940000}"/>
    <cellStyle name="Normal 2 9 2 3 2 2 2 3" xfId="37988" xr:uid="{00000000-0005-0000-0000-000067940000}"/>
    <cellStyle name="Normal 2 9 2 3 2 2 3" xfId="37989" xr:uid="{00000000-0005-0000-0000-000068940000}"/>
    <cellStyle name="Normal 2 9 2 3 2 2 4" xfId="37990" xr:uid="{00000000-0005-0000-0000-000069940000}"/>
    <cellStyle name="Normal 2 9 2 3 2 2 5" xfId="37991" xr:uid="{00000000-0005-0000-0000-00006A940000}"/>
    <cellStyle name="Normal 2 9 2 3 2 2 6" xfId="37992" xr:uid="{00000000-0005-0000-0000-00006B940000}"/>
    <cellStyle name="Normal 2 9 2 3 2 3" xfId="37993" xr:uid="{00000000-0005-0000-0000-00006C940000}"/>
    <cellStyle name="Normal 2 9 2 3 2 3 2" xfId="37994" xr:uid="{00000000-0005-0000-0000-00006D940000}"/>
    <cellStyle name="Normal 2 9 2 3 2 3 2 2" xfId="37995" xr:uid="{00000000-0005-0000-0000-00006E940000}"/>
    <cellStyle name="Normal 2 9 2 3 2 3 3" xfId="37996" xr:uid="{00000000-0005-0000-0000-00006F940000}"/>
    <cellStyle name="Normal 2 9 2 3 2 3 4" xfId="37997" xr:uid="{00000000-0005-0000-0000-000070940000}"/>
    <cellStyle name="Normal 2 9 2 3 2 3 5" xfId="37998" xr:uid="{00000000-0005-0000-0000-000071940000}"/>
    <cellStyle name="Normal 2 9 2 3 2 4" xfId="37999" xr:uid="{00000000-0005-0000-0000-000072940000}"/>
    <cellStyle name="Normal 2 9 2 3 2 4 2" xfId="38000" xr:uid="{00000000-0005-0000-0000-000073940000}"/>
    <cellStyle name="Normal 2 9 2 3 2 4 3" xfId="38001" xr:uid="{00000000-0005-0000-0000-000074940000}"/>
    <cellStyle name="Normal 2 9 2 3 2 4 4" xfId="38002" xr:uid="{00000000-0005-0000-0000-000075940000}"/>
    <cellStyle name="Normal 2 9 2 3 2 5" xfId="38003" xr:uid="{00000000-0005-0000-0000-000076940000}"/>
    <cellStyle name="Normal 2 9 2 3 2 5 2" xfId="38004" xr:uid="{00000000-0005-0000-0000-000077940000}"/>
    <cellStyle name="Normal 2 9 2 3 2 6" xfId="38005" xr:uid="{00000000-0005-0000-0000-000078940000}"/>
    <cellStyle name="Normal 2 9 2 3 2 7" xfId="38006" xr:uid="{00000000-0005-0000-0000-000079940000}"/>
    <cellStyle name="Normal 2 9 2 3 2 8" xfId="38007" xr:uid="{00000000-0005-0000-0000-00007A940000}"/>
    <cellStyle name="Normal 2 9 2 3 2 9" xfId="38008" xr:uid="{00000000-0005-0000-0000-00007B940000}"/>
    <cellStyle name="Normal 2 9 2 3 3" xfId="38009" xr:uid="{00000000-0005-0000-0000-00007C940000}"/>
    <cellStyle name="Normal 2 9 2 3 3 2" xfId="38010" xr:uid="{00000000-0005-0000-0000-00007D940000}"/>
    <cellStyle name="Normal 2 9 2 3 3 2 2" xfId="38011" xr:uid="{00000000-0005-0000-0000-00007E940000}"/>
    <cellStyle name="Normal 2 9 2 3 3 2 2 2" xfId="38012" xr:uid="{00000000-0005-0000-0000-00007F940000}"/>
    <cellStyle name="Normal 2 9 2 3 3 2 2 3" xfId="38013" xr:uid="{00000000-0005-0000-0000-000080940000}"/>
    <cellStyle name="Normal 2 9 2 3 3 2 3" xfId="38014" xr:uid="{00000000-0005-0000-0000-000081940000}"/>
    <cellStyle name="Normal 2 9 2 3 3 2 4" xfId="38015" xr:uid="{00000000-0005-0000-0000-000082940000}"/>
    <cellStyle name="Normal 2 9 2 3 3 2 5" xfId="38016" xr:uid="{00000000-0005-0000-0000-000083940000}"/>
    <cellStyle name="Normal 2 9 2 3 3 2 6" xfId="38017" xr:uid="{00000000-0005-0000-0000-000084940000}"/>
    <cellStyle name="Normal 2 9 2 3 3 3" xfId="38018" xr:uid="{00000000-0005-0000-0000-000085940000}"/>
    <cellStyle name="Normal 2 9 2 3 3 3 2" xfId="38019" xr:uid="{00000000-0005-0000-0000-000086940000}"/>
    <cellStyle name="Normal 2 9 2 3 3 3 2 2" xfId="38020" xr:uid="{00000000-0005-0000-0000-000087940000}"/>
    <cellStyle name="Normal 2 9 2 3 3 3 3" xfId="38021" xr:uid="{00000000-0005-0000-0000-000088940000}"/>
    <cellStyle name="Normal 2 9 2 3 3 3 4" xfId="38022" xr:uid="{00000000-0005-0000-0000-000089940000}"/>
    <cellStyle name="Normal 2 9 2 3 3 3 5" xfId="38023" xr:uid="{00000000-0005-0000-0000-00008A940000}"/>
    <cellStyle name="Normal 2 9 2 3 3 4" xfId="38024" xr:uid="{00000000-0005-0000-0000-00008B940000}"/>
    <cellStyle name="Normal 2 9 2 3 3 4 2" xfId="38025" xr:uid="{00000000-0005-0000-0000-00008C940000}"/>
    <cellStyle name="Normal 2 9 2 3 3 4 3" xfId="38026" xr:uid="{00000000-0005-0000-0000-00008D940000}"/>
    <cellStyle name="Normal 2 9 2 3 3 4 4" xfId="38027" xr:uid="{00000000-0005-0000-0000-00008E940000}"/>
    <cellStyle name="Normal 2 9 2 3 3 5" xfId="38028" xr:uid="{00000000-0005-0000-0000-00008F940000}"/>
    <cellStyle name="Normal 2 9 2 3 3 5 2" xfId="38029" xr:uid="{00000000-0005-0000-0000-000090940000}"/>
    <cellStyle name="Normal 2 9 2 3 3 6" xfId="38030" xr:uid="{00000000-0005-0000-0000-000091940000}"/>
    <cellStyle name="Normal 2 9 2 3 3 7" xfId="38031" xr:uid="{00000000-0005-0000-0000-000092940000}"/>
    <cellStyle name="Normal 2 9 2 3 3 8" xfId="38032" xr:uid="{00000000-0005-0000-0000-000093940000}"/>
    <cellStyle name="Normal 2 9 2 3 3 9" xfId="38033" xr:uid="{00000000-0005-0000-0000-000094940000}"/>
    <cellStyle name="Normal 2 9 2 3 4" xfId="38034" xr:uid="{00000000-0005-0000-0000-000095940000}"/>
    <cellStyle name="Normal 2 9 2 3 4 2" xfId="38035" xr:uid="{00000000-0005-0000-0000-000096940000}"/>
    <cellStyle name="Normal 2 9 2 3 4 2 2" xfId="38036" xr:uid="{00000000-0005-0000-0000-000097940000}"/>
    <cellStyle name="Normal 2 9 2 3 4 2 3" xfId="38037" xr:uid="{00000000-0005-0000-0000-000098940000}"/>
    <cellStyle name="Normal 2 9 2 3 4 3" xfId="38038" xr:uid="{00000000-0005-0000-0000-000099940000}"/>
    <cellStyle name="Normal 2 9 2 3 4 4" xfId="38039" xr:uid="{00000000-0005-0000-0000-00009A940000}"/>
    <cellStyle name="Normal 2 9 2 3 4 5" xfId="38040" xr:uid="{00000000-0005-0000-0000-00009B940000}"/>
    <cellStyle name="Normal 2 9 2 3 4 6" xfId="38041" xr:uid="{00000000-0005-0000-0000-00009C940000}"/>
    <cellStyle name="Normal 2 9 2 3 5" xfId="38042" xr:uid="{00000000-0005-0000-0000-00009D940000}"/>
    <cellStyle name="Normal 2 9 2 3 5 2" xfId="38043" xr:uid="{00000000-0005-0000-0000-00009E940000}"/>
    <cellStyle name="Normal 2 9 2 3 5 2 2" xfId="38044" xr:uid="{00000000-0005-0000-0000-00009F940000}"/>
    <cellStyle name="Normal 2 9 2 3 5 3" xfId="38045" xr:uid="{00000000-0005-0000-0000-0000A0940000}"/>
    <cellStyle name="Normal 2 9 2 3 5 4" xfId="38046" xr:uid="{00000000-0005-0000-0000-0000A1940000}"/>
    <cellStyle name="Normal 2 9 2 3 5 5" xfId="38047" xr:uid="{00000000-0005-0000-0000-0000A2940000}"/>
    <cellStyle name="Normal 2 9 2 3 6" xfId="38048" xr:uid="{00000000-0005-0000-0000-0000A3940000}"/>
    <cellStyle name="Normal 2 9 2 3 6 2" xfId="38049" xr:uid="{00000000-0005-0000-0000-0000A4940000}"/>
    <cellStyle name="Normal 2 9 2 3 6 3" xfId="38050" xr:uid="{00000000-0005-0000-0000-0000A5940000}"/>
    <cellStyle name="Normal 2 9 2 3 6 4" xfId="38051" xr:uid="{00000000-0005-0000-0000-0000A6940000}"/>
    <cellStyle name="Normal 2 9 2 3 7" xfId="38052" xr:uid="{00000000-0005-0000-0000-0000A7940000}"/>
    <cellStyle name="Normal 2 9 2 3 7 2" xfId="38053" xr:uid="{00000000-0005-0000-0000-0000A8940000}"/>
    <cellStyle name="Normal 2 9 2 3 8" xfId="38054" xr:uid="{00000000-0005-0000-0000-0000A9940000}"/>
    <cellStyle name="Normal 2 9 2 3 9" xfId="38055" xr:uid="{00000000-0005-0000-0000-0000AA940000}"/>
    <cellStyle name="Normal 2 9 2 4" xfId="38056" xr:uid="{00000000-0005-0000-0000-0000AB940000}"/>
    <cellStyle name="Normal 2 9 2 4 10" xfId="38057" xr:uid="{00000000-0005-0000-0000-0000AC940000}"/>
    <cellStyle name="Normal 2 9 2 4 11" xfId="38058" xr:uid="{00000000-0005-0000-0000-0000AD940000}"/>
    <cellStyle name="Normal 2 9 2 4 2" xfId="38059" xr:uid="{00000000-0005-0000-0000-0000AE940000}"/>
    <cellStyle name="Normal 2 9 2 4 2 2" xfId="38060" xr:uid="{00000000-0005-0000-0000-0000AF940000}"/>
    <cellStyle name="Normal 2 9 2 4 2 2 2" xfId="38061" xr:uid="{00000000-0005-0000-0000-0000B0940000}"/>
    <cellStyle name="Normal 2 9 2 4 2 2 2 2" xfId="38062" xr:uid="{00000000-0005-0000-0000-0000B1940000}"/>
    <cellStyle name="Normal 2 9 2 4 2 2 2 3" xfId="38063" xr:uid="{00000000-0005-0000-0000-0000B2940000}"/>
    <cellStyle name="Normal 2 9 2 4 2 2 3" xfId="38064" xr:uid="{00000000-0005-0000-0000-0000B3940000}"/>
    <cellStyle name="Normal 2 9 2 4 2 2 4" xfId="38065" xr:uid="{00000000-0005-0000-0000-0000B4940000}"/>
    <cellStyle name="Normal 2 9 2 4 2 2 5" xfId="38066" xr:uid="{00000000-0005-0000-0000-0000B5940000}"/>
    <cellStyle name="Normal 2 9 2 4 2 2 6" xfId="38067" xr:uid="{00000000-0005-0000-0000-0000B6940000}"/>
    <cellStyle name="Normal 2 9 2 4 2 3" xfId="38068" xr:uid="{00000000-0005-0000-0000-0000B7940000}"/>
    <cellStyle name="Normal 2 9 2 4 2 3 2" xfId="38069" xr:uid="{00000000-0005-0000-0000-0000B8940000}"/>
    <cellStyle name="Normal 2 9 2 4 2 3 2 2" xfId="38070" xr:uid="{00000000-0005-0000-0000-0000B9940000}"/>
    <cellStyle name="Normal 2 9 2 4 2 3 3" xfId="38071" xr:uid="{00000000-0005-0000-0000-0000BA940000}"/>
    <cellStyle name="Normal 2 9 2 4 2 3 4" xfId="38072" xr:uid="{00000000-0005-0000-0000-0000BB940000}"/>
    <cellStyle name="Normal 2 9 2 4 2 3 5" xfId="38073" xr:uid="{00000000-0005-0000-0000-0000BC940000}"/>
    <cellStyle name="Normal 2 9 2 4 2 4" xfId="38074" xr:uid="{00000000-0005-0000-0000-0000BD940000}"/>
    <cellStyle name="Normal 2 9 2 4 2 4 2" xfId="38075" xr:uid="{00000000-0005-0000-0000-0000BE940000}"/>
    <cellStyle name="Normal 2 9 2 4 2 4 3" xfId="38076" xr:uid="{00000000-0005-0000-0000-0000BF940000}"/>
    <cellStyle name="Normal 2 9 2 4 2 4 4" xfId="38077" xr:uid="{00000000-0005-0000-0000-0000C0940000}"/>
    <cellStyle name="Normal 2 9 2 4 2 5" xfId="38078" xr:uid="{00000000-0005-0000-0000-0000C1940000}"/>
    <cellStyle name="Normal 2 9 2 4 2 5 2" xfId="38079" xr:uid="{00000000-0005-0000-0000-0000C2940000}"/>
    <cellStyle name="Normal 2 9 2 4 2 6" xfId="38080" xr:uid="{00000000-0005-0000-0000-0000C3940000}"/>
    <cellStyle name="Normal 2 9 2 4 2 7" xfId="38081" xr:uid="{00000000-0005-0000-0000-0000C4940000}"/>
    <cellStyle name="Normal 2 9 2 4 2 8" xfId="38082" xr:uid="{00000000-0005-0000-0000-0000C5940000}"/>
    <cellStyle name="Normal 2 9 2 4 2 9" xfId="38083" xr:uid="{00000000-0005-0000-0000-0000C6940000}"/>
    <cellStyle name="Normal 2 9 2 4 3" xfId="38084" xr:uid="{00000000-0005-0000-0000-0000C7940000}"/>
    <cellStyle name="Normal 2 9 2 4 3 2" xfId="38085" xr:uid="{00000000-0005-0000-0000-0000C8940000}"/>
    <cellStyle name="Normal 2 9 2 4 3 2 2" xfId="38086" xr:uid="{00000000-0005-0000-0000-0000C9940000}"/>
    <cellStyle name="Normal 2 9 2 4 3 2 2 2" xfId="38087" xr:uid="{00000000-0005-0000-0000-0000CA940000}"/>
    <cellStyle name="Normal 2 9 2 4 3 2 2 3" xfId="38088" xr:uid="{00000000-0005-0000-0000-0000CB940000}"/>
    <cellStyle name="Normal 2 9 2 4 3 2 3" xfId="38089" xr:uid="{00000000-0005-0000-0000-0000CC940000}"/>
    <cellStyle name="Normal 2 9 2 4 3 2 4" xfId="38090" xr:uid="{00000000-0005-0000-0000-0000CD940000}"/>
    <cellStyle name="Normal 2 9 2 4 3 2 5" xfId="38091" xr:uid="{00000000-0005-0000-0000-0000CE940000}"/>
    <cellStyle name="Normal 2 9 2 4 3 2 6" xfId="38092" xr:uid="{00000000-0005-0000-0000-0000CF940000}"/>
    <cellStyle name="Normal 2 9 2 4 3 3" xfId="38093" xr:uid="{00000000-0005-0000-0000-0000D0940000}"/>
    <cellStyle name="Normal 2 9 2 4 3 3 2" xfId="38094" xr:uid="{00000000-0005-0000-0000-0000D1940000}"/>
    <cellStyle name="Normal 2 9 2 4 3 3 2 2" xfId="38095" xr:uid="{00000000-0005-0000-0000-0000D2940000}"/>
    <cellStyle name="Normal 2 9 2 4 3 3 3" xfId="38096" xr:uid="{00000000-0005-0000-0000-0000D3940000}"/>
    <cellStyle name="Normal 2 9 2 4 3 3 4" xfId="38097" xr:uid="{00000000-0005-0000-0000-0000D4940000}"/>
    <cellStyle name="Normal 2 9 2 4 3 3 5" xfId="38098" xr:uid="{00000000-0005-0000-0000-0000D5940000}"/>
    <cellStyle name="Normal 2 9 2 4 3 4" xfId="38099" xr:uid="{00000000-0005-0000-0000-0000D6940000}"/>
    <cellStyle name="Normal 2 9 2 4 3 4 2" xfId="38100" xr:uid="{00000000-0005-0000-0000-0000D7940000}"/>
    <cellStyle name="Normal 2 9 2 4 3 4 3" xfId="38101" xr:uid="{00000000-0005-0000-0000-0000D8940000}"/>
    <cellStyle name="Normal 2 9 2 4 3 4 4" xfId="38102" xr:uid="{00000000-0005-0000-0000-0000D9940000}"/>
    <cellStyle name="Normal 2 9 2 4 3 5" xfId="38103" xr:uid="{00000000-0005-0000-0000-0000DA940000}"/>
    <cellStyle name="Normal 2 9 2 4 3 5 2" xfId="38104" xr:uid="{00000000-0005-0000-0000-0000DB940000}"/>
    <cellStyle name="Normal 2 9 2 4 3 6" xfId="38105" xr:uid="{00000000-0005-0000-0000-0000DC940000}"/>
    <cellStyle name="Normal 2 9 2 4 3 7" xfId="38106" xr:uid="{00000000-0005-0000-0000-0000DD940000}"/>
    <cellStyle name="Normal 2 9 2 4 3 8" xfId="38107" xr:uid="{00000000-0005-0000-0000-0000DE940000}"/>
    <cellStyle name="Normal 2 9 2 4 3 9" xfId="38108" xr:uid="{00000000-0005-0000-0000-0000DF940000}"/>
    <cellStyle name="Normal 2 9 2 4 4" xfId="38109" xr:uid="{00000000-0005-0000-0000-0000E0940000}"/>
    <cellStyle name="Normal 2 9 2 4 4 2" xfId="38110" xr:uid="{00000000-0005-0000-0000-0000E1940000}"/>
    <cellStyle name="Normal 2 9 2 4 4 2 2" xfId="38111" xr:uid="{00000000-0005-0000-0000-0000E2940000}"/>
    <cellStyle name="Normal 2 9 2 4 4 2 3" xfId="38112" xr:uid="{00000000-0005-0000-0000-0000E3940000}"/>
    <cellStyle name="Normal 2 9 2 4 4 3" xfId="38113" xr:uid="{00000000-0005-0000-0000-0000E4940000}"/>
    <cellStyle name="Normal 2 9 2 4 4 4" xfId="38114" xr:uid="{00000000-0005-0000-0000-0000E5940000}"/>
    <cellStyle name="Normal 2 9 2 4 4 5" xfId="38115" xr:uid="{00000000-0005-0000-0000-0000E6940000}"/>
    <cellStyle name="Normal 2 9 2 4 4 6" xfId="38116" xr:uid="{00000000-0005-0000-0000-0000E7940000}"/>
    <cellStyle name="Normal 2 9 2 4 5" xfId="38117" xr:uid="{00000000-0005-0000-0000-0000E8940000}"/>
    <cellStyle name="Normal 2 9 2 4 5 2" xfId="38118" xr:uid="{00000000-0005-0000-0000-0000E9940000}"/>
    <cellStyle name="Normal 2 9 2 4 5 2 2" xfId="38119" xr:uid="{00000000-0005-0000-0000-0000EA940000}"/>
    <cellStyle name="Normal 2 9 2 4 5 3" xfId="38120" xr:uid="{00000000-0005-0000-0000-0000EB940000}"/>
    <cellStyle name="Normal 2 9 2 4 5 4" xfId="38121" xr:uid="{00000000-0005-0000-0000-0000EC940000}"/>
    <cellStyle name="Normal 2 9 2 4 5 5" xfId="38122" xr:uid="{00000000-0005-0000-0000-0000ED940000}"/>
    <cellStyle name="Normal 2 9 2 4 6" xfId="38123" xr:uid="{00000000-0005-0000-0000-0000EE940000}"/>
    <cellStyle name="Normal 2 9 2 4 6 2" xfId="38124" xr:uid="{00000000-0005-0000-0000-0000EF940000}"/>
    <cellStyle name="Normal 2 9 2 4 6 3" xfId="38125" xr:uid="{00000000-0005-0000-0000-0000F0940000}"/>
    <cellStyle name="Normal 2 9 2 4 6 4" xfId="38126" xr:uid="{00000000-0005-0000-0000-0000F1940000}"/>
    <cellStyle name="Normal 2 9 2 4 7" xfId="38127" xr:uid="{00000000-0005-0000-0000-0000F2940000}"/>
    <cellStyle name="Normal 2 9 2 4 7 2" xfId="38128" xr:uid="{00000000-0005-0000-0000-0000F3940000}"/>
    <cellStyle name="Normal 2 9 2 4 8" xfId="38129" xr:uid="{00000000-0005-0000-0000-0000F4940000}"/>
    <cellStyle name="Normal 2 9 2 4 9" xfId="38130" xr:uid="{00000000-0005-0000-0000-0000F5940000}"/>
    <cellStyle name="Normal 2 9 2 5" xfId="38131" xr:uid="{00000000-0005-0000-0000-0000F6940000}"/>
    <cellStyle name="Normal 2 9 2 5 10" xfId="38132" xr:uid="{00000000-0005-0000-0000-0000F7940000}"/>
    <cellStyle name="Normal 2 9 2 5 11" xfId="38133" xr:uid="{00000000-0005-0000-0000-0000F8940000}"/>
    <cellStyle name="Normal 2 9 2 5 2" xfId="38134" xr:uid="{00000000-0005-0000-0000-0000F9940000}"/>
    <cellStyle name="Normal 2 9 2 5 2 2" xfId="38135" xr:uid="{00000000-0005-0000-0000-0000FA940000}"/>
    <cellStyle name="Normal 2 9 2 5 2 2 2" xfId="38136" xr:uid="{00000000-0005-0000-0000-0000FB940000}"/>
    <cellStyle name="Normal 2 9 2 5 2 2 2 2" xfId="38137" xr:uid="{00000000-0005-0000-0000-0000FC940000}"/>
    <cellStyle name="Normal 2 9 2 5 2 2 2 3" xfId="38138" xr:uid="{00000000-0005-0000-0000-0000FD940000}"/>
    <cellStyle name="Normal 2 9 2 5 2 2 3" xfId="38139" xr:uid="{00000000-0005-0000-0000-0000FE940000}"/>
    <cellStyle name="Normal 2 9 2 5 2 2 4" xfId="38140" xr:uid="{00000000-0005-0000-0000-0000FF940000}"/>
    <cellStyle name="Normal 2 9 2 5 2 2 5" xfId="38141" xr:uid="{00000000-0005-0000-0000-000000950000}"/>
    <cellStyle name="Normal 2 9 2 5 2 2 6" xfId="38142" xr:uid="{00000000-0005-0000-0000-000001950000}"/>
    <cellStyle name="Normal 2 9 2 5 2 3" xfId="38143" xr:uid="{00000000-0005-0000-0000-000002950000}"/>
    <cellStyle name="Normal 2 9 2 5 2 3 2" xfId="38144" xr:uid="{00000000-0005-0000-0000-000003950000}"/>
    <cellStyle name="Normal 2 9 2 5 2 3 2 2" xfId="38145" xr:uid="{00000000-0005-0000-0000-000004950000}"/>
    <cellStyle name="Normal 2 9 2 5 2 3 3" xfId="38146" xr:uid="{00000000-0005-0000-0000-000005950000}"/>
    <cellStyle name="Normal 2 9 2 5 2 3 4" xfId="38147" xr:uid="{00000000-0005-0000-0000-000006950000}"/>
    <cellStyle name="Normal 2 9 2 5 2 3 5" xfId="38148" xr:uid="{00000000-0005-0000-0000-000007950000}"/>
    <cellStyle name="Normal 2 9 2 5 2 4" xfId="38149" xr:uid="{00000000-0005-0000-0000-000008950000}"/>
    <cellStyle name="Normal 2 9 2 5 2 4 2" xfId="38150" xr:uid="{00000000-0005-0000-0000-000009950000}"/>
    <cellStyle name="Normal 2 9 2 5 2 4 3" xfId="38151" xr:uid="{00000000-0005-0000-0000-00000A950000}"/>
    <cellStyle name="Normal 2 9 2 5 2 4 4" xfId="38152" xr:uid="{00000000-0005-0000-0000-00000B950000}"/>
    <cellStyle name="Normal 2 9 2 5 2 5" xfId="38153" xr:uid="{00000000-0005-0000-0000-00000C950000}"/>
    <cellStyle name="Normal 2 9 2 5 2 5 2" xfId="38154" xr:uid="{00000000-0005-0000-0000-00000D950000}"/>
    <cellStyle name="Normal 2 9 2 5 2 6" xfId="38155" xr:uid="{00000000-0005-0000-0000-00000E950000}"/>
    <cellStyle name="Normal 2 9 2 5 2 7" xfId="38156" xr:uid="{00000000-0005-0000-0000-00000F950000}"/>
    <cellStyle name="Normal 2 9 2 5 2 8" xfId="38157" xr:uid="{00000000-0005-0000-0000-000010950000}"/>
    <cellStyle name="Normal 2 9 2 5 2 9" xfId="38158" xr:uid="{00000000-0005-0000-0000-000011950000}"/>
    <cellStyle name="Normal 2 9 2 5 3" xfId="38159" xr:uid="{00000000-0005-0000-0000-000012950000}"/>
    <cellStyle name="Normal 2 9 2 5 3 2" xfId="38160" xr:uid="{00000000-0005-0000-0000-000013950000}"/>
    <cellStyle name="Normal 2 9 2 5 3 2 2" xfId="38161" xr:uid="{00000000-0005-0000-0000-000014950000}"/>
    <cellStyle name="Normal 2 9 2 5 3 2 2 2" xfId="38162" xr:uid="{00000000-0005-0000-0000-000015950000}"/>
    <cellStyle name="Normal 2 9 2 5 3 2 2 3" xfId="38163" xr:uid="{00000000-0005-0000-0000-000016950000}"/>
    <cellStyle name="Normal 2 9 2 5 3 2 3" xfId="38164" xr:uid="{00000000-0005-0000-0000-000017950000}"/>
    <cellStyle name="Normal 2 9 2 5 3 2 4" xfId="38165" xr:uid="{00000000-0005-0000-0000-000018950000}"/>
    <cellStyle name="Normal 2 9 2 5 3 2 5" xfId="38166" xr:uid="{00000000-0005-0000-0000-000019950000}"/>
    <cellStyle name="Normal 2 9 2 5 3 2 6" xfId="38167" xr:uid="{00000000-0005-0000-0000-00001A950000}"/>
    <cellStyle name="Normal 2 9 2 5 3 3" xfId="38168" xr:uid="{00000000-0005-0000-0000-00001B950000}"/>
    <cellStyle name="Normal 2 9 2 5 3 3 2" xfId="38169" xr:uid="{00000000-0005-0000-0000-00001C950000}"/>
    <cellStyle name="Normal 2 9 2 5 3 3 2 2" xfId="38170" xr:uid="{00000000-0005-0000-0000-00001D950000}"/>
    <cellStyle name="Normal 2 9 2 5 3 3 3" xfId="38171" xr:uid="{00000000-0005-0000-0000-00001E950000}"/>
    <cellStyle name="Normal 2 9 2 5 3 3 4" xfId="38172" xr:uid="{00000000-0005-0000-0000-00001F950000}"/>
    <cellStyle name="Normal 2 9 2 5 3 3 5" xfId="38173" xr:uid="{00000000-0005-0000-0000-000020950000}"/>
    <cellStyle name="Normal 2 9 2 5 3 4" xfId="38174" xr:uid="{00000000-0005-0000-0000-000021950000}"/>
    <cellStyle name="Normal 2 9 2 5 3 4 2" xfId="38175" xr:uid="{00000000-0005-0000-0000-000022950000}"/>
    <cellStyle name="Normal 2 9 2 5 3 4 3" xfId="38176" xr:uid="{00000000-0005-0000-0000-000023950000}"/>
    <cellStyle name="Normal 2 9 2 5 3 4 4" xfId="38177" xr:uid="{00000000-0005-0000-0000-000024950000}"/>
    <cellStyle name="Normal 2 9 2 5 3 5" xfId="38178" xr:uid="{00000000-0005-0000-0000-000025950000}"/>
    <cellStyle name="Normal 2 9 2 5 3 5 2" xfId="38179" xr:uid="{00000000-0005-0000-0000-000026950000}"/>
    <cellStyle name="Normal 2 9 2 5 3 6" xfId="38180" xr:uid="{00000000-0005-0000-0000-000027950000}"/>
    <cellStyle name="Normal 2 9 2 5 3 7" xfId="38181" xr:uid="{00000000-0005-0000-0000-000028950000}"/>
    <cellStyle name="Normal 2 9 2 5 3 8" xfId="38182" xr:uid="{00000000-0005-0000-0000-000029950000}"/>
    <cellStyle name="Normal 2 9 2 5 3 9" xfId="38183" xr:uid="{00000000-0005-0000-0000-00002A950000}"/>
    <cellStyle name="Normal 2 9 2 5 4" xfId="38184" xr:uid="{00000000-0005-0000-0000-00002B950000}"/>
    <cellStyle name="Normal 2 9 2 5 4 2" xfId="38185" xr:uid="{00000000-0005-0000-0000-00002C950000}"/>
    <cellStyle name="Normal 2 9 2 5 4 2 2" xfId="38186" xr:uid="{00000000-0005-0000-0000-00002D950000}"/>
    <cellStyle name="Normal 2 9 2 5 4 2 3" xfId="38187" xr:uid="{00000000-0005-0000-0000-00002E950000}"/>
    <cellStyle name="Normal 2 9 2 5 4 3" xfId="38188" xr:uid="{00000000-0005-0000-0000-00002F950000}"/>
    <cellStyle name="Normal 2 9 2 5 4 4" xfId="38189" xr:uid="{00000000-0005-0000-0000-000030950000}"/>
    <cellStyle name="Normal 2 9 2 5 4 5" xfId="38190" xr:uid="{00000000-0005-0000-0000-000031950000}"/>
    <cellStyle name="Normal 2 9 2 5 4 6" xfId="38191" xr:uid="{00000000-0005-0000-0000-000032950000}"/>
    <cellStyle name="Normal 2 9 2 5 5" xfId="38192" xr:uid="{00000000-0005-0000-0000-000033950000}"/>
    <cellStyle name="Normal 2 9 2 5 5 2" xfId="38193" xr:uid="{00000000-0005-0000-0000-000034950000}"/>
    <cellStyle name="Normal 2 9 2 5 5 2 2" xfId="38194" xr:uid="{00000000-0005-0000-0000-000035950000}"/>
    <cellStyle name="Normal 2 9 2 5 5 3" xfId="38195" xr:uid="{00000000-0005-0000-0000-000036950000}"/>
    <cellStyle name="Normal 2 9 2 5 5 4" xfId="38196" xr:uid="{00000000-0005-0000-0000-000037950000}"/>
    <cellStyle name="Normal 2 9 2 5 5 5" xfId="38197" xr:uid="{00000000-0005-0000-0000-000038950000}"/>
    <cellStyle name="Normal 2 9 2 5 6" xfId="38198" xr:uid="{00000000-0005-0000-0000-000039950000}"/>
    <cellStyle name="Normal 2 9 2 5 6 2" xfId="38199" xr:uid="{00000000-0005-0000-0000-00003A950000}"/>
    <cellStyle name="Normal 2 9 2 5 6 3" xfId="38200" xr:uid="{00000000-0005-0000-0000-00003B950000}"/>
    <cellStyle name="Normal 2 9 2 5 6 4" xfId="38201" xr:uid="{00000000-0005-0000-0000-00003C950000}"/>
    <cellStyle name="Normal 2 9 2 5 7" xfId="38202" xr:uid="{00000000-0005-0000-0000-00003D950000}"/>
    <cellStyle name="Normal 2 9 2 5 7 2" xfId="38203" xr:uid="{00000000-0005-0000-0000-00003E950000}"/>
    <cellStyle name="Normal 2 9 2 5 8" xfId="38204" xr:uid="{00000000-0005-0000-0000-00003F950000}"/>
    <cellStyle name="Normal 2 9 2 5 9" xfId="38205" xr:uid="{00000000-0005-0000-0000-000040950000}"/>
    <cellStyle name="Normal 2 9 2 6" xfId="38206" xr:uid="{00000000-0005-0000-0000-000041950000}"/>
    <cellStyle name="Normal 2 9 2 6 10" xfId="38207" xr:uid="{00000000-0005-0000-0000-000042950000}"/>
    <cellStyle name="Normal 2 9 2 6 11" xfId="38208" xr:uid="{00000000-0005-0000-0000-000043950000}"/>
    <cellStyle name="Normal 2 9 2 6 2" xfId="38209" xr:uid="{00000000-0005-0000-0000-000044950000}"/>
    <cellStyle name="Normal 2 9 2 6 2 2" xfId="38210" xr:uid="{00000000-0005-0000-0000-000045950000}"/>
    <cellStyle name="Normal 2 9 2 6 2 2 2" xfId="38211" xr:uid="{00000000-0005-0000-0000-000046950000}"/>
    <cellStyle name="Normal 2 9 2 6 2 2 2 2" xfId="38212" xr:uid="{00000000-0005-0000-0000-000047950000}"/>
    <cellStyle name="Normal 2 9 2 6 2 2 2 3" xfId="38213" xr:uid="{00000000-0005-0000-0000-000048950000}"/>
    <cellStyle name="Normal 2 9 2 6 2 2 3" xfId="38214" xr:uid="{00000000-0005-0000-0000-000049950000}"/>
    <cellStyle name="Normal 2 9 2 6 2 2 4" xfId="38215" xr:uid="{00000000-0005-0000-0000-00004A950000}"/>
    <cellStyle name="Normal 2 9 2 6 2 2 5" xfId="38216" xr:uid="{00000000-0005-0000-0000-00004B950000}"/>
    <cellStyle name="Normal 2 9 2 6 2 2 6" xfId="38217" xr:uid="{00000000-0005-0000-0000-00004C950000}"/>
    <cellStyle name="Normal 2 9 2 6 2 3" xfId="38218" xr:uid="{00000000-0005-0000-0000-00004D950000}"/>
    <cellStyle name="Normal 2 9 2 6 2 3 2" xfId="38219" xr:uid="{00000000-0005-0000-0000-00004E950000}"/>
    <cellStyle name="Normal 2 9 2 6 2 3 2 2" xfId="38220" xr:uid="{00000000-0005-0000-0000-00004F950000}"/>
    <cellStyle name="Normal 2 9 2 6 2 3 3" xfId="38221" xr:uid="{00000000-0005-0000-0000-000050950000}"/>
    <cellStyle name="Normal 2 9 2 6 2 3 4" xfId="38222" xr:uid="{00000000-0005-0000-0000-000051950000}"/>
    <cellStyle name="Normal 2 9 2 6 2 3 5" xfId="38223" xr:uid="{00000000-0005-0000-0000-000052950000}"/>
    <cellStyle name="Normal 2 9 2 6 2 4" xfId="38224" xr:uid="{00000000-0005-0000-0000-000053950000}"/>
    <cellStyle name="Normal 2 9 2 6 2 4 2" xfId="38225" xr:uid="{00000000-0005-0000-0000-000054950000}"/>
    <cellStyle name="Normal 2 9 2 6 2 4 3" xfId="38226" xr:uid="{00000000-0005-0000-0000-000055950000}"/>
    <cellStyle name="Normal 2 9 2 6 2 4 4" xfId="38227" xr:uid="{00000000-0005-0000-0000-000056950000}"/>
    <cellStyle name="Normal 2 9 2 6 2 5" xfId="38228" xr:uid="{00000000-0005-0000-0000-000057950000}"/>
    <cellStyle name="Normal 2 9 2 6 2 5 2" xfId="38229" xr:uid="{00000000-0005-0000-0000-000058950000}"/>
    <cellStyle name="Normal 2 9 2 6 2 6" xfId="38230" xr:uid="{00000000-0005-0000-0000-000059950000}"/>
    <cellStyle name="Normal 2 9 2 6 2 7" xfId="38231" xr:uid="{00000000-0005-0000-0000-00005A950000}"/>
    <cellStyle name="Normal 2 9 2 6 2 8" xfId="38232" xr:uid="{00000000-0005-0000-0000-00005B950000}"/>
    <cellStyle name="Normal 2 9 2 6 2 9" xfId="38233" xr:uid="{00000000-0005-0000-0000-00005C950000}"/>
    <cellStyle name="Normal 2 9 2 6 3" xfId="38234" xr:uid="{00000000-0005-0000-0000-00005D950000}"/>
    <cellStyle name="Normal 2 9 2 6 3 2" xfId="38235" xr:uid="{00000000-0005-0000-0000-00005E950000}"/>
    <cellStyle name="Normal 2 9 2 6 3 2 2" xfId="38236" xr:uid="{00000000-0005-0000-0000-00005F950000}"/>
    <cellStyle name="Normal 2 9 2 6 3 2 2 2" xfId="38237" xr:uid="{00000000-0005-0000-0000-000060950000}"/>
    <cellStyle name="Normal 2 9 2 6 3 2 2 3" xfId="38238" xr:uid="{00000000-0005-0000-0000-000061950000}"/>
    <cellStyle name="Normal 2 9 2 6 3 2 3" xfId="38239" xr:uid="{00000000-0005-0000-0000-000062950000}"/>
    <cellStyle name="Normal 2 9 2 6 3 2 4" xfId="38240" xr:uid="{00000000-0005-0000-0000-000063950000}"/>
    <cellStyle name="Normal 2 9 2 6 3 2 5" xfId="38241" xr:uid="{00000000-0005-0000-0000-000064950000}"/>
    <cellStyle name="Normal 2 9 2 6 3 2 6" xfId="38242" xr:uid="{00000000-0005-0000-0000-000065950000}"/>
    <cellStyle name="Normal 2 9 2 6 3 3" xfId="38243" xr:uid="{00000000-0005-0000-0000-000066950000}"/>
    <cellStyle name="Normal 2 9 2 6 3 3 2" xfId="38244" xr:uid="{00000000-0005-0000-0000-000067950000}"/>
    <cellStyle name="Normal 2 9 2 6 3 3 2 2" xfId="38245" xr:uid="{00000000-0005-0000-0000-000068950000}"/>
    <cellStyle name="Normal 2 9 2 6 3 3 3" xfId="38246" xr:uid="{00000000-0005-0000-0000-000069950000}"/>
    <cellStyle name="Normal 2 9 2 6 3 3 4" xfId="38247" xr:uid="{00000000-0005-0000-0000-00006A950000}"/>
    <cellStyle name="Normal 2 9 2 6 3 3 5" xfId="38248" xr:uid="{00000000-0005-0000-0000-00006B950000}"/>
    <cellStyle name="Normal 2 9 2 6 3 4" xfId="38249" xr:uid="{00000000-0005-0000-0000-00006C950000}"/>
    <cellStyle name="Normal 2 9 2 6 3 4 2" xfId="38250" xr:uid="{00000000-0005-0000-0000-00006D950000}"/>
    <cellStyle name="Normal 2 9 2 6 3 4 3" xfId="38251" xr:uid="{00000000-0005-0000-0000-00006E950000}"/>
    <cellStyle name="Normal 2 9 2 6 3 4 4" xfId="38252" xr:uid="{00000000-0005-0000-0000-00006F950000}"/>
    <cellStyle name="Normal 2 9 2 6 3 5" xfId="38253" xr:uid="{00000000-0005-0000-0000-000070950000}"/>
    <cellStyle name="Normal 2 9 2 6 3 5 2" xfId="38254" xr:uid="{00000000-0005-0000-0000-000071950000}"/>
    <cellStyle name="Normal 2 9 2 6 3 6" xfId="38255" xr:uid="{00000000-0005-0000-0000-000072950000}"/>
    <cellStyle name="Normal 2 9 2 6 3 7" xfId="38256" xr:uid="{00000000-0005-0000-0000-000073950000}"/>
    <cellStyle name="Normal 2 9 2 6 3 8" xfId="38257" xr:uid="{00000000-0005-0000-0000-000074950000}"/>
    <cellStyle name="Normal 2 9 2 6 3 9" xfId="38258" xr:uid="{00000000-0005-0000-0000-000075950000}"/>
    <cellStyle name="Normal 2 9 2 6 4" xfId="38259" xr:uid="{00000000-0005-0000-0000-000076950000}"/>
    <cellStyle name="Normal 2 9 2 6 4 2" xfId="38260" xr:uid="{00000000-0005-0000-0000-000077950000}"/>
    <cellStyle name="Normal 2 9 2 6 4 2 2" xfId="38261" xr:uid="{00000000-0005-0000-0000-000078950000}"/>
    <cellStyle name="Normal 2 9 2 6 4 2 3" xfId="38262" xr:uid="{00000000-0005-0000-0000-000079950000}"/>
    <cellStyle name="Normal 2 9 2 6 4 3" xfId="38263" xr:uid="{00000000-0005-0000-0000-00007A950000}"/>
    <cellStyle name="Normal 2 9 2 6 4 4" xfId="38264" xr:uid="{00000000-0005-0000-0000-00007B950000}"/>
    <cellStyle name="Normal 2 9 2 6 4 5" xfId="38265" xr:uid="{00000000-0005-0000-0000-00007C950000}"/>
    <cellStyle name="Normal 2 9 2 6 4 6" xfId="38266" xr:uid="{00000000-0005-0000-0000-00007D950000}"/>
    <cellStyle name="Normal 2 9 2 6 5" xfId="38267" xr:uid="{00000000-0005-0000-0000-00007E950000}"/>
    <cellStyle name="Normal 2 9 2 6 5 2" xfId="38268" xr:uid="{00000000-0005-0000-0000-00007F950000}"/>
    <cellStyle name="Normal 2 9 2 6 5 2 2" xfId="38269" xr:uid="{00000000-0005-0000-0000-000080950000}"/>
    <cellStyle name="Normal 2 9 2 6 5 3" xfId="38270" xr:uid="{00000000-0005-0000-0000-000081950000}"/>
    <cellStyle name="Normal 2 9 2 6 5 4" xfId="38271" xr:uid="{00000000-0005-0000-0000-000082950000}"/>
    <cellStyle name="Normal 2 9 2 6 5 5" xfId="38272" xr:uid="{00000000-0005-0000-0000-000083950000}"/>
    <cellStyle name="Normal 2 9 2 6 6" xfId="38273" xr:uid="{00000000-0005-0000-0000-000084950000}"/>
    <cellStyle name="Normal 2 9 2 6 6 2" xfId="38274" xr:uid="{00000000-0005-0000-0000-000085950000}"/>
    <cellStyle name="Normal 2 9 2 6 6 3" xfId="38275" xr:uid="{00000000-0005-0000-0000-000086950000}"/>
    <cellStyle name="Normal 2 9 2 6 6 4" xfId="38276" xr:uid="{00000000-0005-0000-0000-000087950000}"/>
    <cellStyle name="Normal 2 9 2 6 7" xfId="38277" xr:uid="{00000000-0005-0000-0000-000088950000}"/>
    <cellStyle name="Normal 2 9 2 6 7 2" xfId="38278" xr:uid="{00000000-0005-0000-0000-000089950000}"/>
    <cellStyle name="Normal 2 9 2 6 8" xfId="38279" xr:uid="{00000000-0005-0000-0000-00008A950000}"/>
    <cellStyle name="Normal 2 9 2 6 9" xfId="38280" xr:uid="{00000000-0005-0000-0000-00008B950000}"/>
    <cellStyle name="Normal 2 9 2 7" xfId="38281" xr:uid="{00000000-0005-0000-0000-00008C950000}"/>
    <cellStyle name="Normal 2 9 2 7 10" xfId="38282" xr:uid="{00000000-0005-0000-0000-00008D950000}"/>
    <cellStyle name="Normal 2 9 2 7 11" xfId="38283" xr:uid="{00000000-0005-0000-0000-00008E950000}"/>
    <cellStyle name="Normal 2 9 2 7 2" xfId="38284" xr:uid="{00000000-0005-0000-0000-00008F950000}"/>
    <cellStyle name="Normal 2 9 2 7 2 2" xfId="38285" xr:uid="{00000000-0005-0000-0000-000090950000}"/>
    <cellStyle name="Normal 2 9 2 7 2 2 2" xfId="38286" xr:uid="{00000000-0005-0000-0000-000091950000}"/>
    <cellStyle name="Normal 2 9 2 7 2 2 2 2" xfId="38287" xr:uid="{00000000-0005-0000-0000-000092950000}"/>
    <cellStyle name="Normal 2 9 2 7 2 2 2 3" xfId="38288" xr:uid="{00000000-0005-0000-0000-000093950000}"/>
    <cellStyle name="Normal 2 9 2 7 2 2 3" xfId="38289" xr:uid="{00000000-0005-0000-0000-000094950000}"/>
    <cellStyle name="Normal 2 9 2 7 2 2 4" xfId="38290" xr:uid="{00000000-0005-0000-0000-000095950000}"/>
    <cellStyle name="Normal 2 9 2 7 2 2 5" xfId="38291" xr:uid="{00000000-0005-0000-0000-000096950000}"/>
    <cellStyle name="Normal 2 9 2 7 2 2 6" xfId="38292" xr:uid="{00000000-0005-0000-0000-000097950000}"/>
    <cellStyle name="Normal 2 9 2 7 2 3" xfId="38293" xr:uid="{00000000-0005-0000-0000-000098950000}"/>
    <cellStyle name="Normal 2 9 2 7 2 3 2" xfId="38294" xr:uid="{00000000-0005-0000-0000-000099950000}"/>
    <cellStyle name="Normal 2 9 2 7 2 3 2 2" xfId="38295" xr:uid="{00000000-0005-0000-0000-00009A950000}"/>
    <cellStyle name="Normal 2 9 2 7 2 3 3" xfId="38296" xr:uid="{00000000-0005-0000-0000-00009B950000}"/>
    <cellStyle name="Normal 2 9 2 7 2 3 4" xfId="38297" xr:uid="{00000000-0005-0000-0000-00009C950000}"/>
    <cellStyle name="Normal 2 9 2 7 2 3 5" xfId="38298" xr:uid="{00000000-0005-0000-0000-00009D950000}"/>
    <cellStyle name="Normal 2 9 2 7 2 4" xfId="38299" xr:uid="{00000000-0005-0000-0000-00009E950000}"/>
    <cellStyle name="Normal 2 9 2 7 2 4 2" xfId="38300" xr:uid="{00000000-0005-0000-0000-00009F950000}"/>
    <cellStyle name="Normal 2 9 2 7 2 4 3" xfId="38301" xr:uid="{00000000-0005-0000-0000-0000A0950000}"/>
    <cellStyle name="Normal 2 9 2 7 2 4 4" xfId="38302" xr:uid="{00000000-0005-0000-0000-0000A1950000}"/>
    <cellStyle name="Normal 2 9 2 7 2 5" xfId="38303" xr:uid="{00000000-0005-0000-0000-0000A2950000}"/>
    <cellStyle name="Normal 2 9 2 7 2 5 2" xfId="38304" xr:uid="{00000000-0005-0000-0000-0000A3950000}"/>
    <cellStyle name="Normal 2 9 2 7 2 6" xfId="38305" xr:uid="{00000000-0005-0000-0000-0000A4950000}"/>
    <cellStyle name="Normal 2 9 2 7 2 7" xfId="38306" xr:uid="{00000000-0005-0000-0000-0000A5950000}"/>
    <cellStyle name="Normal 2 9 2 7 2 8" xfId="38307" xr:uid="{00000000-0005-0000-0000-0000A6950000}"/>
    <cellStyle name="Normal 2 9 2 7 2 9" xfId="38308" xr:uid="{00000000-0005-0000-0000-0000A7950000}"/>
    <cellStyle name="Normal 2 9 2 7 3" xfId="38309" xr:uid="{00000000-0005-0000-0000-0000A8950000}"/>
    <cellStyle name="Normal 2 9 2 7 3 2" xfId="38310" xr:uid="{00000000-0005-0000-0000-0000A9950000}"/>
    <cellStyle name="Normal 2 9 2 7 3 2 2" xfId="38311" xr:uid="{00000000-0005-0000-0000-0000AA950000}"/>
    <cellStyle name="Normal 2 9 2 7 3 2 2 2" xfId="38312" xr:uid="{00000000-0005-0000-0000-0000AB950000}"/>
    <cellStyle name="Normal 2 9 2 7 3 2 2 3" xfId="38313" xr:uid="{00000000-0005-0000-0000-0000AC950000}"/>
    <cellStyle name="Normal 2 9 2 7 3 2 3" xfId="38314" xr:uid="{00000000-0005-0000-0000-0000AD950000}"/>
    <cellStyle name="Normal 2 9 2 7 3 2 4" xfId="38315" xr:uid="{00000000-0005-0000-0000-0000AE950000}"/>
    <cellStyle name="Normal 2 9 2 7 3 2 5" xfId="38316" xr:uid="{00000000-0005-0000-0000-0000AF950000}"/>
    <cellStyle name="Normal 2 9 2 7 3 2 6" xfId="38317" xr:uid="{00000000-0005-0000-0000-0000B0950000}"/>
    <cellStyle name="Normal 2 9 2 7 3 3" xfId="38318" xr:uid="{00000000-0005-0000-0000-0000B1950000}"/>
    <cellStyle name="Normal 2 9 2 7 3 3 2" xfId="38319" xr:uid="{00000000-0005-0000-0000-0000B2950000}"/>
    <cellStyle name="Normal 2 9 2 7 3 3 2 2" xfId="38320" xr:uid="{00000000-0005-0000-0000-0000B3950000}"/>
    <cellStyle name="Normal 2 9 2 7 3 3 3" xfId="38321" xr:uid="{00000000-0005-0000-0000-0000B4950000}"/>
    <cellStyle name="Normal 2 9 2 7 3 3 4" xfId="38322" xr:uid="{00000000-0005-0000-0000-0000B5950000}"/>
    <cellStyle name="Normal 2 9 2 7 3 3 5" xfId="38323" xr:uid="{00000000-0005-0000-0000-0000B6950000}"/>
    <cellStyle name="Normal 2 9 2 7 3 4" xfId="38324" xr:uid="{00000000-0005-0000-0000-0000B7950000}"/>
    <cellStyle name="Normal 2 9 2 7 3 4 2" xfId="38325" xr:uid="{00000000-0005-0000-0000-0000B8950000}"/>
    <cellStyle name="Normal 2 9 2 7 3 4 3" xfId="38326" xr:uid="{00000000-0005-0000-0000-0000B9950000}"/>
    <cellStyle name="Normal 2 9 2 7 3 4 4" xfId="38327" xr:uid="{00000000-0005-0000-0000-0000BA950000}"/>
    <cellStyle name="Normal 2 9 2 7 3 5" xfId="38328" xr:uid="{00000000-0005-0000-0000-0000BB950000}"/>
    <cellStyle name="Normal 2 9 2 7 3 5 2" xfId="38329" xr:uid="{00000000-0005-0000-0000-0000BC950000}"/>
    <cellStyle name="Normal 2 9 2 7 3 6" xfId="38330" xr:uid="{00000000-0005-0000-0000-0000BD950000}"/>
    <cellStyle name="Normal 2 9 2 7 3 7" xfId="38331" xr:uid="{00000000-0005-0000-0000-0000BE950000}"/>
    <cellStyle name="Normal 2 9 2 7 3 8" xfId="38332" xr:uid="{00000000-0005-0000-0000-0000BF950000}"/>
    <cellStyle name="Normal 2 9 2 7 3 9" xfId="38333" xr:uid="{00000000-0005-0000-0000-0000C0950000}"/>
    <cellStyle name="Normal 2 9 2 7 4" xfId="38334" xr:uid="{00000000-0005-0000-0000-0000C1950000}"/>
    <cellStyle name="Normal 2 9 2 7 4 2" xfId="38335" xr:uid="{00000000-0005-0000-0000-0000C2950000}"/>
    <cellStyle name="Normal 2 9 2 7 4 2 2" xfId="38336" xr:uid="{00000000-0005-0000-0000-0000C3950000}"/>
    <cellStyle name="Normal 2 9 2 7 4 2 3" xfId="38337" xr:uid="{00000000-0005-0000-0000-0000C4950000}"/>
    <cellStyle name="Normal 2 9 2 7 4 3" xfId="38338" xr:uid="{00000000-0005-0000-0000-0000C5950000}"/>
    <cellStyle name="Normal 2 9 2 7 4 4" xfId="38339" xr:uid="{00000000-0005-0000-0000-0000C6950000}"/>
    <cellStyle name="Normal 2 9 2 7 4 5" xfId="38340" xr:uid="{00000000-0005-0000-0000-0000C7950000}"/>
    <cellStyle name="Normal 2 9 2 7 4 6" xfId="38341" xr:uid="{00000000-0005-0000-0000-0000C8950000}"/>
    <cellStyle name="Normal 2 9 2 7 5" xfId="38342" xr:uid="{00000000-0005-0000-0000-0000C9950000}"/>
    <cellStyle name="Normal 2 9 2 7 5 2" xfId="38343" xr:uid="{00000000-0005-0000-0000-0000CA950000}"/>
    <cellStyle name="Normal 2 9 2 7 5 2 2" xfId="38344" xr:uid="{00000000-0005-0000-0000-0000CB950000}"/>
    <cellStyle name="Normal 2 9 2 7 5 3" xfId="38345" xr:uid="{00000000-0005-0000-0000-0000CC950000}"/>
    <cellStyle name="Normal 2 9 2 7 5 4" xfId="38346" xr:uid="{00000000-0005-0000-0000-0000CD950000}"/>
    <cellStyle name="Normal 2 9 2 7 5 5" xfId="38347" xr:uid="{00000000-0005-0000-0000-0000CE950000}"/>
    <cellStyle name="Normal 2 9 2 7 6" xfId="38348" xr:uid="{00000000-0005-0000-0000-0000CF950000}"/>
    <cellStyle name="Normal 2 9 2 7 6 2" xfId="38349" xr:uid="{00000000-0005-0000-0000-0000D0950000}"/>
    <cellStyle name="Normal 2 9 2 7 6 3" xfId="38350" xr:uid="{00000000-0005-0000-0000-0000D1950000}"/>
    <cellStyle name="Normal 2 9 2 7 6 4" xfId="38351" xr:uid="{00000000-0005-0000-0000-0000D2950000}"/>
    <cellStyle name="Normal 2 9 2 7 7" xfId="38352" xr:uid="{00000000-0005-0000-0000-0000D3950000}"/>
    <cellStyle name="Normal 2 9 2 7 7 2" xfId="38353" xr:uid="{00000000-0005-0000-0000-0000D4950000}"/>
    <cellStyle name="Normal 2 9 2 7 8" xfId="38354" xr:uid="{00000000-0005-0000-0000-0000D5950000}"/>
    <cellStyle name="Normal 2 9 2 7 9" xfId="38355" xr:uid="{00000000-0005-0000-0000-0000D6950000}"/>
    <cellStyle name="Normal 2 9 2 8" xfId="38356" xr:uid="{00000000-0005-0000-0000-0000D7950000}"/>
    <cellStyle name="Normal 2 9 2 8 10" xfId="38357" xr:uid="{00000000-0005-0000-0000-0000D8950000}"/>
    <cellStyle name="Normal 2 9 2 8 2" xfId="38358" xr:uid="{00000000-0005-0000-0000-0000D9950000}"/>
    <cellStyle name="Normal 2 9 2 8 2 2" xfId="38359" xr:uid="{00000000-0005-0000-0000-0000DA950000}"/>
    <cellStyle name="Normal 2 9 2 8 2 2 2" xfId="38360" xr:uid="{00000000-0005-0000-0000-0000DB950000}"/>
    <cellStyle name="Normal 2 9 2 8 2 2 3" xfId="38361" xr:uid="{00000000-0005-0000-0000-0000DC950000}"/>
    <cellStyle name="Normal 2 9 2 8 2 3" xfId="38362" xr:uid="{00000000-0005-0000-0000-0000DD950000}"/>
    <cellStyle name="Normal 2 9 2 8 2 4" xfId="38363" xr:uid="{00000000-0005-0000-0000-0000DE950000}"/>
    <cellStyle name="Normal 2 9 2 8 2 5" xfId="38364" xr:uid="{00000000-0005-0000-0000-0000DF950000}"/>
    <cellStyle name="Normal 2 9 2 8 2 6" xfId="38365" xr:uid="{00000000-0005-0000-0000-0000E0950000}"/>
    <cellStyle name="Normal 2 9 2 8 3" xfId="38366" xr:uid="{00000000-0005-0000-0000-0000E1950000}"/>
    <cellStyle name="Normal 2 9 2 8 3 2" xfId="38367" xr:uid="{00000000-0005-0000-0000-0000E2950000}"/>
    <cellStyle name="Normal 2 9 2 8 3 2 2" xfId="38368" xr:uid="{00000000-0005-0000-0000-0000E3950000}"/>
    <cellStyle name="Normal 2 9 2 8 3 2 3" xfId="38369" xr:uid="{00000000-0005-0000-0000-0000E4950000}"/>
    <cellStyle name="Normal 2 9 2 8 3 3" xfId="38370" xr:uid="{00000000-0005-0000-0000-0000E5950000}"/>
    <cellStyle name="Normal 2 9 2 8 3 4" xfId="38371" xr:uid="{00000000-0005-0000-0000-0000E6950000}"/>
    <cellStyle name="Normal 2 9 2 8 3 5" xfId="38372" xr:uid="{00000000-0005-0000-0000-0000E7950000}"/>
    <cellStyle name="Normal 2 9 2 8 3 6" xfId="38373" xr:uid="{00000000-0005-0000-0000-0000E8950000}"/>
    <cellStyle name="Normal 2 9 2 8 4" xfId="38374" xr:uid="{00000000-0005-0000-0000-0000E9950000}"/>
    <cellStyle name="Normal 2 9 2 8 4 2" xfId="38375" xr:uid="{00000000-0005-0000-0000-0000EA950000}"/>
    <cellStyle name="Normal 2 9 2 8 4 2 2" xfId="38376" xr:uid="{00000000-0005-0000-0000-0000EB950000}"/>
    <cellStyle name="Normal 2 9 2 8 4 3" xfId="38377" xr:uid="{00000000-0005-0000-0000-0000EC950000}"/>
    <cellStyle name="Normal 2 9 2 8 4 4" xfId="38378" xr:uid="{00000000-0005-0000-0000-0000ED950000}"/>
    <cellStyle name="Normal 2 9 2 8 4 5" xfId="38379" xr:uid="{00000000-0005-0000-0000-0000EE950000}"/>
    <cellStyle name="Normal 2 9 2 8 5" xfId="38380" xr:uid="{00000000-0005-0000-0000-0000EF950000}"/>
    <cellStyle name="Normal 2 9 2 8 5 2" xfId="38381" xr:uid="{00000000-0005-0000-0000-0000F0950000}"/>
    <cellStyle name="Normal 2 9 2 8 5 3" xfId="38382" xr:uid="{00000000-0005-0000-0000-0000F1950000}"/>
    <cellStyle name="Normal 2 9 2 8 5 4" xfId="38383" xr:uid="{00000000-0005-0000-0000-0000F2950000}"/>
    <cellStyle name="Normal 2 9 2 8 6" xfId="38384" xr:uid="{00000000-0005-0000-0000-0000F3950000}"/>
    <cellStyle name="Normal 2 9 2 8 6 2" xfId="38385" xr:uid="{00000000-0005-0000-0000-0000F4950000}"/>
    <cellStyle name="Normal 2 9 2 8 7" xfId="38386" xr:uid="{00000000-0005-0000-0000-0000F5950000}"/>
    <cellStyle name="Normal 2 9 2 8 8" xfId="38387" xr:uid="{00000000-0005-0000-0000-0000F6950000}"/>
    <cellStyle name="Normal 2 9 2 8 9" xfId="38388" xr:uid="{00000000-0005-0000-0000-0000F7950000}"/>
    <cellStyle name="Normal 2 9 2 9" xfId="38389" xr:uid="{00000000-0005-0000-0000-0000F8950000}"/>
    <cellStyle name="Normal 2 9 2 9 10" xfId="38390" xr:uid="{00000000-0005-0000-0000-0000F9950000}"/>
    <cellStyle name="Normal 2 9 2 9 2" xfId="38391" xr:uid="{00000000-0005-0000-0000-0000FA950000}"/>
    <cellStyle name="Normal 2 9 2 9 2 2" xfId="38392" xr:uid="{00000000-0005-0000-0000-0000FB950000}"/>
    <cellStyle name="Normal 2 9 2 9 2 2 2" xfId="38393" xr:uid="{00000000-0005-0000-0000-0000FC950000}"/>
    <cellStyle name="Normal 2 9 2 9 2 2 3" xfId="38394" xr:uid="{00000000-0005-0000-0000-0000FD950000}"/>
    <cellStyle name="Normal 2 9 2 9 2 3" xfId="38395" xr:uid="{00000000-0005-0000-0000-0000FE950000}"/>
    <cellStyle name="Normal 2 9 2 9 2 4" xfId="38396" xr:uid="{00000000-0005-0000-0000-0000FF950000}"/>
    <cellStyle name="Normal 2 9 2 9 2 5" xfId="38397" xr:uid="{00000000-0005-0000-0000-000000960000}"/>
    <cellStyle name="Normal 2 9 2 9 2 6" xfId="38398" xr:uid="{00000000-0005-0000-0000-000001960000}"/>
    <cellStyle name="Normal 2 9 2 9 3" xfId="38399" xr:uid="{00000000-0005-0000-0000-000002960000}"/>
    <cellStyle name="Normal 2 9 2 9 3 2" xfId="38400" xr:uid="{00000000-0005-0000-0000-000003960000}"/>
    <cellStyle name="Normal 2 9 2 9 3 2 2" xfId="38401" xr:uid="{00000000-0005-0000-0000-000004960000}"/>
    <cellStyle name="Normal 2 9 2 9 3 2 3" xfId="38402" xr:uid="{00000000-0005-0000-0000-000005960000}"/>
    <cellStyle name="Normal 2 9 2 9 3 3" xfId="38403" xr:uid="{00000000-0005-0000-0000-000006960000}"/>
    <cellStyle name="Normal 2 9 2 9 3 4" xfId="38404" xr:uid="{00000000-0005-0000-0000-000007960000}"/>
    <cellStyle name="Normal 2 9 2 9 3 5" xfId="38405" xr:uid="{00000000-0005-0000-0000-000008960000}"/>
    <cellStyle name="Normal 2 9 2 9 3 6" xfId="38406" xr:uid="{00000000-0005-0000-0000-000009960000}"/>
    <cellStyle name="Normal 2 9 2 9 4" xfId="38407" xr:uid="{00000000-0005-0000-0000-00000A960000}"/>
    <cellStyle name="Normal 2 9 2 9 4 2" xfId="38408" xr:uid="{00000000-0005-0000-0000-00000B960000}"/>
    <cellStyle name="Normal 2 9 2 9 4 2 2" xfId="38409" xr:uid="{00000000-0005-0000-0000-00000C960000}"/>
    <cellStyle name="Normal 2 9 2 9 4 3" xfId="38410" xr:uid="{00000000-0005-0000-0000-00000D960000}"/>
    <cellStyle name="Normal 2 9 2 9 4 4" xfId="38411" xr:uid="{00000000-0005-0000-0000-00000E960000}"/>
    <cellStyle name="Normal 2 9 2 9 4 5" xfId="38412" xr:uid="{00000000-0005-0000-0000-00000F960000}"/>
    <cellStyle name="Normal 2 9 2 9 5" xfId="38413" xr:uid="{00000000-0005-0000-0000-000010960000}"/>
    <cellStyle name="Normal 2 9 2 9 5 2" xfId="38414" xr:uid="{00000000-0005-0000-0000-000011960000}"/>
    <cellStyle name="Normal 2 9 2 9 5 3" xfId="38415" xr:uid="{00000000-0005-0000-0000-000012960000}"/>
    <cellStyle name="Normal 2 9 2 9 5 4" xfId="38416" xr:uid="{00000000-0005-0000-0000-000013960000}"/>
    <cellStyle name="Normal 2 9 2 9 6" xfId="38417" xr:uid="{00000000-0005-0000-0000-000014960000}"/>
    <cellStyle name="Normal 2 9 2 9 6 2" xfId="38418" xr:uid="{00000000-0005-0000-0000-000015960000}"/>
    <cellStyle name="Normal 2 9 2 9 7" xfId="38419" xr:uid="{00000000-0005-0000-0000-000016960000}"/>
    <cellStyle name="Normal 2 9 2 9 8" xfId="38420" xr:uid="{00000000-0005-0000-0000-000017960000}"/>
    <cellStyle name="Normal 2 9 2 9 9" xfId="38421" xr:uid="{00000000-0005-0000-0000-000018960000}"/>
    <cellStyle name="Normal 2 9 3" xfId="38422" xr:uid="{00000000-0005-0000-0000-000019960000}"/>
    <cellStyle name="Normal 2 9 3 2" xfId="38423" xr:uid="{00000000-0005-0000-0000-00001A960000}"/>
    <cellStyle name="Normal 2 9 4" xfId="38424" xr:uid="{00000000-0005-0000-0000-00001B960000}"/>
    <cellStyle name="Normal 2 9 5" xfId="38425" xr:uid="{00000000-0005-0000-0000-00001C960000}"/>
    <cellStyle name="Normal 2 9 6" xfId="38426" xr:uid="{00000000-0005-0000-0000-00001D960000}"/>
    <cellStyle name="Normal 2 9 7" xfId="38427" xr:uid="{00000000-0005-0000-0000-00001E960000}"/>
    <cellStyle name="Normal 2 9 8" xfId="38428" xr:uid="{00000000-0005-0000-0000-00001F960000}"/>
    <cellStyle name="Normal 20" xfId="38429" xr:uid="{00000000-0005-0000-0000-000020960000}"/>
    <cellStyle name="Normal 20 2" xfId="38430" xr:uid="{00000000-0005-0000-0000-000021960000}"/>
    <cellStyle name="Normal 20 2 2" xfId="38431" xr:uid="{00000000-0005-0000-0000-000022960000}"/>
    <cellStyle name="Normal 20 2 3" xfId="38432" xr:uid="{00000000-0005-0000-0000-000023960000}"/>
    <cellStyle name="Normal 20 3" xfId="38433" xr:uid="{00000000-0005-0000-0000-000024960000}"/>
    <cellStyle name="Normal 20 4" xfId="38434" xr:uid="{00000000-0005-0000-0000-000025960000}"/>
    <cellStyle name="Normal 21" xfId="38435" xr:uid="{00000000-0005-0000-0000-000026960000}"/>
    <cellStyle name="Normal 21 2" xfId="38436" xr:uid="{00000000-0005-0000-0000-000027960000}"/>
    <cellStyle name="Normal 21 3" xfId="38437" xr:uid="{00000000-0005-0000-0000-000028960000}"/>
    <cellStyle name="Normal 22" xfId="38438" xr:uid="{00000000-0005-0000-0000-000029960000}"/>
    <cellStyle name="Normal 22 2" xfId="38439" xr:uid="{00000000-0005-0000-0000-00002A960000}"/>
    <cellStyle name="Normal 23" xfId="38440" xr:uid="{00000000-0005-0000-0000-00002B960000}"/>
    <cellStyle name="Normal 24" xfId="38441" xr:uid="{00000000-0005-0000-0000-00002C960000}"/>
    <cellStyle name="Normal 25" xfId="38442" xr:uid="{00000000-0005-0000-0000-00002D960000}"/>
    <cellStyle name="Normal 26" xfId="38443" xr:uid="{00000000-0005-0000-0000-00002E960000}"/>
    <cellStyle name="Normal 27" xfId="38444" xr:uid="{00000000-0005-0000-0000-00002F960000}"/>
    <cellStyle name="Normal 28" xfId="38445" xr:uid="{00000000-0005-0000-0000-000030960000}"/>
    <cellStyle name="Normal 29" xfId="38446" xr:uid="{00000000-0005-0000-0000-000031960000}"/>
    <cellStyle name="Normal 3" xfId="38447" xr:uid="{00000000-0005-0000-0000-000032960000}"/>
    <cellStyle name="Normal 3 10" xfId="38448" xr:uid="{00000000-0005-0000-0000-000033960000}"/>
    <cellStyle name="Normal 3 10 2" xfId="38449" xr:uid="{00000000-0005-0000-0000-000034960000}"/>
    <cellStyle name="Normal 3 11" xfId="38450" xr:uid="{00000000-0005-0000-0000-000035960000}"/>
    <cellStyle name="Normal 3 11 2" xfId="38451" xr:uid="{00000000-0005-0000-0000-000036960000}"/>
    <cellStyle name="Normal 3 12" xfId="38452" xr:uid="{00000000-0005-0000-0000-000037960000}"/>
    <cellStyle name="Normal 3 13" xfId="38453" xr:uid="{00000000-0005-0000-0000-000038960000}"/>
    <cellStyle name="Normal 3 14" xfId="38454" xr:uid="{00000000-0005-0000-0000-000039960000}"/>
    <cellStyle name="Normal 3 15" xfId="38455" xr:uid="{00000000-0005-0000-0000-00003A960000}"/>
    <cellStyle name="Normal 3 16" xfId="38456" xr:uid="{00000000-0005-0000-0000-00003B960000}"/>
    <cellStyle name="Normal 3 17" xfId="38457" xr:uid="{00000000-0005-0000-0000-00003C960000}"/>
    <cellStyle name="Normal 3 18" xfId="38458" xr:uid="{00000000-0005-0000-0000-00003D960000}"/>
    <cellStyle name="Normal 3 19" xfId="38459" xr:uid="{00000000-0005-0000-0000-00003E960000}"/>
    <cellStyle name="Normal 3 2" xfId="38460" xr:uid="{00000000-0005-0000-0000-00003F960000}"/>
    <cellStyle name="Normal 3 2 2" xfId="38461" xr:uid="{00000000-0005-0000-0000-000040960000}"/>
    <cellStyle name="Normal 3 2 2 2" xfId="38462" xr:uid="{00000000-0005-0000-0000-000041960000}"/>
    <cellStyle name="Normal 3 2 2 2 2" xfId="38463" xr:uid="{00000000-0005-0000-0000-000042960000}"/>
    <cellStyle name="Normal 3 2 2 2 3" xfId="38464" xr:uid="{00000000-0005-0000-0000-000043960000}"/>
    <cellStyle name="Normal 3 2 2 3" xfId="38465" xr:uid="{00000000-0005-0000-0000-000044960000}"/>
    <cellStyle name="Normal 3 2 2 3 2" xfId="38466" xr:uid="{00000000-0005-0000-0000-000045960000}"/>
    <cellStyle name="Normal 3 2 2 4" xfId="38467" xr:uid="{00000000-0005-0000-0000-000046960000}"/>
    <cellStyle name="Normal 3 2 2 5" xfId="38468" xr:uid="{00000000-0005-0000-0000-000047960000}"/>
    <cellStyle name="Normal 3 2 2 6" xfId="38469" xr:uid="{00000000-0005-0000-0000-000048960000}"/>
    <cellStyle name="Normal 3 2 2 7" xfId="38470" xr:uid="{00000000-0005-0000-0000-000049960000}"/>
    <cellStyle name="Normal 3 2 3" xfId="38471" xr:uid="{00000000-0005-0000-0000-00004A960000}"/>
    <cellStyle name="Normal 3 2 3 2" xfId="38472" xr:uid="{00000000-0005-0000-0000-00004B960000}"/>
    <cellStyle name="Normal 3 2 3 3" xfId="38473" xr:uid="{00000000-0005-0000-0000-00004C960000}"/>
    <cellStyle name="Normal 3 2 3 4" xfId="38474" xr:uid="{00000000-0005-0000-0000-00004D960000}"/>
    <cellStyle name="Normal 3 2 3 5" xfId="38475" xr:uid="{00000000-0005-0000-0000-00004E960000}"/>
    <cellStyle name="Normal 3 2 4" xfId="38476" xr:uid="{00000000-0005-0000-0000-00004F960000}"/>
    <cellStyle name="Normal 3 2 4 2" xfId="38477" xr:uid="{00000000-0005-0000-0000-000050960000}"/>
    <cellStyle name="Normal 3 2 4 3" xfId="38478" xr:uid="{00000000-0005-0000-0000-000051960000}"/>
    <cellStyle name="Normal 3 2 4 4" xfId="38479" xr:uid="{00000000-0005-0000-0000-000052960000}"/>
    <cellStyle name="Normal 3 2 5" xfId="38480" xr:uid="{00000000-0005-0000-0000-000053960000}"/>
    <cellStyle name="Normal 3 2 5 2" xfId="38481" xr:uid="{00000000-0005-0000-0000-000054960000}"/>
    <cellStyle name="Normal 3 2 5 3" xfId="38482" xr:uid="{00000000-0005-0000-0000-000055960000}"/>
    <cellStyle name="Normal 3 2 5 4" xfId="38483" xr:uid="{00000000-0005-0000-0000-000056960000}"/>
    <cellStyle name="Normal 3 2 6" xfId="38484" xr:uid="{00000000-0005-0000-0000-000057960000}"/>
    <cellStyle name="Normal 3 2 7" xfId="38485" xr:uid="{00000000-0005-0000-0000-000058960000}"/>
    <cellStyle name="Normal 3 2 8" xfId="38486" xr:uid="{00000000-0005-0000-0000-000059960000}"/>
    <cellStyle name="Normal 3 20" xfId="38487" xr:uid="{00000000-0005-0000-0000-00005A960000}"/>
    <cellStyle name="Normal 3 21" xfId="38488" xr:uid="{00000000-0005-0000-0000-00005B960000}"/>
    <cellStyle name="Normal 3 22" xfId="38489" xr:uid="{00000000-0005-0000-0000-00005C960000}"/>
    <cellStyle name="Normal 3 23" xfId="38490" xr:uid="{00000000-0005-0000-0000-00005D960000}"/>
    <cellStyle name="Normal 3 24" xfId="38491" xr:uid="{00000000-0005-0000-0000-00005E960000}"/>
    <cellStyle name="Normal 3 25" xfId="38492" xr:uid="{00000000-0005-0000-0000-00005F960000}"/>
    <cellStyle name="Normal 3 26" xfId="38493" xr:uid="{00000000-0005-0000-0000-000060960000}"/>
    <cellStyle name="Normal 3 27" xfId="38494" xr:uid="{00000000-0005-0000-0000-000061960000}"/>
    <cellStyle name="Normal 3 28" xfId="38495" xr:uid="{00000000-0005-0000-0000-000062960000}"/>
    <cellStyle name="Normal 3 29" xfId="38496" xr:uid="{00000000-0005-0000-0000-000063960000}"/>
    <cellStyle name="Normal 3 3" xfId="38497" xr:uid="{00000000-0005-0000-0000-000064960000}"/>
    <cellStyle name="Normal 3 3 2" xfId="38498" xr:uid="{00000000-0005-0000-0000-000065960000}"/>
    <cellStyle name="Normal 3 3 3" xfId="38499" xr:uid="{00000000-0005-0000-0000-000066960000}"/>
    <cellStyle name="Normal 3 30" xfId="38500" xr:uid="{00000000-0005-0000-0000-000067960000}"/>
    <cellStyle name="Normal 3 31" xfId="38501" xr:uid="{00000000-0005-0000-0000-000068960000}"/>
    <cellStyle name="Normal 3 32" xfId="38502" xr:uid="{00000000-0005-0000-0000-000069960000}"/>
    <cellStyle name="Normal 3 33" xfId="38503" xr:uid="{00000000-0005-0000-0000-00006A960000}"/>
    <cellStyle name="Normal 3 34" xfId="38504" xr:uid="{00000000-0005-0000-0000-00006B960000}"/>
    <cellStyle name="Normal 3 35" xfId="38505" xr:uid="{00000000-0005-0000-0000-00006C960000}"/>
    <cellStyle name="Normal 3 36" xfId="38506" xr:uid="{00000000-0005-0000-0000-00006D960000}"/>
    <cellStyle name="Normal 3 37" xfId="38507" xr:uid="{00000000-0005-0000-0000-00006E960000}"/>
    <cellStyle name="Normal 3 38" xfId="38508" xr:uid="{00000000-0005-0000-0000-00006F960000}"/>
    <cellStyle name="Normal 3 39" xfId="38509" xr:uid="{00000000-0005-0000-0000-000070960000}"/>
    <cellStyle name="Normal 3 4" xfId="38510" xr:uid="{00000000-0005-0000-0000-000071960000}"/>
    <cellStyle name="Normal 3 4 10" xfId="38511" xr:uid="{00000000-0005-0000-0000-000072960000}"/>
    <cellStyle name="Normal 3 4 11" xfId="38512" xr:uid="{00000000-0005-0000-0000-000073960000}"/>
    <cellStyle name="Normal 3 4 12" xfId="38513" xr:uid="{00000000-0005-0000-0000-000074960000}"/>
    <cellStyle name="Normal 3 4 13" xfId="38514" xr:uid="{00000000-0005-0000-0000-000075960000}"/>
    <cellStyle name="Normal 3 4 14" xfId="38515" xr:uid="{00000000-0005-0000-0000-000076960000}"/>
    <cellStyle name="Normal 3 4 15" xfId="38516" xr:uid="{00000000-0005-0000-0000-000077960000}"/>
    <cellStyle name="Normal 3 4 16" xfId="38517" xr:uid="{00000000-0005-0000-0000-000078960000}"/>
    <cellStyle name="Normal 3 4 17" xfId="38518" xr:uid="{00000000-0005-0000-0000-000079960000}"/>
    <cellStyle name="Normal 3 4 18" xfId="38519" xr:uid="{00000000-0005-0000-0000-00007A960000}"/>
    <cellStyle name="Normal 3 4 19" xfId="38520" xr:uid="{00000000-0005-0000-0000-00007B960000}"/>
    <cellStyle name="Normal 3 4 2" xfId="38521" xr:uid="{00000000-0005-0000-0000-00007C960000}"/>
    <cellStyle name="Normal 3 4 20" xfId="38522" xr:uid="{00000000-0005-0000-0000-00007D960000}"/>
    <cellStyle name="Normal 3 4 21" xfId="38523" xr:uid="{00000000-0005-0000-0000-00007E960000}"/>
    <cellStyle name="Normal 3 4 22" xfId="38524" xr:uid="{00000000-0005-0000-0000-00007F960000}"/>
    <cellStyle name="Normal 3 4 23" xfId="38525" xr:uid="{00000000-0005-0000-0000-000080960000}"/>
    <cellStyle name="Normal 3 4 24" xfId="38526" xr:uid="{00000000-0005-0000-0000-000081960000}"/>
    <cellStyle name="Normal 3 4 25" xfId="38527" xr:uid="{00000000-0005-0000-0000-000082960000}"/>
    <cellStyle name="Normal 3 4 26" xfId="38528" xr:uid="{00000000-0005-0000-0000-000083960000}"/>
    <cellStyle name="Normal 3 4 27" xfId="38529" xr:uid="{00000000-0005-0000-0000-000084960000}"/>
    <cellStyle name="Normal 3 4 28" xfId="38530" xr:uid="{00000000-0005-0000-0000-000085960000}"/>
    <cellStyle name="Normal 3 4 29" xfId="38531" xr:uid="{00000000-0005-0000-0000-000086960000}"/>
    <cellStyle name="Normal 3 4 3" xfId="38532" xr:uid="{00000000-0005-0000-0000-000087960000}"/>
    <cellStyle name="Normal 3 4 30" xfId="38533" xr:uid="{00000000-0005-0000-0000-000088960000}"/>
    <cellStyle name="Normal 3 4 31" xfId="38534" xr:uid="{00000000-0005-0000-0000-000089960000}"/>
    <cellStyle name="Normal 3 4 32" xfId="38535" xr:uid="{00000000-0005-0000-0000-00008A960000}"/>
    <cellStyle name="Normal 3 4 33" xfId="38536" xr:uid="{00000000-0005-0000-0000-00008B960000}"/>
    <cellStyle name="Normal 3 4 34" xfId="38537" xr:uid="{00000000-0005-0000-0000-00008C960000}"/>
    <cellStyle name="Normal 3 4 35" xfId="38538" xr:uid="{00000000-0005-0000-0000-00008D960000}"/>
    <cellStyle name="Normal 3 4 4" xfId="38539" xr:uid="{00000000-0005-0000-0000-00008E960000}"/>
    <cellStyle name="Normal 3 4 5" xfId="38540" xr:uid="{00000000-0005-0000-0000-00008F960000}"/>
    <cellStyle name="Normal 3 4 6" xfId="38541" xr:uid="{00000000-0005-0000-0000-000090960000}"/>
    <cellStyle name="Normal 3 4 7" xfId="38542" xr:uid="{00000000-0005-0000-0000-000091960000}"/>
    <cellStyle name="Normal 3 4 8" xfId="38543" xr:uid="{00000000-0005-0000-0000-000092960000}"/>
    <cellStyle name="Normal 3 4 9" xfId="38544" xr:uid="{00000000-0005-0000-0000-000093960000}"/>
    <cellStyle name="Normal 3 40" xfId="38545" xr:uid="{00000000-0005-0000-0000-000094960000}"/>
    <cellStyle name="Normal 3 41" xfId="38546" xr:uid="{00000000-0005-0000-0000-000095960000}"/>
    <cellStyle name="Normal 3 42" xfId="38547" xr:uid="{00000000-0005-0000-0000-000096960000}"/>
    <cellStyle name="Normal 3 43" xfId="38548" xr:uid="{00000000-0005-0000-0000-000097960000}"/>
    <cellStyle name="Normal 3 44" xfId="38549" xr:uid="{00000000-0005-0000-0000-000098960000}"/>
    <cellStyle name="Normal 3 45" xfId="38550" xr:uid="{00000000-0005-0000-0000-000099960000}"/>
    <cellStyle name="Normal 3 46" xfId="38551" xr:uid="{00000000-0005-0000-0000-00009A960000}"/>
    <cellStyle name="Normal 3 47" xfId="38552" xr:uid="{00000000-0005-0000-0000-00009B960000}"/>
    <cellStyle name="Normal 3 5" xfId="38553" xr:uid="{00000000-0005-0000-0000-00009C960000}"/>
    <cellStyle name="Normal 3 5 2" xfId="38554" xr:uid="{00000000-0005-0000-0000-00009D960000}"/>
    <cellStyle name="Normal 3 5 3" xfId="38555" xr:uid="{00000000-0005-0000-0000-00009E960000}"/>
    <cellStyle name="Normal 3 6" xfId="38556" xr:uid="{00000000-0005-0000-0000-00009F960000}"/>
    <cellStyle name="Normal 3 6 2" xfId="38557" xr:uid="{00000000-0005-0000-0000-0000A0960000}"/>
    <cellStyle name="Normal 3 6 3" xfId="38558" xr:uid="{00000000-0005-0000-0000-0000A1960000}"/>
    <cellStyle name="Normal 3 7" xfId="38559" xr:uid="{00000000-0005-0000-0000-0000A2960000}"/>
    <cellStyle name="Normal 3 7 2" xfId="38560" xr:uid="{00000000-0005-0000-0000-0000A3960000}"/>
    <cellStyle name="Normal 3 8" xfId="38561" xr:uid="{00000000-0005-0000-0000-0000A4960000}"/>
    <cellStyle name="Normal 3 8 2" xfId="38562" xr:uid="{00000000-0005-0000-0000-0000A5960000}"/>
    <cellStyle name="Normal 3 9" xfId="38563" xr:uid="{00000000-0005-0000-0000-0000A6960000}"/>
    <cellStyle name="Normal 3 9 2" xfId="38564" xr:uid="{00000000-0005-0000-0000-0000A7960000}"/>
    <cellStyle name="Normal 30" xfId="38565" xr:uid="{00000000-0005-0000-0000-0000A8960000}"/>
    <cellStyle name="Normal 31" xfId="38566" xr:uid="{00000000-0005-0000-0000-0000A9960000}"/>
    <cellStyle name="Normal 32" xfId="38567" xr:uid="{00000000-0005-0000-0000-0000AA960000}"/>
    <cellStyle name="Normal 33" xfId="38568" xr:uid="{00000000-0005-0000-0000-0000AB960000}"/>
    <cellStyle name="Normal 34" xfId="38569" xr:uid="{00000000-0005-0000-0000-0000AC960000}"/>
    <cellStyle name="Normal 35" xfId="38570" xr:uid="{00000000-0005-0000-0000-0000AD960000}"/>
    <cellStyle name="Normal 36" xfId="38571" xr:uid="{00000000-0005-0000-0000-0000AE960000}"/>
    <cellStyle name="Normal 37" xfId="38572" xr:uid="{00000000-0005-0000-0000-0000AF960000}"/>
    <cellStyle name="Normal 38" xfId="38573" xr:uid="{00000000-0005-0000-0000-0000B0960000}"/>
    <cellStyle name="Normal 39" xfId="38574" xr:uid="{00000000-0005-0000-0000-0000B1960000}"/>
    <cellStyle name="Normal 4" xfId="38575" xr:uid="{00000000-0005-0000-0000-0000B2960000}"/>
    <cellStyle name="Normal 4 10" xfId="38576" xr:uid="{00000000-0005-0000-0000-0000B3960000}"/>
    <cellStyle name="Normal 4 10 2" xfId="38577" xr:uid="{00000000-0005-0000-0000-0000B4960000}"/>
    <cellStyle name="Normal 4 10 2 2" xfId="38578" xr:uid="{00000000-0005-0000-0000-0000B5960000}"/>
    <cellStyle name="Normal 4 10 3" xfId="38579" xr:uid="{00000000-0005-0000-0000-0000B6960000}"/>
    <cellStyle name="Normal 4 10 4" xfId="38580" xr:uid="{00000000-0005-0000-0000-0000B7960000}"/>
    <cellStyle name="Normal 4 11" xfId="38581" xr:uid="{00000000-0005-0000-0000-0000B8960000}"/>
    <cellStyle name="Normal 4 11 2" xfId="38582" xr:uid="{00000000-0005-0000-0000-0000B9960000}"/>
    <cellStyle name="Normal 4 11 3" xfId="38583" xr:uid="{00000000-0005-0000-0000-0000BA960000}"/>
    <cellStyle name="Normal 4 12" xfId="38584" xr:uid="{00000000-0005-0000-0000-0000BB960000}"/>
    <cellStyle name="Normal 4 13" xfId="38585" xr:uid="{00000000-0005-0000-0000-0000BC960000}"/>
    <cellStyle name="Normal 4 13 2" xfId="38586" xr:uid="{00000000-0005-0000-0000-0000BD960000}"/>
    <cellStyle name="Normal 4 14" xfId="38587" xr:uid="{00000000-0005-0000-0000-0000BE960000}"/>
    <cellStyle name="Normal 4 15" xfId="38588" xr:uid="{00000000-0005-0000-0000-0000BF960000}"/>
    <cellStyle name="Normal 4 16" xfId="38589" xr:uid="{00000000-0005-0000-0000-0000C0960000}"/>
    <cellStyle name="Normal 4 17" xfId="38590" xr:uid="{00000000-0005-0000-0000-0000C1960000}"/>
    <cellStyle name="Normal 4 18" xfId="38591" xr:uid="{00000000-0005-0000-0000-0000C2960000}"/>
    <cellStyle name="Normal 4 18 2" xfId="38592" xr:uid="{00000000-0005-0000-0000-0000C3960000}"/>
    <cellStyle name="Normal 4 19" xfId="38593" xr:uid="{00000000-0005-0000-0000-0000C4960000}"/>
    <cellStyle name="Normal 4 2" xfId="38594" xr:uid="{00000000-0005-0000-0000-0000C5960000}"/>
    <cellStyle name="Normal 4 2 10" xfId="38595" xr:uid="{00000000-0005-0000-0000-0000C6960000}"/>
    <cellStyle name="Normal 4 2 10 2" xfId="38596" xr:uid="{00000000-0005-0000-0000-0000C7960000}"/>
    <cellStyle name="Normal 4 2 11" xfId="38597" xr:uid="{00000000-0005-0000-0000-0000C8960000}"/>
    <cellStyle name="Normal 4 2 11 2" xfId="38598" xr:uid="{00000000-0005-0000-0000-0000C9960000}"/>
    <cellStyle name="Normal 4 2 12" xfId="38599" xr:uid="{00000000-0005-0000-0000-0000CA960000}"/>
    <cellStyle name="Normal 4 2 12 2" xfId="38600" xr:uid="{00000000-0005-0000-0000-0000CB960000}"/>
    <cellStyle name="Normal 4 2 13" xfId="38601" xr:uid="{00000000-0005-0000-0000-0000CC960000}"/>
    <cellStyle name="Normal 4 2 13 2" xfId="38602" xr:uid="{00000000-0005-0000-0000-0000CD960000}"/>
    <cellStyle name="Normal 4 2 14" xfId="38603" xr:uid="{00000000-0005-0000-0000-0000CE960000}"/>
    <cellStyle name="Normal 4 2 14 2" xfId="38604" xr:uid="{00000000-0005-0000-0000-0000CF960000}"/>
    <cellStyle name="Normal 4 2 15" xfId="38605" xr:uid="{00000000-0005-0000-0000-0000D0960000}"/>
    <cellStyle name="Normal 4 2 15 2" xfId="38606" xr:uid="{00000000-0005-0000-0000-0000D1960000}"/>
    <cellStyle name="Normal 4 2 16" xfId="38607" xr:uid="{00000000-0005-0000-0000-0000D2960000}"/>
    <cellStyle name="Normal 4 2 16 2" xfId="38608" xr:uid="{00000000-0005-0000-0000-0000D3960000}"/>
    <cellStyle name="Normal 4 2 17" xfId="38609" xr:uid="{00000000-0005-0000-0000-0000D4960000}"/>
    <cellStyle name="Normal 4 2 18" xfId="38610" xr:uid="{00000000-0005-0000-0000-0000D5960000}"/>
    <cellStyle name="Normal 4 2 19" xfId="38611" xr:uid="{00000000-0005-0000-0000-0000D6960000}"/>
    <cellStyle name="Normal 4 2 2" xfId="38612" xr:uid="{00000000-0005-0000-0000-0000D7960000}"/>
    <cellStyle name="Normal 4 2 2 2" xfId="38613" xr:uid="{00000000-0005-0000-0000-0000D8960000}"/>
    <cellStyle name="Normal 4 2 2 3" xfId="38614" xr:uid="{00000000-0005-0000-0000-0000D9960000}"/>
    <cellStyle name="Normal 4 2 2 4" xfId="38615" xr:uid="{00000000-0005-0000-0000-0000DA960000}"/>
    <cellStyle name="Normal 4 2 20" xfId="38616" xr:uid="{00000000-0005-0000-0000-0000DB960000}"/>
    <cellStyle name="Normal 4 2 21" xfId="38617" xr:uid="{00000000-0005-0000-0000-0000DC960000}"/>
    <cellStyle name="Normal 4 2 22" xfId="38618" xr:uid="{00000000-0005-0000-0000-0000DD960000}"/>
    <cellStyle name="Normal 4 2 23" xfId="38619" xr:uid="{00000000-0005-0000-0000-0000DE960000}"/>
    <cellStyle name="Normal 4 2 24" xfId="38620" xr:uid="{00000000-0005-0000-0000-0000DF960000}"/>
    <cellStyle name="Normal 4 2 25" xfId="38621" xr:uid="{00000000-0005-0000-0000-0000E0960000}"/>
    <cellStyle name="Normal 4 2 26" xfId="38622" xr:uid="{00000000-0005-0000-0000-0000E1960000}"/>
    <cellStyle name="Normal 4 2 27" xfId="38623" xr:uid="{00000000-0005-0000-0000-0000E2960000}"/>
    <cellStyle name="Normal 4 2 28" xfId="38624" xr:uid="{00000000-0005-0000-0000-0000E3960000}"/>
    <cellStyle name="Normal 4 2 29" xfId="38625" xr:uid="{00000000-0005-0000-0000-0000E4960000}"/>
    <cellStyle name="Normal 4 2 3" xfId="38626" xr:uid="{00000000-0005-0000-0000-0000E5960000}"/>
    <cellStyle name="Normal 4 2 3 2" xfId="38627" xr:uid="{00000000-0005-0000-0000-0000E6960000}"/>
    <cellStyle name="Normal 4 2 3 3" xfId="38628" xr:uid="{00000000-0005-0000-0000-0000E7960000}"/>
    <cellStyle name="Normal 4 2 30" xfId="38629" xr:uid="{00000000-0005-0000-0000-0000E8960000}"/>
    <cellStyle name="Normal 4 2 31" xfId="38630" xr:uid="{00000000-0005-0000-0000-0000E9960000}"/>
    <cellStyle name="Normal 4 2 32" xfId="38631" xr:uid="{00000000-0005-0000-0000-0000EA960000}"/>
    <cellStyle name="Normal 4 2 33" xfId="38632" xr:uid="{00000000-0005-0000-0000-0000EB960000}"/>
    <cellStyle name="Normal 4 2 34" xfId="38633" xr:uid="{00000000-0005-0000-0000-0000EC960000}"/>
    <cellStyle name="Normal 4 2 35" xfId="38634" xr:uid="{00000000-0005-0000-0000-0000ED960000}"/>
    <cellStyle name="Normal 4 2 36" xfId="38635" xr:uid="{00000000-0005-0000-0000-0000EE960000}"/>
    <cellStyle name="Normal 4 2 37" xfId="38636" xr:uid="{00000000-0005-0000-0000-0000EF960000}"/>
    <cellStyle name="Normal 4 2 38" xfId="38637" xr:uid="{00000000-0005-0000-0000-0000F0960000}"/>
    <cellStyle name="Normal 4 2 39" xfId="38638" xr:uid="{00000000-0005-0000-0000-0000F1960000}"/>
    <cellStyle name="Normal 4 2 4" xfId="38639" xr:uid="{00000000-0005-0000-0000-0000F2960000}"/>
    <cellStyle name="Normal 4 2 4 2" xfId="38640" xr:uid="{00000000-0005-0000-0000-0000F3960000}"/>
    <cellStyle name="Normal 4 2 40" xfId="38641" xr:uid="{00000000-0005-0000-0000-0000F4960000}"/>
    <cellStyle name="Normal 4 2 41" xfId="38642" xr:uid="{00000000-0005-0000-0000-0000F5960000}"/>
    <cellStyle name="Normal 4 2 42" xfId="38643" xr:uid="{00000000-0005-0000-0000-0000F6960000}"/>
    <cellStyle name="Normal 4 2 43" xfId="38644" xr:uid="{00000000-0005-0000-0000-0000F7960000}"/>
    <cellStyle name="Normal 4 2 44" xfId="38645" xr:uid="{00000000-0005-0000-0000-0000F8960000}"/>
    <cellStyle name="Normal 4 2 45" xfId="38646" xr:uid="{00000000-0005-0000-0000-0000F9960000}"/>
    <cellStyle name="Normal 4 2 46" xfId="38647" xr:uid="{00000000-0005-0000-0000-0000FA960000}"/>
    <cellStyle name="Normal 4 2 47" xfId="38648" xr:uid="{00000000-0005-0000-0000-0000FB960000}"/>
    <cellStyle name="Normal 4 2 48" xfId="38649" xr:uid="{00000000-0005-0000-0000-0000FC960000}"/>
    <cellStyle name="Normal 4 2 49" xfId="38650" xr:uid="{00000000-0005-0000-0000-0000FD960000}"/>
    <cellStyle name="Normal 4 2 5" xfId="38651" xr:uid="{00000000-0005-0000-0000-0000FE960000}"/>
    <cellStyle name="Normal 4 2 5 2" xfId="38652" xr:uid="{00000000-0005-0000-0000-0000FF960000}"/>
    <cellStyle name="Normal 4 2 50" xfId="38653" xr:uid="{00000000-0005-0000-0000-000000970000}"/>
    <cellStyle name="Normal 4 2 6" xfId="38654" xr:uid="{00000000-0005-0000-0000-000001970000}"/>
    <cellStyle name="Normal 4 2 6 2" xfId="38655" xr:uid="{00000000-0005-0000-0000-000002970000}"/>
    <cellStyle name="Normal 4 2 7" xfId="38656" xr:uid="{00000000-0005-0000-0000-000003970000}"/>
    <cellStyle name="Normal 4 2 7 2" xfId="38657" xr:uid="{00000000-0005-0000-0000-000004970000}"/>
    <cellStyle name="Normal 4 2 8" xfId="38658" xr:uid="{00000000-0005-0000-0000-000005970000}"/>
    <cellStyle name="Normal 4 2 8 2" xfId="38659" xr:uid="{00000000-0005-0000-0000-000006970000}"/>
    <cellStyle name="Normal 4 2 9" xfId="38660" xr:uid="{00000000-0005-0000-0000-000007970000}"/>
    <cellStyle name="Normal 4 2 9 2" xfId="38661" xr:uid="{00000000-0005-0000-0000-000008970000}"/>
    <cellStyle name="Normal 4 20" xfId="38662" xr:uid="{00000000-0005-0000-0000-000009970000}"/>
    <cellStyle name="Normal 4 21" xfId="38663" xr:uid="{00000000-0005-0000-0000-00000A970000}"/>
    <cellStyle name="Normal 4 22" xfId="38664" xr:uid="{00000000-0005-0000-0000-00000B970000}"/>
    <cellStyle name="Normal 4 22 2" xfId="38665" xr:uid="{00000000-0005-0000-0000-00000C970000}"/>
    <cellStyle name="Normal 4 23" xfId="38666" xr:uid="{00000000-0005-0000-0000-00000D970000}"/>
    <cellStyle name="Normal 4 24" xfId="38667" xr:uid="{00000000-0005-0000-0000-00000E970000}"/>
    <cellStyle name="Normal 4 25" xfId="38668" xr:uid="{00000000-0005-0000-0000-00000F970000}"/>
    <cellStyle name="Normal 4 3" xfId="38669" xr:uid="{00000000-0005-0000-0000-000010970000}"/>
    <cellStyle name="Normal 4 3 2" xfId="38670" xr:uid="{00000000-0005-0000-0000-000011970000}"/>
    <cellStyle name="Normal 4 3 3" xfId="38671" xr:uid="{00000000-0005-0000-0000-000012970000}"/>
    <cellStyle name="Normal 4 3 4" xfId="38672" xr:uid="{00000000-0005-0000-0000-000013970000}"/>
    <cellStyle name="Normal 4 3 5" xfId="38673" xr:uid="{00000000-0005-0000-0000-000014970000}"/>
    <cellStyle name="Normal 4 3 6" xfId="38674" xr:uid="{00000000-0005-0000-0000-000015970000}"/>
    <cellStyle name="Normal 4 3 7" xfId="38675" xr:uid="{00000000-0005-0000-0000-000016970000}"/>
    <cellStyle name="Normal 4 3 7 2" xfId="38676" xr:uid="{00000000-0005-0000-0000-000017970000}"/>
    <cellStyle name="Normal 4 3 8" xfId="38677" xr:uid="{00000000-0005-0000-0000-000018970000}"/>
    <cellStyle name="Normal 4 4" xfId="38678" xr:uid="{00000000-0005-0000-0000-000019970000}"/>
    <cellStyle name="Normal 4 4 10" xfId="38679" xr:uid="{00000000-0005-0000-0000-00001A970000}"/>
    <cellStyle name="Normal 4 4 2" xfId="38680" xr:uid="{00000000-0005-0000-0000-00001B970000}"/>
    <cellStyle name="Normal 4 4 2 2" xfId="38681" xr:uid="{00000000-0005-0000-0000-00001C970000}"/>
    <cellStyle name="Normal 4 4 2 2 2" xfId="38682" xr:uid="{00000000-0005-0000-0000-00001D970000}"/>
    <cellStyle name="Normal 4 4 2 2 2 2" xfId="38683" xr:uid="{00000000-0005-0000-0000-00001E970000}"/>
    <cellStyle name="Normal 4 4 2 2 2 3" xfId="38684" xr:uid="{00000000-0005-0000-0000-00001F970000}"/>
    <cellStyle name="Normal 4 4 2 2 3" xfId="38685" xr:uid="{00000000-0005-0000-0000-000020970000}"/>
    <cellStyle name="Normal 4 4 2 2 4" xfId="38686" xr:uid="{00000000-0005-0000-0000-000021970000}"/>
    <cellStyle name="Normal 4 4 2 2 5" xfId="38687" xr:uid="{00000000-0005-0000-0000-000022970000}"/>
    <cellStyle name="Normal 4 4 2 2 6" xfId="38688" xr:uid="{00000000-0005-0000-0000-000023970000}"/>
    <cellStyle name="Normal 4 4 2 3" xfId="38689" xr:uid="{00000000-0005-0000-0000-000024970000}"/>
    <cellStyle name="Normal 4 4 2 3 2" xfId="38690" xr:uid="{00000000-0005-0000-0000-000025970000}"/>
    <cellStyle name="Normal 4 4 2 3 2 2" xfId="38691" xr:uid="{00000000-0005-0000-0000-000026970000}"/>
    <cellStyle name="Normal 4 4 2 3 3" xfId="38692" xr:uid="{00000000-0005-0000-0000-000027970000}"/>
    <cellStyle name="Normal 4 4 2 3 4" xfId="38693" xr:uid="{00000000-0005-0000-0000-000028970000}"/>
    <cellStyle name="Normal 4 4 2 3 5" xfId="38694" xr:uid="{00000000-0005-0000-0000-000029970000}"/>
    <cellStyle name="Normal 4 4 2 4" xfId="38695" xr:uid="{00000000-0005-0000-0000-00002A970000}"/>
    <cellStyle name="Normal 4 4 2 4 2" xfId="38696" xr:uid="{00000000-0005-0000-0000-00002B970000}"/>
    <cellStyle name="Normal 4 4 2 4 3" xfId="38697" xr:uid="{00000000-0005-0000-0000-00002C970000}"/>
    <cellStyle name="Normal 4 4 2 4 4" xfId="38698" xr:uid="{00000000-0005-0000-0000-00002D970000}"/>
    <cellStyle name="Normal 4 4 2 5" xfId="38699" xr:uid="{00000000-0005-0000-0000-00002E970000}"/>
    <cellStyle name="Normal 4 4 2 5 2" xfId="38700" xr:uid="{00000000-0005-0000-0000-00002F970000}"/>
    <cellStyle name="Normal 4 4 2 6" xfId="38701" xr:uid="{00000000-0005-0000-0000-000030970000}"/>
    <cellStyle name="Normal 4 4 2 7" xfId="38702" xr:uid="{00000000-0005-0000-0000-000031970000}"/>
    <cellStyle name="Normal 4 4 2 8" xfId="38703" xr:uid="{00000000-0005-0000-0000-000032970000}"/>
    <cellStyle name="Normal 4 4 2 9" xfId="38704" xr:uid="{00000000-0005-0000-0000-000033970000}"/>
    <cellStyle name="Normal 4 4 3" xfId="38705" xr:uid="{00000000-0005-0000-0000-000034970000}"/>
    <cellStyle name="Normal 4 4 3 2" xfId="38706" xr:uid="{00000000-0005-0000-0000-000035970000}"/>
    <cellStyle name="Normal 4 4 3 2 2" xfId="38707" xr:uid="{00000000-0005-0000-0000-000036970000}"/>
    <cellStyle name="Normal 4 4 3 2 3" xfId="38708" xr:uid="{00000000-0005-0000-0000-000037970000}"/>
    <cellStyle name="Normal 4 4 3 3" xfId="38709" xr:uid="{00000000-0005-0000-0000-000038970000}"/>
    <cellStyle name="Normal 4 4 3 4" xfId="38710" xr:uid="{00000000-0005-0000-0000-000039970000}"/>
    <cellStyle name="Normal 4 4 3 5" xfId="38711" xr:uid="{00000000-0005-0000-0000-00003A970000}"/>
    <cellStyle name="Normal 4 4 3 6" xfId="38712" xr:uid="{00000000-0005-0000-0000-00003B970000}"/>
    <cellStyle name="Normal 4 4 4" xfId="38713" xr:uid="{00000000-0005-0000-0000-00003C970000}"/>
    <cellStyle name="Normal 4 4 4 2" xfId="38714" xr:uid="{00000000-0005-0000-0000-00003D970000}"/>
    <cellStyle name="Normal 4 4 4 2 2" xfId="38715" xr:uid="{00000000-0005-0000-0000-00003E970000}"/>
    <cellStyle name="Normal 4 4 4 3" xfId="38716" xr:uid="{00000000-0005-0000-0000-00003F970000}"/>
    <cellStyle name="Normal 4 4 4 4" xfId="38717" xr:uid="{00000000-0005-0000-0000-000040970000}"/>
    <cellStyle name="Normal 4 4 4 5" xfId="38718" xr:uid="{00000000-0005-0000-0000-000041970000}"/>
    <cellStyle name="Normal 4 4 5" xfId="38719" xr:uid="{00000000-0005-0000-0000-000042970000}"/>
    <cellStyle name="Normal 4 4 5 2" xfId="38720" xr:uid="{00000000-0005-0000-0000-000043970000}"/>
    <cellStyle name="Normal 4 4 5 3" xfId="38721" xr:uid="{00000000-0005-0000-0000-000044970000}"/>
    <cellStyle name="Normal 4 4 5 4" xfId="38722" xr:uid="{00000000-0005-0000-0000-000045970000}"/>
    <cellStyle name="Normal 4 4 6" xfId="38723" xr:uid="{00000000-0005-0000-0000-000046970000}"/>
    <cellStyle name="Normal 4 4 6 2" xfId="38724" xr:uid="{00000000-0005-0000-0000-000047970000}"/>
    <cellStyle name="Normal 4 4 6 3" xfId="38725" xr:uid="{00000000-0005-0000-0000-000048970000}"/>
    <cellStyle name="Normal 4 4 7" xfId="38726" xr:uid="{00000000-0005-0000-0000-000049970000}"/>
    <cellStyle name="Normal 4 4 8" xfId="38727" xr:uid="{00000000-0005-0000-0000-00004A970000}"/>
    <cellStyle name="Normal 4 4 9" xfId="38728" xr:uid="{00000000-0005-0000-0000-00004B970000}"/>
    <cellStyle name="Normal 4 5" xfId="38729" xr:uid="{00000000-0005-0000-0000-00004C970000}"/>
    <cellStyle name="Normal 4 5 2" xfId="38730" xr:uid="{00000000-0005-0000-0000-00004D970000}"/>
    <cellStyle name="Normal 4 5 2 2" xfId="38731" xr:uid="{00000000-0005-0000-0000-00004E970000}"/>
    <cellStyle name="Normal 4 5 2 2 2" xfId="38732" xr:uid="{00000000-0005-0000-0000-00004F970000}"/>
    <cellStyle name="Normal 4 5 2 2 3" xfId="38733" xr:uid="{00000000-0005-0000-0000-000050970000}"/>
    <cellStyle name="Normal 4 5 2 3" xfId="38734" xr:uid="{00000000-0005-0000-0000-000051970000}"/>
    <cellStyle name="Normal 4 5 2 4" xfId="38735" xr:uid="{00000000-0005-0000-0000-000052970000}"/>
    <cellStyle name="Normal 4 5 2 5" xfId="38736" xr:uid="{00000000-0005-0000-0000-000053970000}"/>
    <cellStyle name="Normal 4 5 2 6" xfId="38737" xr:uid="{00000000-0005-0000-0000-000054970000}"/>
    <cellStyle name="Normal 4 5 3" xfId="38738" xr:uid="{00000000-0005-0000-0000-000055970000}"/>
    <cellStyle name="Normal 4 5 3 2" xfId="38739" xr:uid="{00000000-0005-0000-0000-000056970000}"/>
    <cellStyle name="Normal 4 5 3 2 2" xfId="38740" xr:uid="{00000000-0005-0000-0000-000057970000}"/>
    <cellStyle name="Normal 4 5 3 3" xfId="38741" xr:uid="{00000000-0005-0000-0000-000058970000}"/>
    <cellStyle name="Normal 4 5 3 4" xfId="38742" xr:uid="{00000000-0005-0000-0000-000059970000}"/>
    <cellStyle name="Normal 4 5 3 5" xfId="38743" xr:uid="{00000000-0005-0000-0000-00005A970000}"/>
    <cellStyle name="Normal 4 5 4" xfId="38744" xr:uid="{00000000-0005-0000-0000-00005B970000}"/>
    <cellStyle name="Normal 4 5 4 2" xfId="38745" xr:uid="{00000000-0005-0000-0000-00005C970000}"/>
    <cellStyle name="Normal 4 5 4 3" xfId="38746" xr:uid="{00000000-0005-0000-0000-00005D970000}"/>
    <cellStyle name="Normal 4 5 4 4" xfId="38747" xr:uid="{00000000-0005-0000-0000-00005E970000}"/>
    <cellStyle name="Normal 4 5 5" xfId="38748" xr:uid="{00000000-0005-0000-0000-00005F970000}"/>
    <cellStyle name="Normal 4 5 5 2" xfId="38749" xr:uid="{00000000-0005-0000-0000-000060970000}"/>
    <cellStyle name="Normal 4 5 6" xfId="38750" xr:uid="{00000000-0005-0000-0000-000061970000}"/>
    <cellStyle name="Normal 4 5 7" xfId="38751" xr:uid="{00000000-0005-0000-0000-000062970000}"/>
    <cellStyle name="Normal 4 5 8" xfId="38752" xr:uid="{00000000-0005-0000-0000-000063970000}"/>
    <cellStyle name="Normal 4 5 9" xfId="38753" xr:uid="{00000000-0005-0000-0000-000064970000}"/>
    <cellStyle name="Normal 4 6" xfId="38754" xr:uid="{00000000-0005-0000-0000-000065970000}"/>
    <cellStyle name="Normal 4 6 2" xfId="38755" xr:uid="{00000000-0005-0000-0000-000066970000}"/>
    <cellStyle name="Normal 4 6 2 2" xfId="38756" xr:uid="{00000000-0005-0000-0000-000067970000}"/>
    <cellStyle name="Normal 4 6 2 3" xfId="38757" xr:uid="{00000000-0005-0000-0000-000068970000}"/>
    <cellStyle name="Normal 4 6 2 4" xfId="38758" xr:uid="{00000000-0005-0000-0000-000069970000}"/>
    <cellStyle name="Normal 4 6 3" xfId="38759" xr:uid="{00000000-0005-0000-0000-00006A970000}"/>
    <cellStyle name="Normal 4 6 3 2" xfId="38760" xr:uid="{00000000-0005-0000-0000-00006B970000}"/>
    <cellStyle name="Normal 4 6 4" xfId="38761" xr:uid="{00000000-0005-0000-0000-00006C970000}"/>
    <cellStyle name="Normal 4 6 5" xfId="38762" xr:uid="{00000000-0005-0000-0000-00006D970000}"/>
    <cellStyle name="Normal 4 6 6" xfId="38763" xr:uid="{00000000-0005-0000-0000-00006E970000}"/>
    <cellStyle name="Normal 4 6 7" xfId="38764" xr:uid="{00000000-0005-0000-0000-00006F970000}"/>
    <cellStyle name="Normal 4 7" xfId="38765" xr:uid="{00000000-0005-0000-0000-000070970000}"/>
    <cellStyle name="Normal 4 7 2" xfId="38766" xr:uid="{00000000-0005-0000-0000-000071970000}"/>
    <cellStyle name="Normal 4 7 2 2" xfId="38767" xr:uid="{00000000-0005-0000-0000-000072970000}"/>
    <cellStyle name="Normal 4 7 3" xfId="38768" xr:uid="{00000000-0005-0000-0000-000073970000}"/>
    <cellStyle name="Normal 4 7 4" xfId="38769" xr:uid="{00000000-0005-0000-0000-000074970000}"/>
    <cellStyle name="Normal 4 7 5" xfId="38770" xr:uid="{00000000-0005-0000-0000-000075970000}"/>
    <cellStyle name="Normal 4 7 6" xfId="38771" xr:uid="{00000000-0005-0000-0000-000076970000}"/>
    <cellStyle name="Normal 4 8" xfId="38772" xr:uid="{00000000-0005-0000-0000-000077970000}"/>
    <cellStyle name="Normal 4 8 2" xfId="38773" xr:uid="{00000000-0005-0000-0000-000078970000}"/>
    <cellStyle name="Normal 4 8 2 2" xfId="38774" xr:uid="{00000000-0005-0000-0000-000079970000}"/>
    <cellStyle name="Normal 4 8 2 3" xfId="38775" xr:uid="{00000000-0005-0000-0000-00007A970000}"/>
    <cellStyle name="Normal 4 8 3" xfId="38776" xr:uid="{00000000-0005-0000-0000-00007B970000}"/>
    <cellStyle name="Normal 4 8 4" xfId="38777" xr:uid="{00000000-0005-0000-0000-00007C970000}"/>
    <cellStyle name="Normal 4 8 5" xfId="38778" xr:uid="{00000000-0005-0000-0000-00007D970000}"/>
    <cellStyle name="Normal 4 9" xfId="38779" xr:uid="{00000000-0005-0000-0000-00007E970000}"/>
    <cellStyle name="Normal 4 9 2" xfId="38780" xr:uid="{00000000-0005-0000-0000-00007F970000}"/>
    <cellStyle name="Normal 4 9 2 2" xfId="38781" xr:uid="{00000000-0005-0000-0000-000080970000}"/>
    <cellStyle name="Normal 4 9 3" xfId="38782" xr:uid="{00000000-0005-0000-0000-000081970000}"/>
    <cellStyle name="Normal 4 9 4" xfId="38783" xr:uid="{00000000-0005-0000-0000-000082970000}"/>
    <cellStyle name="Normal 4 9 5" xfId="38784" xr:uid="{00000000-0005-0000-0000-000083970000}"/>
    <cellStyle name="Normal 40" xfId="38785" xr:uid="{00000000-0005-0000-0000-000084970000}"/>
    <cellStyle name="Normal 41" xfId="38786" xr:uid="{00000000-0005-0000-0000-000085970000}"/>
    <cellStyle name="Normal 42" xfId="38787" xr:uid="{00000000-0005-0000-0000-000086970000}"/>
    <cellStyle name="Normal 43" xfId="38788" xr:uid="{00000000-0005-0000-0000-000087970000}"/>
    <cellStyle name="Normal 44" xfId="38789" xr:uid="{00000000-0005-0000-0000-000088970000}"/>
    <cellStyle name="Normal 45" xfId="38790" xr:uid="{00000000-0005-0000-0000-000089970000}"/>
    <cellStyle name="Normal 46" xfId="38791" xr:uid="{00000000-0005-0000-0000-00008A970000}"/>
    <cellStyle name="Normal 47" xfId="38792" xr:uid="{00000000-0005-0000-0000-00008B970000}"/>
    <cellStyle name="Normal 48" xfId="38793" xr:uid="{00000000-0005-0000-0000-00008C970000}"/>
    <cellStyle name="Normal 49" xfId="38794" xr:uid="{00000000-0005-0000-0000-00008D970000}"/>
    <cellStyle name="Normal 5" xfId="38795" xr:uid="{00000000-0005-0000-0000-00008E970000}"/>
    <cellStyle name="Normal 5 2" xfId="38796" xr:uid="{00000000-0005-0000-0000-00008F970000}"/>
    <cellStyle name="Normal 5 2 2" xfId="38797" xr:uid="{00000000-0005-0000-0000-000090970000}"/>
    <cellStyle name="Normal 5 2 3" xfId="38798" xr:uid="{00000000-0005-0000-0000-000091970000}"/>
    <cellStyle name="Normal 5 2 4" xfId="38799" xr:uid="{00000000-0005-0000-0000-000092970000}"/>
    <cellStyle name="Normal 5 3" xfId="38800" xr:uid="{00000000-0005-0000-0000-000093970000}"/>
    <cellStyle name="Normal 5 3 2" xfId="38801" xr:uid="{00000000-0005-0000-0000-000094970000}"/>
    <cellStyle name="Normal 5 3 3" xfId="38802" xr:uid="{00000000-0005-0000-0000-000095970000}"/>
    <cellStyle name="Normal 5 4" xfId="38803" xr:uid="{00000000-0005-0000-0000-000096970000}"/>
    <cellStyle name="Normal 5 5" xfId="38804" xr:uid="{00000000-0005-0000-0000-000097970000}"/>
    <cellStyle name="Normal 5 6" xfId="38805" xr:uid="{00000000-0005-0000-0000-000098970000}"/>
    <cellStyle name="Normal 5 7" xfId="38806" xr:uid="{00000000-0005-0000-0000-000099970000}"/>
    <cellStyle name="Normal 5 8" xfId="38807" xr:uid="{00000000-0005-0000-0000-00009A970000}"/>
    <cellStyle name="Normal 5 9" xfId="38808" xr:uid="{00000000-0005-0000-0000-00009B970000}"/>
    <cellStyle name="Normal 50" xfId="38809" xr:uid="{00000000-0005-0000-0000-00009C970000}"/>
    <cellStyle name="Normal 51" xfId="38810" xr:uid="{00000000-0005-0000-0000-00009D970000}"/>
    <cellStyle name="Normal 52" xfId="38811" xr:uid="{00000000-0005-0000-0000-00009E970000}"/>
    <cellStyle name="Normal 53" xfId="38812" xr:uid="{00000000-0005-0000-0000-00009F970000}"/>
    <cellStyle name="Normal 54" xfId="38813" xr:uid="{00000000-0005-0000-0000-0000A0970000}"/>
    <cellStyle name="Normal 55" xfId="38814" xr:uid="{00000000-0005-0000-0000-0000A1970000}"/>
    <cellStyle name="Normal 56" xfId="38815" xr:uid="{00000000-0005-0000-0000-0000A2970000}"/>
    <cellStyle name="Normal 57" xfId="38816" xr:uid="{00000000-0005-0000-0000-0000A3970000}"/>
    <cellStyle name="Normal 58" xfId="38817" xr:uid="{00000000-0005-0000-0000-0000A4970000}"/>
    <cellStyle name="Normal 59" xfId="38818" xr:uid="{00000000-0005-0000-0000-0000A5970000}"/>
    <cellStyle name="Normal 6" xfId="38819" xr:uid="{00000000-0005-0000-0000-0000A6970000}"/>
    <cellStyle name="Normal 6 10" xfId="38820" xr:uid="{00000000-0005-0000-0000-0000A7970000}"/>
    <cellStyle name="Normal 6 10 10" xfId="38821" xr:uid="{00000000-0005-0000-0000-0000A8970000}"/>
    <cellStyle name="Normal 6 10 2" xfId="38822" xr:uid="{00000000-0005-0000-0000-0000A9970000}"/>
    <cellStyle name="Normal 6 10 2 2" xfId="38823" xr:uid="{00000000-0005-0000-0000-0000AA970000}"/>
    <cellStyle name="Normal 6 10 2 2 2" xfId="38824" xr:uid="{00000000-0005-0000-0000-0000AB970000}"/>
    <cellStyle name="Normal 6 10 2 2 3" xfId="38825" xr:uid="{00000000-0005-0000-0000-0000AC970000}"/>
    <cellStyle name="Normal 6 10 2 3" xfId="38826" xr:uid="{00000000-0005-0000-0000-0000AD970000}"/>
    <cellStyle name="Normal 6 10 2 4" xfId="38827" xr:uid="{00000000-0005-0000-0000-0000AE970000}"/>
    <cellStyle name="Normal 6 10 2 5" xfId="38828" xr:uid="{00000000-0005-0000-0000-0000AF970000}"/>
    <cellStyle name="Normal 6 10 2 6" xfId="38829" xr:uid="{00000000-0005-0000-0000-0000B0970000}"/>
    <cellStyle name="Normal 6 10 3" xfId="38830" xr:uid="{00000000-0005-0000-0000-0000B1970000}"/>
    <cellStyle name="Normal 6 10 3 2" xfId="38831" xr:uid="{00000000-0005-0000-0000-0000B2970000}"/>
    <cellStyle name="Normal 6 10 3 2 2" xfId="38832" xr:uid="{00000000-0005-0000-0000-0000B3970000}"/>
    <cellStyle name="Normal 6 10 3 2 3" xfId="38833" xr:uid="{00000000-0005-0000-0000-0000B4970000}"/>
    <cellStyle name="Normal 6 10 3 3" xfId="38834" xr:uid="{00000000-0005-0000-0000-0000B5970000}"/>
    <cellStyle name="Normal 6 10 3 4" xfId="38835" xr:uid="{00000000-0005-0000-0000-0000B6970000}"/>
    <cellStyle name="Normal 6 10 3 5" xfId="38836" xr:uid="{00000000-0005-0000-0000-0000B7970000}"/>
    <cellStyle name="Normal 6 10 3 6" xfId="38837" xr:uid="{00000000-0005-0000-0000-0000B8970000}"/>
    <cellStyle name="Normal 6 10 4" xfId="38838" xr:uid="{00000000-0005-0000-0000-0000B9970000}"/>
    <cellStyle name="Normal 6 10 4 2" xfId="38839" xr:uid="{00000000-0005-0000-0000-0000BA970000}"/>
    <cellStyle name="Normal 6 10 4 2 2" xfId="38840" xr:uid="{00000000-0005-0000-0000-0000BB970000}"/>
    <cellStyle name="Normal 6 10 4 3" xfId="38841" xr:uid="{00000000-0005-0000-0000-0000BC970000}"/>
    <cellStyle name="Normal 6 10 4 4" xfId="38842" xr:uid="{00000000-0005-0000-0000-0000BD970000}"/>
    <cellStyle name="Normal 6 10 4 5" xfId="38843" xr:uid="{00000000-0005-0000-0000-0000BE970000}"/>
    <cellStyle name="Normal 6 10 5" xfId="38844" xr:uid="{00000000-0005-0000-0000-0000BF970000}"/>
    <cellStyle name="Normal 6 10 5 2" xfId="38845" xr:uid="{00000000-0005-0000-0000-0000C0970000}"/>
    <cellStyle name="Normal 6 10 5 3" xfId="38846" xr:uid="{00000000-0005-0000-0000-0000C1970000}"/>
    <cellStyle name="Normal 6 10 5 4" xfId="38847" xr:uid="{00000000-0005-0000-0000-0000C2970000}"/>
    <cellStyle name="Normal 6 10 6" xfId="38848" xr:uid="{00000000-0005-0000-0000-0000C3970000}"/>
    <cellStyle name="Normal 6 10 6 2" xfId="38849" xr:uid="{00000000-0005-0000-0000-0000C4970000}"/>
    <cellStyle name="Normal 6 10 7" xfId="38850" xr:uid="{00000000-0005-0000-0000-0000C5970000}"/>
    <cellStyle name="Normal 6 10 8" xfId="38851" xr:uid="{00000000-0005-0000-0000-0000C6970000}"/>
    <cellStyle name="Normal 6 10 9" xfId="38852" xr:uid="{00000000-0005-0000-0000-0000C7970000}"/>
    <cellStyle name="Normal 6 11" xfId="38853" xr:uid="{00000000-0005-0000-0000-0000C8970000}"/>
    <cellStyle name="Normal 6 11 10" xfId="38854" xr:uid="{00000000-0005-0000-0000-0000C9970000}"/>
    <cellStyle name="Normal 6 11 2" xfId="38855" xr:uid="{00000000-0005-0000-0000-0000CA970000}"/>
    <cellStyle name="Normal 6 11 2 2" xfId="38856" xr:uid="{00000000-0005-0000-0000-0000CB970000}"/>
    <cellStyle name="Normal 6 11 2 2 2" xfId="38857" xr:uid="{00000000-0005-0000-0000-0000CC970000}"/>
    <cellStyle name="Normal 6 11 2 2 3" xfId="38858" xr:uid="{00000000-0005-0000-0000-0000CD970000}"/>
    <cellStyle name="Normal 6 11 2 3" xfId="38859" xr:uid="{00000000-0005-0000-0000-0000CE970000}"/>
    <cellStyle name="Normal 6 11 2 4" xfId="38860" xr:uid="{00000000-0005-0000-0000-0000CF970000}"/>
    <cellStyle name="Normal 6 11 2 5" xfId="38861" xr:uid="{00000000-0005-0000-0000-0000D0970000}"/>
    <cellStyle name="Normal 6 11 2 6" xfId="38862" xr:uid="{00000000-0005-0000-0000-0000D1970000}"/>
    <cellStyle name="Normal 6 11 3" xfId="38863" xr:uid="{00000000-0005-0000-0000-0000D2970000}"/>
    <cellStyle name="Normal 6 11 3 2" xfId="38864" xr:uid="{00000000-0005-0000-0000-0000D3970000}"/>
    <cellStyle name="Normal 6 11 3 2 2" xfId="38865" xr:uid="{00000000-0005-0000-0000-0000D4970000}"/>
    <cellStyle name="Normal 6 11 3 2 3" xfId="38866" xr:uid="{00000000-0005-0000-0000-0000D5970000}"/>
    <cellStyle name="Normal 6 11 3 3" xfId="38867" xr:uid="{00000000-0005-0000-0000-0000D6970000}"/>
    <cellStyle name="Normal 6 11 3 4" xfId="38868" xr:uid="{00000000-0005-0000-0000-0000D7970000}"/>
    <cellStyle name="Normal 6 11 3 5" xfId="38869" xr:uid="{00000000-0005-0000-0000-0000D8970000}"/>
    <cellStyle name="Normal 6 11 3 6" xfId="38870" xr:uid="{00000000-0005-0000-0000-0000D9970000}"/>
    <cellStyle name="Normal 6 11 4" xfId="38871" xr:uid="{00000000-0005-0000-0000-0000DA970000}"/>
    <cellStyle name="Normal 6 11 4 2" xfId="38872" xr:uid="{00000000-0005-0000-0000-0000DB970000}"/>
    <cellStyle name="Normal 6 11 4 2 2" xfId="38873" xr:uid="{00000000-0005-0000-0000-0000DC970000}"/>
    <cellStyle name="Normal 6 11 4 3" xfId="38874" xr:uid="{00000000-0005-0000-0000-0000DD970000}"/>
    <cellStyle name="Normal 6 11 4 4" xfId="38875" xr:uid="{00000000-0005-0000-0000-0000DE970000}"/>
    <cellStyle name="Normal 6 11 4 5" xfId="38876" xr:uid="{00000000-0005-0000-0000-0000DF970000}"/>
    <cellStyle name="Normal 6 11 5" xfId="38877" xr:uid="{00000000-0005-0000-0000-0000E0970000}"/>
    <cellStyle name="Normal 6 11 5 2" xfId="38878" xr:uid="{00000000-0005-0000-0000-0000E1970000}"/>
    <cellStyle name="Normal 6 11 5 3" xfId="38879" xr:uid="{00000000-0005-0000-0000-0000E2970000}"/>
    <cellStyle name="Normal 6 11 5 4" xfId="38880" xr:uid="{00000000-0005-0000-0000-0000E3970000}"/>
    <cellStyle name="Normal 6 11 6" xfId="38881" xr:uid="{00000000-0005-0000-0000-0000E4970000}"/>
    <cellStyle name="Normal 6 11 6 2" xfId="38882" xr:uid="{00000000-0005-0000-0000-0000E5970000}"/>
    <cellStyle name="Normal 6 11 7" xfId="38883" xr:uid="{00000000-0005-0000-0000-0000E6970000}"/>
    <cellStyle name="Normal 6 11 8" xfId="38884" xr:uid="{00000000-0005-0000-0000-0000E7970000}"/>
    <cellStyle name="Normal 6 11 9" xfId="38885" xr:uid="{00000000-0005-0000-0000-0000E8970000}"/>
    <cellStyle name="Normal 6 12" xfId="38886" xr:uid="{00000000-0005-0000-0000-0000E9970000}"/>
    <cellStyle name="Normal 6 12 10" xfId="38887" xr:uid="{00000000-0005-0000-0000-0000EA970000}"/>
    <cellStyle name="Normal 6 12 2" xfId="38888" xr:uid="{00000000-0005-0000-0000-0000EB970000}"/>
    <cellStyle name="Normal 6 12 2 2" xfId="38889" xr:uid="{00000000-0005-0000-0000-0000EC970000}"/>
    <cellStyle name="Normal 6 12 2 2 2" xfId="38890" xr:uid="{00000000-0005-0000-0000-0000ED970000}"/>
    <cellStyle name="Normal 6 12 2 2 3" xfId="38891" xr:uid="{00000000-0005-0000-0000-0000EE970000}"/>
    <cellStyle name="Normal 6 12 2 3" xfId="38892" xr:uid="{00000000-0005-0000-0000-0000EF970000}"/>
    <cellStyle name="Normal 6 12 2 4" xfId="38893" xr:uid="{00000000-0005-0000-0000-0000F0970000}"/>
    <cellStyle name="Normal 6 12 2 5" xfId="38894" xr:uid="{00000000-0005-0000-0000-0000F1970000}"/>
    <cellStyle name="Normal 6 12 2 6" xfId="38895" xr:uid="{00000000-0005-0000-0000-0000F2970000}"/>
    <cellStyle name="Normal 6 12 3" xfId="38896" xr:uid="{00000000-0005-0000-0000-0000F3970000}"/>
    <cellStyle name="Normal 6 12 3 2" xfId="38897" xr:uid="{00000000-0005-0000-0000-0000F4970000}"/>
    <cellStyle name="Normal 6 12 3 2 2" xfId="38898" xr:uid="{00000000-0005-0000-0000-0000F5970000}"/>
    <cellStyle name="Normal 6 12 3 2 3" xfId="38899" xr:uid="{00000000-0005-0000-0000-0000F6970000}"/>
    <cellStyle name="Normal 6 12 3 3" xfId="38900" xr:uid="{00000000-0005-0000-0000-0000F7970000}"/>
    <cellStyle name="Normal 6 12 3 4" xfId="38901" xr:uid="{00000000-0005-0000-0000-0000F8970000}"/>
    <cellStyle name="Normal 6 12 3 5" xfId="38902" xr:uid="{00000000-0005-0000-0000-0000F9970000}"/>
    <cellStyle name="Normal 6 12 3 6" xfId="38903" xr:uid="{00000000-0005-0000-0000-0000FA970000}"/>
    <cellStyle name="Normal 6 12 4" xfId="38904" xr:uid="{00000000-0005-0000-0000-0000FB970000}"/>
    <cellStyle name="Normal 6 12 4 2" xfId="38905" xr:uid="{00000000-0005-0000-0000-0000FC970000}"/>
    <cellStyle name="Normal 6 12 4 2 2" xfId="38906" xr:uid="{00000000-0005-0000-0000-0000FD970000}"/>
    <cellStyle name="Normal 6 12 4 3" xfId="38907" xr:uid="{00000000-0005-0000-0000-0000FE970000}"/>
    <cellStyle name="Normal 6 12 4 4" xfId="38908" xr:uid="{00000000-0005-0000-0000-0000FF970000}"/>
    <cellStyle name="Normal 6 12 4 5" xfId="38909" xr:uid="{00000000-0005-0000-0000-000000980000}"/>
    <cellStyle name="Normal 6 12 5" xfId="38910" xr:uid="{00000000-0005-0000-0000-000001980000}"/>
    <cellStyle name="Normal 6 12 5 2" xfId="38911" xr:uid="{00000000-0005-0000-0000-000002980000}"/>
    <cellStyle name="Normal 6 12 5 3" xfId="38912" xr:uid="{00000000-0005-0000-0000-000003980000}"/>
    <cellStyle name="Normal 6 12 5 4" xfId="38913" xr:uid="{00000000-0005-0000-0000-000004980000}"/>
    <cellStyle name="Normal 6 12 6" xfId="38914" xr:uid="{00000000-0005-0000-0000-000005980000}"/>
    <cellStyle name="Normal 6 12 6 2" xfId="38915" xr:uid="{00000000-0005-0000-0000-000006980000}"/>
    <cellStyle name="Normal 6 12 7" xfId="38916" xr:uid="{00000000-0005-0000-0000-000007980000}"/>
    <cellStyle name="Normal 6 12 8" xfId="38917" xr:uid="{00000000-0005-0000-0000-000008980000}"/>
    <cellStyle name="Normal 6 12 9" xfId="38918" xr:uid="{00000000-0005-0000-0000-000009980000}"/>
    <cellStyle name="Normal 6 13" xfId="38919" xr:uid="{00000000-0005-0000-0000-00000A980000}"/>
    <cellStyle name="Normal 6 13 10" xfId="38920" xr:uid="{00000000-0005-0000-0000-00000B980000}"/>
    <cellStyle name="Normal 6 13 2" xfId="38921" xr:uid="{00000000-0005-0000-0000-00000C980000}"/>
    <cellStyle name="Normal 6 13 2 2" xfId="38922" xr:uid="{00000000-0005-0000-0000-00000D980000}"/>
    <cellStyle name="Normal 6 13 2 2 2" xfId="38923" xr:uid="{00000000-0005-0000-0000-00000E980000}"/>
    <cellStyle name="Normal 6 13 2 2 3" xfId="38924" xr:uid="{00000000-0005-0000-0000-00000F980000}"/>
    <cellStyle name="Normal 6 13 2 3" xfId="38925" xr:uid="{00000000-0005-0000-0000-000010980000}"/>
    <cellStyle name="Normal 6 13 2 4" xfId="38926" xr:uid="{00000000-0005-0000-0000-000011980000}"/>
    <cellStyle name="Normal 6 13 2 5" xfId="38927" xr:uid="{00000000-0005-0000-0000-000012980000}"/>
    <cellStyle name="Normal 6 13 2 6" xfId="38928" xr:uid="{00000000-0005-0000-0000-000013980000}"/>
    <cellStyle name="Normal 6 13 3" xfId="38929" xr:uid="{00000000-0005-0000-0000-000014980000}"/>
    <cellStyle name="Normal 6 13 3 2" xfId="38930" xr:uid="{00000000-0005-0000-0000-000015980000}"/>
    <cellStyle name="Normal 6 13 3 2 2" xfId="38931" xr:uid="{00000000-0005-0000-0000-000016980000}"/>
    <cellStyle name="Normal 6 13 3 2 3" xfId="38932" xr:uid="{00000000-0005-0000-0000-000017980000}"/>
    <cellStyle name="Normal 6 13 3 3" xfId="38933" xr:uid="{00000000-0005-0000-0000-000018980000}"/>
    <cellStyle name="Normal 6 13 3 4" xfId="38934" xr:uid="{00000000-0005-0000-0000-000019980000}"/>
    <cellStyle name="Normal 6 13 3 5" xfId="38935" xr:uid="{00000000-0005-0000-0000-00001A980000}"/>
    <cellStyle name="Normal 6 13 3 6" xfId="38936" xr:uid="{00000000-0005-0000-0000-00001B980000}"/>
    <cellStyle name="Normal 6 13 4" xfId="38937" xr:uid="{00000000-0005-0000-0000-00001C980000}"/>
    <cellStyle name="Normal 6 13 4 2" xfId="38938" xr:uid="{00000000-0005-0000-0000-00001D980000}"/>
    <cellStyle name="Normal 6 13 4 2 2" xfId="38939" xr:uid="{00000000-0005-0000-0000-00001E980000}"/>
    <cellStyle name="Normal 6 13 4 3" xfId="38940" xr:uid="{00000000-0005-0000-0000-00001F980000}"/>
    <cellStyle name="Normal 6 13 4 4" xfId="38941" xr:uid="{00000000-0005-0000-0000-000020980000}"/>
    <cellStyle name="Normal 6 13 4 5" xfId="38942" xr:uid="{00000000-0005-0000-0000-000021980000}"/>
    <cellStyle name="Normal 6 13 5" xfId="38943" xr:uid="{00000000-0005-0000-0000-000022980000}"/>
    <cellStyle name="Normal 6 13 5 2" xfId="38944" xr:uid="{00000000-0005-0000-0000-000023980000}"/>
    <cellStyle name="Normal 6 13 5 3" xfId="38945" xr:uid="{00000000-0005-0000-0000-000024980000}"/>
    <cellStyle name="Normal 6 13 5 4" xfId="38946" xr:uid="{00000000-0005-0000-0000-000025980000}"/>
    <cellStyle name="Normal 6 13 6" xfId="38947" xr:uid="{00000000-0005-0000-0000-000026980000}"/>
    <cellStyle name="Normal 6 13 6 2" xfId="38948" xr:uid="{00000000-0005-0000-0000-000027980000}"/>
    <cellStyle name="Normal 6 13 7" xfId="38949" xr:uid="{00000000-0005-0000-0000-000028980000}"/>
    <cellStyle name="Normal 6 13 8" xfId="38950" xr:uid="{00000000-0005-0000-0000-000029980000}"/>
    <cellStyle name="Normal 6 13 9" xfId="38951" xr:uid="{00000000-0005-0000-0000-00002A980000}"/>
    <cellStyle name="Normal 6 14" xfId="38952" xr:uid="{00000000-0005-0000-0000-00002B980000}"/>
    <cellStyle name="Normal 6 14 2" xfId="38953" xr:uid="{00000000-0005-0000-0000-00002C980000}"/>
    <cellStyle name="Normal 6 14 2 2" xfId="38954" xr:uid="{00000000-0005-0000-0000-00002D980000}"/>
    <cellStyle name="Normal 6 14 2 2 2" xfId="38955" xr:uid="{00000000-0005-0000-0000-00002E980000}"/>
    <cellStyle name="Normal 6 14 2 2 3" xfId="38956" xr:uid="{00000000-0005-0000-0000-00002F980000}"/>
    <cellStyle name="Normal 6 14 2 3" xfId="38957" xr:uid="{00000000-0005-0000-0000-000030980000}"/>
    <cellStyle name="Normal 6 14 2 4" xfId="38958" xr:uid="{00000000-0005-0000-0000-000031980000}"/>
    <cellStyle name="Normal 6 14 2 5" xfId="38959" xr:uid="{00000000-0005-0000-0000-000032980000}"/>
    <cellStyle name="Normal 6 14 2 6" xfId="38960" xr:uid="{00000000-0005-0000-0000-000033980000}"/>
    <cellStyle name="Normal 6 14 3" xfId="38961" xr:uid="{00000000-0005-0000-0000-000034980000}"/>
    <cellStyle name="Normal 6 14 3 2" xfId="38962" xr:uid="{00000000-0005-0000-0000-000035980000}"/>
    <cellStyle name="Normal 6 14 3 2 2" xfId="38963" xr:uid="{00000000-0005-0000-0000-000036980000}"/>
    <cellStyle name="Normal 6 14 3 3" xfId="38964" xr:uid="{00000000-0005-0000-0000-000037980000}"/>
    <cellStyle name="Normal 6 14 3 4" xfId="38965" xr:uid="{00000000-0005-0000-0000-000038980000}"/>
    <cellStyle name="Normal 6 14 3 5" xfId="38966" xr:uid="{00000000-0005-0000-0000-000039980000}"/>
    <cellStyle name="Normal 6 14 4" xfId="38967" xr:uid="{00000000-0005-0000-0000-00003A980000}"/>
    <cellStyle name="Normal 6 14 4 2" xfId="38968" xr:uid="{00000000-0005-0000-0000-00003B980000}"/>
    <cellStyle name="Normal 6 14 4 3" xfId="38969" xr:uid="{00000000-0005-0000-0000-00003C980000}"/>
    <cellStyle name="Normal 6 14 4 4" xfId="38970" xr:uid="{00000000-0005-0000-0000-00003D980000}"/>
    <cellStyle name="Normal 6 14 5" xfId="38971" xr:uid="{00000000-0005-0000-0000-00003E980000}"/>
    <cellStyle name="Normal 6 14 5 2" xfId="38972" xr:uid="{00000000-0005-0000-0000-00003F980000}"/>
    <cellStyle name="Normal 6 14 6" xfId="38973" xr:uid="{00000000-0005-0000-0000-000040980000}"/>
    <cellStyle name="Normal 6 14 7" xfId="38974" xr:uid="{00000000-0005-0000-0000-000041980000}"/>
    <cellStyle name="Normal 6 14 8" xfId="38975" xr:uid="{00000000-0005-0000-0000-000042980000}"/>
    <cellStyle name="Normal 6 14 9" xfId="38976" xr:uid="{00000000-0005-0000-0000-000043980000}"/>
    <cellStyle name="Normal 6 15" xfId="38977" xr:uid="{00000000-0005-0000-0000-000044980000}"/>
    <cellStyle name="Normal 6 15 2" xfId="38978" xr:uid="{00000000-0005-0000-0000-000045980000}"/>
    <cellStyle name="Normal 6 15 2 2" xfId="38979" xr:uid="{00000000-0005-0000-0000-000046980000}"/>
    <cellStyle name="Normal 6 15 2 2 2" xfId="38980" xr:uid="{00000000-0005-0000-0000-000047980000}"/>
    <cellStyle name="Normal 6 15 2 2 3" xfId="38981" xr:uid="{00000000-0005-0000-0000-000048980000}"/>
    <cellStyle name="Normal 6 15 2 3" xfId="38982" xr:uid="{00000000-0005-0000-0000-000049980000}"/>
    <cellStyle name="Normal 6 15 2 4" xfId="38983" xr:uid="{00000000-0005-0000-0000-00004A980000}"/>
    <cellStyle name="Normal 6 15 2 5" xfId="38984" xr:uid="{00000000-0005-0000-0000-00004B980000}"/>
    <cellStyle name="Normal 6 15 2 6" xfId="38985" xr:uid="{00000000-0005-0000-0000-00004C980000}"/>
    <cellStyle name="Normal 6 15 3" xfId="38986" xr:uid="{00000000-0005-0000-0000-00004D980000}"/>
    <cellStyle name="Normal 6 15 3 2" xfId="38987" xr:uid="{00000000-0005-0000-0000-00004E980000}"/>
    <cellStyle name="Normal 6 15 3 2 2" xfId="38988" xr:uid="{00000000-0005-0000-0000-00004F980000}"/>
    <cellStyle name="Normal 6 15 3 3" xfId="38989" xr:uid="{00000000-0005-0000-0000-000050980000}"/>
    <cellStyle name="Normal 6 15 3 4" xfId="38990" xr:uid="{00000000-0005-0000-0000-000051980000}"/>
    <cellStyle name="Normal 6 15 3 5" xfId="38991" xr:uid="{00000000-0005-0000-0000-000052980000}"/>
    <cellStyle name="Normal 6 15 4" xfId="38992" xr:uid="{00000000-0005-0000-0000-000053980000}"/>
    <cellStyle name="Normal 6 15 4 2" xfId="38993" xr:uid="{00000000-0005-0000-0000-000054980000}"/>
    <cellStyle name="Normal 6 15 4 3" xfId="38994" xr:uid="{00000000-0005-0000-0000-000055980000}"/>
    <cellStyle name="Normal 6 15 4 4" xfId="38995" xr:uid="{00000000-0005-0000-0000-000056980000}"/>
    <cellStyle name="Normal 6 15 5" xfId="38996" xr:uid="{00000000-0005-0000-0000-000057980000}"/>
    <cellStyle name="Normal 6 15 5 2" xfId="38997" xr:uid="{00000000-0005-0000-0000-000058980000}"/>
    <cellStyle name="Normal 6 15 6" xfId="38998" xr:uid="{00000000-0005-0000-0000-000059980000}"/>
    <cellStyle name="Normal 6 15 7" xfId="38999" xr:uid="{00000000-0005-0000-0000-00005A980000}"/>
    <cellStyle name="Normal 6 15 8" xfId="39000" xr:uid="{00000000-0005-0000-0000-00005B980000}"/>
    <cellStyle name="Normal 6 15 9" xfId="39001" xr:uid="{00000000-0005-0000-0000-00005C980000}"/>
    <cellStyle name="Normal 6 16" xfId="39002" xr:uid="{00000000-0005-0000-0000-00005D980000}"/>
    <cellStyle name="Normal 6 16 2" xfId="39003" xr:uid="{00000000-0005-0000-0000-00005E980000}"/>
    <cellStyle name="Normal 6 16 2 2" xfId="39004" xr:uid="{00000000-0005-0000-0000-00005F980000}"/>
    <cellStyle name="Normal 6 16 2 3" xfId="39005" xr:uid="{00000000-0005-0000-0000-000060980000}"/>
    <cellStyle name="Normal 6 16 3" xfId="39006" xr:uid="{00000000-0005-0000-0000-000061980000}"/>
    <cellStyle name="Normal 6 16 4" xfId="39007" xr:uid="{00000000-0005-0000-0000-000062980000}"/>
    <cellStyle name="Normal 6 16 5" xfId="39008" xr:uid="{00000000-0005-0000-0000-000063980000}"/>
    <cellStyle name="Normal 6 16 6" xfId="39009" xr:uid="{00000000-0005-0000-0000-000064980000}"/>
    <cellStyle name="Normal 6 17" xfId="39010" xr:uid="{00000000-0005-0000-0000-000065980000}"/>
    <cellStyle name="Normal 6 17 2" xfId="39011" xr:uid="{00000000-0005-0000-0000-000066980000}"/>
    <cellStyle name="Normal 6 17 2 2" xfId="39012" xr:uid="{00000000-0005-0000-0000-000067980000}"/>
    <cellStyle name="Normal 6 17 3" xfId="39013" xr:uid="{00000000-0005-0000-0000-000068980000}"/>
    <cellStyle name="Normal 6 17 4" xfId="39014" xr:uid="{00000000-0005-0000-0000-000069980000}"/>
    <cellStyle name="Normal 6 17 5" xfId="39015" xr:uid="{00000000-0005-0000-0000-00006A980000}"/>
    <cellStyle name="Normal 6 17 6" xfId="39016" xr:uid="{00000000-0005-0000-0000-00006B980000}"/>
    <cellStyle name="Normal 6 18" xfId="39017" xr:uid="{00000000-0005-0000-0000-00006C980000}"/>
    <cellStyle name="Normal 6 18 2" xfId="39018" xr:uid="{00000000-0005-0000-0000-00006D980000}"/>
    <cellStyle name="Normal 6 18 2 2" xfId="39019" xr:uid="{00000000-0005-0000-0000-00006E980000}"/>
    <cellStyle name="Normal 6 18 3" xfId="39020" xr:uid="{00000000-0005-0000-0000-00006F980000}"/>
    <cellStyle name="Normal 6 18 4" xfId="39021" xr:uid="{00000000-0005-0000-0000-000070980000}"/>
    <cellStyle name="Normal 6 18 5" xfId="39022" xr:uid="{00000000-0005-0000-0000-000071980000}"/>
    <cellStyle name="Normal 6 18 6" xfId="39023" xr:uid="{00000000-0005-0000-0000-000072980000}"/>
    <cellStyle name="Normal 6 19" xfId="39024" xr:uid="{00000000-0005-0000-0000-000073980000}"/>
    <cellStyle name="Normal 6 19 2" xfId="39025" xr:uid="{00000000-0005-0000-0000-000074980000}"/>
    <cellStyle name="Normal 6 19 3" xfId="39026" xr:uid="{00000000-0005-0000-0000-000075980000}"/>
    <cellStyle name="Normal 6 19 4" xfId="39027" xr:uid="{00000000-0005-0000-0000-000076980000}"/>
    <cellStyle name="Normal 6 2" xfId="39028" xr:uid="{00000000-0005-0000-0000-000077980000}"/>
    <cellStyle name="Normal 6 2 2" xfId="39029" xr:uid="{00000000-0005-0000-0000-000078980000}"/>
    <cellStyle name="Normal 6 2 2 2" xfId="39030" xr:uid="{00000000-0005-0000-0000-000079980000}"/>
    <cellStyle name="Normal 6 2 2 3" xfId="39031" xr:uid="{00000000-0005-0000-0000-00007A980000}"/>
    <cellStyle name="Normal 6 2 3" xfId="39032" xr:uid="{00000000-0005-0000-0000-00007B980000}"/>
    <cellStyle name="Normal 6 2 3 2" xfId="39033" xr:uid="{00000000-0005-0000-0000-00007C980000}"/>
    <cellStyle name="Normal 6 2 4" xfId="39034" xr:uid="{00000000-0005-0000-0000-00007D980000}"/>
    <cellStyle name="Normal 6 2 5" xfId="39035" xr:uid="{00000000-0005-0000-0000-00007E980000}"/>
    <cellStyle name="Normal 6 20" xfId="39036" xr:uid="{00000000-0005-0000-0000-00007F980000}"/>
    <cellStyle name="Normal 6 20 2" xfId="39037" xr:uid="{00000000-0005-0000-0000-000080980000}"/>
    <cellStyle name="Normal 6 20 3" xfId="39038" xr:uid="{00000000-0005-0000-0000-000081980000}"/>
    <cellStyle name="Normal 6 21" xfId="39039" xr:uid="{00000000-0005-0000-0000-000082980000}"/>
    <cellStyle name="Normal 6 21 2" xfId="39040" xr:uid="{00000000-0005-0000-0000-000083980000}"/>
    <cellStyle name="Normal 6 22" xfId="39041" xr:uid="{00000000-0005-0000-0000-000084980000}"/>
    <cellStyle name="Normal 6 22 2" xfId="39042" xr:uid="{00000000-0005-0000-0000-000085980000}"/>
    <cellStyle name="Normal 6 23" xfId="39043" xr:uid="{00000000-0005-0000-0000-000086980000}"/>
    <cellStyle name="Normal 6 23 2" xfId="39044" xr:uid="{00000000-0005-0000-0000-000087980000}"/>
    <cellStyle name="Normal 6 24" xfId="39045" xr:uid="{00000000-0005-0000-0000-000088980000}"/>
    <cellStyle name="Normal 6 25" xfId="39046" xr:uid="{00000000-0005-0000-0000-000089980000}"/>
    <cellStyle name="Normal 6 26" xfId="39047" xr:uid="{00000000-0005-0000-0000-00008A980000}"/>
    <cellStyle name="Normal 6 27" xfId="39048" xr:uid="{00000000-0005-0000-0000-00008B980000}"/>
    <cellStyle name="Normal 6 28" xfId="39049" xr:uid="{00000000-0005-0000-0000-00008C980000}"/>
    <cellStyle name="Normal 6 29" xfId="39050" xr:uid="{00000000-0005-0000-0000-00008D980000}"/>
    <cellStyle name="Normal 6 3" xfId="39051" xr:uid="{00000000-0005-0000-0000-00008E980000}"/>
    <cellStyle name="Normal 6 3 10" xfId="39052" xr:uid="{00000000-0005-0000-0000-00008F980000}"/>
    <cellStyle name="Normal 6 3 11" xfId="39053" xr:uid="{00000000-0005-0000-0000-000090980000}"/>
    <cellStyle name="Normal 6 3 2" xfId="39054" xr:uid="{00000000-0005-0000-0000-000091980000}"/>
    <cellStyle name="Normal 6 3 2 2" xfId="39055" xr:uid="{00000000-0005-0000-0000-000092980000}"/>
    <cellStyle name="Normal 6 3 2 2 2" xfId="39056" xr:uid="{00000000-0005-0000-0000-000093980000}"/>
    <cellStyle name="Normal 6 3 2 2 2 2" xfId="39057" xr:uid="{00000000-0005-0000-0000-000094980000}"/>
    <cellStyle name="Normal 6 3 2 2 2 3" xfId="39058" xr:uid="{00000000-0005-0000-0000-000095980000}"/>
    <cellStyle name="Normal 6 3 2 2 3" xfId="39059" xr:uid="{00000000-0005-0000-0000-000096980000}"/>
    <cellStyle name="Normal 6 3 2 2 4" xfId="39060" xr:uid="{00000000-0005-0000-0000-000097980000}"/>
    <cellStyle name="Normal 6 3 2 2 5" xfId="39061" xr:uid="{00000000-0005-0000-0000-000098980000}"/>
    <cellStyle name="Normal 6 3 2 2 6" xfId="39062" xr:uid="{00000000-0005-0000-0000-000099980000}"/>
    <cellStyle name="Normal 6 3 2 3" xfId="39063" xr:uid="{00000000-0005-0000-0000-00009A980000}"/>
    <cellStyle name="Normal 6 3 2 3 2" xfId="39064" xr:uid="{00000000-0005-0000-0000-00009B980000}"/>
    <cellStyle name="Normal 6 3 2 3 2 2" xfId="39065" xr:uid="{00000000-0005-0000-0000-00009C980000}"/>
    <cellStyle name="Normal 6 3 2 3 3" xfId="39066" xr:uid="{00000000-0005-0000-0000-00009D980000}"/>
    <cellStyle name="Normal 6 3 2 3 4" xfId="39067" xr:uid="{00000000-0005-0000-0000-00009E980000}"/>
    <cellStyle name="Normal 6 3 2 3 5" xfId="39068" xr:uid="{00000000-0005-0000-0000-00009F980000}"/>
    <cellStyle name="Normal 6 3 2 4" xfId="39069" xr:uid="{00000000-0005-0000-0000-0000A0980000}"/>
    <cellStyle name="Normal 6 3 2 4 2" xfId="39070" xr:uid="{00000000-0005-0000-0000-0000A1980000}"/>
    <cellStyle name="Normal 6 3 2 4 3" xfId="39071" xr:uid="{00000000-0005-0000-0000-0000A2980000}"/>
    <cellStyle name="Normal 6 3 2 4 4" xfId="39072" xr:uid="{00000000-0005-0000-0000-0000A3980000}"/>
    <cellStyle name="Normal 6 3 2 5" xfId="39073" xr:uid="{00000000-0005-0000-0000-0000A4980000}"/>
    <cellStyle name="Normal 6 3 2 5 2" xfId="39074" xr:uid="{00000000-0005-0000-0000-0000A5980000}"/>
    <cellStyle name="Normal 6 3 2 6" xfId="39075" xr:uid="{00000000-0005-0000-0000-0000A6980000}"/>
    <cellStyle name="Normal 6 3 2 7" xfId="39076" xr:uid="{00000000-0005-0000-0000-0000A7980000}"/>
    <cellStyle name="Normal 6 3 2 8" xfId="39077" xr:uid="{00000000-0005-0000-0000-0000A8980000}"/>
    <cellStyle name="Normal 6 3 2 9" xfId="39078" xr:uid="{00000000-0005-0000-0000-0000A9980000}"/>
    <cellStyle name="Normal 6 3 3" xfId="39079" xr:uid="{00000000-0005-0000-0000-0000AA980000}"/>
    <cellStyle name="Normal 6 3 3 2" xfId="39080" xr:uid="{00000000-0005-0000-0000-0000AB980000}"/>
    <cellStyle name="Normal 6 3 3 2 2" xfId="39081" xr:uid="{00000000-0005-0000-0000-0000AC980000}"/>
    <cellStyle name="Normal 6 3 3 2 2 2" xfId="39082" xr:uid="{00000000-0005-0000-0000-0000AD980000}"/>
    <cellStyle name="Normal 6 3 3 2 2 3" xfId="39083" xr:uid="{00000000-0005-0000-0000-0000AE980000}"/>
    <cellStyle name="Normal 6 3 3 2 3" xfId="39084" xr:uid="{00000000-0005-0000-0000-0000AF980000}"/>
    <cellStyle name="Normal 6 3 3 2 4" xfId="39085" xr:uid="{00000000-0005-0000-0000-0000B0980000}"/>
    <cellStyle name="Normal 6 3 3 2 5" xfId="39086" xr:uid="{00000000-0005-0000-0000-0000B1980000}"/>
    <cellStyle name="Normal 6 3 3 2 6" xfId="39087" xr:uid="{00000000-0005-0000-0000-0000B2980000}"/>
    <cellStyle name="Normal 6 3 3 3" xfId="39088" xr:uid="{00000000-0005-0000-0000-0000B3980000}"/>
    <cellStyle name="Normal 6 3 3 3 2" xfId="39089" xr:uid="{00000000-0005-0000-0000-0000B4980000}"/>
    <cellStyle name="Normal 6 3 3 3 2 2" xfId="39090" xr:uid="{00000000-0005-0000-0000-0000B5980000}"/>
    <cellStyle name="Normal 6 3 3 3 3" xfId="39091" xr:uid="{00000000-0005-0000-0000-0000B6980000}"/>
    <cellStyle name="Normal 6 3 3 3 4" xfId="39092" xr:uid="{00000000-0005-0000-0000-0000B7980000}"/>
    <cellStyle name="Normal 6 3 3 3 5" xfId="39093" xr:uid="{00000000-0005-0000-0000-0000B8980000}"/>
    <cellStyle name="Normal 6 3 3 4" xfId="39094" xr:uid="{00000000-0005-0000-0000-0000B9980000}"/>
    <cellStyle name="Normal 6 3 3 4 2" xfId="39095" xr:uid="{00000000-0005-0000-0000-0000BA980000}"/>
    <cellStyle name="Normal 6 3 3 4 3" xfId="39096" xr:uid="{00000000-0005-0000-0000-0000BB980000}"/>
    <cellStyle name="Normal 6 3 3 4 4" xfId="39097" xr:uid="{00000000-0005-0000-0000-0000BC980000}"/>
    <cellStyle name="Normal 6 3 3 5" xfId="39098" xr:uid="{00000000-0005-0000-0000-0000BD980000}"/>
    <cellStyle name="Normal 6 3 3 5 2" xfId="39099" xr:uid="{00000000-0005-0000-0000-0000BE980000}"/>
    <cellStyle name="Normal 6 3 3 6" xfId="39100" xr:uid="{00000000-0005-0000-0000-0000BF980000}"/>
    <cellStyle name="Normal 6 3 3 7" xfId="39101" xr:uid="{00000000-0005-0000-0000-0000C0980000}"/>
    <cellStyle name="Normal 6 3 3 8" xfId="39102" xr:uid="{00000000-0005-0000-0000-0000C1980000}"/>
    <cellStyle name="Normal 6 3 3 9" xfId="39103" xr:uid="{00000000-0005-0000-0000-0000C2980000}"/>
    <cellStyle name="Normal 6 3 4" xfId="39104" xr:uid="{00000000-0005-0000-0000-0000C3980000}"/>
    <cellStyle name="Normal 6 3 4 2" xfId="39105" xr:uid="{00000000-0005-0000-0000-0000C4980000}"/>
    <cellStyle name="Normal 6 3 4 2 2" xfId="39106" xr:uid="{00000000-0005-0000-0000-0000C5980000}"/>
    <cellStyle name="Normal 6 3 4 2 3" xfId="39107" xr:uid="{00000000-0005-0000-0000-0000C6980000}"/>
    <cellStyle name="Normal 6 3 4 3" xfId="39108" xr:uid="{00000000-0005-0000-0000-0000C7980000}"/>
    <cellStyle name="Normal 6 3 4 4" xfId="39109" xr:uid="{00000000-0005-0000-0000-0000C8980000}"/>
    <cellStyle name="Normal 6 3 4 5" xfId="39110" xr:uid="{00000000-0005-0000-0000-0000C9980000}"/>
    <cellStyle name="Normal 6 3 4 6" xfId="39111" xr:uid="{00000000-0005-0000-0000-0000CA980000}"/>
    <cellStyle name="Normal 6 3 5" xfId="39112" xr:uid="{00000000-0005-0000-0000-0000CB980000}"/>
    <cellStyle name="Normal 6 3 5 2" xfId="39113" xr:uid="{00000000-0005-0000-0000-0000CC980000}"/>
    <cellStyle name="Normal 6 3 5 2 2" xfId="39114" xr:uid="{00000000-0005-0000-0000-0000CD980000}"/>
    <cellStyle name="Normal 6 3 5 3" xfId="39115" xr:uid="{00000000-0005-0000-0000-0000CE980000}"/>
    <cellStyle name="Normal 6 3 5 4" xfId="39116" xr:uid="{00000000-0005-0000-0000-0000CF980000}"/>
    <cellStyle name="Normal 6 3 5 5" xfId="39117" xr:uid="{00000000-0005-0000-0000-0000D0980000}"/>
    <cellStyle name="Normal 6 3 6" xfId="39118" xr:uid="{00000000-0005-0000-0000-0000D1980000}"/>
    <cellStyle name="Normal 6 3 6 2" xfId="39119" xr:uid="{00000000-0005-0000-0000-0000D2980000}"/>
    <cellStyle name="Normal 6 3 6 3" xfId="39120" xr:uid="{00000000-0005-0000-0000-0000D3980000}"/>
    <cellStyle name="Normal 6 3 6 4" xfId="39121" xr:uid="{00000000-0005-0000-0000-0000D4980000}"/>
    <cellStyle name="Normal 6 3 7" xfId="39122" xr:uid="{00000000-0005-0000-0000-0000D5980000}"/>
    <cellStyle name="Normal 6 3 7 2" xfId="39123" xr:uid="{00000000-0005-0000-0000-0000D6980000}"/>
    <cellStyle name="Normal 6 3 8" xfId="39124" xr:uid="{00000000-0005-0000-0000-0000D7980000}"/>
    <cellStyle name="Normal 6 3 9" xfId="39125" xr:uid="{00000000-0005-0000-0000-0000D8980000}"/>
    <cellStyle name="Normal 6 30" xfId="39126" xr:uid="{00000000-0005-0000-0000-0000D9980000}"/>
    <cellStyle name="Normal 6 31" xfId="39127" xr:uid="{00000000-0005-0000-0000-0000DA980000}"/>
    <cellStyle name="Normal 6 32" xfId="39128" xr:uid="{00000000-0005-0000-0000-0000DB980000}"/>
    <cellStyle name="Normal 6 33" xfId="39129" xr:uid="{00000000-0005-0000-0000-0000DC980000}"/>
    <cellStyle name="Normal 6 34" xfId="39130" xr:uid="{00000000-0005-0000-0000-0000DD980000}"/>
    <cellStyle name="Normal 6 35" xfId="39131" xr:uid="{00000000-0005-0000-0000-0000DE980000}"/>
    <cellStyle name="Normal 6 36" xfId="39132" xr:uid="{00000000-0005-0000-0000-0000DF980000}"/>
    <cellStyle name="Normal 6 37" xfId="39133" xr:uid="{00000000-0005-0000-0000-0000E0980000}"/>
    <cellStyle name="Normal 6 38" xfId="39134" xr:uid="{00000000-0005-0000-0000-0000E1980000}"/>
    <cellStyle name="Normal 6 39" xfId="39135" xr:uid="{00000000-0005-0000-0000-0000E2980000}"/>
    <cellStyle name="Normal 6 4" xfId="39136" xr:uid="{00000000-0005-0000-0000-0000E3980000}"/>
    <cellStyle name="Normal 6 4 10" xfId="39137" xr:uid="{00000000-0005-0000-0000-0000E4980000}"/>
    <cellStyle name="Normal 6 4 11" xfId="39138" xr:uid="{00000000-0005-0000-0000-0000E5980000}"/>
    <cellStyle name="Normal 6 4 2" xfId="39139" xr:uid="{00000000-0005-0000-0000-0000E6980000}"/>
    <cellStyle name="Normal 6 4 2 2" xfId="39140" xr:uid="{00000000-0005-0000-0000-0000E7980000}"/>
    <cellStyle name="Normal 6 4 2 2 2" xfId="39141" xr:uid="{00000000-0005-0000-0000-0000E8980000}"/>
    <cellStyle name="Normal 6 4 2 2 2 2" xfId="39142" xr:uid="{00000000-0005-0000-0000-0000E9980000}"/>
    <cellStyle name="Normal 6 4 2 2 2 3" xfId="39143" xr:uid="{00000000-0005-0000-0000-0000EA980000}"/>
    <cellStyle name="Normal 6 4 2 2 3" xfId="39144" xr:uid="{00000000-0005-0000-0000-0000EB980000}"/>
    <cellStyle name="Normal 6 4 2 2 4" xfId="39145" xr:uid="{00000000-0005-0000-0000-0000EC980000}"/>
    <cellStyle name="Normal 6 4 2 2 5" xfId="39146" xr:uid="{00000000-0005-0000-0000-0000ED980000}"/>
    <cellStyle name="Normal 6 4 2 2 6" xfId="39147" xr:uid="{00000000-0005-0000-0000-0000EE980000}"/>
    <cellStyle name="Normal 6 4 2 3" xfId="39148" xr:uid="{00000000-0005-0000-0000-0000EF980000}"/>
    <cellStyle name="Normal 6 4 2 3 2" xfId="39149" xr:uid="{00000000-0005-0000-0000-0000F0980000}"/>
    <cellStyle name="Normal 6 4 2 3 2 2" xfId="39150" xr:uid="{00000000-0005-0000-0000-0000F1980000}"/>
    <cellStyle name="Normal 6 4 2 3 3" xfId="39151" xr:uid="{00000000-0005-0000-0000-0000F2980000}"/>
    <cellStyle name="Normal 6 4 2 3 4" xfId="39152" xr:uid="{00000000-0005-0000-0000-0000F3980000}"/>
    <cellStyle name="Normal 6 4 2 3 5" xfId="39153" xr:uid="{00000000-0005-0000-0000-0000F4980000}"/>
    <cellStyle name="Normal 6 4 2 4" xfId="39154" xr:uid="{00000000-0005-0000-0000-0000F5980000}"/>
    <cellStyle name="Normal 6 4 2 4 2" xfId="39155" xr:uid="{00000000-0005-0000-0000-0000F6980000}"/>
    <cellStyle name="Normal 6 4 2 4 3" xfId="39156" xr:uid="{00000000-0005-0000-0000-0000F7980000}"/>
    <cellStyle name="Normal 6 4 2 4 4" xfId="39157" xr:uid="{00000000-0005-0000-0000-0000F8980000}"/>
    <cellStyle name="Normal 6 4 2 5" xfId="39158" xr:uid="{00000000-0005-0000-0000-0000F9980000}"/>
    <cellStyle name="Normal 6 4 2 5 2" xfId="39159" xr:uid="{00000000-0005-0000-0000-0000FA980000}"/>
    <cellStyle name="Normal 6 4 2 6" xfId="39160" xr:uid="{00000000-0005-0000-0000-0000FB980000}"/>
    <cellStyle name="Normal 6 4 2 7" xfId="39161" xr:uid="{00000000-0005-0000-0000-0000FC980000}"/>
    <cellStyle name="Normal 6 4 2 8" xfId="39162" xr:uid="{00000000-0005-0000-0000-0000FD980000}"/>
    <cellStyle name="Normal 6 4 2 9" xfId="39163" xr:uid="{00000000-0005-0000-0000-0000FE980000}"/>
    <cellStyle name="Normal 6 4 3" xfId="39164" xr:uid="{00000000-0005-0000-0000-0000FF980000}"/>
    <cellStyle name="Normal 6 4 3 2" xfId="39165" xr:uid="{00000000-0005-0000-0000-000000990000}"/>
    <cellStyle name="Normal 6 4 3 2 2" xfId="39166" xr:uid="{00000000-0005-0000-0000-000001990000}"/>
    <cellStyle name="Normal 6 4 3 2 2 2" xfId="39167" xr:uid="{00000000-0005-0000-0000-000002990000}"/>
    <cellStyle name="Normal 6 4 3 2 2 3" xfId="39168" xr:uid="{00000000-0005-0000-0000-000003990000}"/>
    <cellStyle name="Normal 6 4 3 2 3" xfId="39169" xr:uid="{00000000-0005-0000-0000-000004990000}"/>
    <cellStyle name="Normal 6 4 3 2 4" xfId="39170" xr:uid="{00000000-0005-0000-0000-000005990000}"/>
    <cellStyle name="Normal 6 4 3 2 5" xfId="39171" xr:uid="{00000000-0005-0000-0000-000006990000}"/>
    <cellStyle name="Normal 6 4 3 2 6" xfId="39172" xr:uid="{00000000-0005-0000-0000-000007990000}"/>
    <cellStyle name="Normal 6 4 3 3" xfId="39173" xr:uid="{00000000-0005-0000-0000-000008990000}"/>
    <cellStyle name="Normal 6 4 3 3 2" xfId="39174" xr:uid="{00000000-0005-0000-0000-000009990000}"/>
    <cellStyle name="Normal 6 4 3 3 2 2" xfId="39175" xr:uid="{00000000-0005-0000-0000-00000A990000}"/>
    <cellStyle name="Normal 6 4 3 3 3" xfId="39176" xr:uid="{00000000-0005-0000-0000-00000B990000}"/>
    <cellStyle name="Normal 6 4 3 3 4" xfId="39177" xr:uid="{00000000-0005-0000-0000-00000C990000}"/>
    <cellStyle name="Normal 6 4 3 3 5" xfId="39178" xr:uid="{00000000-0005-0000-0000-00000D990000}"/>
    <cellStyle name="Normal 6 4 3 4" xfId="39179" xr:uid="{00000000-0005-0000-0000-00000E990000}"/>
    <cellStyle name="Normal 6 4 3 4 2" xfId="39180" xr:uid="{00000000-0005-0000-0000-00000F990000}"/>
    <cellStyle name="Normal 6 4 3 4 3" xfId="39181" xr:uid="{00000000-0005-0000-0000-000010990000}"/>
    <cellStyle name="Normal 6 4 3 4 4" xfId="39182" xr:uid="{00000000-0005-0000-0000-000011990000}"/>
    <cellStyle name="Normal 6 4 3 5" xfId="39183" xr:uid="{00000000-0005-0000-0000-000012990000}"/>
    <cellStyle name="Normal 6 4 3 5 2" xfId="39184" xr:uid="{00000000-0005-0000-0000-000013990000}"/>
    <cellStyle name="Normal 6 4 3 6" xfId="39185" xr:uid="{00000000-0005-0000-0000-000014990000}"/>
    <cellStyle name="Normal 6 4 3 7" xfId="39186" xr:uid="{00000000-0005-0000-0000-000015990000}"/>
    <cellStyle name="Normal 6 4 3 8" xfId="39187" xr:uid="{00000000-0005-0000-0000-000016990000}"/>
    <cellStyle name="Normal 6 4 3 9" xfId="39188" xr:uid="{00000000-0005-0000-0000-000017990000}"/>
    <cellStyle name="Normal 6 4 4" xfId="39189" xr:uid="{00000000-0005-0000-0000-000018990000}"/>
    <cellStyle name="Normal 6 4 4 2" xfId="39190" xr:uid="{00000000-0005-0000-0000-000019990000}"/>
    <cellStyle name="Normal 6 4 4 2 2" xfId="39191" xr:uid="{00000000-0005-0000-0000-00001A990000}"/>
    <cellStyle name="Normal 6 4 4 2 3" xfId="39192" xr:uid="{00000000-0005-0000-0000-00001B990000}"/>
    <cellStyle name="Normal 6 4 4 3" xfId="39193" xr:uid="{00000000-0005-0000-0000-00001C990000}"/>
    <cellStyle name="Normal 6 4 4 4" xfId="39194" xr:uid="{00000000-0005-0000-0000-00001D990000}"/>
    <cellStyle name="Normal 6 4 4 5" xfId="39195" xr:uid="{00000000-0005-0000-0000-00001E990000}"/>
    <cellStyle name="Normal 6 4 4 6" xfId="39196" xr:uid="{00000000-0005-0000-0000-00001F990000}"/>
    <cellStyle name="Normal 6 4 5" xfId="39197" xr:uid="{00000000-0005-0000-0000-000020990000}"/>
    <cellStyle name="Normal 6 4 5 2" xfId="39198" xr:uid="{00000000-0005-0000-0000-000021990000}"/>
    <cellStyle name="Normal 6 4 5 2 2" xfId="39199" xr:uid="{00000000-0005-0000-0000-000022990000}"/>
    <cellStyle name="Normal 6 4 5 3" xfId="39200" xr:uid="{00000000-0005-0000-0000-000023990000}"/>
    <cellStyle name="Normal 6 4 5 4" xfId="39201" xr:uid="{00000000-0005-0000-0000-000024990000}"/>
    <cellStyle name="Normal 6 4 5 5" xfId="39202" xr:uid="{00000000-0005-0000-0000-000025990000}"/>
    <cellStyle name="Normal 6 4 6" xfId="39203" xr:uid="{00000000-0005-0000-0000-000026990000}"/>
    <cellStyle name="Normal 6 4 6 2" xfId="39204" xr:uid="{00000000-0005-0000-0000-000027990000}"/>
    <cellStyle name="Normal 6 4 6 3" xfId="39205" xr:uid="{00000000-0005-0000-0000-000028990000}"/>
    <cellStyle name="Normal 6 4 6 4" xfId="39206" xr:uid="{00000000-0005-0000-0000-000029990000}"/>
    <cellStyle name="Normal 6 4 7" xfId="39207" xr:uid="{00000000-0005-0000-0000-00002A990000}"/>
    <cellStyle name="Normal 6 4 7 2" xfId="39208" xr:uid="{00000000-0005-0000-0000-00002B990000}"/>
    <cellStyle name="Normal 6 4 8" xfId="39209" xr:uid="{00000000-0005-0000-0000-00002C990000}"/>
    <cellStyle name="Normal 6 4 9" xfId="39210" xr:uid="{00000000-0005-0000-0000-00002D990000}"/>
    <cellStyle name="Normal 6 40" xfId="39211" xr:uid="{00000000-0005-0000-0000-00002E990000}"/>
    <cellStyle name="Normal 6 41" xfId="39212" xr:uid="{00000000-0005-0000-0000-00002F990000}"/>
    <cellStyle name="Normal 6 5" xfId="39213" xr:uid="{00000000-0005-0000-0000-000030990000}"/>
    <cellStyle name="Normal 6 5 10" xfId="39214" xr:uid="{00000000-0005-0000-0000-000031990000}"/>
    <cellStyle name="Normal 6 5 11" xfId="39215" xr:uid="{00000000-0005-0000-0000-000032990000}"/>
    <cellStyle name="Normal 6 5 2" xfId="39216" xr:uid="{00000000-0005-0000-0000-000033990000}"/>
    <cellStyle name="Normal 6 5 2 2" xfId="39217" xr:uid="{00000000-0005-0000-0000-000034990000}"/>
    <cellStyle name="Normal 6 5 2 2 2" xfId="39218" xr:uid="{00000000-0005-0000-0000-000035990000}"/>
    <cellStyle name="Normal 6 5 2 2 2 2" xfId="39219" xr:uid="{00000000-0005-0000-0000-000036990000}"/>
    <cellStyle name="Normal 6 5 2 2 2 3" xfId="39220" xr:uid="{00000000-0005-0000-0000-000037990000}"/>
    <cellStyle name="Normal 6 5 2 2 3" xfId="39221" xr:uid="{00000000-0005-0000-0000-000038990000}"/>
    <cellStyle name="Normal 6 5 2 2 4" xfId="39222" xr:uid="{00000000-0005-0000-0000-000039990000}"/>
    <cellStyle name="Normal 6 5 2 2 5" xfId="39223" xr:uid="{00000000-0005-0000-0000-00003A990000}"/>
    <cellStyle name="Normal 6 5 2 2 6" xfId="39224" xr:uid="{00000000-0005-0000-0000-00003B990000}"/>
    <cellStyle name="Normal 6 5 2 3" xfId="39225" xr:uid="{00000000-0005-0000-0000-00003C990000}"/>
    <cellStyle name="Normal 6 5 2 3 2" xfId="39226" xr:uid="{00000000-0005-0000-0000-00003D990000}"/>
    <cellStyle name="Normal 6 5 2 3 2 2" xfId="39227" xr:uid="{00000000-0005-0000-0000-00003E990000}"/>
    <cellStyle name="Normal 6 5 2 3 3" xfId="39228" xr:uid="{00000000-0005-0000-0000-00003F990000}"/>
    <cellStyle name="Normal 6 5 2 3 4" xfId="39229" xr:uid="{00000000-0005-0000-0000-000040990000}"/>
    <cellStyle name="Normal 6 5 2 3 5" xfId="39230" xr:uid="{00000000-0005-0000-0000-000041990000}"/>
    <cellStyle name="Normal 6 5 2 4" xfId="39231" xr:uid="{00000000-0005-0000-0000-000042990000}"/>
    <cellStyle name="Normal 6 5 2 4 2" xfId="39232" xr:uid="{00000000-0005-0000-0000-000043990000}"/>
    <cellStyle name="Normal 6 5 2 4 3" xfId="39233" xr:uid="{00000000-0005-0000-0000-000044990000}"/>
    <cellStyle name="Normal 6 5 2 4 4" xfId="39234" xr:uid="{00000000-0005-0000-0000-000045990000}"/>
    <cellStyle name="Normal 6 5 2 5" xfId="39235" xr:uid="{00000000-0005-0000-0000-000046990000}"/>
    <cellStyle name="Normal 6 5 2 5 2" xfId="39236" xr:uid="{00000000-0005-0000-0000-000047990000}"/>
    <cellStyle name="Normal 6 5 2 6" xfId="39237" xr:uid="{00000000-0005-0000-0000-000048990000}"/>
    <cellStyle name="Normal 6 5 2 7" xfId="39238" xr:uid="{00000000-0005-0000-0000-000049990000}"/>
    <cellStyle name="Normal 6 5 2 8" xfId="39239" xr:uid="{00000000-0005-0000-0000-00004A990000}"/>
    <cellStyle name="Normal 6 5 2 9" xfId="39240" xr:uid="{00000000-0005-0000-0000-00004B990000}"/>
    <cellStyle name="Normal 6 5 3" xfId="39241" xr:uid="{00000000-0005-0000-0000-00004C990000}"/>
    <cellStyle name="Normal 6 5 3 2" xfId="39242" xr:uid="{00000000-0005-0000-0000-00004D990000}"/>
    <cellStyle name="Normal 6 5 3 2 2" xfId="39243" xr:uid="{00000000-0005-0000-0000-00004E990000}"/>
    <cellStyle name="Normal 6 5 3 2 2 2" xfId="39244" xr:uid="{00000000-0005-0000-0000-00004F990000}"/>
    <cellStyle name="Normal 6 5 3 2 2 3" xfId="39245" xr:uid="{00000000-0005-0000-0000-000050990000}"/>
    <cellStyle name="Normal 6 5 3 2 3" xfId="39246" xr:uid="{00000000-0005-0000-0000-000051990000}"/>
    <cellStyle name="Normal 6 5 3 2 4" xfId="39247" xr:uid="{00000000-0005-0000-0000-000052990000}"/>
    <cellStyle name="Normal 6 5 3 2 5" xfId="39248" xr:uid="{00000000-0005-0000-0000-000053990000}"/>
    <cellStyle name="Normal 6 5 3 2 6" xfId="39249" xr:uid="{00000000-0005-0000-0000-000054990000}"/>
    <cellStyle name="Normal 6 5 3 3" xfId="39250" xr:uid="{00000000-0005-0000-0000-000055990000}"/>
    <cellStyle name="Normal 6 5 3 3 2" xfId="39251" xr:uid="{00000000-0005-0000-0000-000056990000}"/>
    <cellStyle name="Normal 6 5 3 3 2 2" xfId="39252" xr:uid="{00000000-0005-0000-0000-000057990000}"/>
    <cellStyle name="Normal 6 5 3 3 3" xfId="39253" xr:uid="{00000000-0005-0000-0000-000058990000}"/>
    <cellStyle name="Normal 6 5 3 3 4" xfId="39254" xr:uid="{00000000-0005-0000-0000-000059990000}"/>
    <cellStyle name="Normal 6 5 3 3 5" xfId="39255" xr:uid="{00000000-0005-0000-0000-00005A990000}"/>
    <cellStyle name="Normal 6 5 3 4" xfId="39256" xr:uid="{00000000-0005-0000-0000-00005B990000}"/>
    <cellStyle name="Normal 6 5 3 4 2" xfId="39257" xr:uid="{00000000-0005-0000-0000-00005C990000}"/>
    <cellStyle name="Normal 6 5 3 4 3" xfId="39258" xr:uid="{00000000-0005-0000-0000-00005D990000}"/>
    <cellStyle name="Normal 6 5 3 4 4" xfId="39259" xr:uid="{00000000-0005-0000-0000-00005E990000}"/>
    <cellStyle name="Normal 6 5 3 5" xfId="39260" xr:uid="{00000000-0005-0000-0000-00005F990000}"/>
    <cellStyle name="Normal 6 5 3 5 2" xfId="39261" xr:uid="{00000000-0005-0000-0000-000060990000}"/>
    <cellStyle name="Normal 6 5 3 6" xfId="39262" xr:uid="{00000000-0005-0000-0000-000061990000}"/>
    <cellStyle name="Normal 6 5 3 7" xfId="39263" xr:uid="{00000000-0005-0000-0000-000062990000}"/>
    <cellStyle name="Normal 6 5 3 8" xfId="39264" xr:uid="{00000000-0005-0000-0000-000063990000}"/>
    <cellStyle name="Normal 6 5 3 9" xfId="39265" xr:uid="{00000000-0005-0000-0000-000064990000}"/>
    <cellStyle name="Normal 6 5 4" xfId="39266" xr:uid="{00000000-0005-0000-0000-000065990000}"/>
    <cellStyle name="Normal 6 5 4 2" xfId="39267" xr:uid="{00000000-0005-0000-0000-000066990000}"/>
    <cellStyle name="Normal 6 5 4 2 2" xfId="39268" xr:uid="{00000000-0005-0000-0000-000067990000}"/>
    <cellStyle name="Normal 6 5 4 2 3" xfId="39269" xr:uid="{00000000-0005-0000-0000-000068990000}"/>
    <cellStyle name="Normal 6 5 4 3" xfId="39270" xr:uid="{00000000-0005-0000-0000-000069990000}"/>
    <cellStyle name="Normal 6 5 4 4" xfId="39271" xr:uid="{00000000-0005-0000-0000-00006A990000}"/>
    <cellStyle name="Normal 6 5 4 5" xfId="39272" xr:uid="{00000000-0005-0000-0000-00006B990000}"/>
    <cellStyle name="Normal 6 5 4 6" xfId="39273" xr:uid="{00000000-0005-0000-0000-00006C990000}"/>
    <cellStyle name="Normal 6 5 5" xfId="39274" xr:uid="{00000000-0005-0000-0000-00006D990000}"/>
    <cellStyle name="Normal 6 5 5 2" xfId="39275" xr:uid="{00000000-0005-0000-0000-00006E990000}"/>
    <cellStyle name="Normal 6 5 5 2 2" xfId="39276" xr:uid="{00000000-0005-0000-0000-00006F990000}"/>
    <cellStyle name="Normal 6 5 5 3" xfId="39277" xr:uid="{00000000-0005-0000-0000-000070990000}"/>
    <cellStyle name="Normal 6 5 5 4" xfId="39278" xr:uid="{00000000-0005-0000-0000-000071990000}"/>
    <cellStyle name="Normal 6 5 5 5" xfId="39279" xr:uid="{00000000-0005-0000-0000-000072990000}"/>
    <cellStyle name="Normal 6 5 6" xfId="39280" xr:uid="{00000000-0005-0000-0000-000073990000}"/>
    <cellStyle name="Normal 6 5 6 2" xfId="39281" xr:uid="{00000000-0005-0000-0000-000074990000}"/>
    <cellStyle name="Normal 6 5 6 3" xfId="39282" xr:uid="{00000000-0005-0000-0000-000075990000}"/>
    <cellStyle name="Normal 6 5 6 4" xfId="39283" xr:uid="{00000000-0005-0000-0000-000076990000}"/>
    <cellStyle name="Normal 6 5 7" xfId="39284" xr:uid="{00000000-0005-0000-0000-000077990000}"/>
    <cellStyle name="Normal 6 5 7 2" xfId="39285" xr:uid="{00000000-0005-0000-0000-000078990000}"/>
    <cellStyle name="Normal 6 5 8" xfId="39286" xr:uid="{00000000-0005-0000-0000-000079990000}"/>
    <cellStyle name="Normal 6 5 9" xfId="39287" xr:uid="{00000000-0005-0000-0000-00007A990000}"/>
    <cellStyle name="Normal 6 6" xfId="39288" xr:uid="{00000000-0005-0000-0000-00007B990000}"/>
    <cellStyle name="Normal 6 6 10" xfId="39289" xr:uid="{00000000-0005-0000-0000-00007C990000}"/>
    <cellStyle name="Normal 6 6 11" xfId="39290" xr:uid="{00000000-0005-0000-0000-00007D990000}"/>
    <cellStyle name="Normal 6 6 2" xfId="39291" xr:uid="{00000000-0005-0000-0000-00007E990000}"/>
    <cellStyle name="Normal 6 6 2 2" xfId="39292" xr:uid="{00000000-0005-0000-0000-00007F990000}"/>
    <cellStyle name="Normal 6 6 2 2 2" xfId="39293" xr:uid="{00000000-0005-0000-0000-000080990000}"/>
    <cellStyle name="Normal 6 6 2 2 2 2" xfId="39294" xr:uid="{00000000-0005-0000-0000-000081990000}"/>
    <cellStyle name="Normal 6 6 2 2 2 3" xfId="39295" xr:uid="{00000000-0005-0000-0000-000082990000}"/>
    <cellStyle name="Normal 6 6 2 2 3" xfId="39296" xr:uid="{00000000-0005-0000-0000-000083990000}"/>
    <cellStyle name="Normal 6 6 2 2 4" xfId="39297" xr:uid="{00000000-0005-0000-0000-000084990000}"/>
    <cellStyle name="Normal 6 6 2 2 5" xfId="39298" xr:uid="{00000000-0005-0000-0000-000085990000}"/>
    <cellStyle name="Normal 6 6 2 2 6" xfId="39299" xr:uid="{00000000-0005-0000-0000-000086990000}"/>
    <cellStyle name="Normal 6 6 2 3" xfId="39300" xr:uid="{00000000-0005-0000-0000-000087990000}"/>
    <cellStyle name="Normal 6 6 2 3 2" xfId="39301" xr:uid="{00000000-0005-0000-0000-000088990000}"/>
    <cellStyle name="Normal 6 6 2 3 2 2" xfId="39302" xr:uid="{00000000-0005-0000-0000-000089990000}"/>
    <cellStyle name="Normal 6 6 2 3 3" xfId="39303" xr:uid="{00000000-0005-0000-0000-00008A990000}"/>
    <cellStyle name="Normal 6 6 2 3 4" xfId="39304" xr:uid="{00000000-0005-0000-0000-00008B990000}"/>
    <cellStyle name="Normal 6 6 2 3 5" xfId="39305" xr:uid="{00000000-0005-0000-0000-00008C990000}"/>
    <cellStyle name="Normal 6 6 2 4" xfId="39306" xr:uid="{00000000-0005-0000-0000-00008D990000}"/>
    <cellStyle name="Normal 6 6 2 4 2" xfId="39307" xr:uid="{00000000-0005-0000-0000-00008E990000}"/>
    <cellStyle name="Normal 6 6 2 4 3" xfId="39308" xr:uid="{00000000-0005-0000-0000-00008F990000}"/>
    <cellStyle name="Normal 6 6 2 4 4" xfId="39309" xr:uid="{00000000-0005-0000-0000-000090990000}"/>
    <cellStyle name="Normal 6 6 2 5" xfId="39310" xr:uid="{00000000-0005-0000-0000-000091990000}"/>
    <cellStyle name="Normal 6 6 2 5 2" xfId="39311" xr:uid="{00000000-0005-0000-0000-000092990000}"/>
    <cellStyle name="Normal 6 6 2 6" xfId="39312" xr:uid="{00000000-0005-0000-0000-000093990000}"/>
    <cellStyle name="Normal 6 6 2 7" xfId="39313" xr:uid="{00000000-0005-0000-0000-000094990000}"/>
    <cellStyle name="Normal 6 6 2 8" xfId="39314" xr:uid="{00000000-0005-0000-0000-000095990000}"/>
    <cellStyle name="Normal 6 6 2 9" xfId="39315" xr:uid="{00000000-0005-0000-0000-000096990000}"/>
    <cellStyle name="Normal 6 6 3" xfId="39316" xr:uid="{00000000-0005-0000-0000-000097990000}"/>
    <cellStyle name="Normal 6 6 3 2" xfId="39317" xr:uid="{00000000-0005-0000-0000-000098990000}"/>
    <cellStyle name="Normal 6 6 3 2 2" xfId="39318" xr:uid="{00000000-0005-0000-0000-000099990000}"/>
    <cellStyle name="Normal 6 6 3 2 2 2" xfId="39319" xr:uid="{00000000-0005-0000-0000-00009A990000}"/>
    <cellStyle name="Normal 6 6 3 2 2 3" xfId="39320" xr:uid="{00000000-0005-0000-0000-00009B990000}"/>
    <cellStyle name="Normal 6 6 3 2 3" xfId="39321" xr:uid="{00000000-0005-0000-0000-00009C990000}"/>
    <cellStyle name="Normal 6 6 3 2 4" xfId="39322" xr:uid="{00000000-0005-0000-0000-00009D990000}"/>
    <cellStyle name="Normal 6 6 3 2 5" xfId="39323" xr:uid="{00000000-0005-0000-0000-00009E990000}"/>
    <cellStyle name="Normal 6 6 3 2 6" xfId="39324" xr:uid="{00000000-0005-0000-0000-00009F990000}"/>
    <cellStyle name="Normal 6 6 3 3" xfId="39325" xr:uid="{00000000-0005-0000-0000-0000A0990000}"/>
    <cellStyle name="Normal 6 6 3 3 2" xfId="39326" xr:uid="{00000000-0005-0000-0000-0000A1990000}"/>
    <cellStyle name="Normal 6 6 3 3 2 2" xfId="39327" xr:uid="{00000000-0005-0000-0000-0000A2990000}"/>
    <cellStyle name="Normal 6 6 3 3 3" xfId="39328" xr:uid="{00000000-0005-0000-0000-0000A3990000}"/>
    <cellStyle name="Normal 6 6 3 3 4" xfId="39329" xr:uid="{00000000-0005-0000-0000-0000A4990000}"/>
    <cellStyle name="Normal 6 6 3 3 5" xfId="39330" xr:uid="{00000000-0005-0000-0000-0000A5990000}"/>
    <cellStyle name="Normal 6 6 3 4" xfId="39331" xr:uid="{00000000-0005-0000-0000-0000A6990000}"/>
    <cellStyle name="Normal 6 6 3 4 2" xfId="39332" xr:uid="{00000000-0005-0000-0000-0000A7990000}"/>
    <cellStyle name="Normal 6 6 3 4 3" xfId="39333" xr:uid="{00000000-0005-0000-0000-0000A8990000}"/>
    <cellStyle name="Normal 6 6 3 4 4" xfId="39334" xr:uid="{00000000-0005-0000-0000-0000A9990000}"/>
    <cellStyle name="Normal 6 6 3 5" xfId="39335" xr:uid="{00000000-0005-0000-0000-0000AA990000}"/>
    <cellStyle name="Normal 6 6 3 5 2" xfId="39336" xr:uid="{00000000-0005-0000-0000-0000AB990000}"/>
    <cellStyle name="Normal 6 6 3 6" xfId="39337" xr:uid="{00000000-0005-0000-0000-0000AC990000}"/>
    <cellStyle name="Normal 6 6 3 7" xfId="39338" xr:uid="{00000000-0005-0000-0000-0000AD990000}"/>
    <cellStyle name="Normal 6 6 3 8" xfId="39339" xr:uid="{00000000-0005-0000-0000-0000AE990000}"/>
    <cellStyle name="Normal 6 6 3 9" xfId="39340" xr:uid="{00000000-0005-0000-0000-0000AF990000}"/>
    <cellStyle name="Normal 6 6 4" xfId="39341" xr:uid="{00000000-0005-0000-0000-0000B0990000}"/>
    <cellStyle name="Normal 6 6 4 2" xfId="39342" xr:uid="{00000000-0005-0000-0000-0000B1990000}"/>
    <cellStyle name="Normal 6 6 4 2 2" xfId="39343" xr:uid="{00000000-0005-0000-0000-0000B2990000}"/>
    <cellStyle name="Normal 6 6 4 2 3" xfId="39344" xr:uid="{00000000-0005-0000-0000-0000B3990000}"/>
    <cellStyle name="Normal 6 6 4 3" xfId="39345" xr:uid="{00000000-0005-0000-0000-0000B4990000}"/>
    <cellStyle name="Normal 6 6 4 4" xfId="39346" xr:uid="{00000000-0005-0000-0000-0000B5990000}"/>
    <cellStyle name="Normal 6 6 4 5" xfId="39347" xr:uid="{00000000-0005-0000-0000-0000B6990000}"/>
    <cellStyle name="Normal 6 6 4 6" xfId="39348" xr:uid="{00000000-0005-0000-0000-0000B7990000}"/>
    <cellStyle name="Normal 6 6 5" xfId="39349" xr:uid="{00000000-0005-0000-0000-0000B8990000}"/>
    <cellStyle name="Normal 6 6 5 2" xfId="39350" xr:uid="{00000000-0005-0000-0000-0000B9990000}"/>
    <cellStyle name="Normal 6 6 5 2 2" xfId="39351" xr:uid="{00000000-0005-0000-0000-0000BA990000}"/>
    <cellStyle name="Normal 6 6 5 3" xfId="39352" xr:uid="{00000000-0005-0000-0000-0000BB990000}"/>
    <cellStyle name="Normal 6 6 5 4" xfId="39353" xr:uid="{00000000-0005-0000-0000-0000BC990000}"/>
    <cellStyle name="Normal 6 6 5 5" xfId="39354" xr:uid="{00000000-0005-0000-0000-0000BD990000}"/>
    <cellStyle name="Normal 6 6 6" xfId="39355" xr:uid="{00000000-0005-0000-0000-0000BE990000}"/>
    <cellStyle name="Normal 6 6 6 2" xfId="39356" xr:uid="{00000000-0005-0000-0000-0000BF990000}"/>
    <cellStyle name="Normal 6 6 6 3" xfId="39357" xr:uid="{00000000-0005-0000-0000-0000C0990000}"/>
    <cellStyle name="Normal 6 6 6 4" xfId="39358" xr:uid="{00000000-0005-0000-0000-0000C1990000}"/>
    <cellStyle name="Normal 6 6 7" xfId="39359" xr:uid="{00000000-0005-0000-0000-0000C2990000}"/>
    <cellStyle name="Normal 6 6 7 2" xfId="39360" xr:uid="{00000000-0005-0000-0000-0000C3990000}"/>
    <cellStyle name="Normal 6 6 8" xfId="39361" xr:uid="{00000000-0005-0000-0000-0000C4990000}"/>
    <cellStyle name="Normal 6 6 9" xfId="39362" xr:uid="{00000000-0005-0000-0000-0000C5990000}"/>
    <cellStyle name="Normal 6 7" xfId="39363" xr:uid="{00000000-0005-0000-0000-0000C6990000}"/>
    <cellStyle name="Normal 6 7 10" xfId="39364" xr:uid="{00000000-0005-0000-0000-0000C7990000}"/>
    <cellStyle name="Normal 6 7 11" xfId="39365" xr:uid="{00000000-0005-0000-0000-0000C8990000}"/>
    <cellStyle name="Normal 6 7 2" xfId="39366" xr:uid="{00000000-0005-0000-0000-0000C9990000}"/>
    <cellStyle name="Normal 6 7 2 2" xfId="39367" xr:uid="{00000000-0005-0000-0000-0000CA990000}"/>
    <cellStyle name="Normal 6 7 2 2 2" xfId="39368" xr:uid="{00000000-0005-0000-0000-0000CB990000}"/>
    <cellStyle name="Normal 6 7 2 2 2 2" xfId="39369" xr:uid="{00000000-0005-0000-0000-0000CC990000}"/>
    <cellStyle name="Normal 6 7 2 2 2 3" xfId="39370" xr:uid="{00000000-0005-0000-0000-0000CD990000}"/>
    <cellStyle name="Normal 6 7 2 2 3" xfId="39371" xr:uid="{00000000-0005-0000-0000-0000CE990000}"/>
    <cellStyle name="Normal 6 7 2 2 4" xfId="39372" xr:uid="{00000000-0005-0000-0000-0000CF990000}"/>
    <cellStyle name="Normal 6 7 2 2 5" xfId="39373" xr:uid="{00000000-0005-0000-0000-0000D0990000}"/>
    <cellStyle name="Normal 6 7 2 2 6" xfId="39374" xr:uid="{00000000-0005-0000-0000-0000D1990000}"/>
    <cellStyle name="Normal 6 7 2 3" xfId="39375" xr:uid="{00000000-0005-0000-0000-0000D2990000}"/>
    <cellStyle name="Normal 6 7 2 3 2" xfId="39376" xr:uid="{00000000-0005-0000-0000-0000D3990000}"/>
    <cellStyle name="Normal 6 7 2 3 2 2" xfId="39377" xr:uid="{00000000-0005-0000-0000-0000D4990000}"/>
    <cellStyle name="Normal 6 7 2 3 3" xfId="39378" xr:uid="{00000000-0005-0000-0000-0000D5990000}"/>
    <cellStyle name="Normal 6 7 2 3 4" xfId="39379" xr:uid="{00000000-0005-0000-0000-0000D6990000}"/>
    <cellStyle name="Normal 6 7 2 3 5" xfId="39380" xr:uid="{00000000-0005-0000-0000-0000D7990000}"/>
    <cellStyle name="Normal 6 7 2 4" xfId="39381" xr:uid="{00000000-0005-0000-0000-0000D8990000}"/>
    <cellStyle name="Normal 6 7 2 4 2" xfId="39382" xr:uid="{00000000-0005-0000-0000-0000D9990000}"/>
    <cellStyle name="Normal 6 7 2 4 3" xfId="39383" xr:uid="{00000000-0005-0000-0000-0000DA990000}"/>
    <cellStyle name="Normal 6 7 2 4 4" xfId="39384" xr:uid="{00000000-0005-0000-0000-0000DB990000}"/>
    <cellStyle name="Normal 6 7 2 5" xfId="39385" xr:uid="{00000000-0005-0000-0000-0000DC990000}"/>
    <cellStyle name="Normal 6 7 2 5 2" xfId="39386" xr:uid="{00000000-0005-0000-0000-0000DD990000}"/>
    <cellStyle name="Normal 6 7 2 6" xfId="39387" xr:uid="{00000000-0005-0000-0000-0000DE990000}"/>
    <cellStyle name="Normal 6 7 2 7" xfId="39388" xr:uid="{00000000-0005-0000-0000-0000DF990000}"/>
    <cellStyle name="Normal 6 7 2 8" xfId="39389" xr:uid="{00000000-0005-0000-0000-0000E0990000}"/>
    <cellStyle name="Normal 6 7 2 9" xfId="39390" xr:uid="{00000000-0005-0000-0000-0000E1990000}"/>
    <cellStyle name="Normal 6 7 3" xfId="39391" xr:uid="{00000000-0005-0000-0000-0000E2990000}"/>
    <cellStyle name="Normal 6 7 3 2" xfId="39392" xr:uid="{00000000-0005-0000-0000-0000E3990000}"/>
    <cellStyle name="Normal 6 7 3 2 2" xfId="39393" xr:uid="{00000000-0005-0000-0000-0000E4990000}"/>
    <cellStyle name="Normal 6 7 3 2 2 2" xfId="39394" xr:uid="{00000000-0005-0000-0000-0000E5990000}"/>
    <cellStyle name="Normal 6 7 3 2 2 3" xfId="39395" xr:uid="{00000000-0005-0000-0000-0000E6990000}"/>
    <cellStyle name="Normal 6 7 3 2 3" xfId="39396" xr:uid="{00000000-0005-0000-0000-0000E7990000}"/>
    <cellStyle name="Normal 6 7 3 2 4" xfId="39397" xr:uid="{00000000-0005-0000-0000-0000E8990000}"/>
    <cellStyle name="Normal 6 7 3 2 5" xfId="39398" xr:uid="{00000000-0005-0000-0000-0000E9990000}"/>
    <cellStyle name="Normal 6 7 3 2 6" xfId="39399" xr:uid="{00000000-0005-0000-0000-0000EA990000}"/>
    <cellStyle name="Normal 6 7 3 3" xfId="39400" xr:uid="{00000000-0005-0000-0000-0000EB990000}"/>
    <cellStyle name="Normal 6 7 3 3 2" xfId="39401" xr:uid="{00000000-0005-0000-0000-0000EC990000}"/>
    <cellStyle name="Normal 6 7 3 3 2 2" xfId="39402" xr:uid="{00000000-0005-0000-0000-0000ED990000}"/>
    <cellStyle name="Normal 6 7 3 3 3" xfId="39403" xr:uid="{00000000-0005-0000-0000-0000EE990000}"/>
    <cellStyle name="Normal 6 7 3 3 4" xfId="39404" xr:uid="{00000000-0005-0000-0000-0000EF990000}"/>
    <cellStyle name="Normal 6 7 3 3 5" xfId="39405" xr:uid="{00000000-0005-0000-0000-0000F0990000}"/>
    <cellStyle name="Normal 6 7 3 4" xfId="39406" xr:uid="{00000000-0005-0000-0000-0000F1990000}"/>
    <cellStyle name="Normal 6 7 3 4 2" xfId="39407" xr:uid="{00000000-0005-0000-0000-0000F2990000}"/>
    <cellStyle name="Normal 6 7 3 4 3" xfId="39408" xr:uid="{00000000-0005-0000-0000-0000F3990000}"/>
    <cellStyle name="Normal 6 7 3 4 4" xfId="39409" xr:uid="{00000000-0005-0000-0000-0000F4990000}"/>
    <cellStyle name="Normal 6 7 3 5" xfId="39410" xr:uid="{00000000-0005-0000-0000-0000F5990000}"/>
    <cellStyle name="Normal 6 7 3 5 2" xfId="39411" xr:uid="{00000000-0005-0000-0000-0000F6990000}"/>
    <cellStyle name="Normal 6 7 3 6" xfId="39412" xr:uid="{00000000-0005-0000-0000-0000F7990000}"/>
    <cellStyle name="Normal 6 7 3 7" xfId="39413" xr:uid="{00000000-0005-0000-0000-0000F8990000}"/>
    <cellStyle name="Normal 6 7 3 8" xfId="39414" xr:uid="{00000000-0005-0000-0000-0000F9990000}"/>
    <cellStyle name="Normal 6 7 3 9" xfId="39415" xr:uid="{00000000-0005-0000-0000-0000FA990000}"/>
    <cellStyle name="Normal 6 7 4" xfId="39416" xr:uid="{00000000-0005-0000-0000-0000FB990000}"/>
    <cellStyle name="Normal 6 7 4 2" xfId="39417" xr:uid="{00000000-0005-0000-0000-0000FC990000}"/>
    <cellStyle name="Normal 6 7 4 2 2" xfId="39418" xr:uid="{00000000-0005-0000-0000-0000FD990000}"/>
    <cellStyle name="Normal 6 7 4 2 3" xfId="39419" xr:uid="{00000000-0005-0000-0000-0000FE990000}"/>
    <cellStyle name="Normal 6 7 4 3" xfId="39420" xr:uid="{00000000-0005-0000-0000-0000FF990000}"/>
    <cellStyle name="Normal 6 7 4 4" xfId="39421" xr:uid="{00000000-0005-0000-0000-0000009A0000}"/>
    <cellStyle name="Normal 6 7 4 5" xfId="39422" xr:uid="{00000000-0005-0000-0000-0000019A0000}"/>
    <cellStyle name="Normal 6 7 4 6" xfId="39423" xr:uid="{00000000-0005-0000-0000-0000029A0000}"/>
    <cellStyle name="Normal 6 7 5" xfId="39424" xr:uid="{00000000-0005-0000-0000-0000039A0000}"/>
    <cellStyle name="Normal 6 7 5 2" xfId="39425" xr:uid="{00000000-0005-0000-0000-0000049A0000}"/>
    <cellStyle name="Normal 6 7 5 2 2" xfId="39426" xr:uid="{00000000-0005-0000-0000-0000059A0000}"/>
    <cellStyle name="Normal 6 7 5 3" xfId="39427" xr:uid="{00000000-0005-0000-0000-0000069A0000}"/>
    <cellStyle name="Normal 6 7 5 4" xfId="39428" xr:uid="{00000000-0005-0000-0000-0000079A0000}"/>
    <cellStyle name="Normal 6 7 5 5" xfId="39429" xr:uid="{00000000-0005-0000-0000-0000089A0000}"/>
    <cellStyle name="Normal 6 7 6" xfId="39430" xr:uid="{00000000-0005-0000-0000-0000099A0000}"/>
    <cellStyle name="Normal 6 7 6 2" xfId="39431" xr:uid="{00000000-0005-0000-0000-00000A9A0000}"/>
    <cellStyle name="Normal 6 7 6 3" xfId="39432" xr:uid="{00000000-0005-0000-0000-00000B9A0000}"/>
    <cellStyle name="Normal 6 7 6 4" xfId="39433" xr:uid="{00000000-0005-0000-0000-00000C9A0000}"/>
    <cellStyle name="Normal 6 7 7" xfId="39434" xr:uid="{00000000-0005-0000-0000-00000D9A0000}"/>
    <cellStyle name="Normal 6 7 7 2" xfId="39435" xr:uid="{00000000-0005-0000-0000-00000E9A0000}"/>
    <cellStyle name="Normal 6 7 8" xfId="39436" xr:uid="{00000000-0005-0000-0000-00000F9A0000}"/>
    <cellStyle name="Normal 6 7 9" xfId="39437" xr:uid="{00000000-0005-0000-0000-0000109A0000}"/>
    <cellStyle name="Normal 6 8" xfId="39438" xr:uid="{00000000-0005-0000-0000-0000119A0000}"/>
    <cellStyle name="Normal 6 8 10" xfId="39439" xr:uid="{00000000-0005-0000-0000-0000129A0000}"/>
    <cellStyle name="Normal 6 8 11" xfId="39440" xr:uid="{00000000-0005-0000-0000-0000139A0000}"/>
    <cellStyle name="Normal 6 8 2" xfId="39441" xr:uid="{00000000-0005-0000-0000-0000149A0000}"/>
    <cellStyle name="Normal 6 8 2 2" xfId="39442" xr:uid="{00000000-0005-0000-0000-0000159A0000}"/>
    <cellStyle name="Normal 6 8 2 2 2" xfId="39443" xr:uid="{00000000-0005-0000-0000-0000169A0000}"/>
    <cellStyle name="Normal 6 8 2 2 2 2" xfId="39444" xr:uid="{00000000-0005-0000-0000-0000179A0000}"/>
    <cellStyle name="Normal 6 8 2 2 2 3" xfId="39445" xr:uid="{00000000-0005-0000-0000-0000189A0000}"/>
    <cellStyle name="Normal 6 8 2 2 3" xfId="39446" xr:uid="{00000000-0005-0000-0000-0000199A0000}"/>
    <cellStyle name="Normal 6 8 2 2 4" xfId="39447" xr:uid="{00000000-0005-0000-0000-00001A9A0000}"/>
    <cellStyle name="Normal 6 8 2 2 5" xfId="39448" xr:uid="{00000000-0005-0000-0000-00001B9A0000}"/>
    <cellStyle name="Normal 6 8 2 2 6" xfId="39449" xr:uid="{00000000-0005-0000-0000-00001C9A0000}"/>
    <cellStyle name="Normal 6 8 2 3" xfId="39450" xr:uid="{00000000-0005-0000-0000-00001D9A0000}"/>
    <cellStyle name="Normal 6 8 2 3 2" xfId="39451" xr:uid="{00000000-0005-0000-0000-00001E9A0000}"/>
    <cellStyle name="Normal 6 8 2 3 2 2" xfId="39452" xr:uid="{00000000-0005-0000-0000-00001F9A0000}"/>
    <cellStyle name="Normal 6 8 2 3 3" xfId="39453" xr:uid="{00000000-0005-0000-0000-0000209A0000}"/>
    <cellStyle name="Normal 6 8 2 3 4" xfId="39454" xr:uid="{00000000-0005-0000-0000-0000219A0000}"/>
    <cellStyle name="Normal 6 8 2 3 5" xfId="39455" xr:uid="{00000000-0005-0000-0000-0000229A0000}"/>
    <cellStyle name="Normal 6 8 2 4" xfId="39456" xr:uid="{00000000-0005-0000-0000-0000239A0000}"/>
    <cellStyle name="Normal 6 8 2 4 2" xfId="39457" xr:uid="{00000000-0005-0000-0000-0000249A0000}"/>
    <cellStyle name="Normal 6 8 2 4 3" xfId="39458" xr:uid="{00000000-0005-0000-0000-0000259A0000}"/>
    <cellStyle name="Normal 6 8 2 4 4" xfId="39459" xr:uid="{00000000-0005-0000-0000-0000269A0000}"/>
    <cellStyle name="Normal 6 8 2 5" xfId="39460" xr:uid="{00000000-0005-0000-0000-0000279A0000}"/>
    <cellStyle name="Normal 6 8 2 5 2" xfId="39461" xr:uid="{00000000-0005-0000-0000-0000289A0000}"/>
    <cellStyle name="Normal 6 8 2 6" xfId="39462" xr:uid="{00000000-0005-0000-0000-0000299A0000}"/>
    <cellStyle name="Normal 6 8 2 7" xfId="39463" xr:uid="{00000000-0005-0000-0000-00002A9A0000}"/>
    <cellStyle name="Normal 6 8 2 8" xfId="39464" xr:uid="{00000000-0005-0000-0000-00002B9A0000}"/>
    <cellStyle name="Normal 6 8 2 9" xfId="39465" xr:uid="{00000000-0005-0000-0000-00002C9A0000}"/>
    <cellStyle name="Normal 6 8 3" xfId="39466" xr:uid="{00000000-0005-0000-0000-00002D9A0000}"/>
    <cellStyle name="Normal 6 8 3 2" xfId="39467" xr:uid="{00000000-0005-0000-0000-00002E9A0000}"/>
    <cellStyle name="Normal 6 8 3 2 2" xfId="39468" xr:uid="{00000000-0005-0000-0000-00002F9A0000}"/>
    <cellStyle name="Normal 6 8 3 2 2 2" xfId="39469" xr:uid="{00000000-0005-0000-0000-0000309A0000}"/>
    <cellStyle name="Normal 6 8 3 2 2 3" xfId="39470" xr:uid="{00000000-0005-0000-0000-0000319A0000}"/>
    <cellStyle name="Normal 6 8 3 2 3" xfId="39471" xr:uid="{00000000-0005-0000-0000-0000329A0000}"/>
    <cellStyle name="Normal 6 8 3 2 4" xfId="39472" xr:uid="{00000000-0005-0000-0000-0000339A0000}"/>
    <cellStyle name="Normal 6 8 3 2 5" xfId="39473" xr:uid="{00000000-0005-0000-0000-0000349A0000}"/>
    <cellStyle name="Normal 6 8 3 2 6" xfId="39474" xr:uid="{00000000-0005-0000-0000-0000359A0000}"/>
    <cellStyle name="Normal 6 8 3 3" xfId="39475" xr:uid="{00000000-0005-0000-0000-0000369A0000}"/>
    <cellStyle name="Normal 6 8 3 3 2" xfId="39476" xr:uid="{00000000-0005-0000-0000-0000379A0000}"/>
    <cellStyle name="Normal 6 8 3 3 2 2" xfId="39477" xr:uid="{00000000-0005-0000-0000-0000389A0000}"/>
    <cellStyle name="Normal 6 8 3 3 3" xfId="39478" xr:uid="{00000000-0005-0000-0000-0000399A0000}"/>
    <cellStyle name="Normal 6 8 3 3 4" xfId="39479" xr:uid="{00000000-0005-0000-0000-00003A9A0000}"/>
    <cellStyle name="Normal 6 8 3 3 5" xfId="39480" xr:uid="{00000000-0005-0000-0000-00003B9A0000}"/>
    <cellStyle name="Normal 6 8 3 4" xfId="39481" xr:uid="{00000000-0005-0000-0000-00003C9A0000}"/>
    <cellStyle name="Normal 6 8 3 4 2" xfId="39482" xr:uid="{00000000-0005-0000-0000-00003D9A0000}"/>
    <cellStyle name="Normal 6 8 3 4 3" xfId="39483" xr:uid="{00000000-0005-0000-0000-00003E9A0000}"/>
    <cellStyle name="Normal 6 8 3 4 4" xfId="39484" xr:uid="{00000000-0005-0000-0000-00003F9A0000}"/>
    <cellStyle name="Normal 6 8 3 5" xfId="39485" xr:uid="{00000000-0005-0000-0000-0000409A0000}"/>
    <cellStyle name="Normal 6 8 3 5 2" xfId="39486" xr:uid="{00000000-0005-0000-0000-0000419A0000}"/>
    <cellStyle name="Normal 6 8 3 6" xfId="39487" xr:uid="{00000000-0005-0000-0000-0000429A0000}"/>
    <cellStyle name="Normal 6 8 3 7" xfId="39488" xr:uid="{00000000-0005-0000-0000-0000439A0000}"/>
    <cellStyle name="Normal 6 8 3 8" xfId="39489" xr:uid="{00000000-0005-0000-0000-0000449A0000}"/>
    <cellStyle name="Normal 6 8 3 9" xfId="39490" xr:uid="{00000000-0005-0000-0000-0000459A0000}"/>
    <cellStyle name="Normal 6 8 4" xfId="39491" xr:uid="{00000000-0005-0000-0000-0000469A0000}"/>
    <cellStyle name="Normal 6 8 4 2" xfId="39492" xr:uid="{00000000-0005-0000-0000-0000479A0000}"/>
    <cellStyle name="Normal 6 8 4 2 2" xfId="39493" xr:uid="{00000000-0005-0000-0000-0000489A0000}"/>
    <cellStyle name="Normal 6 8 4 2 3" xfId="39494" xr:uid="{00000000-0005-0000-0000-0000499A0000}"/>
    <cellStyle name="Normal 6 8 4 3" xfId="39495" xr:uid="{00000000-0005-0000-0000-00004A9A0000}"/>
    <cellStyle name="Normal 6 8 4 4" xfId="39496" xr:uid="{00000000-0005-0000-0000-00004B9A0000}"/>
    <cellStyle name="Normal 6 8 4 5" xfId="39497" xr:uid="{00000000-0005-0000-0000-00004C9A0000}"/>
    <cellStyle name="Normal 6 8 4 6" xfId="39498" xr:uid="{00000000-0005-0000-0000-00004D9A0000}"/>
    <cellStyle name="Normal 6 8 5" xfId="39499" xr:uid="{00000000-0005-0000-0000-00004E9A0000}"/>
    <cellStyle name="Normal 6 8 5 2" xfId="39500" xr:uid="{00000000-0005-0000-0000-00004F9A0000}"/>
    <cellStyle name="Normal 6 8 5 2 2" xfId="39501" xr:uid="{00000000-0005-0000-0000-0000509A0000}"/>
    <cellStyle name="Normal 6 8 5 3" xfId="39502" xr:uid="{00000000-0005-0000-0000-0000519A0000}"/>
    <cellStyle name="Normal 6 8 5 4" xfId="39503" xr:uid="{00000000-0005-0000-0000-0000529A0000}"/>
    <cellStyle name="Normal 6 8 5 5" xfId="39504" xr:uid="{00000000-0005-0000-0000-0000539A0000}"/>
    <cellStyle name="Normal 6 8 6" xfId="39505" xr:uid="{00000000-0005-0000-0000-0000549A0000}"/>
    <cellStyle name="Normal 6 8 6 2" xfId="39506" xr:uid="{00000000-0005-0000-0000-0000559A0000}"/>
    <cellStyle name="Normal 6 8 6 3" xfId="39507" xr:uid="{00000000-0005-0000-0000-0000569A0000}"/>
    <cellStyle name="Normal 6 8 6 4" xfId="39508" xr:uid="{00000000-0005-0000-0000-0000579A0000}"/>
    <cellStyle name="Normal 6 8 7" xfId="39509" xr:uid="{00000000-0005-0000-0000-0000589A0000}"/>
    <cellStyle name="Normal 6 8 7 2" xfId="39510" xr:uid="{00000000-0005-0000-0000-0000599A0000}"/>
    <cellStyle name="Normal 6 8 8" xfId="39511" xr:uid="{00000000-0005-0000-0000-00005A9A0000}"/>
    <cellStyle name="Normal 6 8 9" xfId="39512" xr:uid="{00000000-0005-0000-0000-00005B9A0000}"/>
    <cellStyle name="Normal 6 9" xfId="39513" xr:uid="{00000000-0005-0000-0000-00005C9A0000}"/>
    <cellStyle name="Normal 6 9 10" xfId="39514" xr:uid="{00000000-0005-0000-0000-00005D9A0000}"/>
    <cellStyle name="Normal 6 9 2" xfId="39515" xr:uid="{00000000-0005-0000-0000-00005E9A0000}"/>
    <cellStyle name="Normal 6 9 2 2" xfId="39516" xr:uid="{00000000-0005-0000-0000-00005F9A0000}"/>
    <cellStyle name="Normal 6 9 2 2 2" xfId="39517" xr:uid="{00000000-0005-0000-0000-0000609A0000}"/>
    <cellStyle name="Normal 6 9 2 2 3" xfId="39518" xr:uid="{00000000-0005-0000-0000-0000619A0000}"/>
    <cellStyle name="Normal 6 9 2 3" xfId="39519" xr:uid="{00000000-0005-0000-0000-0000629A0000}"/>
    <cellStyle name="Normal 6 9 2 4" xfId="39520" xr:uid="{00000000-0005-0000-0000-0000639A0000}"/>
    <cellStyle name="Normal 6 9 2 5" xfId="39521" xr:uid="{00000000-0005-0000-0000-0000649A0000}"/>
    <cellStyle name="Normal 6 9 2 6" xfId="39522" xr:uid="{00000000-0005-0000-0000-0000659A0000}"/>
    <cellStyle name="Normal 6 9 3" xfId="39523" xr:uid="{00000000-0005-0000-0000-0000669A0000}"/>
    <cellStyle name="Normal 6 9 3 2" xfId="39524" xr:uid="{00000000-0005-0000-0000-0000679A0000}"/>
    <cellStyle name="Normal 6 9 3 2 2" xfId="39525" xr:uid="{00000000-0005-0000-0000-0000689A0000}"/>
    <cellStyle name="Normal 6 9 3 2 3" xfId="39526" xr:uid="{00000000-0005-0000-0000-0000699A0000}"/>
    <cellStyle name="Normal 6 9 3 3" xfId="39527" xr:uid="{00000000-0005-0000-0000-00006A9A0000}"/>
    <cellStyle name="Normal 6 9 3 4" xfId="39528" xr:uid="{00000000-0005-0000-0000-00006B9A0000}"/>
    <cellStyle name="Normal 6 9 3 5" xfId="39529" xr:uid="{00000000-0005-0000-0000-00006C9A0000}"/>
    <cellStyle name="Normal 6 9 3 6" xfId="39530" xr:uid="{00000000-0005-0000-0000-00006D9A0000}"/>
    <cellStyle name="Normal 6 9 4" xfId="39531" xr:uid="{00000000-0005-0000-0000-00006E9A0000}"/>
    <cellStyle name="Normal 6 9 4 2" xfId="39532" xr:uid="{00000000-0005-0000-0000-00006F9A0000}"/>
    <cellStyle name="Normal 6 9 4 2 2" xfId="39533" xr:uid="{00000000-0005-0000-0000-0000709A0000}"/>
    <cellStyle name="Normal 6 9 4 3" xfId="39534" xr:uid="{00000000-0005-0000-0000-0000719A0000}"/>
    <cellStyle name="Normal 6 9 4 4" xfId="39535" xr:uid="{00000000-0005-0000-0000-0000729A0000}"/>
    <cellStyle name="Normal 6 9 4 5" xfId="39536" xr:uid="{00000000-0005-0000-0000-0000739A0000}"/>
    <cellStyle name="Normal 6 9 5" xfId="39537" xr:uid="{00000000-0005-0000-0000-0000749A0000}"/>
    <cellStyle name="Normal 6 9 5 2" xfId="39538" xr:uid="{00000000-0005-0000-0000-0000759A0000}"/>
    <cellStyle name="Normal 6 9 5 3" xfId="39539" xr:uid="{00000000-0005-0000-0000-0000769A0000}"/>
    <cellStyle name="Normal 6 9 5 4" xfId="39540" xr:uid="{00000000-0005-0000-0000-0000779A0000}"/>
    <cellStyle name="Normal 6 9 6" xfId="39541" xr:uid="{00000000-0005-0000-0000-0000789A0000}"/>
    <cellStyle name="Normal 6 9 6 2" xfId="39542" xr:uid="{00000000-0005-0000-0000-0000799A0000}"/>
    <cellStyle name="Normal 6 9 7" xfId="39543" xr:uid="{00000000-0005-0000-0000-00007A9A0000}"/>
    <cellStyle name="Normal 6 9 8" xfId="39544" xr:uid="{00000000-0005-0000-0000-00007B9A0000}"/>
    <cellStyle name="Normal 6 9 9" xfId="39545" xr:uid="{00000000-0005-0000-0000-00007C9A0000}"/>
    <cellStyle name="Normal 60" xfId="39546" xr:uid="{00000000-0005-0000-0000-00007D9A0000}"/>
    <cellStyle name="Normal 61" xfId="39547" xr:uid="{00000000-0005-0000-0000-00007E9A0000}"/>
    <cellStyle name="Normal 62" xfId="39548" xr:uid="{00000000-0005-0000-0000-00007F9A0000}"/>
    <cellStyle name="Normal 63" xfId="39549" xr:uid="{00000000-0005-0000-0000-0000809A0000}"/>
    <cellStyle name="Normal 64" xfId="39550" xr:uid="{00000000-0005-0000-0000-0000819A0000}"/>
    <cellStyle name="Normal 65" xfId="39551" xr:uid="{00000000-0005-0000-0000-0000829A0000}"/>
    <cellStyle name="Normal 66" xfId="39552" xr:uid="{00000000-0005-0000-0000-0000839A0000}"/>
    <cellStyle name="Normal 67" xfId="39553" xr:uid="{00000000-0005-0000-0000-0000849A0000}"/>
    <cellStyle name="Normal 68" xfId="39554" xr:uid="{00000000-0005-0000-0000-0000859A0000}"/>
    <cellStyle name="Normal 69" xfId="39555" xr:uid="{00000000-0005-0000-0000-0000869A0000}"/>
    <cellStyle name="Normal 7" xfId="39556" xr:uid="{00000000-0005-0000-0000-0000879A0000}"/>
    <cellStyle name="Normal 7 2" xfId="39557" xr:uid="{00000000-0005-0000-0000-0000889A0000}"/>
    <cellStyle name="Normal 7 2 2" xfId="39558" xr:uid="{00000000-0005-0000-0000-0000899A0000}"/>
    <cellStyle name="Normal 7 3" xfId="39559" xr:uid="{00000000-0005-0000-0000-00008A9A0000}"/>
    <cellStyle name="Normal 7 3 2" xfId="39560" xr:uid="{00000000-0005-0000-0000-00008B9A0000}"/>
    <cellStyle name="Normal 7 4" xfId="39561" xr:uid="{00000000-0005-0000-0000-00008C9A0000}"/>
    <cellStyle name="Normal 70" xfId="39562" xr:uid="{00000000-0005-0000-0000-00008D9A0000}"/>
    <cellStyle name="Normal 71" xfId="39563" xr:uid="{00000000-0005-0000-0000-00008E9A0000}"/>
    <cellStyle name="Normal 72" xfId="42323" xr:uid="{00000000-0005-0000-0000-00008F9A0000}"/>
    <cellStyle name="Normal 73" xfId="42324" xr:uid="{00000000-0005-0000-0000-0000909A0000}"/>
    <cellStyle name="Normal 8" xfId="39564" xr:uid="{00000000-0005-0000-0000-0000919A0000}"/>
    <cellStyle name="Normal 8 2" xfId="39565" xr:uid="{00000000-0005-0000-0000-0000929A0000}"/>
    <cellStyle name="Normal 8 2 2" xfId="39566" xr:uid="{00000000-0005-0000-0000-0000939A0000}"/>
    <cellStyle name="Normal 8 2 3" xfId="39567" xr:uid="{00000000-0005-0000-0000-0000949A0000}"/>
    <cellStyle name="Normal 8 3" xfId="39568" xr:uid="{00000000-0005-0000-0000-0000959A0000}"/>
    <cellStyle name="Normal 8 3 2" xfId="39569" xr:uid="{00000000-0005-0000-0000-0000969A0000}"/>
    <cellStyle name="Normal 8 4" xfId="39570" xr:uid="{00000000-0005-0000-0000-0000979A0000}"/>
    <cellStyle name="Normal 8 5" xfId="39571" xr:uid="{00000000-0005-0000-0000-0000989A0000}"/>
    <cellStyle name="Normal 8 6" xfId="39572" xr:uid="{00000000-0005-0000-0000-0000999A0000}"/>
    <cellStyle name="Normal 9" xfId="39573" xr:uid="{00000000-0005-0000-0000-00009A9A0000}"/>
    <cellStyle name="Normal 9 10" xfId="39574" xr:uid="{00000000-0005-0000-0000-00009B9A0000}"/>
    <cellStyle name="Normal 9 11" xfId="39575" xr:uid="{00000000-0005-0000-0000-00009C9A0000}"/>
    <cellStyle name="Normal 9 12" xfId="39576" xr:uid="{00000000-0005-0000-0000-00009D9A0000}"/>
    <cellStyle name="Normal 9 13" xfId="39577" xr:uid="{00000000-0005-0000-0000-00009E9A0000}"/>
    <cellStyle name="Normal 9 14" xfId="39578" xr:uid="{00000000-0005-0000-0000-00009F9A0000}"/>
    <cellStyle name="Normal 9 15" xfId="39579" xr:uid="{00000000-0005-0000-0000-0000A09A0000}"/>
    <cellStyle name="Normal 9 16" xfId="39580" xr:uid="{00000000-0005-0000-0000-0000A19A0000}"/>
    <cellStyle name="Normal 9 17" xfId="39581" xr:uid="{00000000-0005-0000-0000-0000A29A0000}"/>
    <cellStyle name="Normal 9 18" xfId="39582" xr:uid="{00000000-0005-0000-0000-0000A39A0000}"/>
    <cellStyle name="Normal 9 19" xfId="39583" xr:uid="{00000000-0005-0000-0000-0000A49A0000}"/>
    <cellStyle name="Normal 9 2" xfId="39584" xr:uid="{00000000-0005-0000-0000-0000A59A0000}"/>
    <cellStyle name="Normal 9 20" xfId="39585" xr:uid="{00000000-0005-0000-0000-0000A69A0000}"/>
    <cellStyle name="Normal 9 21" xfId="39586" xr:uid="{00000000-0005-0000-0000-0000A79A0000}"/>
    <cellStyle name="Normal 9 22" xfId="39587" xr:uid="{00000000-0005-0000-0000-0000A89A0000}"/>
    <cellStyle name="Normal 9 23" xfId="39588" xr:uid="{00000000-0005-0000-0000-0000A99A0000}"/>
    <cellStyle name="Normal 9 24" xfId="39589" xr:uid="{00000000-0005-0000-0000-0000AA9A0000}"/>
    <cellStyle name="Normal 9 25" xfId="39590" xr:uid="{00000000-0005-0000-0000-0000AB9A0000}"/>
    <cellStyle name="Normal 9 26" xfId="39591" xr:uid="{00000000-0005-0000-0000-0000AC9A0000}"/>
    <cellStyle name="Normal 9 27" xfId="39592" xr:uid="{00000000-0005-0000-0000-0000AD9A0000}"/>
    <cellStyle name="Normal 9 28" xfId="39593" xr:uid="{00000000-0005-0000-0000-0000AE9A0000}"/>
    <cellStyle name="Normal 9 29" xfId="39594" xr:uid="{00000000-0005-0000-0000-0000AF9A0000}"/>
    <cellStyle name="Normal 9 3" xfId="39595" xr:uid="{00000000-0005-0000-0000-0000B09A0000}"/>
    <cellStyle name="Normal 9 3 2" xfId="39596" xr:uid="{00000000-0005-0000-0000-0000B19A0000}"/>
    <cellStyle name="Normal 9 30" xfId="39597" xr:uid="{00000000-0005-0000-0000-0000B29A0000}"/>
    <cellStyle name="Normal 9 31" xfId="39598" xr:uid="{00000000-0005-0000-0000-0000B39A0000}"/>
    <cellStyle name="Normal 9 32" xfId="39599" xr:uid="{00000000-0005-0000-0000-0000B49A0000}"/>
    <cellStyle name="Normal 9 33" xfId="39600" xr:uid="{00000000-0005-0000-0000-0000B59A0000}"/>
    <cellStyle name="Normal 9 34" xfId="39601" xr:uid="{00000000-0005-0000-0000-0000B69A0000}"/>
    <cellStyle name="Normal 9 35" xfId="39602" xr:uid="{00000000-0005-0000-0000-0000B79A0000}"/>
    <cellStyle name="Normal 9 36" xfId="39603" xr:uid="{00000000-0005-0000-0000-0000B89A0000}"/>
    <cellStyle name="Normal 9 37" xfId="39604" xr:uid="{00000000-0005-0000-0000-0000B99A0000}"/>
    <cellStyle name="Normal 9 38" xfId="39605" xr:uid="{00000000-0005-0000-0000-0000BA9A0000}"/>
    <cellStyle name="Normal 9 39" xfId="39606" xr:uid="{00000000-0005-0000-0000-0000BB9A0000}"/>
    <cellStyle name="Normal 9 4" xfId="39607" xr:uid="{00000000-0005-0000-0000-0000BC9A0000}"/>
    <cellStyle name="Normal 9 40" xfId="39608" xr:uid="{00000000-0005-0000-0000-0000BD9A0000}"/>
    <cellStyle name="Normal 9 5" xfId="39609" xr:uid="{00000000-0005-0000-0000-0000BE9A0000}"/>
    <cellStyle name="Normal 9 6" xfId="39610" xr:uid="{00000000-0005-0000-0000-0000BF9A0000}"/>
    <cellStyle name="Normal 9 7" xfId="39611" xr:uid="{00000000-0005-0000-0000-0000C09A0000}"/>
    <cellStyle name="Normal 9 8" xfId="39612" xr:uid="{00000000-0005-0000-0000-0000C19A0000}"/>
    <cellStyle name="Normal 9 9" xfId="39613" xr:uid="{00000000-0005-0000-0000-0000C29A0000}"/>
    <cellStyle name="Normal 99" xfId="39614" xr:uid="{00000000-0005-0000-0000-0000C39A0000}"/>
    <cellStyle name="Normal_FY94COST.XLS" xfId="42319" xr:uid="{00000000-0005-0000-0000-0000C49A0000}"/>
    <cellStyle name="Note 10" xfId="39615" xr:uid="{00000000-0005-0000-0000-0000C59A0000}"/>
    <cellStyle name="Note 11" xfId="39616" xr:uid="{00000000-0005-0000-0000-0000C69A0000}"/>
    <cellStyle name="Note 11 10" xfId="39617" xr:uid="{00000000-0005-0000-0000-0000C79A0000}"/>
    <cellStyle name="Note 11 2" xfId="39618" xr:uid="{00000000-0005-0000-0000-0000C89A0000}"/>
    <cellStyle name="Note 11 2 2" xfId="39619" xr:uid="{00000000-0005-0000-0000-0000C99A0000}"/>
    <cellStyle name="Note 11 2 2 2" xfId="39620" xr:uid="{00000000-0005-0000-0000-0000CA9A0000}"/>
    <cellStyle name="Note 11 2 2 2 2" xfId="39621" xr:uid="{00000000-0005-0000-0000-0000CB9A0000}"/>
    <cellStyle name="Note 11 2 2 2 3" xfId="39622" xr:uid="{00000000-0005-0000-0000-0000CC9A0000}"/>
    <cellStyle name="Note 11 2 2 3" xfId="39623" xr:uid="{00000000-0005-0000-0000-0000CD9A0000}"/>
    <cellStyle name="Note 11 2 2 4" xfId="39624" xr:uid="{00000000-0005-0000-0000-0000CE9A0000}"/>
    <cellStyle name="Note 11 2 2 5" xfId="39625" xr:uid="{00000000-0005-0000-0000-0000CF9A0000}"/>
    <cellStyle name="Note 11 2 2 6" xfId="39626" xr:uid="{00000000-0005-0000-0000-0000D09A0000}"/>
    <cellStyle name="Note 11 2 3" xfId="39627" xr:uid="{00000000-0005-0000-0000-0000D19A0000}"/>
    <cellStyle name="Note 11 2 3 2" xfId="39628" xr:uid="{00000000-0005-0000-0000-0000D29A0000}"/>
    <cellStyle name="Note 11 2 3 2 2" xfId="39629" xr:uid="{00000000-0005-0000-0000-0000D39A0000}"/>
    <cellStyle name="Note 11 2 3 3" xfId="39630" xr:uid="{00000000-0005-0000-0000-0000D49A0000}"/>
    <cellStyle name="Note 11 2 3 4" xfId="39631" xr:uid="{00000000-0005-0000-0000-0000D59A0000}"/>
    <cellStyle name="Note 11 2 3 5" xfId="39632" xr:uid="{00000000-0005-0000-0000-0000D69A0000}"/>
    <cellStyle name="Note 11 2 4" xfId="39633" xr:uid="{00000000-0005-0000-0000-0000D79A0000}"/>
    <cellStyle name="Note 11 2 4 2" xfId="39634" xr:uid="{00000000-0005-0000-0000-0000D89A0000}"/>
    <cellStyle name="Note 11 2 4 3" xfId="39635" xr:uid="{00000000-0005-0000-0000-0000D99A0000}"/>
    <cellStyle name="Note 11 2 4 4" xfId="39636" xr:uid="{00000000-0005-0000-0000-0000DA9A0000}"/>
    <cellStyle name="Note 11 2 5" xfId="39637" xr:uid="{00000000-0005-0000-0000-0000DB9A0000}"/>
    <cellStyle name="Note 11 2 5 2" xfId="39638" xr:uid="{00000000-0005-0000-0000-0000DC9A0000}"/>
    <cellStyle name="Note 11 2 6" xfId="39639" xr:uid="{00000000-0005-0000-0000-0000DD9A0000}"/>
    <cellStyle name="Note 11 2 7" xfId="39640" xr:uid="{00000000-0005-0000-0000-0000DE9A0000}"/>
    <cellStyle name="Note 11 2 8" xfId="39641" xr:uid="{00000000-0005-0000-0000-0000DF9A0000}"/>
    <cellStyle name="Note 11 2 9" xfId="39642" xr:uid="{00000000-0005-0000-0000-0000E09A0000}"/>
    <cellStyle name="Note 11 3" xfId="39643" xr:uid="{00000000-0005-0000-0000-0000E19A0000}"/>
    <cellStyle name="Note 11 3 2" xfId="39644" xr:uid="{00000000-0005-0000-0000-0000E29A0000}"/>
    <cellStyle name="Note 11 3 2 2" xfId="39645" xr:uid="{00000000-0005-0000-0000-0000E39A0000}"/>
    <cellStyle name="Note 11 3 2 3" xfId="39646" xr:uid="{00000000-0005-0000-0000-0000E49A0000}"/>
    <cellStyle name="Note 11 3 3" xfId="39647" xr:uid="{00000000-0005-0000-0000-0000E59A0000}"/>
    <cellStyle name="Note 11 3 4" xfId="39648" xr:uid="{00000000-0005-0000-0000-0000E69A0000}"/>
    <cellStyle name="Note 11 3 5" xfId="39649" xr:uid="{00000000-0005-0000-0000-0000E79A0000}"/>
    <cellStyle name="Note 11 3 6" xfId="39650" xr:uid="{00000000-0005-0000-0000-0000E89A0000}"/>
    <cellStyle name="Note 11 4" xfId="39651" xr:uid="{00000000-0005-0000-0000-0000E99A0000}"/>
    <cellStyle name="Note 11 4 2" xfId="39652" xr:uid="{00000000-0005-0000-0000-0000EA9A0000}"/>
    <cellStyle name="Note 11 4 2 2" xfId="39653" xr:uid="{00000000-0005-0000-0000-0000EB9A0000}"/>
    <cellStyle name="Note 11 4 3" xfId="39654" xr:uid="{00000000-0005-0000-0000-0000EC9A0000}"/>
    <cellStyle name="Note 11 4 4" xfId="39655" xr:uid="{00000000-0005-0000-0000-0000ED9A0000}"/>
    <cellStyle name="Note 11 4 5" xfId="39656" xr:uid="{00000000-0005-0000-0000-0000EE9A0000}"/>
    <cellStyle name="Note 11 5" xfId="39657" xr:uid="{00000000-0005-0000-0000-0000EF9A0000}"/>
    <cellStyle name="Note 11 5 2" xfId="39658" xr:uid="{00000000-0005-0000-0000-0000F09A0000}"/>
    <cellStyle name="Note 11 5 2 2" xfId="39659" xr:uid="{00000000-0005-0000-0000-0000F19A0000}"/>
    <cellStyle name="Note 11 5 3" xfId="39660" xr:uid="{00000000-0005-0000-0000-0000F29A0000}"/>
    <cellStyle name="Note 11 5 4" xfId="39661" xr:uid="{00000000-0005-0000-0000-0000F39A0000}"/>
    <cellStyle name="Note 11 5 5" xfId="39662" xr:uid="{00000000-0005-0000-0000-0000F49A0000}"/>
    <cellStyle name="Note 11 6" xfId="39663" xr:uid="{00000000-0005-0000-0000-0000F59A0000}"/>
    <cellStyle name="Note 11 6 2" xfId="39664" xr:uid="{00000000-0005-0000-0000-0000F69A0000}"/>
    <cellStyle name="Note 11 7" xfId="39665" xr:uid="{00000000-0005-0000-0000-0000F79A0000}"/>
    <cellStyle name="Note 11 8" xfId="39666" xr:uid="{00000000-0005-0000-0000-0000F89A0000}"/>
    <cellStyle name="Note 11 9" xfId="39667" xr:uid="{00000000-0005-0000-0000-0000F99A0000}"/>
    <cellStyle name="Note 12" xfId="39668" xr:uid="{00000000-0005-0000-0000-0000FA9A0000}"/>
    <cellStyle name="Note 12 10" xfId="39669" xr:uid="{00000000-0005-0000-0000-0000FB9A0000}"/>
    <cellStyle name="Note 12 2" xfId="39670" xr:uid="{00000000-0005-0000-0000-0000FC9A0000}"/>
    <cellStyle name="Note 12 2 2" xfId="39671" xr:uid="{00000000-0005-0000-0000-0000FD9A0000}"/>
    <cellStyle name="Note 12 2 2 2" xfId="39672" xr:uid="{00000000-0005-0000-0000-0000FE9A0000}"/>
    <cellStyle name="Note 12 2 2 2 2" xfId="39673" xr:uid="{00000000-0005-0000-0000-0000FF9A0000}"/>
    <cellStyle name="Note 12 2 2 2 3" xfId="39674" xr:uid="{00000000-0005-0000-0000-0000009B0000}"/>
    <cellStyle name="Note 12 2 2 3" xfId="39675" xr:uid="{00000000-0005-0000-0000-0000019B0000}"/>
    <cellStyle name="Note 12 2 2 4" xfId="39676" xr:uid="{00000000-0005-0000-0000-0000029B0000}"/>
    <cellStyle name="Note 12 2 2 5" xfId="39677" xr:uid="{00000000-0005-0000-0000-0000039B0000}"/>
    <cellStyle name="Note 12 2 2 6" xfId="39678" xr:uid="{00000000-0005-0000-0000-0000049B0000}"/>
    <cellStyle name="Note 12 2 3" xfId="39679" xr:uid="{00000000-0005-0000-0000-0000059B0000}"/>
    <cellStyle name="Note 12 2 3 2" xfId="39680" xr:uid="{00000000-0005-0000-0000-0000069B0000}"/>
    <cellStyle name="Note 12 2 3 2 2" xfId="39681" xr:uid="{00000000-0005-0000-0000-0000079B0000}"/>
    <cellStyle name="Note 12 2 3 3" xfId="39682" xr:uid="{00000000-0005-0000-0000-0000089B0000}"/>
    <cellStyle name="Note 12 2 3 4" xfId="39683" xr:uid="{00000000-0005-0000-0000-0000099B0000}"/>
    <cellStyle name="Note 12 2 3 5" xfId="39684" xr:uid="{00000000-0005-0000-0000-00000A9B0000}"/>
    <cellStyle name="Note 12 2 4" xfId="39685" xr:uid="{00000000-0005-0000-0000-00000B9B0000}"/>
    <cellStyle name="Note 12 2 4 2" xfId="39686" xr:uid="{00000000-0005-0000-0000-00000C9B0000}"/>
    <cellStyle name="Note 12 2 4 3" xfId="39687" xr:uid="{00000000-0005-0000-0000-00000D9B0000}"/>
    <cellStyle name="Note 12 2 4 4" xfId="39688" xr:uid="{00000000-0005-0000-0000-00000E9B0000}"/>
    <cellStyle name="Note 12 2 5" xfId="39689" xr:uid="{00000000-0005-0000-0000-00000F9B0000}"/>
    <cellStyle name="Note 12 2 5 2" xfId="39690" xr:uid="{00000000-0005-0000-0000-0000109B0000}"/>
    <cellStyle name="Note 12 2 6" xfId="39691" xr:uid="{00000000-0005-0000-0000-0000119B0000}"/>
    <cellStyle name="Note 12 2 7" xfId="39692" xr:uid="{00000000-0005-0000-0000-0000129B0000}"/>
    <cellStyle name="Note 12 2 8" xfId="39693" xr:uid="{00000000-0005-0000-0000-0000139B0000}"/>
    <cellStyle name="Note 12 2 9" xfId="39694" xr:uid="{00000000-0005-0000-0000-0000149B0000}"/>
    <cellStyle name="Note 12 3" xfId="39695" xr:uid="{00000000-0005-0000-0000-0000159B0000}"/>
    <cellStyle name="Note 12 3 2" xfId="39696" xr:uid="{00000000-0005-0000-0000-0000169B0000}"/>
    <cellStyle name="Note 12 3 2 2" xfId="39697" xr:uid="{00000000-0005-0000-0000-0000179B0000}"/>
    <cellStyle name="Note 12 3 2 3" xfId="39698" xr:uid="{00000000-0005-0000-0000-0000189B0000}"/>
    <cellStyle name="Note 12 3 3" xfId="39699" xr:uid="{00000000-0005-0000-0000-0000199B0000}"/>
    <cellStyle name="Note 12 3 4" xfId="39700" xr:uid="{00000000-0005-0000-0000-00001A9B0000}"/>
    <cellStyle name="Note 12 3 5" xfId="39701" xr:uid="{00000000-0005-0000-0000-00001B9B0000}"/>
    <cellStyle name="Note 12 3 6" xfId="39702" xr:uid="{00000000-0005-0000-0000-00001C9B0000}"/>
    <cellStyle name="Note 12 4" xfId="39703" xr:uid="{00000000-0005-0000-0000-00001D9B0000}"/>
    <cellStyle name="Note 12 4 2" xfId="39704" xr:uid="{00000000-0005-0000-0000-00001E9B0000}"/>
    <cellStyle name="Note 12 4 2 2" xfId="39705" xr:uid="{00000000-0005-0000-0000-00001F9B0000}"/>
    <cellStyle name="Note 12 4 3" xfId="39706" xr:uid="{00000000-0005-0000-0000-0000209B0000}"/>
    <cellStyle name="Note 12 4 4" xfId="39707" xr:uid="{00000000-0005-0000-0000-0000219B0000}"/>
    <cellStyle name="Note 12 4 5" xfId="39708" xr:uid="{00000000-0005-0000-0000-0000229B0000}"/>
    <cellStyle name="Note 12 5" xfId="39709" xr:uid="{00000000-0005-0000-0000-0000239B0000}"/>
    <cellStyle name="Note 12 5 2" xfId="39710" xr:uid="{00000000-0005-0000-0000-0000249B0000}"/>
    <cellStyle name="Note 12 5 2 2" xfId="39711" xr:uid="{00000000-0005-0000-0000-0000259B0000}"/>
    <cellStyle name="Note 12 5 3" xfId="39712" xr:uid="{00000000-0005-0000-0000-0000269B0000}"/>
    <cellStyle name="Note 12 5 4" xfId="39713" xr:uid="{00000000-0005-0000-0000-0000279B0000}"/>
    <cellStyle name="Note 12 5 5" xfId="39714" xr:uid="{00000000-0005-0000-0000-0000289B0000}"/>
    <cellStyle name="Note 12 6" xfId="39715" xr:uid="{00000000-0005-0000-0000-0000299B0000}"/>
    <cellStyle name="Note 12 6 2" xfId="39716" xr:uid="{00000000-0005-0000-0000-00002A9B0000}"/>
    <cellStyle name="Note 12 7" xfId="39717" xr:uid="{00000000-0005-0000-0000-00002B9B0000}"/>
    <cellStyle name="Note 12 8" xfId="39718" xr:uid="{00000000-0005-0000-0000-00002C9B0000}"/>
    <cellStyle name="Note 12 9" xfId="39719" xr:uid="{00000000-0005-0000-0000-00002D9B0000}"/>
    <cellStyle name="Note 13" xfId="39720" xr:uid="{00000000-0005-0000-0000-00002E9B0000}"/>
    <cellStyle name="Note 13 10" xfId="39721" xr:uid="{00000000-0005-0000-0000-00002F9B0000}"/>
    <cellStyle name="Note 13 2" xfId="39722" xr:uid="{00000000-0005-0000-0000-0000309B0000}"/>
    <cellStyle name="Note 13 2 2" xfId="39723" xr:uid="{00000000-0005-0000-0000-0000319B0000}"/>
    <cellStyle name="Note 13 2 2 2" xfId="39724" xr:uid="{00000000-0005-0000-0000-0000329B0000}"/>
    <cellStyle name="Note 13 2 2 2 2" xfId="39725" xr:uid="{00000000-0005-0000-0000-0000339B0000}"/>
    <cellStyle name="Note 13 2 2 2 3" xfId="39726" xr:uid="{00000000-0005-0000-0000-0000349B0000}"/>
    <cellStyle name="Note 13 2 2 3" xfId="39727" xr:uid="{00000000-0005-0000-0000-0000359B0000}"/>
    <cellStyle name="Note 13 2 2 4" xfId="39728" xr:uid="{00000000-0005-0000-0000-0000369B0000}"/>
    <cellStyle name="Note 13 2 2 5" xfId="39729" xr:uid="{00000000-0005-0000-0000-0000379B0000}"/>
    <cellStyle name="Note 13 2 2 6" xfId="39730" xr:uid="{00000000-0005-0000-0000-0000389B0000}"/>
    <cellStyle name="Note 13 2 3" xfId="39731" xr:uid="{00000000-0005-0000-0000-0000399B0000}"/>
    <cellStyle name="Note 13 2 3 2" xfId="39732" xr:uid="{00000000-0005-0000-0000-00003A9B0000}"/>
    <cellStyle name="Note 13 2 3 2 2" xfId="39733" xr:uid="{00000000-0005-0000-0000-00003B9B0000}"/>
    <cellStyle name="Note 13 2 3 3" xfId="39734" xr:uid="{00000000-0005-0000-0000-00003C9B0000}"/>
    <cellStyle name="Note 13 2 3 4" xfId="39735" xr:uid="{00000000-0005-0000-0000-00003D9B0000}"/>
    <cellStyle name="Note 13 2 3 5" xfId="39736" xr:uid="{00000000-0005-0000-0000-00003E9B0000}"/>
    <cellStyle name="Note 13 2 4" xfId="39737" xr:uid="{00000000-0005-0000-0000-00003F9B0000}"/>
    <cellStyle name="Note 13 2 4 2" xfId="39738" xr:uid="{00000000-0005-0000-0000-0000409B0000}"/>
    <cellStyle name="Note 13 2 4 3" xfId="39739" xr:uid="{00000000-0005-0000-0000-0000419B0000}"/>
    <cellStyle name="Note 13 2 4 4" xfId="39740" xr:uid="{00000000-0005-0000-0000-0000429B0000}"/>
    <cellStyle name="Note 13 2 5" xfId="39741" xr:uid="{00000000-0005-0000-0000-0000439B0000}"/>
    <cellStyle name="Note 13 2 5 2" xfId="39742" xr:uid="{00000000-0005-0000-0000-0000449B0000}"/>
    <cellStyle name="Note 13 2 6" xfId="39743" xr:uid="{00000000-0005-0000-0000-0000459B0000}"/>
    <cellStyle name="Note 13 2 7" xfId="39744" xr:uid="{00000000-0005-0000-0000-0000469B0000}"/>
    <cellStyle name="Note 13 2 8" xfId="39745" xr:uid="{00000000-0005-0000-0000-0000479B0000}"/>
    <cellStyle name="Note 13 2 9" xfId="39746" xr:uid="{00000000-0005-0000-0000-0000489B0000}"/>
    <cellStyle name="Note 13 3" xfId="39747" xr:uid="{00000000-0005-0000-0000-0000499B0000}"/>
    <cellStyle name="Note 13 3 2" xfId="39748" xr:uid="{00000000-0005-0000-0000-00004A9B0000}"/>
    <cellStyle name="Note 13 3 2 2" xfId="39749" xr:uid="{00000000-0005-0000-0000-00004B9B0000}"/>
    <cellStyle name="Note 13 3 2 3" xfId="39750" xr:uid="{00000000-0005-0000-0000-00004C9B0000}"/>
    <cellStyle name="Note 13 3 3" xfId="39751" xr:uid="{00000000-0005-0000-0000-00004D9B0000}"/>
    <cellStyle name="Note 13 3 4" xfId="39752" xr:uid="{00000000-0005-0000-0000-00004E9B0000}"/>
    <cellStyle name="Note 13 3 5" xfId="39753" xr:uid="{00000000-0005-0000-0000-00004F9B0000}"/>
    <cellStyle name="Note 13 3 6" xfId="39754" xr:uid="{00000000-0005-0000-0000-0000509B0000}"/>
    <cellStyle name="Note 13 4" xfId="39755" xr:uid="{00000000-0005-0000-0000-0000519B0000}"/>
    <cellStyle name="Note 13 4 2" xfId="39756" xr:uid="{00000000-0005-0000-0000-0000529B0000}"/>
    <cellStyle name="Note 13 4 2 2" xfId="39757" xr:uid="{00000000-0005-0000-0000-0000539B0000}"/>
    <cellStyle name="Note 13 4 3" xfId="39758" xr:uid="{00000000-0005-0000-0000-0000549B0000}"/>
    <cellStyle name="Note 13 4 4" xfId="39759" xr:uid="{00000000-0005-0000-0000-0000559B0000}"/>
    <cellStyle name="Note 13 4 5" xfId="39760" xr:uid="{00000000-0005-0000-0000-0000569B0000}"/>
    <cellStyle name="Note 13 5" xfId="39761" xr:uid="{00000000-0005-0000-0000-0000579B0000}"/>
    <cellStyle name="Note 13 5 2" xfId="39762" xr:uid="{00000000-0005-0000-0000-0000589B0000}"/>
    <cellStyle name="Note 13 5 2 2" xfId="39763" xr:uid="{00000000-0005-0000-0000-0000599B0000}"/>
    <cellStyle name="Note 13 5 3" xfId="39764" xr:uid="{00000000-0005-0000-0000-00005A9B0000}"/>
    <cellStyle name="Note 13 5 4" xfId="39765" xr:uid="{00000000-0005-0000-0000-00005B9B0000}"/>
    <cellStyle name="Note 13 5 5" xfId="39766" xr:uid="{00000000-0005-0000-0000-00005C9B0000}"/>
    <cellStyle name="Note 13 6" xfId="39767" xr:uid="{00000000-0005-0000-0000-00005D9B0000}"/>
    <cellStyle name="Note 13 6 2" xfId="39768" xr:uid="{00000000-0005-0000-0000-00005E9B0000}"/>
    <cellStyle name="Note 13 7" xfId="39769" xr:uid="{00000000-0005-0000-0000-00005F9B0000}"/>
    <cellStyle name="Note 13 8" xfId="39770" xr:uid="{00000000-0005-0000-0000-0000609B0000}"/>
    <cellStyle name="Note 13 9" xfId="39771" xr:uid="{00000000-0005-0000-0000-0000619B0000}"/>
    <cellStyle name="Note 14" xfId="39772" xr:uid="{00000000-0005-0000-0000-0000629B0000}"/>
    <cellStyle name="Note 14 10" xfId="39773" xr:uid="{00000000-0005-0000-0000-0000639B0000}"/>
    <cellStyle name="Note 14 2" xfId="39774" xr:uid="{00000000-0005-0000-0000-0000649B0000}"/>
    <cellStyle name="Note 14 2 2" xfId="39775" xr:uid="{00000000-0005-0000-0000-0000659B0000}"/>
    <cellStyle name="Note 14 2 2 2" xfId="39776" xr:uid="{00000000-0005-0000-0000-0000669B0000}"/>
    <cellStyle name="Note 14 2 2 2 2" xfId="39777" xr:uid="{00000000-0005-0000-0000-0000679B0000}"/>
    <cellStyle name="Note 14 2 2 2 3" xfId="39778" xr:uid="{00000000-0005-0000-0000-0000689B0000}"/>
    <cellStyle name="Note 14 2 2 3" xfId="39779" xr:uid="{00000000-0005-0000-0000-0000699B0000}"/>
    <cellStyle name="Note 14 2 2 4" xfId="39780" xr:uid="{00000000-0005-0000-0000-00006A9B0000}"/>
    <cellStyle name="Note 14 2 2 5" xfId="39781" xr:uid="{00000000-0005-0000-0000-00006B9B0000}"/>
    <cellStyle name="Note 14 2 2 6" xfId="39782" xr:uid="{00000000-0005-0000-0000-00006C9B0000}"/>
    <cellStyle name="Note 14 2 3" xfId="39783" xr:uid="{00000000-0005-0000-0000-00006D9B0000}"/>
    <cellStyle name="Note 14 2 3 2" xfId="39784" xr:uid="{00000000-0005-0000-0000-00006E9B0000}"/>
    <cellStyle name="Note 14 2 3 2 2" xfId="39785" xr:uid="{00000000-0005-0000-0000-00006F9B0000}"/>
    <cellStyle name="Note 14 2 3 3" xfId="39786" xr:uid="{00000000-0005-0000-0000-0000709B0000}"/>
    <cellStyle name="Note 14 2 3 4" xfId="39787" xr:uid="{00000000-0005-0000-0000-0000719B0000}"/>
    <cellStyle name="Note 14 2 3 5" xfId="39788" xr:uid="{00000000-0005-0000-0000-0000729B0000}"/>
    <cellStyle name="Note 14 2 4" xfId="39789" xr:uid="{00000000-0005-0000-0000-0000739B0000}"/>
    <cellStyle name="Note 14 2 4 2" xfId="39790" xr:uid="{00000000-0005-0000-0000-0000749B0000}"/>
    <cellStyle name="Note 14 2 4 3" xfId="39791" xr:uid="{00000000-0005-0000-0000-0000759B0000}"/>
    <cellStyle name="Note 14 2 4 4" xfId="39792" xr:uid="{00000000-0005-0000-0000-0000769B0000}"/>
    <cellStyle name="Note 14 2 5" xfId="39793" xr:uid="{00000000-0005-0000-0000-0000779B0000}"/>
    <cellStyle name="Note 14 2 5 2" xfId="39794" xr:uid="{00000000-0005-0000-0000-0000789B0000}"/>
    <cellStyle name="Note 14 2 6" xfId="39795" xr:uid="{00000000-0005-0000-0000-0000799B0000}"/>
    <cellStyle name="Note 14 2 7" xfId="39796" xr:uid="{00000000-0005-0000-0000-00007A9B0000}"/>
    <cellStyle name="Note 14 2 8" xfId="39797" xr:uid="{00000000-0005-0000-0000-00007B9B0000}"/>
    <cellStyle name="Note 14 2 9" xfId="39798" xr:uid="{00000000-0005-0000-0000-00007C9B0000}"/>
    <cellStyle name="Note 14 3" xfId="39799" xr:uid="{00000000-0005-0000-0000-00007D9B0000}"/>
    <cellStyle name="Note 14 3 2" xfId="39800" xr:uid="{00000000-0005-0000-0000-00007E9B0000}"/>
    <cellStyle name="Note 14 3 2 2" xfId="39801" xr:uid="{00000000-0005-0000-0000-00007F9B0000}"/>
    <cellStyle name="Note 14 3 2 3" xfId="39802" xr:uid="{00000000-0005-0000-0000-0000809B0000}"/>
    <cellStyle name="Note 14 3 3" xfId="39803" xr:uid="{00000000-0005-0000-0000-0000819B0000}"/>
    <cellStyle name="Note 14 3 4" xfId="39804" xr:uid="{00000000-0005-0000-0000-0000829B0000}"/>
    <cellStyle name="Note 14 3 5" xfId="39805" xr:uid="{00000000-0005-0000-0000-0000839B0000}"/>
    <cellStyle name="Note 14 3 6" xfId="39806" xr:uid="{00000000-0005-0000-0000-0000849B0000}"/>
    <cellStyle name="Note 14 4" xfId="39807" xr:uid="{00000000-0005-0000-0000-0000859B0000}"/>
    <cellStyle name="Note 14 4 2" xfId="39808" xr:uid="{00000000-0005-0000-0000-0000869B0000}"/>
    <cellStyle name="Note 14 4 2 2" xfId="39809" xr:uid="{00000000-0005-0000-0000-0000879B0000}"/>
    <cellStyle name="Note 14 4 3" xfId="39810" xr:uid="{00000000-0005-0000-0000-0000889B0000}"/>
    <cellStyle name="Note 14 4 4" xfId="39811" xr:uid="{00000000-0005-0000-0000-0000899B0000}"/>
    <cellStyle name="Note 14 4 5" xfId="39812" xr:uid="{00000000-0005-0000-0000-00008A9B0000}"/>
    <cellStyle name="Note 14 5" xfId="39813" xr:uid="{00000000-0005-0000-0000-00008B9B0000}"/>
    <cellStyle name="Note 14 5 2" xfId="39814" xr:uid="{00000000-0005-0000-0000-00008C9B0000}"/>
    <cellStyle name="Note 14 5 2 2" xfId="39815" xr:uid="{00000000-0005-0000-0000-00008D9B0000}"/>
    <cellStyle name="Note 14 5 3" xfId="39816" xr:uid="{00000000-0005-0000-0000-00008E9B0000}"/>
    <cellStyle name="Note 14 5 4" xfId="39817" xr:uid="{00000000-0005-0000-0000-00008F9B0000}"/>
    <cellStyle name="Note 14 5 5" xfId="39818" xr:uid="{00000000-0005-0000-0000-0000909B0000}"/>
    <cellStyle name="Note 14 6" xfId="39819" xr:uid="{00000000-0005-0000-0000-0000919B0000}"/>
    <cellStyle name="Note 14 6 2" xfId="39820" xr:uid="{00000000-0005-0000-0000-0000929B0000}"/>
    <cellStyle name="Note 14 7" xfId="39821" xr:uid="{00000000-0005-0000-0000-0000939B0000}"/>
    <cellStyle name="Note 14 8" xfId="39822" xr:uid="{00000000-0005-0000-0000-0000949B0000}"/>
    <cellStyle name="Note 14 9" xfId="39823" xr:uid="{00000000-0005-0000-0000-0000959B0000}"/>
    <cellStyle name="Note 15" xfId="39824" xr:uid="{00000000-0005-0000-0000-0000969B0000}"/>
    <cellStyle name="Note 15 10" xfId="39825" xr:uid="{00000000-0005-0000-0000-0000979B0000}"/>
    <cellStyle name="Note 15 2" xfId="39826" xr:uid="{00000000-0005-0000-0000-0000989B0000}"/>
    <cellStyle name="Note 15 2 2" xfId="39827" xr:uid="{00000000-0005-0000-0000-0000999B0000}"/>
    <cellStyle name="Note 15 2 2 2" xfId="39828" xr:uid="{00000000-0005-0000-0000-00009A9B0000}"/>
    <cellStyle name="Note 15 2 2 2 2" xfId="39829" xr:uid="{00000000-0005-0000-0000-00009B9B0000}"/>
    <cellStyle name="Note 15 2 2 2 3" xfId="39830" xr:uid="{00000000-0005-0000-0000-00009C9B0000}"/>
    <cellStyle name="Note 15 2 2 3" xfId="39831" xr:uid="{00000000-0005-0000-0000-00009D9B0000}"/>
    <cellStyle name="Note 15 2 2 4" xfId="39832" xr:uid="{00000000-0005-0000-0000-00009E9B0000}"/>
    <cellStyle name="Note 15 2 2 5" xfId="39833" xr:uid="{00000000-0005-0000-0000-00009F9B0000}"/>
    <cellStyle name="Note 15 2 2 6" xfId="39834" xr:uid="{00000000-0005-0000-0000-0000A09B0000}"/>
    <cellStyle name="Note 15 2 3" xfId="39835" xr:uid="{00000000-0005-0000-0000-0000A19B0000}"/>
    <cellStyle name="Note 15 2 3 2" xfId="39836" xr:uid="{00000000-0005-0000-0000-0000A29B0000}"/>
    <cellStyle name="Note 15 2 3 2 2" xfId="39837" xr:uid="{00000000-0005-0000-0000-0000A39B0000}"/>
    <cellStyle name="Note 15 2 3 3" xfId="39838" xr:uid="{00000000-0005-0000-0000-0000A49B0000}"/>
    <cellStyle name="Note 15 2 3 4" xfId="39839" xr:uid="{00000000-0005-0000-0000-0000A59B0000}"/>
    <cellStyle name="Note 15 2 3 5" xfId="39840" xr:uid="{00000000-0005-0000-0000-0000A69B0000}"/>
    <cellStyle name="Note 15 2 4" xfId="39841" xr:uid="{00000000-0005-0000-0000-0000A79B0000}"/>
    <cellStyle name="Note 15 2 4 2" xfId="39842" xr:uid="{00000000-0005-0000-0000-0000A89B0000}"/>
    <cellStyle name="Note 15 2 4 3" xfId="39843" xr:uid="{00000000-0005-0000-0000-0000A99B0000}"/>
    <cellStyle name="Note 15 2 4 4" xfId="39844" xr:uid="{00000000-0005-0000-0000-0000AA9B0000}"/>
    <cellStyle name="Note 15 2 5" xfId="39845" xr:uid="{00000000-0005-0000-0000-0000AB9B0000}"/>
    <cellStyle name="Note 15 2 5 2" xfId="39846" xr:uid="{00000000-0005-0000-0000-0000AC9B0000}"/>
    <cellStyle name="Note 15 2 6" xfId="39847" xr:uid="{00000000-0005-0000-0000-0000AD9B0000}"/>
    <cellStyle name="Note 15 2 7" xfId="39848" xr:uid="{00000000-0005-0000-0000-0000AE9B0000}"/>
    <cellStyle name="Note 15 2 8" xfId="39849" xr:uid="{00000000-0005-0000-0000-0000AF9B0000}"/>
    <cellStyle name="Note 15 2 9" xfId="39850" xr:uid="{00000000-0005-0000-0000-0000B09B0000}"/>
    <cellStyle name="Note 15 3" xfId="39851" xr:uid="{00000000-0005-0000-0000-0000B19B0000}"/>
    <cellStyle name="Note 15 3 2" xfId="39852" xr:uid="{00000000-0005-0000-0000-0000B29B0000}"/>
    <cellStyle name="Note 15 3 2 2" xfId="39853" xr:uid="{00000000-0005-0000-0000-0000B39B0000}"/>
    <cellStyle name="Note 15 3 2 3" xfId="39854" xr:uid="{00000000-0005-0000-0000-0000B49B0000}"/>
    <cellStyle name="Note 15 3 3" xfId="39855" xr:uid="{00000000-0005-0000-0000-0000B59B0000}"/>
    <cellStyle name="Note 15 3 4" xfId="39856" xr:uid="{00000000-0005-0000-0000-0000B69B0000}"/>
    <cellStyle name="Note 15 3 5" xfId="39857" xr:uid="{00000000-0005-0000-0000-0000B79B0000}"/>
    <cellStyle name="Note 15 3 6" xfId="39858" xr:uid="{00000000-0005-0000-0000-0000B89B0000}"/>
    <cellStyle name="Note 15 4" xfId="39859" xr:uid="{00000000-0005-0000-0000-0000B99B0000}"/>
    <cellStyle name="Note 15 4 2" xfId="39860" xr:uid="{00000000-0005-0000-0000-0000BA9B0000}"/>
    <cellStyle name="Note 15 4 2 2" xfId="39861" xr:uid="{00000000-0005-0000-0000-0000BB9B0000}"/>
    <cellStyle name="Note 15 4 3" xfId="39862" xr:uid="{00000000-0005-0000-0000-0000BC9B0000}"/>
    <cellStyle name="Note 15 4 4" xfId="39863" xr:uid="{00000000-0005-0000-0000-0000BD9B0000}"/>
    <cellStyle name="Note 15 4 5" xfId="39864" xr:uid="{00000000-0005-0000-0000-0000BE9B0000}"/>
    <cellStyle name="Note 15 5" xfId="39865" xr:uid="{00000000-0005-0000-0000-0000BF9B0000}"/>
    <cellStyle name="Note 15 5 2" xfId="39866" xr:uid="{00000000-0005-0000-0000-0000C09B0000}"/>
    <cellStyle name="Note 15 5 2 2" xfId="39867" xr:uid="{00000000-0005-0000-0000-0000C19B0000}"/>
    <cellStyle name="Note 15 5 3" xfId="39868" xr:uid="{00000000-0005-0000-0000-0000C29B0000}"/>
    <cellStyle name="Note 15 5 4" xfId="39869" xr:uid="{00000000-0005-0000-0000-0000C39B0000}"/>
    <cellStyle name="Note 15 5 5" xfId="39870" xr:uid="{00000000-0005-0000-0000-0000C49B0000}"/>
    <cellStyle name="Note 15 6" xfId="39871" xr:uid="{00000000-0005-0000-0000-0000C59B0000}"/>
    <cellStyle name="Note 15 6 2" xfId="39872" xr:uid="{00000000-0005-0000-0000-0000C69B0000}"/>
    <cellStyle name="Note 15 7" xfId="39873" xr:uid="{00000000-0005-0000-0000-0000C79B0000}"/>
    <cellStyle name="Note 15 8" xfId="39874" xr:uid="{00000000-0005-0000-0000-0000C89B0000}"/>
    <cellStyle name="Note 15 9" xfId="39875" xr:uid="{00000000-0005-0000-0000-0000C99B0000}"/>
    <cellStyle name="Note 16" xfId="39876" xr:uid="{00000000-0005-0000-0000-0000CA9B0000}"/>
    <cellStyle name="Note 16 10" xfId="39877" xr:uid="{00000000-0005-0000-0000-0000CB9B0000}"/>
    <cellStyle name="Note 16 2" xfId="39878" xr:uid="{00000000-0005-0000-0000-0000CC9B0000}"/>
    <cellStyle name="Note 16 2 2" xfId="39879" xr:uid="{00000000-0005-0000-0000-0000CD9B0000}"/>
    <cellStyle name="Note 16 2 2 2" xfId="39880" xr:uid="{00000000-0005-0000-0000-0000CE9B0000}"/>
    <cellStyle name="Note 16 2 2 2 2" xfId="39881" xr:uid="{00000000-0005-0000-0000-0000CF9B0000}"/>
    <cellStyle name="Note 16 2 2 2 3" xfId="39882" xr:uid="{00000000-0005-0000-0000-0000D09B0000}"/>
    <cellStyle name="Note 16 2 2 3" xfId="39883" xr:uid="{00000000-0005-0000-0000-0000D19B0000}"/>
    <cellStyle name="Note 16 2 2 4" xfId="39884" xr:uid="{00000000-0005-0000-0000-0000D29B0000}"/>
    <cellStyle name="Note 16 2 2 5" xfId="39885" xr:uid="{00000000-0005-0000-0000-0000D39B0000}"/>
    <cellStyle name="Note 16 2 2 6" xfId="39886" xr:uid="{00000000-0005-0000-0000-0000D49B0000}"/>
    <cellStyle name="Note 16 2 3" xfId="39887" xr:uid="{00000000-0005-0000-0000-0000D59B0000}"/>
    <cellStyle name="Note 16 2 3 2" xfId="39888" xr:uid="{00000000-0005-0000-0000-0000D69B0000}"/>
    <cellStyle name="Note 16 2 3 2 2" xfId="39889" xr:uid="{00000000-0005-0000-0000-0000D79B0000}"/>
    <cellStyle name="Note 16 2 3 3" xfId="39890" xr:uid="{00000000-0005-0000-0000-0000D89B0000}"/>
    <cellStyle name="Note 16 2 3 4" xfId="39891" xr:uid="{00000000-0005-0000-0000-0000D99B0000}"/>
    <cellStyle name="Note 16 2 3 5" xfId="39892" xr:uid="{00000000-0005-0000-0000-0000DA9B0000}"/>
    <cellStyle name="Note 16 2 4" xfId="39893" xr:uid="{00000000-0005-0000-0000-0000DB9B0000}"/>
    <cellStyle name="Note 16 2 4 2" xfId="39894" xr:uid="{00000000-0005-0000-0000-0000DC9B0000}"/>
    <cellStyle name="Note 16 2 4 3" xfId="39895" xr:uid="{00000000-0005-0000-0000-0000DD9B0000}"/>
    <cellStyle name="Note 16 2 4 4" xfId="39896" xr:uid="{00000000-0005-0000-0000-0000DE9B0000}"/>
    <cellStyle name="Note 16 2 5" xfId="39897" xr:uid="{00000000-0005-0000-0000-0000DF9B0000}"/>
    <cellStyle name="Note 16 2 5 2" xfId="39898" xr:uid="{00000000-0005-0000-0000-0000E09B0000}"/>
    <cellStyle name="Note 16 2 6" xfId="39899" xr:uid="{00000000-0005-0000-0000-0000E19B0000}"/>
    <cellStyle name="Note 16 2 7" xfId="39900" xr:uid="{00000000-0005-0000-0000-0000E29B0000}"/>
    <cellStyle name="Note 16 2 8" xfId="39901" xr:uid="{00000000-0005-0000-0000-0000E39B0000}"/>
    <cellStyle name="Note 16 2 9" xfId="39902" xr:uid="{00000000-0005-0000-0000-0000E49B0000}"/>
    <cellStyle name="Note 16 3" xfId="39903" xr:uid="{00000000-0005-0000-0000-0000E59B0000}"/>
    <cellStyle name="Note 16 3 2" xfId="39904" xr:uid="{00000000-0005-0000-0000-0000E69B0000}"/>
    <cellStyle name="Note 16 3 2 2" xfId="39905" xr:uid="{00000000-0005-0000-0000-0000E79B0000}"/>
    <cellStyle name="Note 16 3 2 3" xfId="39906" xr:uid="{00000000-0005-0000-0000-0000E89B0000}"/>
    <cellStyle name="Note 16 3 3" xfId="39907" xr:uid="{00000000-0005-0000-0000-0000E99B0000}"/>
    <cellStyle name="Note 16 3 4" xfId="39908" xr:uid="{00000000-0005-0000-0000-0000EA9B0000}"/>
    <cellStyle name="Note 16 3 5" xfId="39909" xr:uid="{00000000-0005-0000-0000-0000EB9B0000}"/>
    <cellStyle name="Note 16 3 6" xfId="39910" xr:uid="{00000000-0005-0000-0000-0000EC9B0000}"/>
    <cellStyle name="Note 16 4" xfId="39911" xr:uid="{00000000-0005-0000-0000-0000ED9B0000}"/>
    <cellStyle name="Note 16 4 2" xfId="39912" xr:uid="{00000000-0005-0000-0000-0000EE9B0000}"/>
    <cellStyle name="Note 16 4 2 2" xfId="39913" xr:uid="{00000000-0005-0000-0000-0000EF9B0000}"/>
    <cellStyle name="Note 16 4 3" xfId="39914" xr:uid="{00000000-0005-0000-0000-0000F09B0000}"/>
    <cellStyle name="Note 16 4 4" xfId="39915" xr:uid="{00000000-0005-0000-0000-0000F19B0000}"/>
    <cellStyle name="Note 16 4 5" xfId="39916" xr:uid="{00000000-0005-0000-0000-0000F29B0000}"/>
    <cellStyle name="Note 16 5" xfId="39917" xr:uid="{00000000-0005-0000-0000-0000F39B0000}"/>
    <cellStyle name="Note 16 5 2" xfId="39918" xr:uid="{00000000-0005-0000-0000-0000F49B0000}"/>
    <cellStyle name="Note 16 5 2 2" xfId="39919" xr:uid="{00000000-0005-0000-0000-0000F59B0000}"/>
    <cellStyle name="Note 16 5 3" xfId="39920" xr:uid="{00000000-0005-0000-0000-0000F69B0000}"/>
    <cellStyle name="Note 16 5 4" xfId="39921" xr:uid="{00000000-0005-0000-0000-0000F79B0000}"/>
    <cellStyle name="Note 16 5 5" xfId="39922" xr:uid="{00000000-0005-0000-0000-0000F89B0000}"/>
    <cellStyle name="Note 16 6" xfId="39923" xr:uid="{00000000-0005-0000-0000-0000F99B0000}"/>
    <cellStyle name="Note 16 6 2" xfId="39924" xr:uid="{00000000-0005-0000-0000-0000FA9B0000}"/>
    <cellStyle name="Note 16 7" xfId="39925" xr:uid="{00000000-0005-0000-0000-0000FB9B0000}"/>
    <cellStyle name="Note 16 8" xfId="39926" xr:uid="{00000000-0005-0000-0000-0000FC9B0000}"/>
    <cellStyle name="Note 16 9" xfId="39927" xr:uid="{00000000-0005-0000-0000-0000FD9B0000}"/>
    <cellStyle name="Note 17" xfId="39928" xr:uid="{00000000-0005-0000-0000-0000FE9B0000}"/>
    <cellStyle name="Note 17 10" xfId="39929" xr:uid="{00000000-0005-0000-0000-0000FF9B0000}"/>
    <cellStyle name="Note 17 2" xfId="39930" xr:uid="{00000000-0005-0000-0000-0000009C0000}"/>
    <cellStyle name="Note 17 2 2" xfId="39931" xr:uid="{00000000-0005-0000-0000-0000019C0000}"/>
    <cellStyle name="Note 17 2 2 2" xfId="39932" xr:uid="{00000000-0005-0000-0000-0000029C0000}"/>
    <cellStyle name="Note 17 2 2 2 2" xfId="39933" xr:uid="{00000000-0005-0000-0000-0000039C0000}"/>
    <cellStyle name="Note 17 2 2 2 3" xfId="39934" xr:uid="{00000000-0005-0000-0000-0000049C0000}"/>
    <cellStyle name="Note 17 2 2 3" xfId="39935" xr:uid="{00000000-0005-0000-0000-0000059C0000}"/>
    <cellStyle name="Note 17 2 2 4" xfId="39936" xr:uid="{00000000-0005-0000-0000-0000069C0000}"/>
    <cellStyle name="Note 17 2 2 5" xfId="39937" xr:uid="{00000000-0005-0000-0000-0000079C0000}"/>
    <cellStyle name="Note 17 2 2 6" xfId="39938" xr:uid="{00000000-0005-0000-0000-0000089C0000}"/>
    <cellStyle name="Note 17 2 3" xfId="39939" xr:uid="{00000000-0005-0000-0000-0000099C0000}"/>
    <cellStyle name="Note 17 2 3 2" xfId="39940" xr:uid="{00000000-0005-0000-0000-00000A9C0000}"/>
    <cellStyle name="Note 17 2 3 2 2" xfId="39941" xr:uid="{00000000-0005-0000-0000-00000B9C0000}"/>
    <cellStyle name="Note 17 2 3 3" xfId="39942" xr:uid="{00000000-0005-0000-0000-00000C9C0000}"/>
    <cellStyle name="Note 17 2 3 4" xfId="39943" xr:uid="{00000000-0005-0000-0000-00000D9C0000}"/>
    <cellStyle name="Note 17 2 3 5" xfId="39944" xr:uid="{00000000-0005-0000-0000-00000E9C0000}"/>
    <cellStyle name="Note 17 2 4" xfId="39945" xr:uid="{00000000-0005-0000-0000-00000F9C0000}"/>
    <cellStyle name="Note 17 2 4 2" xfId="39946" xr:uid="{00000000-0005-0000-0000-0000109C0000}"/>
    <cellStyle name="Note 17 2 4 3" xfId="39947" xr:uid="{00000000-0005-0000-0000-0000119C0000}"/>
    <cellStyle name="Note 17 2 4 4" xfId="39948" xr:uid="{00000000-0005-0000-0000-0000129C0000}"/>
    <cellStyle name="Note 17 2 5" xfId="39949" xr:uid="{00000000-0005-0000-0000-0000139C0000}"/>
    <cellStyle name="Note 17 2 5 2" xfId="39950" xr:uid="{00000000-0005-0000-0000-0000149C0000}"/>
    <cellStyle name="Note 17 2 6" xfId="39951" xr:uid="{00000000-0005-0000-0000-0000159C0000}"/>
    <cellStyle name="Note 17 2 7" xfId="39952" xr:uid="{00000000-0005-0000-0000-0000169C0000}"/>
    <cellStyle name="Note 17 2 8" xfId="39953" xr:uid="{00000000-0005-0000-0000-0000179C0000}"/>
    <cellStyle name="Note 17 2 9" xfId="39954" xr:uid="{00000000-0005-0000-0000-0000189C0000}"/>
    <cellStyle name="Note 17 3" xfId="39955" xr:uid="{00000000-0005-0000-0000-0000199C0000}"/>
    <cellStyle name="Note 17 3 2" xfId="39956" xr:uid="{00000000-0005-0000-0000-00001A9C0000}"/>
    <cellStyle name="Note 17 3 2 2" xfId="39957" xr:uid="{00000000-0005-0000-0000-00001B9C0000}"/>
    <cellStyle name="Note 17 3 2 3" xfId="39958" xr:uid="{00000000-0005-0000-0000-00001C9C0000}"/>
    <cellStyle name="Note 17 3 3" xfId="39959" xr:uid="{00000000-0005-0000-0000-00001D9C0000}"/>
    <cellStyle name="Note 17 3 4" xfId="39960" xr:uid="{00000000-0005-0000-0000-00001E9C0000}"/>
    <cellStyle name="Note 17 3 5" xfId="39961" xr:uid="{00000000-0005-0000-0000-00001F9C0000}"/>
    <cellStyle name="Note 17 3 6" xfId="39962" xr:uid="{00000000-0005-0000-0000-0000209C0000}"/>
    <cellStyle name="Note 17 4" xfId="39963" xr:uid="{00000000-0005-0000-0000-0000219C0000}"/>
    <cellStyle name="Note 17 4 2" xfId="39964" xr:uid="{00000000-0005-0000-0000-0000229C0000}"/>
    <cellStyle name="Note 17 4 2 2" xfId="39965" xr:uid="{00000000-0005-0000-0000-0000239C0000}"/>
    <cellStyle name="Note 17 4 3" xfId="39966" xr:uid="{00000000-0005-0000-0000-0000249C0000}"/>
    <cellStyle name="Note 17 4 4" xfId="39967" xr:uid="{00000000-0005-0000-0000-0000259C0000}"/>
    <cellStyle name="Note 17 4 5" xfId="39968" xr:uid="{00000000-0005-0000-0000-0000269C0000}"/>
    <cellStyle name="Note 17 5" xfId="39969" xr:uid="{00000000-0005-0000-0000-0000279C0000}"/>
    <cellStyle name="Note 17 5 2" xfId="39970" xr:uid="{00000000-0005-0000-0000-0000289C0000}"/>
    <cellStyle name="Note 17 5 2 2" xfId="39971" xr:uid="{00000000-0005-0000-0000-0000299C0000}"/>
    <cellStyle name="Note 17 5 3" xfId="39972" xr:uid="{00000000-0005-0000-0000-00002A9C0000}"/>
    <cellStyle name="Note 17 5 4" xfId="39973" xr:uid="{00000000-0005-0000-0000-00002B9C0000}"/>
    <cellStyle name="Note 17 5 5" xfId="39974" xr:uid="{00000000-0005-0000-0000-00002C9C0000}"/>
    <cellStyle name="Note 17 6" xfId="39975" xr:uid="{00000000-0005-0000-0000-00002D9C0000}"/>
    <cellStyle name="Note 17 6 2" xfId="39976" xr:uid="{00000000-0005-0000-0000-00002E9C0000}"/>
    <cellStyle name="Note 17 7" xfId="39977" xr:uid="{00000000-0005-0000-0000-00002F9C0000}"/>
    <cellStyle name="Note 17 8" xfId="39978" xr:uid="{00000000-0005-0000-0000-0000309C0000}"/>
    <cellStyle name="Note 17 9" xfId="39979" xr:uid="{00000000-0005-0000-0000-0000319C0000}"/>
    <cellStyle name="Note 18" xfId="39980" xr:uid="{00000000-0005-0000-0000-0000329C0000}"/>
    <cellStyle name="Note 18 10" xfId="39981" xr:uid="{00000000-0005-0000-0000-0000339C0000}"/>
    <cellStyle name="Note 18 2" xfId="39982" xr:uid="{00000000-0005-0000-0000-0000349C0000}"/>
    <cellStyle name="Note 18 2 2" xfId="39983" xr:uid="{00000000-0005-0000-0000-0000359C0000}"/>
    <cellStyle name="Note 18 2 2 2" xfId="39984" xr:uid="{00000000-0005-0000-0000-0000369C0000}"/>
    <cellStyle name="Note 18 2 2 2 2" xfId="39985" xr:uid="{00000000-0005-0000-0000-0000379C0000}"/>
    <cellStyle name="Note 18 2 2 2 3" xfId="39986" xr:uid="{00000000-0005-0000-0000-0000389C0000}"/>
    <cellStyle name="Note 18 2 2 3" xfId="39987" xr:uid="{00000000-0005-0000-0000-0000399C0000}"/>
    <cellStyle name="Note 18 2 2 4" xfId="39988" xr:uid="{00000000-0005-0000-0000-00003A9C0000}"/>
    <cellStyle name="Note 18 2 2 5" xfId="39989" xr:uid="{00000000-0005-0000-0000-00003B9C0000}"/>
    <cellStyle name="Note 18 2 2 6" xfId="39990" xr:uid="{00000000-0005-0000-0000-00003C9C0000}"/>
    <cellStyle name="Note 18 2 3" xfId="39991" xr:uid="{00000000-0005-0000-0000-00003D9C0000}"/>
    <cellStyle name="Note 18 2 3 2" xfId="39992" xr:uid="{00000000-0005-0000-0000-00003E9C0000}"/>
    <cellStyle name="Note 18 2 3 2 2" xfId="39993" xr:uid="{00000000-0005-0000-0000-00003F9C0000}"/>
    <cellStyle name="Note 18 2 3 3" xfId="39994" xr:uid="{00000000-0005-0000-0000-0000409C0000}"/>
    <cellStyle name="Note 18 2 3 4" xfId="39995" xr:uid="{00000000-0005-0000-0000-0000419C0000}"/>
    <cellStyle name="Note 18 2 3 5" xfId="39996" xr:uid="{00000000-0005-0000-0000-0000429C0000}"/>
    <cellStyle name="Note 18 2 4" xfId="39997" xr:uid="{00000000-0005-0000-0000-0000439C0000}"/>
    <cellStyle name="Note 18 2 4 2" xfId="39998" xr:uid="{00000000-0005-0000-0000-0000449C0000}"/>
    <cellStyle name="Note 18 2 4 3" xfId="39999" xr:uid="{00000000-0005-0000-0000-0000459C0000}"/>
    <cellStyle name="Note 18 2 4 4" xfId="40000" xr:uid="{00000000-0005-0000-0000-0000469C0000}"/>
    <cellStyle name="Note 18 2 5" xfId="40001" xr:uid="{00000000-0005-0000-0000-0000479C0000}"/>
    <cellStyle name="Note 18 2 5 2" xfId="40002" xr:uid="{00000000-0005-0000-0000-0000489C0000}"/>
    <cellStyle name="Note 18 2 6" xfId="40003" xr:uid="{00000000-0005-0000-0000-0000499C0000}"/>
    <cellStyle name="Note 18 2 7" xfId="40004" xr:uid="{00000000-0005-0000-0000-00004A9C0000}"/>
    <cellStyle name="Note 18 2 8" xfId="40005" xr:uid="{00000000-0005-0000-0000-00004B9C0000}"/>
    <cellStyle name="Note 18 2 9" xfId="40006" xr:uid="{00000000-0005-0000-0000-00004C9C0000}"/>
    <cellStyle name="Note 18 3" xfId="40007" xr:uid="{00000000-0005-0000-0000-00004D9C0000}"/>
    <cellStyle name="Note 18 3 2" xfId="40008" xr:uid="{00000000-0005-0000-0000-00004E9C0000}"/>
    <cellStyle name="Note 18 3 2 2" xfId="40009" xr:uid="{00000000-0005-0000-0000-00004F9C0000}"/>
    <cellStyle name="Note 18 3 2 3" xfId="40010" xr:uid="{00000000-0005-0000-0000-0000509C0000}"/>
    <cellStyle name="Note 18 3 3" xfId="40011" xr:uid="{00000000-0005-0000-0000-0000519C0000}"/>
    <cellStyle name="Note 18 3 4" xfId="40012" xr:uid="{00000000-0005-0000-0000-0000529C0000}"/>
    <cellStyle name="Note 18 3 5" xfId="40013" xr:uid="{00000000-0005-0000-0000-0000539C0000}"/>
    <cellStyle name="Note 18 3 6" xfId="40014" xr:uid="{00000000-0005-0000-0000-0000549C0000}"/>
    <cellStyle name="Note 18 4" xfId="40015" xr:uid="{00000000-0005-0000-0000-0000559C0000}"/>
    <cellStyle name="Note 18 4 2" xfId="40016" xr:uid="{00000000-0005-0000-0000-0000569C0000}"/>
    <cellStyle name="Note 18 4 2 2" xfId="40017" xr:uid="{00000000-0005-0000-0000-0000579C0000}"/>
    <cellStyle name="Note 18 4 3" xfId="40018" xr:uid="{00000000-0005-0000-0000-0000589C0000}"/>
    <cellStyle name="Note 18 4 4" xfId="40019" xr:uid="{00000000-0005-0000-0000-0000599C0000}"/>
    <cellStyle name="Note 18 4 5" xfId="40020" xr:uid="{00000000-0005-0000-0000-00005A9C0000}"/>
    <cellStyle name="Note 18 5" xfId="40021" xr:uid="{00000000-0005-0000-0000-00005B9C0000}"/>
    <cellStyle name="Note 18 5 2" xfId="40022" xr:uid="{00000000-0005-0000-0000-00005C9C0000}"/>
    <cellStyle name="Note 18 5 2 2" xfId="40023" xr:uid="{00000000-0005-0000-0000-00005D9C0000}"/>
    <cellStyle name="Note 18 5 3" xfId="40024" xr:uid="{00000000-0005-0000-0000-00005E9C0000}"/>
    <cellStyle name="Note 18 5 4" xfId="40025" xr:uid="{00000000-0005-0000-0000-00005F9C0000}"/>
    <cellStyle name="Note 18 5 5" xfId="40026" xr:uid="{00000000-0005-0000-0000-0000609C0000}"/>
    <cellStyle name="Note 18 6" xfId="40027" xr:uid="{00000000-0005-0000-0000-0000619C0000}"/>
    <cellStyle name="Note 18 6 2" xfId="40028" xr:uid="{00000000-0005-0000-0000-0000629C0000}"/>
    <cellStyle name="Note 18 7" xfId="40029" xr:uid="{00000000-0005-0000-0000-0000639C0000}"/>
    <cellStyle name="Note 18 8" xfId="40030" xr:uid="{00000000-0005-0000-0000-0000649C0000}"/>
    <cellStyle name="Note 18 9" xfId="40031" xr:uid="{00000000-0005-0000-0000-0000659C0000}"/>
    <cellStyle name="Note 19" xfId="40032" xr:uid="{00000000-0005-0000-0000-0000669C0000}"/>
    <cellStyle name="Note 19 10" xfId="40033" xr:uid="{00000000-0005-0000-0000-0000679C0000}"/>
    <cellStyle name="Note 19 2" xfId="40034" xr:uid="{00000000-0005-0000-0000-0000689C0000}"/>
    <cellStyle name="Note 19 2 2" xfId="40035" xr:uid="{00000000-0005-0000-0000-0000699C0000}"/>
    <cellStyle name="Note 19 2 2 2" xfId="40036" xr:uid="{00000000-0005-0000-0000-00006A9C0000}"/>
    <cellStyle name="Note 19 2 2 2 2" xfId="40037" xr:uid="{00000000-0005-0000-0000-00006B9C0000}"/>
    <cellStyle name="Note 19 2 2 2 3" xfId="40038" xr:uid="{00000000-0005-0000-0000-00006C9C0000}"/>
    <cellStyle name="Note 19 2 2 3" xfId="40039" xr:uid="{00000000-0005-0000-0000-00006D9C0000}"/>
    <cellStyle name="Note 19 2 2 4" xfId="40040" xr:uid="{00000000-0005-0000-0000-00006E9C0000}"/>
    <cellStyle name="Note 19 2 2 5" xfId="40041" xr:uid="{00000000-0005-0000-0000-00006F9C0000}"/>
    <cellStyle name="Note 19 2 2 6" xfId="40042" xr:uid="{00000000-0005-0000-0000-0000709C0000}"/>
    <cellStyle name="Note 19 2 3" xfId="40043" xr:uid="{00000000-0005-0000-0000-0000719C0000}"/>
    <cellStyle name="Note 19 2 3 2" xfId="40044" xr:uid="{00000000-0005-0000-0000-0000729C0000}"/>
    <cellStyle name="Note 19 2 3 2 2" xfId="40045" xr:uid="{00000000-0005-0000-0000-0000739C0000}"/>
    <cellStyle name="Note 19 2 3 3" xfId="40046" xr:uid="{00000000-0005-0000-0000-0000749C0000}"/>
    <cellStyle name="Note 19 2 3 4" xfId="40047" xr:uid="{00000000-0005-0000-0000-0000759C0000}"/>
    <cellStyle name="Note 19 2 3 5" xfId="40048" xr:uid="{00000000-0005-0000-0000-0000769C0000}"/>
    <cellStyle name="Note 19 2 4" xfId="40049" xr:uid="{00000000-0005-0000-0000-0000779C0000}"/>
    <cellStyle name="Note 19 2 4 2" xfId="40050" xr:uid="{00000000-0005-0000-0000-0000789C0000}"/>
    <cellStyle name="Note 19 2 4 3" xfId="40051" xr:uid="{00000000-0005-0000-0000-0000799C0000}"/>
    <cellStyle name="Note 19 2 4 4" xfId="40052" xr:uid="{00000000-0005-0000-0000-00007A9C0000}"/>
    <cellStyle name="Note 19 2 5" xfId="40053" xr:uid="{00000000-0005-0000-0000-00007B9C0000}"/>
    <cellStyle name="Note 19 2 5 2" xfId="40054" xr:uid="{00000000-0005-0000-0000-00007C9C0000}"/>
    <cellStyle name="Note 19 2 6" xfId="40055" xr:uid="{00000000-0005-0000-0000-00007D9C0000}"/>
    <cellStyle name="Note 19 2 7" xfId="40056" xr:uid="{00000000-0005-0000-0000-00007E9C0000}"/>
    <cellStyle name="Note 19 2 8" xfId="40057" xr:uid="{00000000-0005-0000-0000-00007F9C0000}"/>
    <cellStyle name="Note 19 2 9" xfId="40058" xr:uid="{00000000-0005-0000-0000-0000809C0000}"/>
    <cellStyle name="Note 19 3" xfId="40059" xr:uid="{00000000-0005-0000-0000-0000819C0000}"/>
    <cellStyle name="Note 19 3 2" xfId="40060" xr:uid="{00000000-0005-0000-0000-0000829C0000}"/>
    <cellStyle name="Note 19 3 2 2" xfId="40061" xr:uid="{00000000-0005-0000-0000-0000839C0000}"/>
    <cellStyle name="Note 19 3 2 3" xfId="40062" xr:uid="{00000000-0005-0000-0000-0000849C0000}"/>
    <cellStyle name="Note 19 3 3" xfId="40063" xr:uid="{00000000-0005-0000-0000-0000859C0000}"/>
    <cellStyle name="Note 19 3 4" xfId="40064" xr:uid="{00000000-0005-0000-0000-0000869C0000}"/>
    <cellStyle name="Note 19 3 5" xfId="40065" xr:uid="{00000000-0005-0000-0000-0000879C0000}"/>
    <cellStyle name="Note 19 3 6" xfId="40066" xr:uid="{00000000-0005-0000-0000-0000889C0000}"/>
    <cellStyle name="Note 19 4" xfId="40067" xr:uid="{00000000-0005-0000-0000-0000899C0000}"/>
    <cellStyle name="Note 19 4 2" xfId="40068" xr:uid="{00000000-0005-0000-0000-00008A9C0000}"/>
    <cellStyle name="Note 19 4 2 2" xfId="40069" xr:uid="{00000000-0005-0000-0000-00008B9C0000}"/>
    <cellStyle name="Note 19 4 3" xfId="40070" xr:uid="{00000000-0005-0000-0000-00008C9C0000}"/>
    <cellStyle name="Note 19 4 4" xfId="40071" xr:uid="{00000000-0005-0000-0000-00008D9C0000}"/>
    <cellStyle name="Note 19 4 5" xfId="40072" xr:uid="{00000000-0005-0000-0000-00008E9C0000}"/>
    <cellStyle name="Note 19 5" xfId="40073" xr:uid="{00000000-0005-0000-0000-00008F9C0000}"/>
    <cellStyle name="Note 19 5 2" xfId="40074" xr:uid="{00000000-0005-0000-0000-0000909C0000}"/>
    <cellStyle name="Note 19 5 2 2" xfId="40075" xr:uid="{00000000-0005-0000-0000-0000919C0000}"/>
    <cellStyle name="Note 19 5 3" xfId="40076" xr:uid="{00000000-0005-0000-0000-0000929C0000}"/>
    <cellStyle name="Note 19 5 4" xfId="40077" xr:uid="{00000000-0005-0000-0000-0000939C0000}"/>
    <cellStyle name="Note 19 5 5" xfId="40078" xr:uid="{00000000-0005-0000-0000-0000949C0000}"/>
    <cellStyle name="Note 19 6" xfId="40079" xr:uid="{00000000-0005-0000-0000-0000959C0000}"/>
    <cellStyle name="Note 19 6 2" xfId="40080" xr:uid="{00000000-0005-0000-0000-0000969C0000}"/>
    <cellStyle name="Note 19 7" xfId="40081" xr:uid="{00000000-0005-0000-0000-0000979C0000}"/>
    <cellStyle name="Note 19 8" xfId="40082" xr:uid="{00000000-0005-0000-0000-0000989C0000}"/>
    <cellStyle name="Note 19 9" xfId="40083" xr:uid="{00000000-0005-0000-0000-0000999C0000}"/>
    <cellStyle name="Note 2" xfId="40084" xr:uid="{00000000-0005-0000-0000-00009A9C0000}"/>
    <cellStyle name="Note 2 10" xfId="40085" xr:uid="{00000000-0005-0000-0000-00009B9C0000}"/>
    <cellStyle name="Note 2 10 2" xfId="40086" xr:uid="{00000000-0005-0000-0000-00009C9C0000}"/>
    <cellStyle name="Note 2 10 2 2" xfId="40087" xr:uid="{00000000-0005-0000-0000-00009D9C0000}"/>
    <cellStyle name="Note 2 10 2 2 2" xfId="40088" xr:uid="{00000000-0005-0000-0000-00009E9C0000}"/>
    <cellStyle name="Note 2 10 2 2 3" xfId="40089" xr:uid="{00000000-0005-0000-0000-00009F9C0000}"/>
    <cellStyle name="Note 2 10 2 3" xfId="40090" xr:uid="{00000000-0005-0000-0000-0000A09C0000}"/>
    <cellStyle name="Note 2 10 2 4" xfId="40091" xr:uid="{00000000-0005-0000-0000-0000A19C0000}"/>
    <cellStyle name="Note 2 10 2 5" xfId="40092" xr:uid="{00000000-0005-0000-0000-0000A29C0000}"/>
    <cellStyle name="Note 2 10 2 6" xfId="40093" xr:uid="{00000000-0005-0000-0000-0000A39C0000}"/>
    <cellStyle name="Note 2 10 3" xfId="40094" xr:uid="{00000000-0005-0000-0000-0000A49C0000}"/>
    <cellStyle name="Note 2 10 3 2" xfId="40095" xr:uid="{00000000-0005-0000-0000-0000A59C0000}"/>
    <cellStyle name="Note 2 10 3 2 2" xfId="40096" xr:uid="{00000000-0005-0000-0000-0000A69C0000}"/>
    <cellStyle name="Note 2 10 3 3" xfId="40097" xr:uid="{00000000-0005-0000-0000-0000A79C0000}"/>
    <cellStyle name="Note 2 10 3 4" xfId="40098" xr:uid="{00000000-0005-0000-0000-0000A89C0000}"/>
    <cellStyle name="Note 2 10 3 5" xfId="40099" xr:uid="{00000000-0005-0000-0000-0000A99C0000}"/>
    <cellStyle name="Note 2 10 4" xfId="40100" xr:uid="{00000000-0005-0000-0000-0000AA9C0000}"/>
    <cellStyle name="Note 2 10 4 2" xfId="40101" xr:uid="{00000000-0005-0000-0000-0000AB9C0000}"/>
    <cellStyle name="Note 2 10 4 3" xfId="40102" xr:uid="{00000000-0005-0000-0000-0000AC9C0000}"/>
    <cellStyle name="Note 2 10 4 4" xfId="40103" xr:uid="{00000000-0005-0000-0000-0000AD9C0000}"/>
    <cellStyle name="Note 2 10 5" xfId="40104" xr:uid="{00000000-0005-0000-0000-0000AE9C0000}"/>
    <cellStyle name="Note 2 10 5 2" xfId="40105" xr:uid="{00000000-0005-0000-0000-0000AF9C0000}"/>
    <cellStyle name="Note 2 10 6" xfId="40106" xr:uid="{00000000-0005-0000-0000-0000B09C0000}"/>
    <cellStyle name="Note 2 10 7" xfId="40107" xr:uid="{00000000-0005-0000-0000-0000B19C0000}"/>
    <cellStyle name="Note 2 10 8" xfId="40108" xr:uid="{00000000-0005-0000-0000-0000B29C0000}"/>
    <cellStyle name="Note 2 10 9" xfId="40109" xr:uid="{00000000-0005-0000-0000-0000B39C0000}"/>
    <cellStyle name="Note 2 11" xfId="40110" xr:uid="{00000000-0005-0000-0000-0000B49C0000}"/>
    <cellStyle name="Note 2 11 2" xfId="40111" xr:uid="{00000000-0005-0000-0000-0000B59C0000}"/>
    <cellStyle name="Note 2 11 2 2" xfId="40112" xr:uid="{00000000-0005-0000-0000-0000B69C0000}"/>
    <cellStyle name="Note 2 11 2 2 2" xfId="40113" xr:uid="{00000000-0005-0000-0000-0000B79C0000}"/>
    <cellStyle name="Note 2 11 2 3" xfId="40114" xr:uid="{00000000-0005-0000-0000-0000B89C0000}"/>
    <cellStyle name="Note 2 11 2 4" xfId="40115" xr:uid="{00000000-0005-0000-0000-0000B99C0000}"/>
    <cellStyle name="Note 2 11 2 5" xfId="40116" xr:uid="{00000000-0005-0000-0000-0000BA9C0000}"/>
    <cellStyle name="Note 2 11 3" xfId="40117" xr:uid="{00000000-0005-0000-0000-0000BB9C0000}"/>
    <cellStyle name="Note 2 11 3 2" xfId="40118" xr:uid="{00000000-0005-0000-0000-0000BC9C0000}"/>
    <cellStyle name="Note 2 11 3 3" xfId="40119" xr:uid="{00000000-0005-0000-0000-0000BD9C0000}"/>
    <cellStyle name="Note 2 11 3 4" xfId="40120" xr:uid="{00000000-0005-0000-0000-0000BE9C0000}"/>
    <cellStyle name="Note 2 11 4" xfId="40121" xr:uid="{00000000-0005-0000-0000-0000BF9C0000}"/>
    <cellStyle name="Note 2 11 4 2" xfId="40122" xr:uid="{00000000-0005-0000-0000-0000C09C0000}"/>
    <cellStyle name="Note 2 11 5" xfId="40123" xr:uid="{00000000-0005-0000-0000-0000C19C0000}"/>
    <cellStyle name="Note 2 11 6" xfId="40124" xr:uid="{00000000-0005-0000-0000-0000C29C0000}"/>
    <cellStyle name="Note 2 11 7" xfId="40125" xr:uid="{00000000-0005-0000-0000-0000C39C0000}"/>
    <cellStyle name="Note 2 11 8" xfId="40126" xr:uid="{00000000-0005-0000-0000-0000C49C0000}"/>
    <cellStyle name="Note 2 12" xfId="40127" xr:uid="{00000000-0005-0000-0000-0000C59C0000}"/>
    <cellStyle name="Note 2 12 2" xfId="40128" xr:uid="{00000000-0005-0000-0000-0000C69C0000}"/>
    <cellStyle name="Note 2 12 2 2" xfId="40129" xr:uid="{00000000-0005-0000-0000-0000C79C0000}"/>
    <cellStyle name="Note 2 12 2 3" xfId="40130" xr:uid="{00000000-0005-0000-0000-0000C89C0000}"/>
    <cellStyle name="Note 2 12 3" xfId="40131" xr:uid="{00000000-0005-0000-0000-0000C99C0000}"/>
    <cellStyle name="Note 2 12 4" xfId="40132" xr:uid="{00000000-0005-0000-0000-0000CA9C0000}"/>
    <cellStyle name="Note 2 12 5" xfId="40133" xr:uid="{00000000-0005-0000-0000-0000CB9C0000}"/>
    <cellStyle name="Note 2 12 6" xfId="40134" xr:uid="{00000000-0005-0000-0000-0000CC9C0000}"/>
    <cellStyle name="Note 2 13" xfId="40135" xr:uid="{00000000-0005-0000-0000-0000CD9C0000}"/>
    <cellStyle name="Note 2 13 2" xfId="40136" xr:uid="{00000000-0005-0000-0000-0000CE9C0000}"/>
    <cellStyle name="Note 2 13 2 2" xfId="40137" xr:uid="{00000000-0005-0000-0000-0000CF9C0000}"/>
    <cellStyle name="Note 2 13 3" xfId="40138" xr:uid="{00000000-0005-0000-0000-0000D09C0000}"/>
    <cellStyle name="Note 2 13 4" xfId="40139" xr:uid="{00000000-0005-0000-0000-0000D19C0000}"/>
    <cellStyle name="Note 2 13 5" xfId="40140" xr:uid="{00000000-0005-0000-0000-0000D29C0000}"/>
    <cellStyle name="Note 2 14" xfId="40141" xr:uid="{00000000-0005-0000-0000-0000D39C0000}"/>
    <cellStyle name="Note 2 14 2" xfId="40142" xr:uid="{00000000-0005-0000-0000-0000D49C0000}"/>
    <cellStyle name="Note 2 14 2 2" xfId="40143" xr:uid="{00000000-0005-0000-0000-0000D59C0000}"/>
    <cellStyle name="Note 2 14 3" xfId="40144" xr:uid="{00000000-0005-0000-0000-0000D69C0000}"/>
    <cellStyle name="Note 2 14 4" xfId="40145" xr:uid="{00000000-0005-0000-0000-0000D79C0000}"/>
    <cellStyle name="Note 2 14 5" xfId="40146" xr:uid="{00000000-0005-0000-0000-0000D89C0000}"/>
    <cellStyle name="Note 2 15" xfId="40147" xr:uid="{00000000-0005-0000-0000-0000D99C0000}"/>
    <cellStyle name="Note 2 15 2" xfId="40148" xr:uid="{00000000-0005-0000-0000-0000DA9C0000}"/>
    <cellStyle name="Note 2 16" xfId="40149" xr:uid="{00000000-0005-0000-0000-0000DB9C0000}"/>
    <cellStyle name="Note 2 17" xfId="40150" xr:uid="{00000000-0005-0000-0000-0000DC9C0000}"/>
    <cellStyle name="Note 2 18" xfId="40151" xr:uid="{00000000-0005-0000-0000-0000DD9C0000}"/>
    <cellStyle name="Note 2 19" xfId="40152" xr:uid="{00000000-0005-0000-0000-0000DE9C0000}"/>
    <cellStyle name="Note 2 2" xfId="40153" xr:uid="{00000000-0005-0000-0000-0000DF9C0000}"/>
    <cellStyle name="Note 2 2 10" xfId="40154" xr:uid="{00000000-0005-0000-0000-0000E09C0000}"/>
    <cellStyle name="Note 2 2 2" xfId="40155" xr:uid="{00000000-0005-0000-0000-0000E19C0000}"/>
    <cellStyle name="Note 2 2 2 2" xfId="40156" xr:uid="{00000000-0005-0000-0000-0000E29C0000}"/>
    <cellStyle name="Note 2 2 2 2 2" xfId="40157" xr:uid="{00000000-0005-0000-0000-0000E39C0000}"/>
    <cellStyle name="Note 2 2 2 2 2 2" xfId="40158" xr:uid="{00000000-0005-0000-0000-0000E49C0000}"/>
    <cellStyle name="Note 2 2 2 2 2 3" xfId="40159" xr:uid="{00000000-0005-0000-0000-0000E59C0000}"/>
    <cellStyle name="Note 2 2 2 2 3" xfId="40160" xr:uid="{00000000-0005-0000-0000-0000E69C0000}"/>
    <cellStyle name="Note 2 2 2 2 4" xfId="40161" xr:uid="{00000000-0005-0000-0000-0000E79C0000}"/>
    <cellStyle name="Note 2 2 2 2 5" xfId="40162" xr:uid="{00000000-0005-0000-0000-0000E89C0000}"/>
    <cellStyle name="Note 2 2 2 2 6" xfId="40163" xr:uid="{00000000-0005-0000-0000-0000E99C0000}"/>
    <cellStyle name="Note 2 2 2 3" xfId="40164" xr:uid="{00000000-0005-0000-0000-0000EA9C0000}"/>
    <cellStyle name="Note 2 2 2 3 2" xfId="40165" xr:uid="{00000000-0005-0000-0000-0000EB9C0000}"/>
    <cellStyle name="Note 2 2 2 3 2 2" xfId="40166" xr:uid="{00000000-0005-0000-0000-0000EC9C0000}"/>
    <cellStyle name="Note 2 2 2 3 3" xfId="40167" xr:uid="{00000000-0005-0000-0000-0000ED9C0000}"/>
    <cellStyle name="Note 2 2 2 3 4" xfId="40168" xr:uid="{00000000-0005-0000-0000-0000EE9C0000}"/>
    <cellStyle name="Note 2 2 2 3 5" xfId="40169" xr:uid="{00000000-0005-0000-0000-0000EF9C0000}"/>
    <cellStyle name="Note 2 2 2 4" xfId="40170" xr:uid="{00000000-0005-0000-0000-0000F09C0000}"/>
    <cellStyle name="Note 2 2 2 4 2" xfId="40171" xr:uid="{00000000-0005-0000-0000-0000F19C0000}"/>
    <cellStyle name="Note 2 2 2 4 3" xfId="40172" xr:uid="{00000000-0005-0000-0000-0000F29C0000}"/>
    <cellStyle name="Note 2 2 2 4 4" xfId="40173" xr:uid="{00000000-0005-0000-0000-0000F39C0000}"/>
    <cellStyle name="Note 2 2 2 5" xfId="40174" xr:uid="{00000000-0005-0000-0000-0000F49C0000}"/>
    <cellStyle name="Note 2 2 2 5 2" xfId="40175" xr:uid="{00000000-0005-0000-0000-0000F59C0000}"/>
    <cellStyle name="Note 2 2 2 6" xfId="40176" xr:uid="{00000000-0005-0000-0000-0000F69C0000}"/>
    <cellStyle name="Note 2 2 2 7" xfId="40177" xr:uid="{00000000-0005-0000-0000-0000F79C0000}"/>
    <cellStyle name="Note 2 2 2 8" xfId="40178" xr:uid="{00000000-0005-0000-0000-0000F89C0000}"/>
    <cellStyle name="Note 2 2 2 9" xfId="40179" xr:uid="{00000000-0005-0000-0000-0000F99C0000}"/>
    <cellStyle name="Note 2 2 3" xfId="40180" xr:uid="{00000000-0005-0000-0000-0000FA9C0000}"/>
    <cellStyle name="Note 2 2 3 2" xfId="40181" xr:uid="{00000000-0005-0000-0000-0000FB9C0000}"/>
    <cellStyle name="Note 2 2 3 2 2" xfId="40182" xr:uid="{00000000-0005-0000-0000-0000FC9C0000}"/>
    <cellStyle name="Note 2 2 3 2 3" xfId="40183" xr:uid="{00000000-0005-0000-0000-0000FD9C0000}"/>
    <cellStyle name="Note 2 2 3 3" xfId="40184" xr:uid="{00000000-0005-0000-0000-0000FE9C0000}"/>
    <cellStyle name="Note 2 2 3 4" xfId="40185" xr:uid="{00000000-0005-0000-0000-0000FF9C0000}"/>
    <cellStyle name="Note 2 2 3 5" xfId="40186" xr:uid="{00000000-0005-0000-0000-0000009D0000}"/>
    <cellStyle name="Note 2 2 3 6" xfId="40187" xr:uid="{00000000-0005-0000-0000-0000019D0000}"/>
    <cellStyle name="Note 2 2 4" xfId="40188" xr:uid="{00000000-0005-0000-0000-0000029D0000}"/>
    <cellStyle name="Note 2 2 4 2" xfId="40189" xr:uid="{00000000-0005-0000-0000-0000039D0000}"/>
    <cellStyle name="Note 2 2 4 2 2" xfId="40190" xr:uid="{00000000-0005-0000-0000-0000049D0000}"/>
    <cellStyle name="Note 2 2 4 3" xfId="40191" xr:uid="{00000000-0005-0000-0000-0000059D0000}"/>
    <cellStyle name="Note 2 2 4 4" xfId="40192" xr:uid="{00000000-0005-0000-0000-0000069D0000}"/>
    <cellStyle name="Note 2 2 4 5" xfId="40193" xr:uid="{00000000-0005-0000-0000-0000079D0000}"/>
    <cellStyle name="Note 2 2 5" xfId="40194" xr:uid="{00000000-0005-0000-0000-0000089D0000}"/>
    <cellStyle name="Note 2 2 5 2" xfId="40195" xr:uid="{00000000-0005-0000-0000-0000099D0000}"/>
    <cellStyle name="Note 2 2 5 2 2" xfId="40196" xr:uid="{00000000-0005-0000-0000-00000A9D0000}"/>
    <cellStyle name="Note 2 2 5 3" xfId="40197" xr:uid="{00000000-0005-0000-0000-00000B9D0000}"/>
    <cellStyle name="Note 2 2 5 4" xfId="40198" xr:uid="{00000000-0005-0000-0000-00000C9D0000}"/>
    <cellStyle name="Note 2 2 5 5" xfId="40199" xr:uid="{00000000-0005-0000-0000-00000D9D0000}"/>
    <cellStyle name="Note 2 2 6" xfId="40200" xr:uid="{00000000-0005-0000-0000-00000E9D0000}"/>
    <cellStyle name="Note 2 2 6 2" xfId="40201" xr:uid="{00000000-0005-0000-0000-00000F9D0000}"/>
    <cellStyle name="Note 2 2 7" xfId="40202" xr:uid="{00000000-0005-0000-0000-0000109D0000}"/>
    <cellStyle name="Note 2 2 8" xfId="40203" xr:uid="{00000000-0005-0000-0000-0000119D0000}"/>
    <cellStyle name="Note 2 2 9" xfId="40204" xr:uid="{00000000-0005-0000-0000-0000129D0000}"/>
    <cellStyle name="Note 2 3" xfId="40205" xr:uid="{00000000-0005-0000-0000-0000139D0000}"/>
    <cellStyle name="Note 2 3 10" xfId="40206" xr:uid="{00000000-0005-0000-0000-0000149D0000}"/>
    <cellStyle name="Note 2 3 2" xfId="40207" xr:uid="{00000000-0005-0000-0000-0000159D0000}"/>
    <cellStyle name="Note 2 3 2 2" xfId="40208" xr:uid="{00000000-0005-0000-0000-0000169D0000}"/>
    <cellStyle name="Note 2 3 2 2 2" xfId="40209" xr:uid="{00000000-0005-0000-0000-0000179D0000}"/>
    <cellStyle name="Note 2 3 2 2 2 2" xfId="40210" xr:uid="{00000000-0005-0000-0000-0000189D0000}"/>
    <cellStyle name="Note 2 3 2 2 2 3" xfId="40211" xr:uid="{00000000-0005-0000-0000-0000199D0000}"/>
    <cellStyle name="Note 2 3 2 2 3" xfId="40212" xr:uid="{00000000-0005-0000-0000-00001A9D0000}"/>
    <cellStyle name="Note 2 3 2 2 4" xfId="40213" xr:uid="{00000000-0005-0000-0000-00001B9D0000}"/>
    <cellStyle name="Note 2 3 2 2 5" xfId="40214" xr:uid="{00000000-0005-0000-0000-00001C9D0000}"/>
    <cellStyle name="Note 2 3 2 2 6" xfId="40215" xr:uid="{00000000-0005-0000-0000-00001D9D0000}"/>
    <cellStyle name="Note 2 3 2 3" xfId="40216" xr:uid="{00000000-0005-0000-0000-00001E9D0000}"/>
    <cellStyle name="Note 2 3 2 3 2" xfId="40217" xr:uid="{00000000-0005-0000-0000-00001F9D0000}"/>
    <cellStyle name="Note 2 3 2 3 2 2" xfId="40218" xr:uid="{00000000-0005-0000-0000-0000209D0000}"/>
    <cellStyle name="Note 2 3 2 3 3" xfId="40219" xr:uid="{00000000-0005-0000-0000-0000219D0000}"/>
    <cellStyle name="Note 2 3 2 3 4" xfId="40220" xr:uid="{00000000-0005-0000-0000-0000229D0000}"/>
    <cellStyle name="Note 2 3 2 3 5" xfId="40221" xr:uid="{00000000-0005-0000-0000-0000239D0000}"/>
    <cellStyle name="Note 2 3 2 4" xfId="40222" xr:uid="{00000000-0005-0000-0000-0000249D0000}"/>
    <cellStyle name="Note 2 3 2 4 2" xfId="40223" xr:uid="{00000000-0005-0000-0000-0000259D0000}"/>
    <cellStyle name="Note 2 3 2 4 3" xfId="40224" xr:uid="{00000000-0005-0000-0000-0000269D0000}"/>
    <cellStyle name="Note 2 3 2 4 4" xfId="40225" xr:uid="{00000000-0005-0000-0000-0000279D0000}"/>
    <cellStyle name="Note 2 3 2 5" xfId="40226" xr:uid="{00000000-0005-0000-0000-0000289D0000}"/>
    <cellStyle name="Note 2 3 2 5 2" xfId="40227" xr:uid="{00000000-0005-0000-0000-0000299D0000}"/>
    <cellStyle name="Note 2 3 2 6" xfId="40228" xr:uid="{00000000-0005-0000-0000-00002A9D0000}"/>
    <cellStyle name="Note 2 3 2 7" xfId="40229" xr:uid="{00000000-0005-0000-0000-00002B9D0000}"/>
    <cellStyle name="Note 2 3 2 8" xfId="40230" xr:uid="{00000000-0005-0000-0000-00002C9D0000}"/>
    <cellStyle name="Note 2 3 2 9" xfId="40231" xr:uid="{00000000-0005-0000-0000-00002D9D0000}"/>
    <cellStyle name="Note 2 3 3" xfId="40232" xr:uid="{00000000-0005-0000-0000-00002E9D0000}"/>
    <cellStyle name="Note 2 3 3 2" xfId="40233" xr:uid="{00000000-0005-0000-0000-00002F9D0000}"/>
    <cellStyle name="Note 2 3 3 2 2" xfId="40234" xr:uid="{00000000-0005-0000-0000-0000309D0000}"/>
    <cellStyle name="Note 2 3 3 2 3" xfId="40235" xr:uid="{00000000-0005-0000-0000-0000319D0000}"/>
    <cellStyle name="Note 2 3 3 3" xfId="40236" xr:uid="{00000000-0005-0000-0000-0000329D0000}"/>
    <cellStyle name="Note 2 3 3 4" xfId="40237" xr:uid="{00000000-0005-0000-0000-0000339D0000}"/>
    <cellStyle name="Note 2 3 3 5" xfId="40238" xr:uid="{00000000-0005-0000-0000-0000349D0000}"/>
    <cellStyle name="Note 2 3 3 6" xfId="40239" xr:uid="{00000000-0005-0000-0000-0000359D0000}"/>
    <cellStyle name="Note 2 3 4" xfId="40240" xr:uid="{00000000-0005-0000-0000-0000369D0000}"/>
    <cellStyle name="Note 2 3 4 2" xfId="40241" xr:uid="{00000000-0005-0000-0000-0000379D0000}"/>
    <cellStyle name="Note 2 3 4 2 2" xfId="40242" xr:uid="{00000000-0005-0000-0000-0000389D0000}"/>
    <cellStyle name="Note 2 3 4 3" xfId="40243" xr:uid="{00000000-0005-0000-0000-0000399D0000}"/>
    <cellStyle name="Note 2 3 4 4" xfId="40244" xr:uid="{00000000-0005-0000-0000-00003A9D0000}"/>
    <cellStyle name="Note 2 3 4 5" xfId="40245" xr:uid="{00000000-0005-0000-0000-00003B9D0000}"/>
    <cellStyle name="Note 2 3 5" xfId="40246" xr:uid="{00000000-0005-0000-0000-00003C9D0000}"/>
    <cellStyle name="Note 2 3 5 2" xfId="40247" xr:uid="{00000000-0005-0000-0000-00003D9D0000}"/>
    <cellStyle name="Note 2 3 5 2 2" xfId="40248" xr:uid="{00000000-0005-0000-0000-00003E9D0000}"/>
    <cellStyle name="Note 2 3 5 3" xfId="40249" xr:uid="{00000000-0005-0000-0000-00003F9D0000}"/>
    <cellStyle name="Note 2 3 5 4" xfId="40250" xr:uid="{00000000-0005-0000-0000-0000409D0000}"/>
    <cellStyle name="Note 2 3 5 5" xfId="40251" xr:uid="{00000000-0005-0000-0000-0000419D0000}"/>
    <cellStyle name="Note 2 3 6" xfId="40252" xr:uid="{00000000-0005-0000-0000-0000429D0000}"/>
    <cellStyle name="Note 2 3 6 2" xfId="40253" xr:uid="{00000000-0005-0000-0000-0000439D0000}"/>
    <cellStyle name="Note 2 3 7" xfId="40254" xr:uid="{00000000-0005-0000-0000-0000449D0000}"/>
    <cellStyle name="Note 2 3 8" xfId="40255" xr:uid="{00000000-0005-0000-0000-0000459D0000}"/>
    <cellStyle name="Note 2 3 9" xfId="40256" xr:uid="{00000000-0005-0000-0000-0000469D0000}"/>
    <cellStyle name="Note 2 4" xfId="40257" xr:uid="{00000000-0005-0000-0000-0000479D0000}"/>
    <cellStyle name="Note 2 4 10" xfId="40258" xr:uid="{00000000-0005-0000-0000-0000489D0000}"/>
    <cellStyle name="Note 2 4 2" xfId="40259" xr:uid="{00000000-0005-0000-0000-0000499D0000}"/>
    <cellStyle name="Note 2 4 2 2" xfId="40260" xr:uid="{00000000-0005-0000-0000-00004A9D0000}"/>
    <cellStyle name="Note 2 4 2 2 2" xfId="40261" xr:uid="{00000000-0005-0000-0000-00004B9D0000}"/>
    <cellStyle name="Note 2 4 2 2 2 2" xfId="40262" xr:uid="{00000000-0005-0000-0000-00004C9D0000}"/>
    <cellStyle name="Note 2 4 2 2 2 3" xfId="40263" xr:uid="{00000000-0005-0000-0000-00004D9D0000}"/>
    <cellStyle name="Note 2 4 2 2 3" xfId="40264" xr:uid="{00000000-0005-0000-0000-00004E9D0000}"/>
    <cellStyle name="Note 2 4 2 2 4" xfId="40265" xr:uid="{00000000-0005-0000-0000-00004F9D0000}"/>
    <cellStyle name="Note 2 4 2 2 5" xfId="40266" xr:uid="{00000000-0005-0000-0000-0000509D0000}"/>
    <cellStyle name="Note 2 4 2 2 6" xfId="40267" xr:uid="{00000000-0005-0000-0000-0000519D0000}"/>
    <cellStyle name="Note 2 4 2 3" xfId="40268" xr:uid="{00000000-0005-0000-0000-0000529D0000}"/>
    <cellStyle name="Note 2 4 2 3 2" xfId="40269" xr:uid="{00000000-0005-0000-0000-0000539D0000}"/>
    <cellStyle name="Note 2 4 2 3 2 2" xfId="40270" xr:uid="{00000000-0005-0000-0000-0000549D0000}"/>
    <cellStyle name="Note 2 4 2 3 3" xfId="40271" xr:uid="{00000000-0005-0000-0000-0000559D0000}"/>
    <cellStyle name="Note 2 4 2 3 4" xfId="40272" xr:uid="{00000000-0005-0000-0000-0000569D0000}"/>
    <cellStyle name="Note 2 4 2 3 5" xfId="40273" xr:uid="{00000000-0005-0000-0000-0000579D0000}"/>
    <cellStyle name="Note 2 4 2 4" xfId="40274" xr:uid="{00000000-0005-0000-0000-0000589D0000}"/>
    <cellStyle name="Note 2 4 2 4 2" xfId="40275" xr:uid="{00000000-0005-0000-0000-0000599D0000}"/>
    <cellStyle name="Note 2 4 2 4 3" xfId="40276" xr:uid="{00000000-0005-0000-0000-00005A9D0000}"/>
    <cellStyle name="Note 2 4 2 4 4" xfId="40277" xr:uid="{00000000-0005-0000-0000-00005B9D0000}"/>
    <cellStyle name="Note 2 4 2 5" xfId="40278" xr:uid="{00000000-0005-0000-0000-00005C9D0000}"/>
    <cellStyle name="Note 2 4 2 5 2" xfId="40279" xr:uid="{00000000-0005-0000-0000-00005D9D0000}"/>
    <cellStyle name="Note 2 4 2 6" xfId="40280" xr:uid="{00000000-0005-0000-0000-00005E9D0000}"/>
    <cellStyle name="Note 2 4 2 7" xfId="40281" xr:uid="{00000000-0005-0000-0000-00005F9D0000}"/>
    <cellStyle name="Note 2 4 2 8" xfId="40282" xr:uid="{00000000-0005-0000-0000-0000609D0000}"/>
    <cellStyle name="Note 2 4 2 9" xfId="40283" xr:uid="{00000000-0005-0000-0000-0000619D0000}"/>
    <cellStyle name="Note 2 4 3" xfId="40284" xr:uid="{00000000-0005-0000-0000-0000629D0000}"/>
    <cellStyle name="Note 2 4 3 2" xfId="40285" xr:uid="{00000000-0005-0000-0000-0000639D0000}"/>
    <cellStyle name="Note 2 4 3 2 2" xfId="40286" xr:uid="{00000000-0005-0000-0000-0000649D0000}"/>
    <cellStyle name="Note 2 4 3 2 3" xfId="40287" xr:uid="{00000000-0005-0000-0000-0000659D0000}"/>
    <cellStyle name="Note 2 4 3 3" xfId="40288" xr:uid="{00000000-0005-0000-0000-0000669D0000}"/>
    <cellStyle name="Note 2 4 3 4" xfId="40289" xr:uid="{00000000-0005-0000-0000-0000679D0000}"/>
    <cellStyle name="Note 2 4 3 5" xfId="40290" xr:uid="{00000000-0005-0000-0000-0000689D0000}"/>
    <cellStyle name="Note 2 4 3 6" xfId="40291" xr:uid="{00000000-0005-0000-0000-0000699D0000}"/>
    <cellStyle name="Note 2 4 4" xfId="40292" xr:uid="{00000000-0005-0000-0000-00006A9D0000}"/>
    <cellStyle name="Note 2 4 4 2" xfId="40293" xr:uid="{00000000-0005-0000-0000-00006B9D0000}"/>
    <cellStyle name="Note 2 4 4 2 2" xfId="40294" xr:uid="{00000000-0005-0000-0000-00006C9D0000}"/>
    <cellStyle name="Note 2 4 4 3" xfId="40295" xr:uid="{00000000-0005-0000-0000-00006D9D0000}"/>
    <cellStyle name="Note 2 4 4 4" xfId="40296" xr:uid="{00000000-0005-0000-0000-00006E9D0000}"/>
    <cellStyle name="Note 2 4 4 5" xfId="40297" xr:uid="{00000000-0005-0000-0000-00006F9D0000}"/>
    <cellStyle name="Note 2 4 5" xfId="40298" xr:uid="{00000000-0005-0000-0000-0000709D0000}"/>
    <cellStyle name="Note 2 4 5 2" xfId="40299" xr:uid="{00000000-0005-0000-0000-0000719D0000}"/>
    <cellStyle name="Note 2 4 5 2 2" xfId="40300" xr:uid="{00000000-0005-0000-0000-0000729D0000}"/>
    <cellStyle name="Note 2 4 5 3" xfId="40301" xr:uid="{00000000-0005-0000-0000-0000739D0000}"/>
    <cellStyle name="Note 2 4 5 4" xfId="40302" xr:uid="{00000000-0005-0000-0000-0000749D0000}"/>
    <cellStyle name="Note 2 4 5 5" xfId="40303" xr:uid="{00000000-0005-0000-0000-0000759D0000}"/>
    <cellStyle name="Note 2 4 6" xfId="40304" xr:uid="{00000000-0005-0000-0000-0000769D0000}"/>
    <cellStyle name="Note 2 4 6 2" xfId="40305" xr:uid="{00000000-0005-0000-0000-0000779D0000}"/>
    <cellStyle name="Note 2 4 7" xfId="40306" xr:uid="{00000000-0005-0000-0000-0000789D0000}"/>
    <cellStyle name="Note 2 4 8" xfId="40307" xr:uid="{00000000-0005-0000-0000-0000799D0000}"/>
    <cellStyle name="Note 2 4 9" xfId="40308" xr:uid="{00000000-0005-0000-0000-00007A9D0000}"/>
    <cellStyle name="Note 2 5" xfId="40309" xr:uid="{00000000-0005-0000-0000-00007B9D0000}"/>
    <cellStyle name="Note 2 5 10" xfId="40310" xr:uid="{00000000-0005-0000-0000-00007C9D0000}"/>
    <cellStyle name="Note 2 5 2" xfId="40311" xr:uid="{00000000-0005-0000-0000-00007D9D0000}"/>
    <cellStyle name="Note 2 5 2 2" xfId="40312" xr:uid="{00000000-0005-0000-0000-00007E9D0000}"/>
    <cellStyle name="Note 2 5 2 2 2" xfId="40313" xr:uid="{00000000-0005-0000-0000-00007F9D0000}"/>
    <cellStyle name="Note 2 5 2 2 2 2" xfId="40314" xr:uid="{00000000-0005-0000-0000-0000809D0000}"/>
    <cellStyle name="Note 2 5 2 2 2 3" xfId="40315" xr:uid="{00000000-0005-0000-0000-0000819D0000}"/>
    <cellStyle name="Note 2 5 2 2 3" xfId="40316" xr:uid="{00000000-0005-0000-0000-0000829D0000}"/>
    <cellStyle name="Note 2 5 2 2 4" xfId="40317" xr:uid="{00000000-0005-0000-0000-0000839D0000}"/>
    <cellStyle name="Note 2 5 2 2 5" xfId="40318" xr:uid="{00000000-0005-0000-0000-0000849D0000}"/>
    <cellStyle name="Note 2 5 2 2 6" xfId="40319" xr:uid="{00000000-0005-0000-0000-0000859D0000}"/>
    <cellStyle name="Note 2 5 2 3" xfId="40320" xr:uid="{00000000-0005-0000-0000-0000869D0000}"/>
    <cellStyle name="Note 2 5 2 3 2" xfId="40321" xr:uid="{00000000-0005-0000-0000-0000879D0000}"/>
    <cellStyle name="Note 2 5 2 3 2 2" xfId="40322" xr:uid="{00000000-0005-0000-0000-0000889D0000}"/>
    <cellStyle name="Note 2 5 2 3 3" xfId="40323" xr:uid="{00000000-0005-0000-0000-0000899D0000}"/>
    <cellStyle name="Note 2 5 2 3 4" xfId="40324" xr:uid="{00000000-0005-0000-0000-00008A9D0000}"/>
    <cellStyle name="Note 2 5 2 3 5" xfId="40325" xr:uid="{00000000-0005-0000-0000-00008B9D0000}"/>
    <cellStyle name="Note 2 5 2 4" xfId="40326" xr:uid="{00000000-0005-0000-0000-00008C9D0000}"/>
    <cellStyle name="Note 2 5 2 4 2" xfId="40327" xr:uid="{00000000-0005-0000-0000-00008D9D0000}"/>
    <cellStyle name="Note 2 5 2 4 3" xfId="40328" xr:uid="{00000000-0005-0000-0000-00008E9D0000}"/>
    <cellStyle name="Note 2 5 2 4 4" xfId="40329" xr:uid="{00000000-0005-0000-0000-00008F9D0000}"/>
    <cellStyle name="Note 2 5 2 5" xfId="40330" xr:uid="{00000000-0005-0000-0000-0000909D0000}"/>
    <cellStyle name="Note 2 5 2 5 2" xfId="40331" xr:uid="{00000000-0005-0000-0000-0000919D0000}"/>
    <cellStyle name="Note 2 5 2 6" xfId="40332" xr:uid="{00000000-0005-0000-0000-0000929D0000}"/>
    <cellStyle name="Note 2 5 2 7" xfId="40333" xr:uid="{00000000-0005-0000-0000-0000939D0000}"/>
    <cellStyle name="Note 2 5 2 8" xfId="40334" xr:uid="{00000000-0005-0000-0000-0000949D0000}"/>
    <cellStyle name="Note 2 5 2 9" xfId="40335" xr:uid="{00000000-0005-0000-0000-0000959D0000}"/>
    <cellStyle name="Note 2 5 3" xfId="40336" xr:uid="{00000000-0005-0000-0000-0000969D0000}"/>
    <cellStyle name="Note 2 5 3 2" xfId="40337" xr:uid="{00000000-0005-0000-0000-0000979D0000}"/>
    <cellStyle name="Note 2 5 3 2 2" xfId="40338" xr:uid="{00000000-0005-0000-0000-0000989D0000}"/>
    <cellStyle name="Note 2 5 3 2 3" xfId="40339" xr:uid="{00000000-0005-0000-0000-0000999D0000}"/>
    <cellStyle name="Note 2 5 3 3" xfId="40340" xr:uid="{00000000-0005-0000-0000-00009A9D0000}"/>
    <cellStyle name="Note 2 5 3 4" xfId="40341" xr:uid="{00000000-0005-0000-0000-00009B9D0000}"/>
    <cellStyle name="Note 2 5 3 5" xfId="40342" xr:uid="{00000000-0005-0000-0000-00009C9D0000}"/>
    <cellStyle name="Note 2 5 3 6" xfId="40343" xr:uid="{00000000-0005-0000-0000-00009D9D0000}"/>
    <cellStyle name="Note 2 5 4" xfId="40344" xr:uid="{00000000-0005-0000-0000-00009E9D0000}"/>
    <cellStyle name="Note 2 5 4 2" xfId="40345" xr:uid="{00000000-0005-0000-0000-00009F9D0000}"/>
    <cellStyle name="Note 2 5 4 2 2" xfId="40346" xr:uid="{00000000-0005-0000-0000-0000A09D0000}"/>
    <cellStyle name="Note 2 5 4 3" xfId="40347" xr:uid="{00000000-0005-0000-0000-0000A19D0000}"/>
    <cellStyle name="Note 2 5 4 4" xfId="40348" xr:uid="{00000000-0005-0000-0000-0000A29D0000}"/>
    <cellStyle name="Note 2 5 4 5" xfId="40349" xr:uid="{00000000-0005-0000-0000-0000A39D0000}"/>
    <cellStyle name="Note 2 5 5" xfId="40350" xr:uid="{00000000-0005-0000-0000-0000A49D0000}"/>
    <cellStyle name="Note 2 5 5 2" xfId="40351" xr:uid="{00000000-0005-0000-0000-0000A59D0000}"/>
    <cellStyle name="Note 2 5 5 2 2" xfId="40352" xr:uid="{00000000-0005-0000-0000-0000A69D0000}"/>
    <cellStyle name="Note 2 5 5 3" xfId="40353" xr:uid="{00000000-0005-0000-0000-0000A79D0000}"/>
    <cellStyle name="Note 2 5 5 4" xfId="40354" xr:uid="{00000000-0005-0000-0000-0000A89D0000}"/>
    <cellStyle name="Note 2 5 5 5" xfId="40355" xr:uid="{00000000-0005-0000-0000-0000A99D0000}"/>
    <cellStyle name="Note 2 5 6" xfId="40356" xr:uid="{00000000-0005-0000-0000-0000AA9D0000}"/>
    <cellStyle name="Note 2 5 6 2" xfId="40357" xr:uid="{00000000-0005-0000-0000-0000AB9D0000}"/>
    <cellStyle name="Note 2 5 7" xfId="40358" xr:uid="{00000000-0005-0000-0000-0000AC9D0000}"/>
    <cellStyle name="Note 2 5 8" xfId="40359" xr:uid="{00000000-0005-0000-0000-0000AD9D0000}"/>
    <cellStyle name="Note 2 5 9" xfId="40360" xr:uid="{00000000-0005-0000-0000-0000AE9D0000}"/>
    <cellStyle name="Note 2 6" xfId="40361" xr:uid="{00000000-0005-0000-0000-0000AF9D0000}"/>
    <cellStyle name="Note 2 6 10" xfId="40362" xr:uid="{00000000-0005-0000-0000-0000B09D0000}"/>
    <cellStyle name="Note 2 6 2" xfId="40363" xr:uid="{00000000-0005-0000-0000-0000B19D0000}"/>
    <cellStyle name="Note 2 6 2 2" xfId="40364" xr:uid="{00000000-0005-0000-0000-0000B29D0000}"/>
    <cellStyle name="Note 2 6 2 2 2" xfId="40365" xr:uid="{00000000-0005-0000-0000-0000B39D0000}"/>
    <cellStyle name="Note 2 6 2 2 2 2" xfId="40366" xr:uid="{00000000-0005-0000-0000-0000B49D0000}"/>
    <cellStyle name="Note 2 6 2 2 2 3" xfId="40367" xr:uid="{00000000-0005-0000-0000-0000B59D0000}"/>
    <cellStyle name="Note 2 6 2 2 3" xfId="40368" xr:uid="{00000000-0005-0000-0000-0000B69D0000}"/>
    <cellStyle name="Note 2 6 2 2 4" xfId="40369" xr:uid="{00000000-0005-0000-0000-0000B79D0000}"/>
    <cellStyle name="Note 2 6 2 2 5" xfId="40370" xr:uid="{00000000-0005-0000-0000-0000B89D0000}"/>
    <cellStyle name="Note 2 6 2 2 6" xfId="40371" xr:uid="{00000000-0005-0000-0000-0000B99D0000}"/>
    <cellStyle name="Note 2 6 2 3" xfId="40372" xr:uid="{00000000-0005-0000-0000-0000BA9D0000}"/>
    <cellStyle name="Note 2 6 2 3 2" xfId="40373" xr:uid="{00000000-0005-0000-0000-0000BB9D0000}"/>
    <cellStyle name="Note 2 6 2 3 2 2" xfId="40374" xr:uid="{00000000-0005-0000-0000-0000BC9D0000}"/>
    <cellStyle name="Note 2 6 2 3 3" xfId="40375" xr:uid="{00000000-0005-0000-0000-0000BD9D0000}"/>
    <cellStyle name="Note 2 6 2 3 4" xfId="40376" xr:uid="{00000000-0005-0000-0000-0000BE9D0000}"/>
    <cellStyle name="Note 2 6 2 3 5" xfId="40377" xr:uid="{00000000-0005-0000-0000-0000BF9D0000}"/>
    <cellStyle name="Note 2 6 2 4" xfId="40378" xr:uid="{00000000-0005-0000-0000-0000C09D0000}"/>
    <cellStyle name="Note 2 6 2 4 2" xfId="40379" xr:uid="{00000000-0005-0000-0000-0000C19D0000}"/>
    <cellStyle name="Note 2 6 2 4 3" xfId="40380" xr:uid="{00000000-0005-0000-0000-0000C29D0000}"/>
    <cellStyle name="Note 2 6 2 4 4" xfId="40381" xr:uid="{00000000-0005-0000-0000-0000C39D0000}"/>
    <cellStyle name="Note 2 6 2 5" xfId="40382" xr:uid="{00000000-0005-0000-0000-0000C49D0000}"/>
    <cellStyle name="Note 2 6 2 5 2" xfId="40383" xr:uid="{00000000-0005-0000-0000-0000C59D0000}"/>
    <cellStyle name="Note 2 6 2 6" xfId="40384" xr:uid="{00000000-0005-0000-0000-0000C69D0000}"/>
    <cellStyle name="Note 2 6 2 7" xfId="40385" xr:uid="{00000000-0005-0000-0000-0000C79D0000}"/>
    <cellStyle name="Note 2 6 2 8" xfId="40386" xr:uid="{00000000-0005-0000-0000-0000C89D0000}"/>
    <cellStyle name="Note 2 6 2 9" xfId="40387" xr:uid="{00000000-0005-0000-0000-0000C99D0000}"/>
    <cellStyle name="Note 2 6 3" xfId="40388" xr:uid="{00000000-0005-0000-0000-0000CA9D0000}"/>
    <cellStyle name="Note 2 6 3 2" xfId="40389" xr:uid="{00000000-0005-0000-0000-0000CB9D0000}"/>
    <cellStyle name="Note 2 6 3 2 2" xfId="40390" xr:uid="{00000000-0005-0000-0000-0000CC9D0000}"/>
    <cellStyle name="Note 2 6 3 2 3" xfId="40391" xr:uid="{00000000-0005-0000-0000-0000CD9D0000}"/>
    <cellStyle name="Note 2 6 3 3" xfId="40392" xr:uid="{00000000-0005-0000-0000-0000CE9D0000}"/>
    <cellStyle name="Note 2 6 3 4" xfId="40393" xr:uid="{00000000-0005-0000-0000-0000CF9D0000}"/>
    <cellStyle name="Note 2 6 3 5" xfId="40394" xr:uid="{00000000-0005-0000-0000-0000D09D0000}"/>
    <cellStyle name="Note 2 6 3 6" xfId="40395" xr:uid="{00000000-0005-0000-0000-0000D19D0000}"/>
    <cellStyle name="Note 2 6 4" xfId="40396" xr:uid="{00000000-0005-0000-0000-0000D29D0000}"/>
    <cellStyle name="Note 2 6 4 2" xfId="40397" xr:uid="{00000000-0005-0000-0000-0000D39D0000}"/>
    <cellStyle name="Note 2 6 4 2 2" xfId="40398" xr:uid="{00000000-0005-0000-0000-0000D49D0000}"/>
    <cellStyle name="Note 2 6 4 3" xfId="40399" xr:uid="{00000000-0005-0000-0000-0000D59D0000}"/>
    <cellStyle name="Note 2 6 4 4" xfId="40400" xr:uid="{00000000-0005-0000-0000-0000D69D0000}"/>
    <cellStyle name="Note 2 6 4 5" xfId="40401" xr:uid="{00000000-0005-0000-0000-0000D79D0000}"/>
    <cellStyle name="Note 2 6 5" xfId="40402" xr:uid="{00000000-0005-0000-0000-0000D89D0000}"/>
    <cellStyle name="Note 2 6 5 2" xfId="40403" xr:uid="{00000000-0005-0000-0000-0000D99D0000}"/>
    <cellStyle name="Note 2 6 5 2 2" xfId="40404" xr:uid="{00000000-0005-0000-0000-0000DA9D0000}"/>
    <cellStyle name="Note 2 6 5 3" xfId="40405" xr:uid="{00000000-0005-0000-0000-0000DB9D0000}"/>
    <cellStyle name="Note 2 6 5 4" xfId="40406" xr:uid="{00000000-0005-0000-0000-0000DC9D0000}"/>
    <cellStyle name="Note 2 6 5 5" xfId="40407" xr:uid="{00000000-0005-0000-0000-0000DD9D0000}"/>
    <cellStyle name="Note 2 6 6" xfId="40408" xr:uid="{00000000-0005-0000-0000-0000DE9D0000}"/>
    <cellStyle name="Note 2 6 6 2" xfId="40409" xr:uid="{00000000-0005-0000-0000-0000DF9D0000}"/>
    <cellStyle name="Note 2 6 7" xfId="40410" xr:uid="{00000000-0005-0000-0000-0000E09D0000}"/>
    <cellStyle name="Note 2 6 8" xfId="40411" xr:uid="{00000000-0005-0000-0000-0000E19D0000}"/>
    <cellStyle name="Note 2 6 9" xfId="40412" xr:uid="{00000000-0005-0000-0000-0000E29D0000}"/>
    <cellStyle name="Note 2 7" xfId="40413" xr:uid="{00000000-0005-0000-0000-0000E39D0000}"/>
    <cellStyle name="Note 2 7 10" xfId="40414" xr:uid="{00000000-0005-0000-0000-0000E49D0000}"/>
    <cellStyle name="Note 2 7 2" xfId="40415" xr:uid="{00000000-0005-0000-0000-0000E59D0000}"/>
    <cellStyle name="Note 2 7 2 2" xfId="40416" xr:uid="{00000000-0005-0000-0000-0000E69D0000}"/>
    <cellStyle name="Note 2 7 2 2 2" xfId="40417" xr:uid="{00000000-0005-0000-0000-0000E79D0000}"/>
    <cellStyle name="Note 2 7 2 2 2 2" xfId="40418" xr:uid="{00000000-0005-0000-0000-0000E89D0000}"/>
    <cellStyle name="Note 2 7 2 2 2 3" xfId="40419" xr:uid="{00000000-0005-0000-0000-0000E99D0000}"/>
    <cellStyle name="Note 2 7 2 2 3" xfId="40420" xr:uid="{00000000-0005-0000-0000-0000EA9D0000}"/>
    <cellStyle name="Note 2 7 2 2 4" xfId="40421" xr:uid="{00000000-0005-0000-0000-0000EB9D0000}"/>
    <cellStyle name="Note 2 7 2 2 5" xfId="40422" xr:uid="{00000000-0005-0000-0000-0000EC9D0000}"/>
    <cellStyle name="Note 2 7 2 2 6" xfId="40423" xr:uid="{00000000-0005-0000-0000-0000ED9D0000}"/>
    <cellStyle name="Note 2 7 2 3" xfId="40424" xr:uid="{00000000-0005-0000-0000-0000EE9D0000}"/>
    <cellStyle name="Note 2 7 2 3 2" xfId="40425" xr:uid="{00000000-0005-0000-0000-0000EF9D0000}"/>
    <cellStyle name="Note 2 7 2 3 2 2" xfId="40426" xr:uid="{00000000-0005-0000-0000-0000F09D0000}"/>
    <cellStyle name="Note 2 7 2 3 3" xfId="40427" xr:uid="{00000000-0005-0000-0000-0000F19D0000}"/>
    <cellStyle name="Note 2 7 2 3 4" xfId="40428" xr:uid="{00000000-0005-0000-0000-0000F29D0000}"/>
    <cellStyle name="Note 2 7 2 3 5" xfId="40429" xr:uid="{00000000-0005-0000-0000-0000F39D0000}"/>
    <cellStyle name="Note 2 7 2 4" xfId="40430" xr:uid="{00000000-0005-0000-0000-0000F49D0000}"/>
    <cellStyle name="Note 2 7 2 4 2" xfId="40431" xr:uid="{00000000-0005-0000-0000-0000F59D0000}"/>
    <cellStyle name="Note 2 7 2 4 3" xfId="40432" xr:uid="{00000000-0005-0000-0000-0000F69D0000}"/>
    <cellStyle name="Note 2 7 2 4 4" xfId="40433" xr:uid="{00000000-0005-0000-0000-0000F79D0000}"/>
    <cellStyle name="Note 2 7 2 5" xfId="40434" xr:uid="{00000000-0005-0000-0000-0000F89D0000}"/>
    <cellStyle name="Note 2 7 2 5 2" xfId="40435" xr:uid="{00000000-0005-0000-0000-0000F99D0000}"/>
    <cellStyle name="Note 2 7 2 6" xfId="40436" xr:uid="{00000000-0005-0000-0000-0000FA9D0000}"/>
    <cellStyle name="Note 2 7 2 7" xfId="40437" xr:uid="{00000000-0005-0000-0000-0000FB9D0000}"/>
    <cellStyle name="Note 2 7 2 8" xfId="40438" xr:uid="{00000000-0005-0000-0000-0000FC9D0000}"/>
    <cellStyle name="Note 2 7 2 9" xfId="40439" xr:uid="{00000000-0005-0000-0000-0000FD9D0000}"/>
    <cellStyle name="Note 2 7 3" xfId="40440" xr:uid="{00000000-0005-0000-0000-0000FE9D0000}"/>
    <cellStyle name="Note 2 7 3 2" xfId="40441" xr:uid="{00000000-0005-0000-0000-0000FF9D0000}"/>
    <cellStyle name="Note 2 7 3 2 2" xfId="40442" xr:uid="{00000000-0005-0000-0000-0000009E0000}"/>
    <cellStyle name="Note 2 7 3 2 3" xfId="40443" xr:uid="{00000000-0005-0000-0000-0000019E0000}"/>
    <cellStyle name="Note 2 7 3 3" xfId="40444" xr:uid="{00000000-0005-0000-0000-0000029E0000}"/>
    <cellStyle name="Note 2 7 3 4" xfId="40445" xr:uid="{00000000-0005-0000-0000-0000039E0000}"/>
    <cellStyle name="Note 2 7 3 5" xfId="40446" xr:uid="{00000000-0005-0000-0000-0000049E0000}"/>
    <cellStyle name="Note 2 7 3 6" xfId="40447" xr:uid="{00000000-0005-0000-0000-0000059E0000}"/>
    <cellStyle name="Note 2 7 4" xfId="40448" xr:uid="{00000000-0005-0000-0000-0000069E0000}"/>
    <cellStyle name="Note 2 7 4 2" xfId="40449" xr:uid="{00000000-0005-0000-0000-0000079E0000}"/>
    <cellStyle name="Note 2 7 4 2 2" xfId="40450" xr:uid="{00000000-0005-0000-0000-0000089E0000}"/>
    <cellStyle name="Note 2 7 4 3" xfId="40451" xr:uid="{00000000-0005-0000-0000-0000099E0000}"/>
    <cellStyle name="Note 2 7 4 4" xfId="40452" xr:uid="{00000000-0005-0000-0000-00000A9E0000}"/>
    <cellStyle name="Note 2 7 4 5" xfId="40453" xr:uid="{00000000-0005-0000-0000-00000B9E0000}"/>
    <cellStyle name="Note 2 7 5" xfId="40454" xr:uid="{00000000-0005-0000-0000-00000C9E0000}"/>
    <cellStyle name="Note 2 7 5 2" xfId="40455" xr:uid="{00000000-0005-0000-0000-00000D9E0000}"/>
    <cellStyle name="Note 2 7 5 2 2" xfId="40456" xr:uid="{00000000-0005-0000-0000-00000E9E0000}"/>
    <cellStyle name="Note 2 7 5 3" xfId="40457" xr:uid="{00000000-0005-0000-0000-00000F9E0000}"/>
    <cellStyle name="Note 2 7 5 4" xfId="40458" xr:uid="{00000000-0005-0000-0000-0000109E0000}"/>
    <cellStyle name="Note 2 7 5 5" xfId="40459" xr:uid="{00000000-0005-0000-0000-0000119E0000}"/>
    <cellStyle name="Note 2 7 6" xfId="40460" xr:uid="{00000000-0005-0000-0000-0000129E0000}"/>
    <cellStyle name="Note 2 7 6 2" xfId="40461" xr:uid="{00000000-0005-0000-0000-0000139E0000}"/>
    <cellStyle name="Note 2 7 7" xfId="40462" xr:uid="{00000000-0005-0000-0000-0000149E0000}"/>
    <cellStyle name="Note 2 7 8" xfId="40463" xr:uid="{00000000-0005-0000-0000-0000159E0000}"/>
    <cellStyle name="Note 2 7 9" xfId="40464" xr:uid="{00000000-0005-0000-0000-0000169E0000}"/>
    <cellStyle name="Note 2 8" xfId="40465" xr:uid="{00000000-0005-0000-0000-0000179E0000}"/>
    <cellStyle name="Note 2 8 10" xfId="40466" xr:uid="{00000000-0005-0000-0000-0000189E0000}"/>
    <cellStyle name="Note 2 8 2" xfId="40467" xr:uid="{00000000-0005-0000-0000-0000199E0000}"/>
    <cellStyle name="Note 2 8 2 2" xfId="40468" xr:uid="{00000000-0005-0000-0000-00001A9E0000}"/>
    <cellStyle name="Note 2 8 2 2 2" xfId="40469" xr:uid="{00000000-0005-0000-0000-00001B9E0000}"/>
    <cellStyle name="Note 2 8 2 2 2 2" xfId="40470" xr:uid="{00000000-0005-0000-0000-00001C9E0000}"/>
    <cellStyle name="Note 2 8 2 2 2 3" xfId="40471" xr:uid="{00000000-0005-0000-0000-00001D9E0000}"/>
    <cellStyle name="Note 2 8 2 2 3" xfId="40472" xr:uid="{00000000-0005-0000-0000-00001E9E0000}"/>
    <cellStyle name="Note 2 8 2 2 4" xfId="40473" xr:uid="{00000000-0005-0000-0000-00001F9E0000}"/>
    <cellStyle name="Note 2 8 2 2 5" xfId="40474" xr:uid="{00000000-0005-0000-0000-0000209E0000}"/>
    <cellStyle name="Note 2 8 2 2 6" xfId="40475" xr:uid="{00000000-0005-0000-0000-0000219E0000}"/>
    <cellStyle name="Note 2 8 2 3" xfId="40476" xr:uid="{00000000-0005-0000-0000-0000229E0000}"/>
    <cellStyle name="Note 2 8 2 3 2" xfId="40477" xr:uid="{00000000-0005-0000-0000-0000239E0000}"/>
    <cellStyle name="Note 2 8 2 3 2 2" xfId="40478" xr:uid="{00000000-0005-0000-0000-0000249E0000}"/>
    <cellStyle name="Note 2 8 2 3 3" xfId="40479" xr:uid="{00000000-0005-0000-0000-0000259E0000}"/>
    <cellStyle name="Note 2 8 2 3 4" xfId="40480" xr:uid="{00000000-0005-0000-0000-0000269E0000}"/>
    <cellStyle name="Note 2 8 2 3 5" xfId="40481" xr:uid="{00000000-0005-0000-0000-0000279E0000}"/>
    <cellStyle name="Note 2 8 2 4" xfId="40482" xr:uid="{00000000-0005-0000-0000-0000289E0000}"/>
    <cellStyle name="Note 2 8 2 4 2" xfId="40483" xr:uid="{00000000-0005-0000-0000-0000299E0000}"/>
    <cellStyle name="Note 2 8 2 4 3" xfId="40484" xr:uid="{00000000-0005-0000-0000-00002A9E0000}"/>
    <cellStyle name="Note 2 8 2 4 4" xfId="40485" xr:uid="{00000000-0005-0000-0000-00002B9E0000}"/>
    <cellStyle name="Note 2 8 2 5" xfId="40486" xr:uid="{00000000-0005-0000-0000-00002C9E0000}"/>
    <cellStyle name="Note 2 8 2 5 2" xfId="40487" xr:uid="{00000000-0005-0000-0000-00002D9E0000}"/>
    <cellStyle name="Note 2 8 2 6" xfId="40488" xr:uid="{00000000-0005-0000-0000-00002E9E0000}"/>
    <cellStyle name="Note 2 8 2 7" xfId="40489" xr:uid="{00000000-0005-0000-0000-00002F9E0000}"/>
    <cellStyle name="Note 2 8 2 8" xfId="40490" xr:uid="{00000000-0005-0000-0000-0000309E0000}"/>
    <cellStyle name="Note 2 8 2 9" xfId="40491" xr:uid="{00000000-0005-0000-0000-0000319E0000}"/>
    <cellStyle name="Note 2 8 3" xfId="40492" xr:uid="{00000000-0005-0000-0000-0000329E0000}"/>
    <cellStyle name="Note 2 8 3 2" xfId="40493" xr:uid="{00000000-0005-0000-0000-0000339E0000}"/>
    <cellStyle name="Note 2 8 3 2 2" xfId="40494" xr:uid="{00000000-0005-0000-0000-0000349E0000}"/>
    <cellStyle name="Note 2 8 3 2 3" xfId="40495" xr:uid="{00000000-0005-0000-0000-0000359E0000}"/>
    <cellStyle name="Note 2 8 3 3" xfId="40496" xr:uid="{00000000-0005-0000-0000-0000369E0000}"/>
    <cellStyle name="Note 2 8 3 4" xfId="40497" xr:uid="{00000000-0005-0000-0000-0000379E0000}"/>
    <cellStyle name="Note 2 8 3 5" xfId="40498" xr:uid="{00000000-0005-0000-0000-0000389E0000}"/>
    <cellStyle name="Note 2 8 3 6" xfId="40499" xr:uid="{00000000-0005-0000-0000-0000399E0000}"/>
    <cellStyle name="Note 2 8 4" xfId="40500" xr:uid="{00000000-0005-0000-0000-00003A9E0000}"/>
    <cellStyle name="Note 2 8 4 2" xfId="40501" xr:uid="{00000000-0005-0000-0000-00003B9E0000}"/>
    <cellStyle name="Note 2 8 4 2 2" xfId="40502" xr:uid="{00000000-0005-0000-0000-00003C9E0000}"/>
    <cellStyle name="Note 2 8 4 3" xfId="40503" xr:uid="{00000000-0005-0000-0000-00003D9E0000}"/>
    <cellStyle name="Note 2 8 4 4" xfId="40504" xr:uid="{00000000-0005-0000-0000-00003E9E0000}"/>
    <cellStyle name="Note 2 8 4 5" xfId="40505" xr:uid="{00000000-0005-0000-0000-00003F9E0000}"/>
    <cellStyle name="Note 2 8 5" xfId="40506" xr:uid="{00000000-0005-0000-0000-0000409E0000}"/>
    <cellStyle name="Note 2 8 5 2" xfId="40507" xr:uid="{00000000-0005-0000-0000-0000419E0000}"/>
    <cellStyle name="Note 2 8 5 2 2" xfId="40508" xr:uid="{00000000-0005-0000-0000-0000429E0000}"/>
    <cellStyle name="Note 2 8 5 3" xfId="40509" xr:uid="{00000000-0005-0000-0000-0000439E0000}"/>
    <cellStyle name="Note 2 8 5 4" xfId="40510" xr:uid="{00000000-0005-0000-0000-0000449E0000}"/>
    <cellStyle name="Note 2 8 5 5" xfId="40511" xr:uid="{00000000-0005-0000-0000-0000459E0000}"/>
    <cellStyle name="Note 2 8 6" xfId="40512" xr:uid="{00000000-0005-0000-0000-0000469E0000}"/>
    <cellStyle name="Note 2 8 6 2" xfId="40513" xr:uid="{00000000-0005-0000-0000-0000479E0000}"/>
    <cellStyle name="Note 2 8 7" xfId="40514" xr:uid="{00000000-0005-0000-0000-0000489E0000}"/>
    <cellStyle name="Note 2 8 8" xfId="40515" xr:uid="{00000000-0005-0000-0000-0000499E0000}"/>
    <cellStyle name="Note 2 8 9" xfId="40516" xr:uid="{00000000-0005-0000-0000-00004A9E0000}"/>
    <cellStyle name="Note 2 9" xfId="40517" xr:uid="{00000000-0005-0000-0000-00004B9E0000}"/>
    <cellStyle name="Note 2 9 10" xfId="40518" xr:uid="{00000000-0005-0000-0000-00004C9E0000}"/>
    <cellStyle name="Note 2 9 2" xfId="40519" xr:uid="{00000000-0005-0000-0000-00004D9E0000}"/>
    <cellStyle name="Note 2 9 2 2" xfId="40520" xr:uid="{00000000-0005-0000-0000-00004E9E0000}"/>
    <cellStyle name="Note 2 9 2 2 2" xfId="40521" xr:uid="{00000000-0005-0000-0000-00004F9E0000}"/>
    <cellStyle name="Note 2 9 2 2 2 2" xfId="40522" xr:uid="{00000000-0005-0000-0000-0000509E0000}"/>
    <cellStyle name="Note 2 9 2 2 2 3" xfId="40523" xr:uid="{00000000-0005-0000-0000-0000519E0000}"/>
    <cellStyle name="Note 2 9 2 2 3" xfId="40524" xr:uid="{00000000-0005-0000-0000-0000529E0000}"/>
    <cellStyle name="Note 2 9 2 2 4" xfId="40525" xr:uid="{00000000-0005-0000-0000-0000539E0000}"/>
    <cellStyle name="Note 2 9 2 2 5" xfId="40526" xr:uid="{00000000-0005-0000-0000-0000549E0000}"/>
    <cellStyle name="Note 2 9 2 2 6" xfId="40527" xr:uid="{00000000-0005-0000-0000-0000559E0000}"/>
    <cellStyle name="Note 2 9 2 3" xfId="40528" xr:uid="{00000000-0005-0000-0000-0000569E0000}"/>
    <cellStyle name="Note 2 9 2 3 2" xfId="40529" xr:uid="{00000000-0005-0000-0000-0000579E0000}"/>
    <cellStyle name="Note 2 9 2 3 2 2" xfId="40530" xr:uid="{00000000-0005-0000-0000-0000589E0000}"/>
    <cellStyle name="Note 2 9 2 3 3" xfId="40531" xr:uid="{00000000-0005-0000-0000-0000599E0000}"/>
    <cellStyle name="Note 2 9 2 3 4" xfId="40532" xr:uid="{00000000-0005-0000-0000-00005A9E0000}"/>
    <cellStyle name="Note 2 9 2 3 5" xfId="40533" xr:uid="{00000000-0005-0000-0000-00005B9E0000}"/>
    <cellStyle name="Note 2 9 2 4" xfId="40534" xr:uid="{00000000-0005-0000-0000-00005C9E0000}"/>
    <cellStyle name="Note 2 9 2 4 2" xfId="40535" xr:uid="{00000000-0005-0000-0000-00005D9E0000}"/>
    <cellStyle name="Note 2 9 2 4 3" xfId="40536" xr:uid="{00000000-0005-0000-0000-00005E9E0000}"/>
    <cellStyle name="Note 2 9 2 4 4" xfId="40537" xr:uid="{00000000-0005-0000-0000-00005F9E0000}"/>
    <cellStyle name="Note 2 9 2 5" xfId="40538" xr:uid="{00000000-0005-0000-0000-0000609E0000}"/>
    <cellStyle name="Note 2 9 2 5 2" xfId="40539" xr:uid="{00000000-0005-0000-0000-0000619E0000}"/>
    <cellStyle name="Note 2 9 2 6" xfId="40540" xr:uid="{00000000-0005-0000-0000-0000629E0000}"/>
    <cellStyle name="Note 2 9 2 7" xfId="40541" xr:uid="{00000000-0005-0000-0000-0000639E0000}"/>
    <cellStyle name="Note 2 9 2 8" xfId="40542" xr:uid="{00000000-0005-0000-0000-0000649E0000}"/>
    <cellStyle name="Note 2 9 2 9" xfId="40543" xr:uid="{00000000-0005-0000-0000-0000659E0000}"/>
    <cellStyle name="Note 2 9 3" xfId="40544" xr:uid="{00000000-0005-0000-0000-0000669E0000}"/>
    <cellStyle name="Note 2 9 3 2" xfId="40545" xr:uid="{00000000-0005-0000-0000-0000679E0000}"/>
    <cellStyle name="Note 2 9 3 2 2" xfId="40546" xr:uid="{00000000-0005-0000-0000-0000689E0000}"/>
    <cellStyle name="Note 2 9 3 2 3" xfId="40547" xr:uid="{00000000-0005-0000-0000-0000699E0000}"/>
    <cellStyle name="Note 2 9 3 3" xfId="40548" xr:uid="{00000000-0005-0000-0000-00006A9E0000}"/>
    <cellStyle name="Note 2 9 3 4" xfId="40549" xr:uid="{00000000-0005-0000-0000-00006B9E0000}"/>
    <cellStyle name="Note 2 9 3 5" xfId="40550" xr:uid="{00000000-0005-0000-0000-00006C9E0000}"/>
    <cellStyle name="Note 2 9 3 6" xfId="40551" xr:uid="{00000000-0005-0000-0000-00006D9E0000}"/>
    <cellStyle name="Note 2 9 4" xfId="40552" xr:uid="{00000000-0005-0000-0000-00006E9E0000}"/>
    <cellStyle name="Note 2 9 4 2" xfId="40553" xr:uid="{00000000-0005-0000-0000-00006F9E0000}"/>
    <cellStyle name="Note 2 9 4 2 2" xfId="40554" xr:uid="{00000000-0005-0000-0000-0000709E0000}"/>
    <cellStyle name="Note 2 9 4 3" xfId="40555" xr:uid="{00000000-0005-0000-0000-0000719E0000}"/>
    <cellStyle name="Note 2 9 4 4" xfId="40556" xr:uid="{00000000-0005-0000-0000-0000729E0000}"/>
    <cellStyle name="Note 2 9 4 5" xfId="40557" xr:uid="{00000000-0005-0000-0000-0000739E0000}"/>
    <cellStyle name="Note 2 9 5" xfId="40558" xr:uid="{00000000-0005-0000-0000-0000749E0000}"/>
    <cellStyle name="Note 2 9 5 2" xfId="40559" xr:uid="{00000000-0005-0000-0000-0000759E0000}"/>
    <cellStyle name="Note 2 9 5 3" xfId="40560" xr:uid="{00000000-0005-0000-0000-0000769E0000}"/>
    <cellStyle name="Note 2 9 5 4" xfId="40561" xr:uid="{00000000-0005-0000-0000-0000779E0000}"/>
    <cellStyle name="Note 2 9 6" xfId="40562" xr:uid="{00000000-0005-0000-0000-0000789E0000}"/>
    <cellStyle name="Note 2 9 6 2" xfId="40563" xr:uid="{00000000-0005-0000-0000-0000799E0000}"/>
    <cellStyle name="Note 2 9 7" xfId="40564" xr:uid="{00000000-0005-0000-0000-00007A9E0000}"/>
    <cellStyle name="Note 2 9 8" xfId="40565" xr:uid="{00000000-0005-0000-0000-00007B9E0000}"/>
    <cellStyle name="Note 2 9 9" xfId="40566" xr:uid="{00000000-0005-0000-0000-00007C9E0000}"/>
    <cellStyle name="Note 20" xfId="40567" xr:uid="{00000000-0005-0000-0000-00007D9E0000}"/>
    <cellStyle name="Note 20 10" xfId="40568" xr:uid="{00000000-0005-0000-0000-00007E9E0000}"/>
    <cellStyle name="Note 20 2" xfId="40569" xr:uid="{00000000-0005-0000-0000-00007F9E0000}"/>
    <cellStyle name="Note 20 2 2" xfId="40570" xr:uid="{00000000-0005-0000-0000-0000809E0000}"/>
    <cellStyle name="Note 20 2 2 2" xfId="40571" xr:uid="{00000000-0005-0000-0000-0000819E0000}"/>
    <cellStyle name="Note 20 2 2 2 2" xfId="40572" xr:uid="{00000000-0005-0000-0000-0000829E0000}"/>
    <cellStyle name="Note 20 2 2 2 3" xfId="40573" xr:uid="{00000000-0005-0000-0000-0000839E0000}"/>
    <cellStyle name="Note 20 2 2 3" xfId="40574" xr:uid="{00000000-0005-0000-0000-0000849E0000}"/>
    <cellStyle name="Note 20 2 2 4" xfId="40575" xr:uid="{00000000-0005-0000-0000-0000859E0000}"/>
    <cellStyle name="Note 20 2 2 5" xfId="40576" xr:uid="{00000000-0005-0000-0000-0000869E0000}"/>
    <cellStyle name="Note 20 2 2 6" xfId="40577" xr:uid="{00000000-0005-0000-0000-0000879E0000}"/>
    <cellStyle name="Note 20 2 3" xfId="40578" xr:uid="{00000000-0005-0000-0000-0000889E0000}"/>
    <cellStyle name="Note 20 2 3 2" xfId="40579" xr:uid="{00000000-0005-0000-0000-0000899E0000}"/>
    <cellStyle name="Note 20 2 3 2 2" xfId="40580" xr:uid="{00000000-0005-0000-0000-00008A9E0000}"/>
    <cellStyle name="Note 20 2 3 3" xfId="40581" xr:uid="{00000000-0005-0000-0000-00008B9E0000}"/>
    <cellStyle name="Note 20 2 3 4" xfId="40582" xr:uid="{00000000-0005-0000-0000-00008C9E0000}"/>
    <cellStyle name="Note 20 2 3 5" xfId="40583" xr:uid="{00000000-0005-0000-0000-00008D9E0000}"/>
    <cellStyle name="Note 20 2 4" xfId="40584" xr:uid="{00000000-0005-0000-0000-00008E9E0000}"/>
    <cellStyle name="Note 20 2 4 2" xfId="40585" xr:uid="{00000000-0005-0000-0000-00008F9E0000}"/>
    <cellStyle name="Note 20 2 4 3" xfId="40586" xr:uid="{00000000-0005-0000-0000-0000909E0000}"/>
    <cellStyle name="Note 20 2 4 4" xfId="40587" xr:uid="{00000000-0005-0000-0000-0000919E0000}"/>
    <cellStyle name="Note 20 2 5" xfId="40588" xr:uid="{00000000-0005-0000-0000-0000929E0000}"/>
    <cellStyle name="Note 20 2 5 2" xfId="40589" xr:uid="{00000000-0005-0000-0000-0000939E0000}"/>
    <cellStyle name="Note 20 2 6" xfId="40590" xr:uid="{00000000-0005-0000-0000-0000949E0000}"/>
    <cellStyle name="Note 20 2 7" xfId="40591" xr:uid="{00000000-0005-0000-0000-0000959E0000}"/>
    <cellStyle name="Note 20 2 8" xfId="40592" xr:uid="{00000000-0005-0000-0000-0000969E0000}"/>
    <cellStyle name="Note 20 2 9" xfId="40593" xr:uid="{00000000-0005-0000-0000-0000979E0000}"/>
    <cellStyle name="Note 20 3" xfId="40594" xr:uid="{00000000-0005-0000-0000-0000989E0000}"/>
    <cellStyle name="Note 20 3 2" xfId="40595" xr:uid="{00000000-0005-0000-0000-0000999E0000}"/>
    <cellStyle name="Note 20 3 2 2" xfId="40596" xr:uid="{00000000-0005-0000-0000-00009A9E0000}"/>
    <cellStyle name="Note 20 3 2 3" xfId="40597" xr:uid="{00000000-0005-0000-0000-00009B9E0000}"/>
    <cellStyle name="Note 20 3 3" xfId="40598" xr:uid="{00000000-0005-0000-0000-00009C9E0000}"/>
    <cellStyle name="Note 20 3 4" xfId="40599" xr:uid="{00000000-0005-0000-0000-00009D9E0000}"/>
    <cellStyle name="Note 20 3 5" xfId="40600" xr:uid="{00000000-0005-0000-0000-00009E9E0000}"/>
    <cellStyle name="Note 20 3 6" xfId="40601" xr:uid="{00000000-0005-0000-0000-00009F9E0000}"/>
    <cellStyle name="Note 20 4" xfId="40602" xr:uid="{00000000-0005-0000-0000-0000A09E0000}"/>
    <cellStyle name="Note 20 4 2" xfId="40603" xr:uid="{00000000-0005-0000-0000-0000A19E0000}"/>
    <cellStyle name="Note 20 4 2 2" xfId="40604" xr:uid="{00000000-0005-0000-0000-0000A29E0000}"/>
    <cellStyle name="Note 20 4 3" xfId="40605" xr:uid="{00000000-0005-0000-0000-0000A39E0000}"/>
    <cellStyle name="Note 20 4 4" xfId="40606" xr:uid="{00000000-0005-0000-0000-0000A49E0000}"/>
    <cellStyle name="Note 20 4 5" xfId="40607" xr:uid="{00000000-0005-0000-0000-0000A59E0000}"/>
    <cellStyle name="Note 20 5" xfId="40608" xr:uid="{00000000-0005-0000-0000-0000A69E0000}"/>
    <cellStyle name="Note 20 5 2" xfId="40609" xr:uid="{00000000-0005-0000-0000-0000A79E0000}"/>
    <cellStyle name="Note 20 5 2 2" xfId="40610" xr:uid="{00000000-0005-0000-0000-0000A89E0000}"/>
    <cellStyle name="Note 20 5 3" xfId="40611" xr:uid="{00000000-0005-0000-0000-0000A99E0000}"/>
    <cellStyle name="Note 20 5 4" xfId="40612" xr:uid="{00000000-0005-0000-0000-0000AA9E0000}"/>
    <cellStyle name="Note 20 5 5" xfId="40613" xr:uid="{00000000-0005-0000-0000-0000AB9E0000}"/>
    <cellStyle name="Note 20 6" xfId="40614" xr:uid="{00000000-0005-0000-0000-0000AC9E0000}"/>
    <cellStyle name="Note 20 6 2" xfId="40615" xr:uid="{00000000-0005-0000-0000-0000AD9E0000}"/>
    <cellStyle name="Note 20 7" xfId="40616" xr:uid="{00000000-0005-0000-0000-0000AE9E0000}"/>
    <cellStyle name="Note 20 8" xfId="40617" xr:uid="{00000000-0005-0000-0000-0000AF9E0000}"/>
    <cellStyle name="Note 20 9" xfId="40618" xr:uid="{00000000-0005-0000-0000-0000B09E0000}"/>
    <cellStyle name="Note 21" xfId="40619" xr:uid="{00000000-0005-0000-0000-0000B19E0000}"/>
    <cellStyle name="Note 22" xfId="40620" xr:uid="{00000000-0005-0000-0000-0000B29E0000}"/>
    <cellStyle name="Note 23" xfId="40621" xr:uid="{00000000-0005-0000-0000-0000B39E0000}"/>
    <cellStyle name="Note 24" xfId="40622" xr:uid="{00000000-0005-0000-0000-0000B49E0000}"/>
    <cellStyle name="Note 24 10" xfId="40623" xr:uid="{00000000-0005-0000-0000-0000B59E0000}"/>
    <cellStyle name="Note 24 2" xfId="40624" xr:uid="{00000000-0005-0000-0000-0000B69E0000}"/>
    <cellStyle name="Note 24 2 2" xfId="40625" xr:uid="{00000000-0005-0000-0000-0000B79E0000}"/>
    <cellStyle name="Note 24 2 2 2" xfId="40626" xr:uid="{00000000-0005-0000-0000-0000B89E0000}"/>
    <cellStyle name="Note 24 2 2 2 2" xfId="40627" xr:uid="{00000000-0005-0000-0000-0000B99E0000}"/>
    <cellStyle name="Note 24 2 2 2 3" xfId="40628" xr:uid="{00000000-0005-0000-0000-0000BA9E0000}"/>
    <cellStyle name="Note 24 2 2 3" xfId="40629" xr:uid="{00000000-0005-0000-0000-0000BB9E0000}"/>
    <cellStyle name="Note 24 2 2 4" xfId="40630" xr:uid="{00000000-0005-0000-0000-0000BC9E0000}"/>
    <cellStyle name="Note 24 2 2 5" xfId="40631" xr:uid="{00000000-0005-0000-0000-0000BD9E0000}"/>
    <cellStyle name="Note 24 2 2 6" xfId="40632" xr:uid="{00000000-0005-0000-0000-0000BE9E0000}"/>
    <cellStyle name="Note 24 2 3" xfId="40633" xr:uid="{00000000-0005-0000-0000-0000BF9E0000}"/>
    <cellStyle name="Note 24 2 3 2" xfId="40634" xr:uid="{00000000-0005-0000-0000-0000C09E0000}"/>
    <cellStyle name="Note 24 2 3 2 2" xfId="40635" xr:uid="{00000000-0005-0000-0000-0000C19E0000}"/>
    <cellStyle name="Note 24 2 3 3" xfId="40636" xr:uid="{00000000-0005-0000-0000-0000C29E0000}"/>
    <cellStyle name="Note 24 2 3 4" xfId="40637" xr:uid="{00000000-0005-0000-0000-0000C39E0000}"/>
    <cellStyle name="Note 24 2 3 5" xfId="40638" xr:uid="{00000000-0005-0000-0000-0000C49E0000}"/>
    <cellStyle name="Note 24 2 4" xfId="40639" xr:uid="{00000000-0005-0000-0000-0000C59E0000}"/>
    <cellStyle name="Note 24 2 4 2" xfId="40640" xr:uid="{00000000-0005-0000-0000-0000C69E0000}"/>
    <cellStyle name="Note 24 2 4 3" xfId="40641" xr:uid="{00000000-0005-0000-0000-0000C79E0000}"/>
    <cellStyle name="Note 24 2 4 4" xfId="40642" xr:uid="{00000000-0005-0000-0000-0000C89E0000}"/>
    <cellStyle name="Note 24 2 5" xfId="40643" xr:uid="{00000000-0005-0000-0000-0000C99E0000}"/>
    <cellStyle name="Note 24 2 5 2" xfId="40644" xr:uid="{00000000-0005-0000-0000-0000CA9E0000}"/>
    <cellStyle name="Note 24 2 6" xfId="40645" xr:uid="{00000000-0005-0000-0000-0000CB9E0000}"/>
    <cellStyle name="Note 24 2 7" xfId="40646" xr:uid="{00000000-0005-0000-0000-0000CC9E0000}"/>
    <cellStyle name="Note 24 2 8" xfId="40647" xr:uid="{00000000-0005-0000-0000-0000CD9E0000}"/>
    <cellStyle name="Note 24 2 9" xfId="40648" xr:uid="{00000000-0005-0000-0000-0000CE9E0000}"/>
    <cellStyle name="Note 24 3" xfId="40649" xr:uid="{00000000-0005-0000-0000-0000CF9E0000}"/>
    <cellStyle name="Note 24 3 2" xfId="40650" xr:uid="{00000000-0005-0000-0000-0000D09E0000}"/>
    <cellStyle name="Note 24 3 2 2" xfId="40651" xr:uid="{00000000-0005-0000-0000-0000D19E0000}"/>
    <cellStyle name="Note 24 3 2 3" xfId="40652" xr:uid="{00000000-0005-0000-0000-0000D29E0000}"/>
    <cellStyle name="Note 24 3 3" xfId="40653" xr:uid="{00000000-0005-0000-0000-0000D39E0000}"/>
    <cellStyle name="Note 24 3 4" xfId="40654" xr:uid="{00000000-0005-0000-0000-0000D49E0000}"/>
    <cellStyle name="Note 24 3 5" xfId="40655" xr:uid="{00000000-0005-0000-0000-0000D59E0000}"/>
    <cellStyle name="Note 24 3 6" xfId="40656" xr:uid="{00000000-0005-0000-0000-0000D69E0000}"/>
    <cellStyle name="Note 24 4" xfId="40657" xr:uid="{00000000-0005-0000-0000-0000D79E0000}"/>
    <cellStyle name="Note 24 4 2" xfId="40658" xr:uid="{00000000-0005-0000-0000-0000D89E0000}"/>
    <cellStyle name="Note 24 4 2 2" xfId="40659" xr:uid="{00000000-0005-0000-0000-0000D99E0000}"/>
    <cellStyle name="Note 24 4 3" xfId="40660" xr:uid="{00000000-0005-0000-0000-0000DA9E0000}"/>
    <cellStyle name="Note 24 4 4" xfId="40661" xr:uid="{00000000-0005-0000-0000-0000DB9E0000}"/>
    <cellStyle name="Note 24 4 5" xfId="40662" xr:uid="{00000000-0005-0000-0000-0000DC9E0000}"/>
    <cellStyle name="Note 24 5" xfId="40663" xr:uid="{00000000-0005-0000-0000-0000DD9E0000}"/>
    <cellStyle name="Note 24 5 2" xfId="40664" xr:uid="{00000000-0005-0000-0000-0000DE9E0000}"/>
    <cellStyle name="Note 24 5 3" xfId="40665" xr:uid="{00000000-0005-0000-0000-0000DF9E0000}"/>
    <cellStyle name="Note 24 5 4" xfId="40666" xr:uid="{00000000-0005-0000-0000-0000E09E0000}"/>
    <cellStyle name="Note 24 6" xfId="40667" xr:uid="{00000000-0005-0000-0000-0000E19E0000}"/>
    <cellStyle name="Note 24 6 2" xfId="40668" xr:uid="{00000000-0005-0000-0000-0000E29E0000}"/>
    <cellStyle name="Note 24 7" xfId="40669" xr:uid="{00000000-0005-0000-0000-0000E39E0000}"/>
    <cellStyle name="Note 24 8" xfId="40670" xr:uid="{00000000-0005-0000-0000-0000E49E0000}"/>
    <cellStyle name="Note 24 9" xfId="40671" xr:uid="{00000000-0005-0000-0000-0000E59E0000}"/>
    <cellStyle name="Note 25" xfId="40672" xr:uid="{00000000-0005-0000-0000-0000E69E0000}"/>
    <cellStyle name="Note 25 2" xfId="40673" xr:uid="{00000000-0005-0000-0000-0000E79E0000}"/>
    <cellStyle name="Note 25 2 2" xfId="40674" xr:uid="{00000000-0005-0000-0000-0000E89E0000}"/>
    <cellStyle name="Note 25 2 2 2" xfId="40675" xr:uid="{00000000-0005-0000-0000-0000E99E0000}"/>
    <cellStyle name="Note 25 2 2 3" xfId="40676" xr:uid="{00000000-0005-0000-0000-0000EA9E0000}"/>
    <cellStyle name="Note 25 2 3" xfId="40677" xr:uid="{00000000-0005-0000-0000-0000EB9E0000}"/>
    <cellStyle name="Note 25 2 4" xfId="40678" xr:uid="{00000000-0005-0000-0000-0000EC9E0000}"/>
    <cellStyle name="Note 25 2 5" xfId="40679" xr:uid="{00000000-0005-0000-0000-0000ED9E0000}"/>
    <cellStyle name="Note 25 2 6" xfId="40680" xr:uid="{00000000-0005-0000-0000-0000EE9E0000}"/>
    <cellStyle name="Note 25 3" xfId="40681" xr:uid="{00000000-0005-0000-0000-0000EF9E0000}"/>
    <cellStyle name="Note 25 3 2" xfId="40682" xr:uid="{00000000-0005-0000-0000-0000F09E0000}"/>
    <cellStyle name="Note 25 3 2 2" xfId="40683" xr:uid="{00000000-0005-0000-0000-0000F19E0000}"/>
    <cellStyle name="Note 25 3 3" xfId="40684" xr:uid="{00000000-0005-0000-0000-0000F29E0000}"/>
    <cellStyle name="Note 25 3 4" xfId="40685" xr:uid="{00000000-0005-0000-0000-0000F39E0000}"/>
    <cellStyle name="Note 25 3 5" xfId="40686" xr:uid="{00000000-0005-0000-0000-0000F49E0000}"/>
    <cellStyle name="Note 25 4" xfId="40687" xr:uid="{00000000-0005-0000-0000-0000F59E0000}"/>
    <cellStyle name="Note 25 4 2" xfId="40688" xr:uid="{00000000-0005-0000-0000-0000F69E0000}"/>
    <cellStyle name="Note 25 4 3" xfId="40689" xr:uid="{00000000-0005-0000-0000-0000F79E0000}"/>
    <cellStyle name="Note 25 4 4" xfId="40690" xr:uid="{00000000-0005-0000-0000-0000F89E0000}"/>
    <cellStyle name="Note 25 5" xfId="40691" xr:uid="{00000000-0005-0000-0000-0000F99E0000}"/>
    <cellStyle name="Note 25 5 2" xfId="40692" xr:uid="{00000000-0005-0000-0000-0000FA9E0000}"/>
    <cellStyle name="Note 25 6" xfId="40693" xr:uid="{00000000-0005-0000-0000-0000FB9E0000}"/>
    <cellStyle name="Note 25 7" xfId="40694" xr:uid="{00000000-0005-0000-0000-0000FC9E0000}"/>
    <cellStyle name="Note 25 8" xfId="40695" xr:uid="{00000000-0005-0000-0000-0000FD9E0000}"/>
    <cellStyle name="Note 25 9" xfId="40696" xr:uid="{00000000-0005-0000-0000-0000FE9E0000}"/>
    <cellStyle name="Note 26" xfId="40697" xr:uid="{00000000-0005-0000-0000-0000FF9E0000}"/>
    <cellStyle name="Note 26 2" xfId="40698" xr:uid="{00000000-0005-0000-0000-0000009F0000}"/>
    <cellStyle name="Note 26 2 2" xfId="40699" xr:uid="{00000000-0005-0000-0000-0000019F0000}"/>
    <cellStyle name="Note 26 2 2 2" xfId="40700" xr:uid="{00000000-0005-0000-0000-0000029F0000}"/>
    <cellStyle name="Note 26 2 3" xfId="40701" xr:uid="{00000000-0005-0000-0000-0000039F0000}"/>
    <cellStyle name="Note 26 2 4" xfId="40702" xr:uid="{00000000-0005-0000-0000-0000049F0000}"/>
    <cellStyle name="Note 26 2 5" xfId="40703" xr:uid="{00000000-0005-0000-0000-0000059F0000}"/>
    <cellStyle name="Note 26 3" xfId="40704" xr:uid="{00000000-0005-0000-0000-0000069F0000}"/>
    <cellStyle name="Note 26 3 2" xfId="40705" xr:uid="{00000000-0005-0000-0000-0000079F0000}"/>
    <cellStyle name="Note 26 3 3" xfId="40706" xr:uid="{00000000-0005-0000-0000-0000089F0000}"/>
    <cellStyle name="Note 26 3 4" xfId="40707" xr:uid="{00000000-0005-0000-0000-0000099F0000}"/>
    <cellStyle name="Note 26 4" xfId="40708" xr:uid="{00000000-0005-0000-0000-00000A9F0000}"/>
    <cellStyle name="Note 26 4 2" xfId="40709" xr:uid="{00000000-0005-0000-0000-00000B9F0000}"/>
    <cellStyle name="Note 26 5" xfId="40710" xr:uid="{00000000-0005-0000-0000-00000C9F0000}"/>
    <cellStyle name="Note 26 6" xfId="40711" xr:uid="{00000000-0005-0000-0000-00000D9F0000}"/>
    <cellStyle name="Note 26 7" xfId="40712" xr:uid="{00000000-0005-0000-0000-00000E9F0000}"/>
    <cellStyle name="Note 26 8" xfId="40713" xr:uid="{00000000-0005-0000-0000-00000F9F0000}"/>
    <cellStyle name="Note 27" xfId="40714" xr:uid="{00000000-0005-0000-0000-0000109F0000}"/>
    <cellStyle name="Note 27 2" xfId="40715" xr:uid="{00000000-0005-0000-0000-0000119F0000}"/>
    <cellStyle name="Note 27 2 2" xfId="40716" xr:uid="{00000000-0005-0000-0000-0000129F0000}"/>
    <cellStyle name="Note 27 2 2 2" xfId="40717" xr:uid="{00000000-0005-0000-0000-0000139F0000}"/>
    <cellStyle name="Note 27 2 3" xfId="40718" xr:uid="{00000000-0005-0000-0000-0000149F0000}"/>
    <cellStyle name="Note 27 2 4" xfId="40719" xr:uid="{00000000-0005-0000-0000-0000159F0000}"/>
    <cellStyle name="Note 27 2 5" xfId="40720" xr:uid="{00000000-0005-0000-0000-0000169F0000}"/>
    <cellStyle name="Note 27 3" xfId="40721" xr:uid="{00000000-0005-0000-0000-0000179F0000}"/>
    <cellStyle name="Note 27 3 2" xfId="40722" xr:uid="{00000000-0005-0000-0000-0000189F0000}"/>
    <cellStyle name="Note 27 3 3" xfId="40723" xr:uid="{00000000-0005-0000-0000-0000199F0000}"/>
    <cellStyle name="Note 27 3 4" xfId="40724" xr:uid="{00000000-0005-0000-0000-00001A9F0000}"/>
    <cellStyle name="Note 27 4" xfId="40725" xr:uid="{00000000-0005-0000-0000-00001B9F0000}"/>
    <cellStyle name="Note 27 4 2" xfId="40726" xr:uid="{00000000-0005-0000-0000-00001C9F0000}"/>
    <cellStyle name="Note 27 5" xfId="40727" xr:uid="{00000000-0005-0000-0000-00001D9F0000}"/>
    <cellStyle name="Note 27 6" xfId="40728" xr:uid="{00000000-0005-0000-0000-00001E9F0000}"/>
    <cellStyle name="Note 27 7" xfId="40729" xr:uid="{00000000-0005-0000-0000-00001F9F0000}"/>
    <cellStyle name="Note 27 8" xfId="40730" xr:uid="{00000000-0005-0000-0000-0000209F0000}"/>
    <cellStyle name="Note 28" xfId="40731" xr:uid="{00000000-0005-0000-0000-0000219F0000}"/>
    <cellStyle name="Note 28 2" xfId="40732" xr:uid="{00000000-0005-0000-0000-0000229F0000}"/>
    <cellStyle name="Note 28 2 2" xfId="40733" xr:uid="{00000000-0005-0000-0000-0000239F0000}"/>
    <cellStyle name="Note 28 2 3" xfId="40734" xr:uid="{00000000-0005-0000-0000-0000249F0000}"/>
    <cellStyle name="Note 28 2 4" xfId="40735" xr:uid="{00000000-0005-0000-0000-0000259F0000}"/>
    <cellStyle name="Note 28 3" xfId="40736" xr:uid="{00000000-0005-0000-0000-0000269F0000}"/>
    <cellStyle name="Note 28 3 2" xfId="40737" xr:uid="{00000000-0005-0000-0000-0000279F0000}"/>
    <cellStyle name="Note 28 4" xfId="40738" xr:uid="{00000000-0005-0000-0000-0000289F0000}"/>
    <cellStyle name="Note 28 5" xfId="40739" xr:uid="{00000000-0005-0000-0000-0000299F0000}"/>
    <cellStyle name="Note 28 6" xfId="40740" xr:uid="{00000000-0005-0000-0000-00002A9F0000}"/>
    <cellStyle name="Note 29" xfId="40741" xr:uid="{00000000-0005-0000-0000-00002B9F0000}"/>
    <cellStyle name="Note 29 2" xfId="40742" xr:uid="{00000000-0005-0000-0000-00002C9F0000}"/>
    <cellStyle name="Note 29 2 2" xfId="40743" xr:uid="{00000000-0005-0000-0000-00002D9F0000}"/>
    <cellStyle name="Note 29 2 3" xfId="40744" xr:uid="{00000000-0005-0000-0000-00002E9F0000}"/>
    <cellStyle name="Note 29 2 4" xfId="40745" xr:uid="{00000000-0005-0000-0000-00002F9F0000}"/>
    <cellStyle name="Note 29 3" xfId="40746" xr:uid="{00000000-0005-0000-0000-0000309F0000}"/>
    <cellStyle name="Note 29 3 2" xfId="40747" xr:uid="{00000000-0005-0000-0000-0000319F0000}"/>
    <cellStyle name="Note 29 4" xfId="40748" xr:uid="{00000000-0005-0000-0000-0000329F0000}"/>
    <cellStyle name="Note 29 5" xfId="40749" xr:uid="{00000000-0005-0000-0000-0000339F0000}"/>
    <cellStyle name="Note 29 6" xfId="40750" xr:uid="{00000000-0005-0000-0000-0000349F0000}"/>
    <cellStyle name="Note 3" xfId="40751" xr:uid="{00000000-0005-0000-0000-0000359F0000}"/>
    <cellStyle name="Note 3 10" xfId="40752" xr:uid="{00000000-0005-0000-0000-0000369F0000}"/>
    <cellStyle name="Note 3 10 2" xfId="40753" xr:uid="{00000000-0005-0000-0000-0000379F0000}"/>
    <cellStyle name="Note 3 10 2 2" xfId="40754" xr:uid="{00000000-0005-0000-0000-0000389F0000}"/>
    <cellStyle name="Note 3 10 2 2 2" xfId="40755" xr:uid="{00000000-0005-0000-0000-0000399F0000}"/>
    <cellStyle name="Note 3 10 2 2 3" xfId="40756" xr:uid="{00000000-0005-0000-0000-00003A9F0000}"/>
    <cellStyle name="Note 3 10 2 3" xfId="40757" xr:uid="{00000000-0005-0000-0000-00003B9F0000}"/>
    <cellStyle name="Note 3 10 2 4" xfId="40758" xr:uid="{00000000-0005-0000-0000-00003C9F0000}"/>
    <cellStyle name="Note 3 10 2 5" xfId="40759" xr:uid="{00000000-0005-0000-0000-00003D9F0000}"/>
    <cellStyle name="Note 3 10 2 6" xfId="40760" xr:uid="{00000000-0005-0000-0000-00003E9F0000}"/>
    <cellStyle name="Note 3 10 3" xfId="40761" xr:uid="{00000000-0005-0000-0000-00003F9F0000}"/>
    <cellStyle name="Note 3 10 3 2" xfId="40762" xr:uid="{00000000-0005-0000-0000-0000409F0000}"/>
    <cellStyle name="Note 3 10 3 2 2" xfId="40763" xr:uid="{00000000-0005-0000-0000-0000419F0000}"/>
    <cellStyle name="Note 3 10 3 3" xfId="40764" xr:uid="{00000000-0005-0000-0000-0000429F0000}"/>
    <cellStyle name="Note 3 10 3 4" xfId="40765" xr:uid="{00000000-0005-0000-0000-0000439F0000}"/>
    <cellStyle name="Note 3 10 3 5" xfId="40766" xr:uid="{00000000-0005-0000-0000-0000449F0000}"/>
    <cellStyle name="Note 3 10 4" xfId="40767" xr:uid="{00000000-0005-0000-0000-0000459F0000}"/>
    <cellStyle name="Note 3 10 4 2" xfId="40768" xr:uid="{00000000-0005-0000-0000-0000469F0000}"/>
    <cellStyle name="Note 3 10 4 3" xfId="40769" xr:uid="{00000000-0005-0000-0000-0000479F0000}"/>
    <cellStyle name="Note 3 10 4 4" xfId="40770" xr:uid="{00000000-0005-0000-0000-0000489F0000}"/>
    <cellStyle name="Note 3 10 5" xfId="40771" xr:uid="{00000000-0005-0000-0000-0000499F0000}"/>
    <cellStyle name="Note 3 10 5 2" xfId="40772" xr:uid="{00000000-0005-0000-0000-00004A9F0000}"/>
    <cellStyle name="Note 3 10 6" xfId="40773" xr:uid="{00000000-0005-0000-0000-00004B9F0000}"/>
    <cellStyle name="Note 3 10 7" xfId="40774" xr:uid="{00000000-0005-0000-0000-00004C9F0000}"/>
    <cellStyle name="Note 3 10 8" xfId="40775" xr:uid="{00000000-0005-0000-0000-00004D9F0000}"/>
    <cellStyle name="Note 3 10 9" xfId="40776" xr:uid="{00000000-0005-0000-0000-00004E9F0000}"/>
    <cellStyle name="Note 3 11" xfId="40777" xr:uid="{00000000-0005-0000-0000-00004F9F0000}"/>
    <cellStyle name="Note 3 11 2" xfId="40778" xr:uid="{00000000-0005-0000-0000-0000509F0000}"/>
    <cellStyle name="Note 3 11 2 2" xfId="40779" xr:uid="{00000000-0005-0000-0000-0000519F0000}"/>
    <cellStyle name="Note 3 11 2 3" xfId="40780" xr:uid="{00000000-0005-0000-0000-0000529F0000}"/>
    <cellStyle name="Note 3 11 3" xfId="40781" xr:uid="{00000000-0005-0000-0000-0000539F0000}"/>
    <cellStyle name="Note 3 11 4" xfId="40782" xr:uid="{00000000-0005-0000-0000-0000549F0000}"/>
    <cellStyle name="Note 3 11 5" xfId="40783" xr:uid="{00000000-0005-0000-0000-0000559F0000}"/>
    <cellStyle name="Note 3 11 6" xfId="40784" xr:uid="{00000000-0005-0000-0000-0000569F0000}"/>
    <cellStyle name="Note 3 12" xfId="40785" xr:uid="{00000000-0005-0000-0000-0000579F0000}"/>
    <cellStyle name="Note 3 12 2" xfId="40786" xr:uid="{00000000-0005-0000-0000-0000589F0000}"/>
    <cellStyle name="Note 3 12 2 2" xfId="40787" xr:uid="{00000000-0005-0000-0000-0000599F0000}"/>
    <cellStyle name="Note 3 12 3" xfId="40788" xr:uid="{00000000-0005-0000-0000-00005A9F0000}"/>
    <cellStyle name="Note 3 12 4" xfId="40789" xr:uid="{00000000-0005-0000-0000-00005B9F0000}"/>
    <cellStyle name="Note 3 12 5" xfId="40790" xr:uid="{00000000-0005-0000-0000-00005C9F0000}"/>
    <cellStyle name="Note 3 13" xfId="40791" xr:uid="{00000000-0005-0000-0000-00005D9F0000}"/>
    <cellStyle name="Note 3 13 2" xfId="40792" xr:uid="{00000000-0005-0000-0000-00005E9F0000}"/>
    <cellStyle name="Note 3 13 2 2" xfId="40793" xr:uid="{00000000-0005-0000-0000-00005F9F0000}"/>
    <cellStyle name="Note 3 13 3" xfId="40794" xr:uid="{00000000-0005-0000-0000-0000609F0000}"/>
    <cellStyle name="Note 3 13 4" xfId="40795" xr:uid="{00000000-0005-0000-0000-0000619F0000}"/>
    <cellStyle name="Note 3 13 5" xfId="40796" xr:uid="{00000000-0005-0000-0000-0000629F0000}"/>
    <cellStyle name="Note 3 14" xfId="40797" xr:uid="{00000000-0005-0000-0000-0000639F0000}"/>
    <cellStyle name="Note 3 14 2" xfId="40798" xr:uid="{00000000-0005-0000-0000-0000649F0000}"/>
    <cellStyle name="Note 3 15" xfId="40799" xr:uid="{00000000-0005-0000-0000-0000659F0000}"/>
    <cellStyle name="Note 3 16" xfId="40800" xr:uid="{00000000-0005-0000-0000-0000669F0000}"/>
    <cellStyle name="Note 3 17" xfId="40801" xr:uid="{00000000-0005-0000-0000-0000679F0000}"/>
    <cellStyle name="Note 3 18" xfId="40802" xr:uid="{00000000-0005-0000-0000-0000689F0000}"/>
    <cellStyle name="Note 3 2" xfId="40803" xr:uid="{00000000-0005-0000-0000-0000699F0000}"/>
    <cellStyle name="Note 3 2 10" xfId="40804" xr:uid="{00000000-0005-0000-0000-00006A9F0000}"/>
    <cellStyle name="Note 3 2 2" xfId="40805" xr:uid="{00000000-0005-0000-0000-00006B9F0000}"/>
    <cellStyle name="Note 3 2 2 2" xfId="40806" xr:uid="{00000000-0005-0000-0000-00006C9F0000}"/>
    <cellStyle name="Note 3 2 2 2 2" xfId="40807" xr:uid="{00000000-0005-0000-0000-00006D9F0000}"/>
    <cellStyle name="Note 3 2 2 2 2 2" xfId="40808" xr:uid="{00000000-0005-0000-0000-00006E9F0000}"/>
    <cellStyle name="Note 3 2 2 2 2 3" xfId="40809" xr:uid="{00000000-0005-0000-0000-00006F9F0000}"/>
    <cellStyle name="Note 3 2 2 2 3" xfId="40810" xr:uid="{00000000-0005-0000-0000-0000709F0000}"/>
    <cellStyle name="Note 3 2 2 2 4" xfId="40811" xr:uid="{00000000-0005-0000-0000-0000719F0000}"/>
    <cellStyle name="Note 3 2 2 2 5" xfId="40812" xr:uid="{00000000-0005-0000-0000-0000729F0000}"/>
    <cellStyle name="Note 3 2 2 2 6" xfId="40813" xr:uid="{00000000-0005-0000-0000-0000739F0000}"/>
    <cellStyle name="Note 3 2 2 3" xfId="40814" xr:uid="{00000000-0005-0000-0000-0000749F0000}"/>
    <cellStyle name="Note 3 2 2 3 2" xfId="40815" xr:uid="{00000000-0005-0000-0000-0000759F0000}"/>
    <cellStyle name="Note 3 2 2 3 2 2" xfId="40816" xr:uid="{00000000-0005-0000-0000-0000769F0000}"/>
    <cellStyle name="Note 3 2 2 3 3" xfId="40817" xr:uid="{00000000-0005-0000-0000-0000779F0000}"/>
    <cellStyle name="Note 3 2 2 3 4" xfId="40818" xr:uid="{00000000-0005-0000-0000-0000789F0000}"/>
    <cellStyle name="Note 3 2 2 3 5" xfId="40819" xr:uid="{00000000-0005-0000-0000-0000799F0000}"/>
    <cellStyle name="Note 3 2 2 4" xfId="40820" xr:uid="{00000000-0005-0000-0000-00007A9F0000}"/>
    <cellStyle name="Note 3 2 2 4 2" xfId="40821" xr:uid="{00000000-0005-0000-0000-00007B9F0000}"/>
    <cellStyle name="Note 3 2 2 4 3" xfId="40822" xr:uid="{00000000-0005-0000-0000-00007C9F0000}"/>
    <cellStyle name="Note 3 2 2 4 4" xfId="40823" xr:uid="{00000000-0005-0000-0000-00007D9F0000}"/>
    <cellStyle name="Note 3 2 2 5" xfId="40824" xr:uid="{00000000-0005-0000-0000-00007E9F0000}"/>
    <cellStyle name="Note 3 2 2 5 2" xfId="40825" xr:uid="{00000000-0005-0000-0000-00007F9F0000}"/>
    <cellStyle name="Note 3 2 2 6" xfId="40826" xr:uid="{00000000-0005-0000-0000-0000809F0000}"/>
    <cellStyle name="Note 3 2 2 7" xfId="40827" xr:uid="{00000000-0005-0000-0000-0000819F0000}"/>
    <cellStyle name="Note 3 2 2 8" xfId="40828" xr:uid="{00000000-0005-0000-0000-0000829F0000}"/>
    <cellStyle name="Note 3 2 2 9" xfId="40829" xr:uid="{00000000-0005-0000-0000-0000839F0000}"/>
    <cellStyle name="Note 3 2 3" xfId="40830" xr:uid="{00000000-0005-0000-0000-0000849F0000}"/>
    <cellStyle name="Note 3 2 3 2" xfId="40831" xr:uid="{00000000-0005-0000-0000-0000859F0000}"/>
    <cellStyle name="Note 3 2 3 2 2" xfId="40832" xr:uid="{00000000-0005-0000-0000-0000869F0000}"/>
    <cellStyle name="Note 3 2 3 2 3" xfId="40833" xr:uid="{00000000-0005-0000-0000-0000879F0000}"/>
    <cellStyle name="Note 3 2 3 3" xfId="40834" xr:uid="{00000000-0005-0000-0000-0000889F0000}"/>
    <cellStyle name="Note 3 2 3 4" xfId="40835" xr:uid="{00000000-0005-0000-0000-0000899F0000}"/>
    <cellStyle name="Note 3 2 3 5" xfId="40836" xr:uid="{00000000-0005-0000-0000-00008A9F0000}"/>
    <cellStyle name="Note 3 2 3 6" xfId="40837" xr:uid="{00000000-0005-0000-0000-00008B9F0000}"/>
    <cellStyle name="Note 3 2 4" xfId="40838" xr:uid="{00000000-0005-0000-0000-00008C9F0000}"/>
    <cellStyle name="Note 3 2 4 2" xfId="40839" xr:uid="{00000000-0005-0000-0000-00008D9F0000}"/>
    <cellStyle name="Note 3 2 4 2 2" xfId="40840" xr:uid="{00000000-0005-0000-0000-00008E9F0000}"/>
    <cellStyle name="Note 3 2 4 3" xfId="40841" xr:uid="{00000000-0005-0000-0000-00008F9F0000}"/>
    <cellStyle name="Note 3 2 4 4" xfId="40842" xr:uid="{00000000-0005-0000-0000-0000909F0000}"/>
    <cellStyle name="Note 3 2 4 5" xfId="40843" xr:uid="{00000000-0005-0000-0000-0000919F0000}"/>
    <cellStyle name="Note 3 2 5" xfId="40844" xr:uid="{00000000-0005-0000-0000-0000929F0000}"/>
    <cellStyle name="Note 3 2 5 2" xfId="40845" xr:uid="{00000000-0005-0000-0000-0000939F0000}"/>
    <cellStyle name="Note 3 2 5 2 2" xfId="40846" xr:uid="{00000000-0005-0000-0000-0000949F0000}"/>
    <cellStyle name="Note 3 2 5 3" xfId="40847" xr:uid="{00000000-0005-0000-0000-0000959F0000}"/>
    <cellStyle name="Note 3 2 5 4" xfId="40848" xr:uid="{00000000-0005-0000-0000-0000969F0000}"/>
    <cellStyle name="Note 3 2 5 5" xfId="40849" xr:uid="{00000000-0005-0000-0000-0000979F0000}"/>
    <cellStyle name="Note 3 2 6" xfId="40850" xr:uid="{00000000-0005-0000-0000-0000989F0000}"/>
    <cellStyle name="Note 3 2 6 2" xfId="40851" xr:uid="{00000000-0005-0000-0000-0000999F0000}"/>
    <cellStyle name="Note 3 2 7" xfId="40852" xr:uid="{00000000-0005-0000-0000-00009A9F0000}"/>
    <cellStyle name="Note 3 2 8" xfId="40853" xr:uid="{00000000-0005-0000-0000-00009B9F0000}"/>
    <cellStyle name="Note 3 2 9" xfId="40854" xr:uid="{00000000-0005-0000-0000-00009C9F0000}"/>
    <cellStyle name="Note 3 3" xfId="40855" xr:uid="{00000000-0005-0000-0000-00009D9F0000}"/>
    <cellStyle name="Note 3 3 10" xfId="40856" xr:uid="{00000000-0005-0000-0000-00009E9F0000}"/>
    <cellStyle name="Note 3 3 2" xfId="40857" xr:uid="{00000000-0005-0000-0000-00009F9F0000}"/>
    <cellStyle name="Note 3 3 2 2" xfId="40858" xr:uid="{00000000-0005-0000-0000-0000A09F0000}"/>
    <cellStyle name="Note 3 3 2 2 2" xfId="40859" xr:uid="{00000000-0005-0000-0000-0000A19F0000}"/>
    <cellStyle name="Note 3 3 2 2 2 2" xfId="40860" xr:uid="{00000000-0005-0000-0000-0000A29F0000}"/>
    <cellStyle name="Note 3 3 2 2 2 3" xfId="40861" xr:uid="{00000000-0005-0000-0000-0000A39F0000}"/>
    <cellStyle name="Note 3 3 2 2 3" xfId="40862" xr:uid="{00000000-0005-0000-0000-0000A49F0000}"/>
    <cellStyle name="Note 3 3 2 2 4" xfId="40863" xr:uid="{00000000-0005-0000-0000-0000A59F0000}"/>
    <cellStyle name="Note 3 3 2 2 5" xfId="40864" xr:uid="{00000000-0005-0000-0000-0000A69F0000}"/>
    <cellStyle name="Note 3 3 2 2 6" xfId="40865" xr:uid="{00000000-0005-0000-0000-0000A79F0000}"/>
    <cellStyle name="Note 3 3 2 3" xfId="40866" xr:uid="{00000000-0005-0000-0000-0000A89F0000}"/>
    <cellStyle name="Note 3 3 2 3 2" xfId="40867" xr:uid="{00000000-0005-0000-0000-0000A99F0000}"/>
    <cellStyle name="Note 3 3 2 3 2 2" xfId="40868" xr:uid="{00000000-0005-0000-0000-0000AA9F0000}"/>
    <cellStyle name="Note 3 3 2 3 3" xfId="40869" xr:uid="{00000000-0005-0000-0000-0000AB9F0000}"/>
    <cellStyle name="Note 3 3 2 3 4" xfId="40870" xr:uid="{00000000-0005-0000-0000-0000AC9F0000}"/>
    <cellStyle name="Note 3 3 2 3 5" xfId="40871" xr:uid="{00000000-0005-0000-0000-0000AD9F0000}"/>
    <cellStyle name="Note 3 3 2 4" xfId="40872" xr:uid="{00000000-0005-0000-0000-0000AE9F0000}"/>
    <cellStyle name="Note 3 3 2 4 2" xfId="40873" xr:uid="{00000000-0005-0000-0000-0000AF9F0000}"/>
    <cellStyle name="Note 3 3 2 4 3" xfId="40874" xr:uid="{00000000-0005-0000-0000-0000B09F0000}"/>
    <cellStyle name="Note 3 3 2 4 4" xfId="40875" xr:uid="{00000000-0005-0000-0000-0000B19F0000}"/>
    <cellStyle name="Note 3 3 2 5" xfId="40876" xr:uid="{00000000-0005-0000-0000-0000B29F0000}"/>
    <cellStyle name="Note 3 3 2 5 2" xfId="40877" xr:uid="{00000000-0005-0000-0000-0000B39F0000}"/>
    <cellStyle name="Note 3 3 2 6" xfId="40878" xr:uid="{00000000-0005-0000-0000-0000B49F0000}"/>
    <cellStyle name="Note 3 3 2 7" xfId="40879" xr:uid="{00000000-0005-0000-0000-0000B59F0000}"/>
    <cellStyle name="Note 3 3 2 8" xfId="40880" xr:uid="{00000000-0005-0000-0000-0000B69F0000}"/>
    <cellStyle name="Note 3 3 2 9" xfId="40881" xr:uid="{00000000-0005-0000-0000-0000B79F0000}"/>
    <cellStyle name="Note 3 3 3" xfId="40882" xr:uid="{00000000-0005-0000-0000-0000B89F0000}"/>
    <cellStyle name="Note 3 3 3 2" xfId="40883" xr:uid="{00000000-0005-0000-0000-0000B99F0000}"/>
    <cellStyle name="Note 3 3 3 2 2" xfId="40884" xr:uid="{00000000-0005-0000-0000-0000BA9F0000}"/>
    <cellStyle name="Note 3 3 3 2 3" xfId="40885" xr:uid="{00000000-0005-0000-0000-0000BB9F0000}"/>
    <cellStyle name="Note 3 3 3 3" xfId="40886" xr:uid="{00000000-0005-0000-0000-0000BC9F0000}"/>
    <cellStyle name="Note 3 3 3 4" xfId="40887" xr:uid="{00000000-0005-0000-0000-0000BD9F0000}"/>
    <cellStyle name="Note 3 3 3 5" xfId="40888" xr:uid="{00000000-0005-0000-0000-0000BE9F0000}"/>
    <cellStyle name="Note 3 3 3 6" xfId="40889" xr:uid="{00000000-0005-0000-0000-0000BF9F0000}"/>
    <cellStyle name="Note 3 3 4" xfId="40890" xr:uid="{00000000-0005-0000-0000-0000C09F0000}"/>
    <cellStyle name="Note 3 3 4 2" xfId="40891" xr:uid="{00000000-0005-0000-0000-0000C19F0000}"/>
    <cellStyle name="Note 3 3 4 2 2" xfId="40892" xr:uid="{00000000-0005-0000-0000-0000C29F0000}"/>
    <cellStyle name="Note 3 3 4 3" xfId="40893" xr:uid="{00000000-0005-0000-0000-0000C39F0000}"/>
    <cellStyle name="Note 3 3 4 4" xfId="40894" xr:uid="{00000000-0005-0000-0000-0000C49F0000}"/>
    <cellStyle name="Note 3 3 4 5" xfId="40895" xr:uid="{00000000-0005-0000-0000-0000C59F0000}"/>
    <cellStyle name="Note 3 3 5" xfId="40896" xr:uid="{00000000-0005-0000-0000-0000C69F0000}"/>
    <cellStyle name="Note 3 3 5 2" xfId="40897" xr:uid="{00000000-0005-0000-0000-0000C79F0000}"/>
    <cellStyle name="Note 3 3 5 2 2" xfId="40898" xr:uid="{00000000-0005-0000-0000-0000C89F0000}"/>
    <cellStyle name="Note 3 3 5 3" xfId="40899" xr:uid="{00000000-0005-0000-0000-0000C99F0000}"/>
    <cellStyle name="Note 3 3 5 4" xfId="40900" xr:uid="{00000000-0005-0000-0000-0000CA9F0000}"/>
    <cellStyle name="Note 3 3 5 5" xfId="40901" xr:uid="{00000000-0005-0000-0000-0000CB9F0000}"/>
    <cellStyle name="Note 3 3 6" xfId="40902" xr:uid="{00000000-0005-0000-0000-0000CC9F0000}"/>
    <cellStyle name="Note 3 3 6 2" xfId="40903" xr:uid="{00000000-0005-0000-0000-0000CD9F0000}"/>
    <cellStyle name="Note 3 3 7" xfId="40904" xr:uid="{00000000-0005-0000-0000-0000CE9F0000}"/>
    <cellStyle name="Note 3 3 8" xfId="40905" xr:uid="{00000000-0005-0000-0000-0000CF9F0000}"/>
    <cellStyle name="Note 3 3 9" xfId="40906" xr:uid="{00000000-0005-0000-0000-0000D09F0000}"/>
    <cellStyle name="Note 3 4" xfId="40907" xr:uid="{00000000-0005-0000-0000-0000D19F0000}"/>
    <cellStyle name="Note 3 4 10" xfId="40908" xr:uid="{00000000-0005-0000-0000-0000D29F0000}"/>
    <cellStyle name="Note 3 4 2" xfId="40909" xr:uid="{00000000-0005-0000-0000-0000D39F0000}"/>
    <cellStyle name="Note 3 4 2 2" xfId="40910" xr:uid="{00000000-0005-0000-0000-0000D49F0000}"/>
    <cellStyle name="Note 3 4 2 2 2" xfId="40911" xr:uid="{00000000-0005-0000-0000-0000D59F0000}"/>
    <cellStyle name="Note 3 4 2 2 2 2" xfId="40912" xr:uid="{00000000-0005-0000-0000-0000D69F0000}"/>
    <cellStyle name="Note 3 4 2 2 2 3" xfId="40913" xr:uid="{00000000-0005-0000-0000-0000D79F0000}"/>
    <cellStyle name="Note 3 4 2 2 3" xfId="40914" xr:uid="{00000000-0005-0000-0000-0000D89F0000}"/>
    <cellStyle name="Note 3 4 2 2 4" xfId="40915" xr:uid="{00000000-0005-0000-0000-0000D99F0000}"/>
    <cellStyle name="Note 3 4 2 2 5" xfId="40916" xr:uid="{00000000-0005-0000-0000-0000DA9F0000}"/>
    <cellStyle name="Note 3 4 2 2 6" xfId="40917" xr:uid="{00000000-0005-0000-0000-0000DB9F0000}"/>
    <cellStyle name="Note 3 4 2 3" xfId="40918" xr:uid="{00000000-0005-0000-0000-0000DC9F0000}"/>
    <cellStyle name="Note 3 4 2 3 2" xfId="40919" xr:uid="{00000000-0005-0000-0000-0000DD9F0000}"/>
    <cellStyle name="Note 3 4 2 3 2 2" xfId="40920" xr:uid="{00000000-0005-0000-0000-0000DE9F0000}"/>
    <cellStyle name="Note 3 4 2 3 3" xfId="40921" xr:uid="{00000000-0005-0000-0000-0000DF9F0000}"/>
    <cellStyle name="Note 3 4 2 3 4" xfId="40922" xr:uid="{00000000-0005-0000-0000-0000E09F0000}"/>
    <cellStyle name="Note 3 4 2 3 5" xfId="40923" xr:uid="{00000000-0005-0000-0000-0000E19F0000}"/>
    <cellStyle name="Note 3 4 2 4" xfId="40924" xr:uid="{00000000-0005-0000-0000-0000E29F0000}"/>
    <cellStyle name="Note 3 4 2 4 2" xfId="40925" xr:uid="{00000000-0005-0000-0000-0000E39F0000}"/>
    <cellStyle name="Note 3 4 2 4 3" xfId="40926" xr:uid="{00000000-0005-0000-0000-0000E49F0000}"/>
    <cellStyle name="Note 3 4 2 4 4" xfId="40927" xr:uid="{00000000-0005-0000-0000-0000E59F0000}"/>
    <cellStyle name="Note 3 4 2 5" xfId="40928" xr:uid="{00000000-0005-0000-0000-0000E69F0000}"/>
    <cellStyle name="Note 3 4 2 5 2" xfId="40929" xr:uid="{00000000-0005-0000-0000-0000E79F0000}"/>
    <cellStyle name="Note 3 4 2 6" xfId="40930" xr:uid="{00000000-0005-0000-0000-0000E89F0000}"/>
    <cellStyle name="Note 3 4 2 7" xfId="40931" xr:uid="{00000000-0005-0000-0000-0000E99F0000}"/>
    <cellStyle name="Note 3 4 2 8" xfId="40932" xr:uid="{00000000-0005-0000-0000-0000EA9F0000}"/>
    <cellStyle name="Note 3 4 2 9" xfId="40933" xr:uid="{00000000-0005-0000-0000-0000EB9F0000}"/>
    <cellStyle name="Note 3 4 3" xfId="40934" xr:uid="{00000000-0005-0000-0000-0000EC9F0000}"/>
    <cellStyle name="Note 3 4 3 2" xfId="40935" xr:uid="{00000000-0005-0000-0000-0000ED9F0000}"/>
    <cellStyle name="Note 3 4 3 2 2" xfId="40936" xr:uid="{00000000-0005-0000-0000-0000EE9F0000}"/>
    <cellStyle name="Note 3 4 3 2 3" xfId="40937" xr:uid="{00000000-0005-0000-0000-0000EF9F0000}"/>
    <cellStyle name="Note 3 4 3 3" xfId="40938" xr:uid="{00000000-0005-0000-0000-0000F09F0000}"/>
    <cellStyle name="Note 3 4 3 4" xfId="40939" xr:uid="{00000000-0005-0000-0000-0000F19F0000}"/>
    <cellStyle name="Note 3 4 3 5" xfId="40940" xr:uid="{00000000-0005-0000-0000-0000F29F0000}"/>
    <cellStyle name="Note 3 4 3 6" xfId="40941" xr:uid="{00000000-0005-0000-0000-0000F39F0000}"/>
    <cellStyle name="Note 3 4 4" xfId="40942" xr:uid="{00000000-0005-0000-0000-0000F49F0000}"/>
    <cellStyle name="Note 3 4 4 2" xfId="40943" xr:uid="{00000000-0005-0000-0000-0000F59F0000}"/>
    <cellStyle name="Note 3 4 4 2 2" xfId="40944" xr:uid="{00000000-0005-0000-0000-0000F69F0000}"/>
    <cellStyle name="Note 3 4 4 3" xfId="40945" xr:uid="{00000000-0005-0000-0000-0000F79F0000}"/>
    <cellStyle name="Note 3 4 4 4" xfId="40946" xr:uid="{00000000-0005-0000-0000-0000F89F0000}"/>
    <cellStyle name="Note 3 4 4 5" xfId="40947" xr:uid="{00000000-0005-0000-0000-0000F99F0000}"/>
    <cellStyle name="Note 3 4 5" xfId="40948" xr:uid="{00000000-0005-0000-0000-0000FA9F0000}"/>
    <cellStyle name="Note 3 4 5 2" xfId="40949" xr:uid="{00000000-0005-0000-0000-0000FB9F0000}"/>
    <cellStyle name="Note 3 4 5 2 2" xfId="40950" xr:uid="{00000000-0005-0000-0000-0000FC9F0000}"/>
    <cellStyle name="Note 3 4 5 3" xfId="40951" xr:uid="{00000000-0005-0000-0000-0000FD9F0000}"/>
    <cellStyle name="Note 3 4 5 4" xfId="40952" xr:uid="{00000000-0005-0000-0000-0000FE9F0000}"/>
    <cellStyle name="Note 3 4 5 5" xfId="40953" xr:uid="{00000000-0005-0000-0000-0000FF9F0000}"/>
    <cellStyle name="Note 3 4 6" xfId="40954" xr:uid="{00000000-0005-0000-0000-000000A00000}"/>
    <cellStyle name="Note 3 4 6 2" xfId="40955" xr:uid="{00000000-0005-0000-0000-000001A00000}"/>
    <cellStyle name="Note 3 4 7" xfId="40956" xr:uid="{00000000-0005-0000-0000-000002A00000}"/>
    <cellStyle name="Note 3 4 8" xfId="40957" xr:uid="{00000000-0005-0000-0000-000003A00000}"/>
    <cellStyle name="Note 3 4 9" xfId="40958" xr:uid="{00000000-0005-0000-0000-000004A00000}"/>
    <cellStyle name="Note 3 5" xfId="40959" xr:uid="{00000000-0005-0000-0000-000005A00000}"/>
    <cellStyle name="Note 3 5 10" xfId="40960" xr:uid="{00000000-0005-0000-0000-000006A00000}"/>
    <cellStyle name="Note 3 5 2" xfId="40961" xr:uid="{00000000-0005-0000-0000-000007A00000}"/>
    <cellStyle name="Note 3 5 2 2" xfId="40962" xr:uid="{00000000-0005-0000-0000-000008A00000}"/>
    <cellStyle name="Note 3 5 2 2 2" xfId="40963" xr:uid="{00000000-0005-0000-0000-000009A00000}"/>
    <cellStyle name="Note 3 5 2 2 2 2" xfId="40964" xr:uid="{00000000-0005-0000-0000-00000AA00000}"/>
    <cellStyle name="Note 3 5 2 2 2 3" xfId="40965" xr:uid="{00000000-0005-0000-0000-00000BA00000}"/>
    <cellStyle name="Note 3 5 2 2 3" xfId="40966" xr:uid="{00000000-0005-0000-0000-00000CA00000}"/>
    <cellStyle name="Note 3 5 2 2 4" xfId="40967" xr:uid="{00000000-0005-0000-0000-00000DA00000}"/>
    <cellStyle name="Note 3 5 2 2 5" xfId="40968" xr:uid="{00000000-0005-0000-0000-00000EA00000}"/>
    <cellStyle name="Note 3 5 2 2 6" xfId="40969" xr:uid="{00000000-0005-0000-0000-00000FA00000}"/>
    <cellStyle name="Note 3 5 2 3" xfId="40970" xr:uid="{00000000-0005-0000-0000-000010A00000}"/>
    <cellStyle name="Note 3 5 2 3 2" xfId="40971" xr:uid="{00000000-0005-0000-0000-000011A00000}"/>
    <cellStyle name="Note 3 5 2 3 2 2" xfId="40972" xr:uid="{00000000-0005-0000-0000-000012A00000}"/>
    <cellStyle name="Note 3 5 2 3 3" xfId="40973" xr:uid="{00000000-0005-0000-0000-000013A00000}"/>
    <cellStyle name="Note 3 5 2 3 4" xfId="40974" xr:uid="{00000000-0005-0000-0000-000014A00000}"/>
    <cellStyle name="Note 3 5 2 3 5" xfId="40975" xr:uid="{00000000-0005-0000-0000-000015A00000}"/>
    <cellStyle name="Note 3 5 2 4" xfId="40976" xr:uid="{00000000-0005-0000-0000-000016A00000}"/>
    <cellStyle name="Note 3 5 2 4 2" xfId="40977" xr:uid="{00000000-0005-0000-0000-000017A00000}"/>
    <cellStyle name="Note 3 5 2 4 3" xfId="40978" xr:uid="{00000000-0005-0000-0000-000018A00000}"/>
    <cellStyle name="Note 3 5 2 4 4" xfId="40979" xr:uid="{00000000-0005-0000-0000-000019A00000}"/>
    <cellStyle name="Note 3 5 2 5" xfId="40980" xr:uid="{00000000-0005-0000-0000-00001AA00000}"/>
    <cellStyle name="Note 3 5 2 5 2" xfId="40981" xr:uid="{00000000-0005-0000-0000-00001BA00000}"/>
    <cellStyle name="Note 3 5 2 6" xfId="40982" xr:uid="{00000000-0005-0000-0000-00001CA00000}"/>
    <cellStyle name="Note 3 5 2 7" xfId="40983" xr:uid="{00000000-0005-0000-0000-00001DA00000}"/>
    <cellStyle name="Note 3 5 2 8" xfId="40984" xr:uid="{00000000-0005-0000-0000-00001EA00000}"/>
    <cellStyle name="Note 3 5 2 9" xfId="40985" xr:uid="{00000000-0005-0000-0000-00001FA00000}"/>
    <cellStyle name="Note 3 5 3" xfId="40986" xr:uid="{00000000-0005-0000-0000-000020A00000}"/>
    <cellStyle name="Note 3 5 3 2" xfId="40987" xr:uid="{00000000-0005-0000-0000-000021A00000}"/>
    <cellStyle name="Note 3 5 3 2 2" xfId="40988" xr:uid="{00000000-0005-0000-0000-000022A00000}"/>
    <cellStyle name="Note 3 5 3 2 3" xfId="40989" xr:uid="{00000000-0005-0000-0000-000023A00000}"/>
    <cellStyle name="Note 3 5 3 3" xfId="40990" xr:uid="{00000000-0005-0000-0000-000024A00000}"/>
    <cellStyle name="Note 3 5 3 4" xfId="40991" xr:uid="{00000000-0005-0000-0000-000025A00000}"/>
    <cellStyle name="Note 3 5 3 5" xfId="40992" xr:uid="{00000000-0005-0000-0000-000026A00000}"/>
    <cellStyle name="Note 3 5 3 6" xfId="40993" xr:uid="{00000000-0005-0000-0000-000027A00000}"/>
    <cellStyle name="Note 3 5 4" xfId="40994" xr:uid="{00000000-0005-0000-0000-000028A00000}"/>
    <cellStyle name="Note 3 5 4 2" xfId="40995" xr:uid="{00000000-0005-0000-0000-000029A00000}"/>
    <cellStyle name="Note 3 5 4 2 2" xfId="40996" xr:uid="{00000000-0005-0000-0000-00002AA00000}"/>
    <cellStyle name="Note 3 5 4 3" xfId="40997" xr:uid="{00000000-0005-0000-0000-00002BA00000}"/>
    <cellStyle name="Note 3 5 4 4" xfId="40998" xr:uid="{00000000-0005-0000-0000-00002CA00000}"/>
    <cellStyle name="Note 3 5 4 5" xfId="40999" xr:uid="{00000000-0005-0000-0000-00002DA00000}"/>
    <cellStyle name="Note 3 5 5" xfId="41000" xr:uid="{00000000-0005-0000-0000-00002EA00000}"/>
    <cellStyle name="Note 3 5 5 2" xfId="41001" xr:uid="{00000000-0005-0000-0000-00002FA00000}"/>
    <cellStyle name="Note 3 5 5 2 2" xfId="41002" xr:uid="{00000000-0005-0000-0000-000030A00000}"/>
    <cellStyle name="Note 3 5 5 3" xfId="41003" xr:uid="{00000000-0005-0000-0000-000031A00000}"/>
    <cellStyle name="Note 3 5 5 4" xfId="41004" xr:uid="{00000000-0005-0000-0000-000032A00000}"/>
    <cellStyle name="Note 3 5 5 5" xfId="41005" xr:uid="{00000000-0005-0000-0000-000033A00000}"/>
    <cellStyle name="Note 3 5 6" xfId="41006" xr:uid="{00000000-0005-0000-0000-000034A00000}"/>
    <cellStyle name="Note 3 5 6 2" xfId="41007" xr:uid="{00000000-0005-0000-0000-000035A00000}"/>
    <cellStyle name="Note 3 5 7" xfId="41008" xr:uid="{00000000-0005-0000-0000-000036A00000}"/>
    <cellStyle name="Note 3 5 8" xfId="41009" xr:uid="{00000000-0005-0000-0000-000037A00000}"/>
    <cellStyle name="Note 3 5 9" xfId="41010" xr:uid="{00000000-0005-0000-0000-000038A00000}"/>
    <cellStyle name="Note 3 6" xfId="41011" xr:uid="{00000000-0005-0000-0000-000039A00000}"/>
    <cellStyle name="Note 3 6 10" xfId="41012" xr:uid="{00000000-0005-0000-0000-00003AA00000}"/>
    <cellStyle name="Note 3 6 2" xfId="41013" xr:uid="{00000000-0005-0000-0000-00003BA00000}"/>
    <cellStyle name="Note 3 6 2 2" xfId="41014" xr:uid="{00000000-0005-0000-0000-00003CA00000}"/>
    <cellStyle name="Note 3 6 2 2 2" xfId="41015" xr:uid="{00000000-0005-0000-0000-00003DA00000}"/>
    <cellStyle name="Note 3 6 2 2 2 2" xfId="41016" xr:uid="{00000000-0005-0000-0000-00003EA00000}"/>
    <cellStyle name="Note 3 6 2 2 2 3" xfId="41017" xr:uid="{00000000-0005-0000-0000-00003FA00000}"/>
    <cellStyle name="Note 3 6 2 2 3" xfId="41018" xr:uid="{00000000-0005-0000-0000-000040A00000}"/>
    <cellStyle name="Note 3 6 2 2 4" xfId="41019" xr:uid="{00000000-0005-0000-0000-000041A00000}"/>
    <cellStyle name="Note 3 6 2 2 5" xfId="41020" xr:uid="{00000000-0005-0000-0000-000042A00000}"/>
    <cellStyle name="Note 3 6 2 2 6" xfId="41021" xr:uid="{00000000-0005-0000-0000-000043A00000}"/>
    <cellStyle name="Note 3 6 2 3" xfId="41022" xr:uid="{00000000-0005-0000-0000-000044A00000}"/>
    <cellStyle name="Note 3 6 2 3 2" xfId="41023" xr:uid="{00000000-0005-0000-0000-000045A00000}"/>
    <cellStyle name="Note 3 6 2 3 2 2" xfId="41024" xr:uid="{00000000-0005-0000-0000-000046A00000}"/>
    <cellStyle name="Note 3 6 2 3 3" xfId="41025" xr:uid="{00000000-0005-0000-0000-000047A00000}"/>
    <cellStyle name="Note 3 6 2 3 4" xfId="41026" xr:uid="{00000000-0005-0000-0000-000048A00000}"/>
    <cellStyle name="Note 3 6 2 3 5" xfId="41027" xr:uid="{00000000-0005-0000-0000-000049A00000}"/>
    <cellStyle name="Note 3 6 2 4" xfId="41028" xr:uid="{00000000-0005-0000-0000-00004AA00000}"/>
    <cellStyle name="Note 3 6 2 4 2" xfId="41029" xr:uid="{00000000-0005-0000-0000-00004BA00000}"/>
    <cellStyle name="Note 3 6 2 4 3" xfId="41030" xr:uid="{00000000-0005-0000-0000-00004CA00000}"/>
    <cellStyle name="Note 3 6 2 4 4" xfId="41031" xr:uid="{00000000-0005-0000-0000-00004DA00000}"/>
    <cellStyle name="Note 3 6 2 5" xfId="41032" xr:uid="{00000000-0005-0000-0000-00004EA00000}"/>
    <cellStyle name="Note 3 6 2 5 2" xfId="41033" xr:uid="{00000000-0005-0000-0000-00004FA00000}"/>
    <cellStyle name="Note 3 6 2 6" xfId="41034" xr:uid="{00000000-0005-0000-0000-000050A00000}"/>
    <cellStyle name="Note 3 6 2 7" xfId="41035" xr:uid="{00000000-0005-0000-0000-000051A00000}"/>
    <cellStyle name="Note 3 6 2 8" xfId="41036" xr:uid="{00000000-0005-0000-0000-000052A00000}"/>
    <cellStyle name="Note 3 6 2 9" xfId="41037" xr:uid="{00000000-0005-0000-0000-000053A00000}"/>
    <cellStyle name="Note 3 6 3" xfId="41038" xr:uid="{00000000-0005-0000-0000-000054A00000}"/>
    <cellStyle name="Note 3 6 3 2" xfId="41039" xr:uid="{00000000-0005-0000-0000-000055A00000}"/>
    <cellStyle name="Note 3 6 3 2 2" xfId="41040" xr:uid="{00000000-0005-0000-0000-000056A00000}"/>
    <cellStyle name="Note 3 6 3 2 3" xfId="41041" xr:uid="{00000000-0005-0000-0000-000057A00000}"/>
    <cellStyle name="Note 3 6 3 3" xfId="41042" xr:uid="{00000000-0005-0000-0000-000058A00000}"/>
    <cellStyle name="Note 3 6 3 4" xfId="41043" xr:uid="{00000000-0005-0000-0000-000059A00000}"/>
    <cellStyle name="Note 3 6 3 5" xfId="41044" xr:uid="{00000000-0005-0000-0000-00005AA00000}"/>
    <cellStyle name="Note 3 6 3 6" xfId="41045" xr:uid="{00000000-0005-0000-0000-00005BA00000}"/>
    <cellStyle name="Note 3 6 4" xfId="41046" xr:uid="{00000000-0005-0000-0000-00005CA00000}"/>
    <cellStyle name="Note 3 6 4 2" xfId="41047" xr:uid="{00000000-0005-0000-0000-00005DA00000}"/>
    <cellStyle name="Note 3 6 4 2 2" xfId="41048" xr:uid="{00000000-0005-0000-0000-00005EA00000}"/>
    <cellStyle name="Note 3 6 4 3" xfId="41049" xr:uid="{00000000-0005-0000-0000-00005FA00000}"/>
    <cellStyle name="Note 3 6 4 4" xfId="41050" xr:uid="{00000000-0005-0000-0000-000060A00000}"/>
    <cellStyle name="Note 3 6 4 5" xfId="41051" xr:uid="{00000000-0005-0000-0000-000061A00000}"/>
    <cellStyle name="Note 3 6 5" xfId="41052" xr:uid="{00000000-0005-0000-0000-000062A00000}"/>
    <cellStyle name="Note 3 6 5 2" xfId="41053" xr:uid="{00000000-0005-0000-0000-000063A00000}"/>
    <cellStyle name="Note 3 6 5 2 2" xfId="41054" xr:uid="{00000000-0005-0000-0000-000064A00000}"/>
    <cellStyle name="Note 3 6 5 3" xfId="41055" xr:uid="{00000000-0005-0000-0000-000065A00000}"/>
    <cellStyle name="Note 3 6 5 4" xfId="41056" xr:uid="{00000000-0005-0000-0000-000066A00000}"/>
    <cellStyle name="Note 3 6 5 5" xfId="41057" xr:uid="{00000000-0005-0000-0000-000067A00000}"/>
    <cellStyle name="Note 3 6 6" xfId="41058" xr:uid="{00000000-0005-0000-0000-000068A00000}"/>
    <cellStyle name="Note 3 6 6 2" xfId="41059" xr:uid="{00000000-0005-0000-0000-000069A00000}"/>
    <cellStyle name="Note 3 6 7" xfId="41060" xr:uid="{00000000-0005-0000-0000-00006AA00000}"/>
    <cellStyle name="Note 3 6 8" xfId="41061" xr:uid="{00000000-0005-0000-0000-00006BA00000}"/>
    <cellStyle name="Note 3 6 9" xfId="41062" xr:uid="{00000000-0005-0000-0000-00006CA00000}"/>
    <cellStyle name="Note 3 7" xfId="41063" xr:uid="{00000000-0005-0000-0000-00006DA00000}"/>
    <cellStyle name="Note 3 7 10" xfId="41064" xr:uid="{00000000-0005-0000-0000-00006EA00000}"/>
    <cellStyle name="Note 3 7 2" xfId="41065" xr:uid="{00000000-0005-0000-0000-00006FA00000}"/>
    <cellStyle name="Note 3 7 2 2" xfId="41066" xr:uid="{00000000-0005-0000-0000-000070A00000}"/>
    <cellStyle name="Note 3 7 2 2 2" xfId="41067" xr:uid="{00000000-0005-0000-0000-000071A00000}"/>
    <cellStyle name="Note 3 7 2 2 2 2" xfId="41068" xr:uid="{00000000-0005-0000-0000-000072A00000}"/>
    <cellStyle name="Note 3 7 2 2 2 3" xfId="41069" xr:uid="{00000000-0005-0000-0000-000073A00000}"/>
    <cellStyle name="Note 3 7 2 2 3" xfId="41070" xr:uid="{00000000-0005-0000-0000-000074A00000}"/>
    <cellStyle name="Note 3 7 2 2 4" xfId="41071" xr:uid="{00000000-0005-0000-0000-000075A00000}"/>
    <cellStyle name="Note 3 7 2 2 5" xfId="41072" xr:uid="{00000000-0005-0000-0000-000076A00000}"/>
    <cellStyle name="Note 3 7 2 2 6" xfId="41073" xr:uid="{00000000-0005-0000-0000-000077A00000}"/>
    <cellStyle name="Note 3 7 2 3" xfId="41074" xr:uid="{00000000-0005-0000-0000-000078A00000}"/>
    <cellStyle name="Note 3 7 2 3 2" xfId="41075" xr:uid="{00000000-0005-0000-0000-000079A00000}"/>
    <cellStyle name="Note 3 7 2 3 2 2" xfId="41076" xr:uid="{00000000-0005-0000-0000-00007AA00000}"/>
    <cellStyle name="Note 3 7 2 3 3" xfId="41077" xr:uid="{00000000-0005-0000-0000-00007BA00000}"/>
    <cellStyle name="Note 3 7 2 3 4" xfId="41078" xr:uid="{00000000-0005-0000-0000-00007CA00000}"/>
    <cellStyle name="Note 3 7 2 3 5" xfId="41079" xr:uid="{00000000-0005-0000-0000-00007DA00000}"/>
    <cellStyle name="Note 3 7 2 4" xfId="41080" xr:uid="{00000000-0005-0000-0000-00007EA00000}"/>
    <cellStyle name="Note 3 7 2 4 2" xfId="41081" xr:uid="{00000000-0005-0000-0000-00007FA00000}"/>
    <cellStyle name="Note 3 7 2 4 3" xfId="41082" xr:uid="{00000000-0005-0000-0000-000080A00000}"/>
    <cellStyle name="Note 3 7 2 4 4" xfId="41083" xr:uid="{00000000-0005-0000-0000-000081A00000}"/>
    <cellStyle name="Note 3 7 2 5" xfId="41084" xr:uid="{00000000-0005-0000-0000-000082A00000}"/>
    <cellStyle name="Note 3 7 2 5 2" xfId="41085" xr:uid="{00000000-0005-0000-0000-000083A00000}"/>
    <cellStyle name="Note 3 7 2 6" xfId="41086" xr:uid="{00000000-0005-0000-0000-000084A00000}"/>
    <cellStyle name="Note 3 7 2 7" xfId="41087" xr:uid="{00000000-0005-0000-0000-000085A00000}"/>
    <cellStyle name="Note 3 7 2 8" xfId="41088" xr:uid="{00000000-0005-0000-0000-000086A00000}"/>
    <cellStyle name="Note 3 7 2 9" xfId="41089" xr:uid="{00000000-0005-0000-0000-000087A00000}"/>
    <cellStyle name="Note 3 7 3" xfId="41090" xr:uid="{00000000-0005-0000-0000-000088A00000}"/>
    <cellStyle name="Note 3 7 3 2" xfId="41091" xr:uid="{00000000-0005-0000-0000-000089A00000}"/>
    <cellStyle name="Note 3 7 3 2 2" xfId="41092" xr:uid="{00000000-0005-0000-0000-00008AA00000}"/>
    <cellStyle name="Note 3 7 3 2 3" xfId="41093" xr:uid="{00000000-0005-0000-0000-00008BA00000}"/>
    <cellStyle name="Note 3 7 3 3" xfId="41094" xr:uid="{00000000-0005-0000-0000-00008CA00000}"/>
    <cellStyle name="Note 3 7 3 4" xfId="41095" xr:uid="{00000000-0005-0000-0000-00008DA00000}"/>
    <cellStyle name="Note 3 7 3 5" xfId="41096" xr:uid="{00000000-0005-0000-0000-00008EA00000}"/>
    <cellStyle name="Note 3 7 3 6" xfId="41097" xr:uid="{00000000-0005-0000-0000-00008FA00000}"/>
    <cellStyle name="Note 3 7 4" xfId="41098" xr:uid="{00000000-0005-0000-0000-000090A00000}"/>
    <cellStyle name="Note 3 7 4 2" xfId="41099" xr:uid="{00000000-0005-0000-0000-000091A00000}"/>
    <cellStyle name="Note 3 7 4 2 2" xfId="41100" xr:uid="{00000000-0005-0000-0000-000092A00000}"/>
    <cellStyle name="Note 3 7 4 3" xfId="41101" xr:uid="{00000000-0005-0000-0000-000093A00000}"/>
    <cellStyle name="Note 3 7 4 4" xfId="41102" xr:uid="{00000000-0005-0000-0000-000094A00000}"/>
    <cellStyle name="Note 3 7 4 5" xfId="41103" xr:uid="{00000000-0005-0000-0000-000095A00000}"/>
    <cellStyle name="Note 3 7 5" xfId="41104" xr:uid="{00000000-0005-0000-0000-000096A00000}"/>
    <cellStyle name="Note 3 7 5 2" xfId="41105" xr:uid="{00000000-0005-0000-0000-000097A00000}"/>
    <cellStyle name="Note 3 7 5 2 2" xfId="41106" xr:uid="{00000000-0005-0000-0000-000098A00000}"/>
    <cellStyle name="Note 3 7 5 3" xfId="41107" xr:uid="{00000000-0005-0000-0000-000099A00000}"/>
    <cellStyle name="Note 3 7 5 4" xfId="41108" xr:uid="{00000000-0005-0000-0000-00009AA00000}"/>
    <cellStyle name="Note 3 7 5 5" xfId="41109" xr:uid="{00000000-0005-0000-0000-00009BA00000}"/>
    <cellStyle name="Note 3 7 6" xfId="41110" xr:uid="{00000000-0005-0000-0000-00009CA00000}"/>
    <cellStyle name="Note 3 7 6 2" xfId="41111" xr:uid="{00000000-0005-0000-0000-00009DA00000}"/>
    <cellStyle name="Note 3 7 7" xfId="41112" xr:uid="{00000000-0005-0000-0000-00009EA00000}"/>
    <cellStyle name="Note 3 7 8" xfId="41113" xr:uid="{00000000-0005-0000-0000-00009FA00000}"/>
    <cellStyle name="Note 3 7 9" xfId="41114" xr:uid="{00000000-0005-0000-0000-0000A0A00000}"/>
    <cellStyle name="Note 3 8" xfId="41115" xr:uid="{00000000-0005-0000-0000-0000A1A00000}"/>
    <cellStyle name="Note 3 8 10" xfId="41116" xr:uid="{00000000-0005-0000-0000-0000A2A00000}"/>
    <cellStyle name="Note 3 8 2" xfId="41117" xr:uid="{00000000-0005-0000-0000-0000A3A00000}"/>
    <cellStyle name="Note 3 8 2 2" xfId="41118" xr:uid="{00000000-0005-0000-0000-0000A4A00000}"/>
    <cellStyle name="Note 3 8 2 2 2" xfId="41119" xr:uid="{00000000-0005-0000-0000-0000A5A00000}"/>
    <cellStyle name="Note 3 8 2 2 2 2" xfId="41120" xr:uid="{00000000-0005-0000-0000-0000A6A00000}"/>
    <cellStyle name="Note 3 8 2 2 2 3" xfId="41121" xr:uid="{00000000-0005-0000-0000-0000A7A00000}"/>
    <cellStyle name="Note 3 8 2 2 3" xfId="41122" xr:uid="{00000000-0005-0000-0000-0000A8A00000}"/>
    <cellStyle name="Note 3 8 2 2 4" xfId="41123" xr:uid="{00000000-0005-0000-0000-0000A9A00000}"/>
    <cellStyle name="Note 3 8 2 2 5" xfId="41124" xr:uid="{00000000-0005-0000-0000-0000AAA00000}"/>
    <cellStyle name="Note 3 8 2 2 6" xfId="41125" xr:uid="{00000000-0005-0000-0000-0000ABA00000}"/>
    <cellStyle name="Note 3 8 2 3" xfId="41126" xr:uid="{00000000-0005-0000-0000-0000ACA00000}"/>
    <cellStyle name="Note 3 8 2 3 2" xfId="41127" xr:uid="{00000000-0005-0000-0000-0000ADA00000}"/>
    <cellStyle name="Note 3 8 2 3 2 2" xfId="41128" xr:uid="{00000000-0005-0000-0000-0000AEA00000}"/>
    <cellStyle name="Note 3 8 2 3 3" xfId="41129" xr:uid="{00000000-0005-0000-0000-0000AFA00000}"/>
    <cellStyle name="Note 3 8 2 3 4" xfId="41130" xr:uid="{00000000-0005-0000-0000-0000B0A00000}"/>
    <cellStyle name="Note 3 8 2 3 5" xfId="41131" xr:uid="{00000000-0005-0000-0000-0000B1A00000}"/>
    <cellStyle name="Note 3 8 2 4" xfId="41132" xr:uid="{00000000-0005-0000-0000-0000B2A00000}"/>
    <cellStyle name="Note 3 8 2 4 2" xfId="41133" xr:uid="{00000000-0005-0000-0000-0000B3A00000}"/>
    <cellStyle name="Note 3 8 2 4 3" xfId="41134" xr:uid="{00000000-0005-0000-0000-0000B4A00000}"/>
    <cellStyle name="Note 3 8 2 4 4" xfId="41135" xr:uid="{00000000-0005-0000-0000-0000B5A00000}"/>
    <cellStyle name="Note 3 8 2 5" xfId="41136" xr:uid="{00000000-0005-0000-0000-0000B6A00000}"/>
    <cellStyle name="Note 3 8 2 5 2" xfId="41137" xr:uid="{00000000-0005-0000-0000-0000B7A00000}"/>
    <cellStyle name="Note 3 8 2 6" xfId="41138" xr:uid="{00000000-0005-0000-0000-0000B8A00000}"/>
    <cellStyle name="Note 3 8 2 7" xfId="41139" xr:uid="{00000000-0005-0000-0000-0000B9A00000}"/>
    <cellStyle name="Note 3 8 2 8" xfId="41140" xr:uid="{00000000-0005-0000-0000-0000BAA00000}"/>
    <cellStyle name="Note 3 8 2 9" xfId="41141" xr:uid="{00000000-0005-0000-0000-0000BBA00000}"/>
    <cellStyle name="Note 3 8 3" xfId="41142" xr:uid="{00000000-0005-0000-0000-0000BCA00000}"/>
    <cellStyle name="Note 3 8 3 2" xfId="41143" xr:uid="{00000000-0005-0000-0000-0000BDA00000}"/>
    <cellStyle name="Note 3 8 3 2 2" xfId="41144" xr:uid="{00000000-0005-0000-0000-0000BEA00000}"/>
    <cellStyle name="Note 3 8 3 2 3" xfId="41145" xr:uid="{00000000-0005-0000-0000-0000BFA00000}"/>
    <cellStyle name="Note 3 8 3 3" xfId="41146" xr:uid="{00000000-0005-0000-0000-0000C0A00000}"/>
    <cellStyle name="Note 3 8 3 4" xfId="41147" xr:uid="{00000000-0005-0000-0000-0000C1A00000}"/>
    <cellStyle name="Note 3 8 3 5" xfId="41148" xr:uid="{00000000-0005-0000-0000-0000C2A00000}"/>
    <cellStyle name="Note 3 8 3 6" xfId="41149" xr:uid="{00000000-0005-0000-0000-0000C3A00000}"/>
    <cellStyle name="Note 3 8 4" xfId="41150" xr:uid="{00000000-0005-0000-0000-0000C4A00000}"/>
    <cellStyle name="Note 3 8 4 2" xfId="41151" xr:uid="{00000000-0005-0000-0000-0000C5A00000}"/>
    <cellStyle name="Note 3 8 4 2 2" xfId="41152" xr:uid="{00000000-0005-0000-0000-0000C6A00000}"/>
    <cellStyle name="Note 3 8 4 3" xfId="41153" xr:uid="{00000000-0005-0000-0000-0000C7A00000}"/>
    <cellStyle name="Note 3 8 4 4" xfId="41154" xr:uid="{00000000-0005-0000-0000-0000C8A00000}"/>
    <cellStyle name="Note 3 8 4 5" xfId="41155" xr:uid="{00000000-0005-0000-0000-0000C9A00000}"/>
    <cellStyle name="Note 3 8 5" xfId="41156" xr:uid="{00000000-0005-0000-0000-0000CAA00000}"/>
    <cellStyle name="Note 3 8 5 2" xfId="41157" xr:uid="{00000000-0005-0000-0000-0000CBA00000}"/>
    <cellStyle name="Note 3 8 5 2 2" xfId="41158" xr:uid="{00000000-0005-0000-0000-0000CCA00000}"/>
    <cellStyle name="Note 3 8 5 3" xfId="41159" xr:uid="{00000000-0005-0000-0000-0000CDA00000}"/>
    <cellStyle name="Note 3 8 5 4" xfId="41160" xr:uid="{00000000-0005-0000-0000-0000CEA00000}"/>
    <cellStyle name="Note 3 8 5 5" xfId="41161" xr:uid="{00000000-0005-0000-0000-0000CFA00000}"/>
    <cellStyle name="Note 3 8 6" xfId="41162" xr:uid="{00000000-0005-0000-0000-0000D0A00000}"/>
    <cellStyle name="Note 3 8 6 2" xfId="41163" xr:uid="{00000000-0005-0000-0000-0000D1A00000}"/>
    <cellStyle name="Note 3 8 7" xfId="41164" xr:uid="{00000000-0005-0000-0000-0000D2A00000}"/>
    <cellStyle name="Note 3 8 8" xfId="41165" xr:uid="{00000000-0005-0000-0000-0000D3A00000}"/>
    <cellStyle name="Note 3 8 9" xfId="41166" xr:uid="{00000000-0005-0000-0000-0000D4A00000}"/>
    <cellStyle name="Note 3 9" xfId="41167" xr:uid="{00000000-0005-0000-0000-0000D5A00000}"/>
    <cellStyle name="Note 3 9 10" xfId="41168" xr:uid="{00000000-0005-0000-0000-0000D6A00000}"/>
    <cellStyle name="Note 3 9 2" xfId="41169" xr:uid="{00000000-0005-0000-0000-0000D7A00000}"/>
    <cellStyle name="Note 3 9 2 2" xfId="41170" xr:uid="{00000000-0005-0000-0000-0000D8A00000}"/>
    <cellStyle name="Note 3 9 2 2 2" xfId="41171" xr:uid="{00000000-0005-0000-0000-0000D9A00000}"/>
    <cellStyle name="Note 3 9 2 2 2 2" xfId="41172" xr:uid="{00000000-0005-0000-0000-0000DAA00000}"/>
    <cellStyle name="Note 3 9 2 2 2 3" xfId="41173" xr:uid="{00000000-0005-0000-0000-0000DBA00000}"/>
    <cellStyle name="Note 3 9 2 2 3" xfId="41174" xr:uid="{00000000-0005-0000-0000-0000DCA00000}"/>
    <cellStyle name="Note 3 9 2 2 4" xfId="41175" xr:uid="{00000000-0005-0000-0000-0000DDA00000}"/>
    <cellStyle name="Note 3 9 2 2 5" xfId="41176" xr:uid="{00000000-0005-0000-0000-0000DEA00000}"/>
    <cellStyle name="Note 3 9 2 2 6" xfId="41177" xr:uid="{00000000-0005-0000-0000-0000DFA00000}"/>
    <cellStyle name="Note 3 9 2 3" xfId="41178" xr:uid="{00000000-0005-0000-0000-0000E0A00000}"/>
    <cellStyle name="Note 3 9 2 3 2" xfId="41179" xr:uid="{00000000-0005-0000-0000-0000E1A00000}"/>
    <cellStyle name="Note 3 9 2 3 2 2" xfId="41180" xr:uid="{00000000-0005-0000-0000-0000E2A00000}"/>
    <cellStyle name="Note 3 9 2 3 3" xfId="41181" xr:uid="{00000000-0005-0000-0000-0000E3A00000}"/>
    <cellStyle name="Note 3 9 2 3 4" xfId="41182" xr:uid="{00000000-0005-0000-0000-0000E4A00000}"/>
    <cellStyle name="Note 3 9 2 3 5" xfId="41183" xr:uid="{00000000-0005-0000-0000-0000E5A00000}"/>
    <cellStyle name="Note 3 9 2 4" xfId="41184" xr:uid="{00000000-0005-0000-0000-0000E6A00000}"/>
    <cellStyle name="Note 3 9 2 4 2" xfId="41185" xr:uid="{00000000-0005-0000-0000-0000E7A00000}"/>
    <cellStyle name="Note 3 9 2 4 3" xfId="41186" xr:uid="{00000000-0005-0000-0000-0000E8A00000}"/>
    <cellStyle name="Note 3 9 2 4 4" xfId="41187" xr:uid="{00000000-0005-0000-0000-0000E9A00000}"/>
    <cellStyle name="Note 3 9 2 5" xfId="41188" xr:uid="{00000000-0005-0000-0000-0000EAA00000}"/>
    <cellStyle name="Note 3 9 2 5 2" xfId="41189" xr:uid="{00000000-0005-0000-0000-0000EBA00000}"/>
    <cellStyle name="Note 3 9 2 6" xfId="41190" xr:uid="{00000000-0005-0000-0000-0000ECA00000}"/>
    <cellStyle name="Note 3 9 2 7" xfId="41191" xr:uid="{00000000-0005-0000-0000-0000EDA00000}"/>
    <cellStyle name="Note 3 9 2 8" xfId="41192" xr:uid="{00000000-0005-0000-0000-0000EEA00000}"/>
    <cellStyle name="Note 3 9 2 9" xfId="41193" xr:uid="{00000000-0005-0000-0000-0000EFA00000}"/>
    <cellStyle name="Note 3 9 3" xfId="41194" xr:uid="{00000000-0005-0000-0000-0000F0A00000}"/>
    <cellStyle name="Note 3 9 3 2" xfId="41195" xr:uid="{00000000-0005-0000-0000-0000F1A00000}"/>
    <cellStyle name="Note 3 9 3 2 2" xfId="41196" xr:uid="{00000000-0005-0000-0000-0000F2A00000}"/>
    <cellStyle name="Note 3 9 3 2 3" xfId="41197" xr:uid="{00000000-0005-0000-0000-0000F3A00000}"/>
    <cellStyle name="Note 3 9 3 3" xfId="41198" xr:uid="{00000000-0005-0000-0000-0000F4A00000}"/>
    <cellStyle name="Note 3 9 3 4" xfId="41199" xr:uid="{00000000-0005-0000-0000-0000F5A00000}"/>
    <cellStyle name="Note 3 9 3 5" xfId="41200" xr:uid="{00000000-0005-0000-0000-0000F6A00000}"/>
    <cellStyle name="Note 3 9 3 6" xfId="41201" xr:uid="{00000000-0005-0000-0000-0000F7A00000}"/>
    <cellStyle name="Note 3 9 4" xfId="41202" xr:uid="{00000000-0005-0000-0000-0000F8A00000}"/>
    <cellStyle name="Note 3 9 4 2" xfId="41203" xr:uid="{00000000-0005-0000-0000-0000F9A00000}"/>
    <cellStyle name="Note 3 9 4 2 2" xfId="41204" xr:uid="{00000000-0005-0000-0000-0000FAA00000}"/>
    <cellStyle name="Note 3 9 4 3" xfId="41205" xr:uid="{00000000-0005-0000-0000-0000FBA00000}"/>
    <cellStyle name="Note 3 9 4 4" xfId="41206" xr:uid="{00000000-0005-0000-0000-0000FCA00000}"/>
    <cellStyle name="Note 3 9 4 5" xfId="41207" xr:uid="{00000000-0005-0000-0000-0000FDA00000}"/>
    <cellStyle name="Note 3 9 5" xfId="41208" xr:uid="{00000000-0005-0000-0000-0000FEA00000}"/>
    <cellStyle name="Note 3 9 5 2" xfId="41209" xr:uid="{00000000-0005-0000-0000-0000FFA00000}"/>
    <cellStyle name="Note 3 9 5 3" xfId="41210" xr:uid="{00000000-0005-0000-0000-000000A10000}"/>
    <cellStyle name="Note 3 9 5 4" xfId="41211" xr:uid="{00000000-0005-0000-0000-000001A10000}"/>
    <cellStyle name="Note 3 9 6" xfId="41212" xr:uid="{00000000-0005-0000-0000-000002A10000}"/>
    <cellStyle name="Note 3 9 6 2" xfId="41213" xr:uid="{00000000-0005-0000-0000-000003A10000}"/>
    <cellStyle name="Note 3 9 7" xfId="41214" xr:uid="{00000000-0005-0000-0000-000004A10000}"/>
    <cellStyle name="Note 3 9 8" xfId="41215" xr:uid="{00000000-0005-0000-0000-000005A10000}"/>
    <cellStyle name="Note 3 9 9" xfId="41216" xr:uid="{00000000-0005-0000-0000-000006A10000}"/>
    <cellStyle name="Note 4" xfId="41217" xr:uid="{00000000-0005-0000-0000-000007A10000}"/>
    <cellStyle name="Note 4 10" xfId="41218" xr:uid="{00000000-0005-0000-0000-000008A10000}"/>
    <cellStyle name="Note 4 10 2" xfId="41219" xr:uid="{00000000-0005-0000-0000-000009A10000}"/>
    <cellStyle name="Note 4 10 2 2" xfId="41220" xr:uid="{00000000-0005-0000-0000-00000AA10000}"/>
    <cellStyle name="Note 4 10 2 2 2" xfId="41221" xr:uid="{00000000-0005-0000-0000-00000BA10000}"/>
    <cellStyle name="Note 4 10 2 2 3" xfId="41222" xr:uid="{00000000-0005-0000-0000-00000CA10000}"/>
    <cellStyle name="Note 4 10 2 3" xfId="41223" xr:uid="{00000000-0005-0000-0000-00000DA10000}"/>
    <cellStyle name="Note 4 10 2 4" xfId="41224" xr:uid="{00000000-0005-0000-0000-00000EA10000}"/>
    <cellStyle name="Note 4 10 2 5" xfId="41225" xr:uid="{00000000-0005-0000-0000-00000FA10000}"/>
    <cellStyle name="Note 4 10 2 6" xfId="41226" xr:uid="{00000000-0005-0000-0000-000010A10000}"/>
    <cellStyle name="Note 4 10 3" xfId="41227" xr:uid="{00000000-0005-0000-0000-000011A10000}"/>
    <cellStyle name="Note 4 10 3 2" xfId="41228" xr:uid="{00000000-0005-0000-0000-000012A10000}"/>
    <cellStyle name="Note 4 10 3 2 2" xfId="41229" xr:uid="{00000000-0005-0000-0000-000013A10000}"/>
    <cellStyle name="Note 4 10 3 3" xfId="41230" xr:uid="{00000000-0005-0000-0000-000014A10000}"/>
    <cellStyle name="Note 4 10 3 4" xfId="41231" xr:uid="{00000000-0005-0000-0000-000015A10000}"/>
    <cellStyle name="Note 4 10 3 5" xfId="41232" xr:uid="{00000000-0005-0000-0000-000016A10000}"/>
    <cellStyle name="Note 4 10 4" xfId="41233" xr:uid="{00000000-0005-0000-0000-000017A10000}"/>
    <cellStyle name="Note 4 10 4 2" xfId="41234" xr:uid="{00000000-0005-0000-0000-000018A10000}"/>
    <cellStyle name="Note 4 10 4 3" xfId="41235" xr:uid="{00000000-0005-0000-0000-000019A10000}"/>
    <cellStyle name="Note 4 10 4 4" xfId="41236" xr:uid="{00000000-0005-0000-0000-00001AA10000}"/>
    <cellStyle name="Note 4 10 5" xfId="41237" xr:uid="{00000000-0005-0000-0000-00001BA10000}"/>
    <cellStyle name="Note 4 10 5 2" xfId="41238" xr:uid="{00000000-0005-0000-0000-00001CA10000}"/>
    <cellStyle name="Note 4 10 6" xfId="41239" xr:uid="{00000000-0005-0000-0000-00001DA10000}"/>
    <cellStyle name="Note 4 10 7" xfId="41240" xr:uid="{00000000-0005-0000-0000-00001EA10000}"/>
    <cellStyle name="Note 4 10 8" xfId="41241" xr:uid="{00000000-0005-0000-0000-00001FA10000}"/>
    <cellStyle name="Note 4 10 9" xfId="41242" xr:uid="{00000000-0005-0000-0000-000020A10000}"/>
    <cellStyle name="Note 4 11" xfId="41243" xr:uid="{00000000-0005-0000-0000-000021A10000}"/>
    <cellStyle name="Note 4 11 2" xfId="41244" xr:uid="{00000000-0005-0000-0000-000022A10000}"/>
    <cellStyle name="Note 4 11 2 2" xfId="41245" xr:uid="{00000000-0005-0000-0000-000023A10000}"/>
    <cellStyle name="Note 4 11 2 3" xfId="41246" xr:uid="{00000000-0005-0000-0000-000024A10000}"/>
    <cellStyle name="Note 4 11 3" xfId="41247" xr:uid="{00000000-0005-0000-0000-000025A10000}"/>
    <cellStyle name="Note 4 11 4" xfId="41248" xr:uid="{00000000-0005-0000-0000-000026A10000}"/>
    <cellStyle name="Note 4 11 5" xfId="41249" xr:uid="{00000000-0005-0000-0000-000027A10000}"/>
    <cellStyle name="Note 4 11 6" xfId="41250" xr:uid="{00000000-0005-0000-0000-000028A10000}"/>
    <cellStyle name="Note 4 12" xfId="41251" xr:uid="{00000000-0005-0000-0000-000029A10000}"/>
    <cellStyle name="Note 4 12 2" xfId="41252" xr:uid="{00000000-0005-0000-0000-00002AA10000}"/>
    <cellStyle name="Note 4 12 2 2" xfId="41253" xr:uid="{00000000-0005-0000-0000-00002BA10000}"/>
    <cellStyle name="Note 4 12 3" xfId="41254" xr:uid="{00000000-0005-0000-0000-00002CA10000}"/>
    <cellStyle name="Note 4 12 4" xfId="41255" xr:uid="{00000000-0005-0000-0000-00002DA10000}"/>
    <cellStyle name="Note 4 12 5" xfId="41256" xr:uid="{00000000-0005-0000-0000-00002EA10000}"/>
    <cellStyle name="Note 4 13" xfId="41257" xr:uid="{00000000-0005-0000-0000-00002FA10000}"/>
    <cellStyle name="Note 4 13 2" xfId="41258" xr:uid="{00000000-0005-0000-0000-000030A10000}"/>
    <cellStyle name="Note 4 13 2 2" xfId="41259" xr:uid="{00000000-0005-0000-0000-000031A10000}"/>
    <cellStyle name="Note 4 13 3" xfId="41260" xr:uid="{00000000-0005-0000-0000-000032A10000}"/>
    <cellStyle name="Note 4 13 4" xfId="41261" xr:uid="{00000000-0005-0000-0000-000033A10000}"/>
    <cellStyle name="Note 4 13 5" xfId="41262" xr:uid="{00000000-0005-0000-0000-000034A10000}"/>
    <cellStyle name="Note 4 14" xfId="41263" xr:uid="{00000000-0005-0000-0000-000035A10000}"/>
    <cellStyle name="Note 4 14 2" xfId="41264" xr:uid="{00000000-0005-0000-0000-000036A10000}"/>
    <cellStyle name="Note 4 15" xfId="41265" xr:uid="{00000000-0005-0000-0000-000037A10000}"/>
    <cellStyle name="Note 4 16" xfId="41266" xr:uid="{00000000-0005-0000-0000-000038A10000}"/>
    <cellStyle name="Note 4 17" xfId="41267" xr:uid="{00000000-0005-0000-0000-000039A10000}"/>
    <cellStyle name="Note 4 18" xfId="41268" xr:uid="{00000000-0005-0000-0000-00003AA10000}"/>
    <cellStyle name="Note 4 2" xfId="41269" xr:uid="{00000000-0005-0000-0000-00003BA10000}"/>
    <cellStyle name="Note 4 2 10" xfId="41270" xr:uid="{00000000-0005-0000-0000-00003CA10000}"/>
    <cellStyle name="Note 4 2 2" xfId="41271" xr:uid="{00000000-0005-0000-0000-00003DA10000}"/>
    <cellStyle name="Note 4 2 2 2" xfId="41272" xr:uid="{00000000-0005-0000-0000-00003EA10000}"/>
    <cellStyle name="Note 4 2 2 2 2" xfId="41273" xr:uid="{00000000-0005-0000-0000-00003FA10000}"/>
    <cellStyle name="Note 4 2 2 2 2 2" xfId="41274" xr:uid="{00000000-0005-0000-0000-000040A10000}"/>
    <cellStyle name="Note 4 2 2 2 2 3" xfId="41275" xr:uid="{00000000-0005-0000-0000-000041A10000}"/>
    <cellStyle name="Note 4 2 2 2 3" xfId="41276" xr:uid="{00000000-0005-0000-0000-000042A10000}"/>
    <cellStyle name="Note 4 2 2 2 4" xfId="41277" xr:uid="{00000000-0005-0000-0000-000043A10000}"/>
    <cellStyle name="Note 4 2 2 2 5" xfId="41278" xr:uid="{00000000-0005-0000-0000-000044A10000}"/>
    <cellStyle name="Note 4 2 2 2 6" xfId="41279" xr:uid="{00000000-0005-0000-0000-000045A10000}"/>
    <cellStyle name="Note 4 2 2 3" xfId="41280" xr:uid="{00000000-0005-0000-0000-000046A10000}"/>
    <cellStyle name="Note 4 2 2 3 2" xfId="41281" xr:uid="{00000000-0005-0000-0000-000047A10000}"/>
    <cellStyle name="Note 4 2 2 3 2 2" xfId="41282" xr:uid="{00000000-0005-0000-0000-000048A10000}"/>
    <cellStyle name="Note 4 2 2 3 3" xfId="41283" xr:uid="{00000000-0005-0000-0000-000049A10000}"/>
    <cellStyle name="Note 4 2 2 3 4" xfId="41284" xr:uid="{00000000-0005-0000-0000-00004AA10000}"/>
    <cellStyle name="Note 4 2 2 3 5" xfId="41285" xr:uid="{00000000-0005-0000-0000-00004BA10000}"/>
    <cellStyle name="Note 4 2 2 4" xfId="41286" xr:uid="{00000000-0005-0000-0000-00004CA10000}"/>
    <cellStyle name="Note 4 2 2 4 2" xfId="41287" xr:uid="{00000000-0005-0000-0000-00004DA10000}"/>
    <cellStyle name="Note 4 2 2 4 3" xfId="41288" xr:uid="{00000000-0005-0000-0000-00004EA10000}"/>
    <cellStyle name="Note 4 2 2 4 4" xfId="41289" xr:uid="{00000000-0005-0000-0000-00004FA10000}"/>
    <cellStyle name="Note 4 2 2 5" xfId="41290" xr:uid="{00000000-0005-0000-0000-000050A10000}"/>
    <cellStyle name="Note 4 2 2 5 2" xfId="41291" xr:uid="{00000000-0005-0000-0000-000051A10000}"/>
    <cellStyle name="Note 4 2 2 6" xfId="41292" xr:uid="{00000000-0005-0000-0000-000052A10000}"/>
    <cellStyle name="Note 4 2 2 7" xfId="41293" xr:uid="{00000000-0005-0000-0000-000053A10000}"/>
    <cellStyle name="Note 4 2 2 8" xfId="41294" xr:uid="{00000000-0005-0000-0000-000054A10000}"/>
    <cellStyle name="Note 4 2 2 9" xfId="41295" xr:uid="{00000000-0005-0000-0000-000055A10000}"/>
    <cellStyle name="Note 4 2 3" xfId="41296" xr:uid="{00000000-0005-0000-0000-000056A10000}"/>
    <cellStyle name="Note 4 2 3 2" xfId="41297" xr:uid="{00000000-0005-0000-0000-000057A10000}"/>
    <cellStyle name="Note 4 2 3 2 2" xfId="41298" xr:uid="{00000000-0005-0000-0000-000058A10000}"/>
    <cellStyle name="Note 4 2 3 2 3" xfId="41299" xr:uid="{00000000-0005-0000-0000-000059A10000}"/>
    <cellStyle name="Note 4 2 3 3" xfId="41300" xr:uid="{00000000-0005-0000-0000-00005AA10000}"/>
    <cellStyle name="Note 4 2 3 4" xfId="41301" xr:uid="{00000000-0005-0000-0000-00005BA10000}"/>
    <cellStyle name="Note 4 2 3 5" xfId="41302" xr:uid="{00000000-0005-0000-0000-00005CA10000}"/>
    <cellStyle name="Note 4 2 3 6" xfId="41303" xr:uid="{00000000-0005-0000-0000-00005DA10000}"/>
    <cellStyle name="Note 4 2 4" xfId="41304" xr:uid="{00000000-0005-0000-0000-00005EA10000}"/>
    <cellStyle name="Note 4 2 4 2" xfId="41305" xr:uid="{00000000-0005-0000-0000-00005FA10000}"/>
    <cellStyle name="Note 4 2 4 2 2" xfId="41306" xr:uid="{00000000-0005-0000-0000-000060A10000}"/>
    <cellStyle name="Note 4 2 4 3" xfId="41307" xr:uid="{00000000-0005-0000-0000-000061A10000}"/>
    <cellStyle name="Note 4 2 4 4" xfId="41308" xr:uid="{00000000-0005-0000-0000-000062A10000}"/>
    <cellStyle name="Note 4 2 4 5" xfId="41309" xr:uid="{00000000-0005-0000-0000-000063A10000}"/>
    <cellStyle name="Note 4 2 5" xfId="41310" xr:uid="{00000000-0005-0000-0000-000064A10000}"/>
    <cellStyle name="Note 4 2 5 2" xfId="41311" xr:uid="{00000000-0005-0000-0000-000065A10000}"/>
    <cellStyle name="Note 4 2 5 2 2" xfId="41312" xr:uid="{00000000-0005-0000-0000-000066A10000}"/>
    <cellStyle name="Note 4 2 5 3" xfId="41313" xr:uid="{00000000-0005-0000-0000-000067A10000}"/>
    <cellStyle name="Note 4 2 5 4" xfId="41314" xr:uid="{00000000-0005-0000-0000-000068A10000}"/>
    <cellStyle name="Note 4 2 5 5" xfId="41315" xr:uid="{00000000-0005-0000-0000-000069A10000}"/>
    <cellStyle name="Note 4 2 6" xfId="41316" xr:uid="{00000000-0005-0000-0000-00006AA10000}"/>
    <cellStyle name="Note 4 2 6 2" xfId="41317" xr:uid="{00000000-0005-0000-0000-00006BA10000}"/>
    <cellStyle name="Note 4 2 7" xfId="41318" xr:uid="{00000000-0005-0000-0000-00006CA10000}"/>
    <cellStyle name="Note 4 2 8" xfId="41319" xr:uid="{00000000-0005-0000-0000-00006DA10000}"/>
    <cellStyle name="Note 4 2 9" xfId="41320" xr:uid="{00000000-0005-0000-0000-00006EA10000}"/>
    <cellStyle name="Note 4 3" xfId="41321" xr:uid="{00000000-0005-0000-0000-00006FA10000}"/>
    <cellStyle name="Note 4 3 10" xfId="41322" xr:uid="{00000000-0005-0000-0000-000070A10000}"/>
    <cellStyle name="Note 4 3 2" xfId="41323" xr:uid="{00000000-0005-0000-0000-000071A10000}"/>
    <cellStyle name="Note 4 3 2 2" xfId="41324" xr:uid="{00000000-0005-0000-0000-000072A10000}"/>
    <cellStyle name="Note 4 3 2 2 2" xfId="41325" xr:uid="{00000000-0005-0000-0000-000073A10000}"/>
    <cellStyle name="Note 4 3 2 2 2 2" xfId="41326" xr:uid="{00000000-0005-0000-0000-000074A10000}"/>
    <cellStyle name="Note 4 3 2 2 2 3" xfId="41327" xr:uid="{00000000-0005-0000-0000-000075A10000}"/>
    <cellStyle name="Note 4 3 2 2 3" xfId="41328" xr:uid="{00000000-0005-0000-0000-000076A10000}"/>
    <cellStyle name="Note 4 3 2 2 4" xfId="41329" xr:uid="{00000000-0005-0000-0000-000077A10000}"/>
    <cellStyle name="Note 4 3 2 2 5" xfId="41330" xr:uid="{00000000-0005-0000-0000-000078A10000}"/>
    <cellStyle name="Note 4 3 2 2 6" xfId="41331" xr:uid="{00000000-0005-0000-0000-000079A10000}"/>
    <cellStyle name="Note 4 3 2 3" xfId="41332" xr:uid="{00000000-0005-0000-0000-00007AA10000}"/>
    <cellStyle name="Note 4 3 2 3 2" xfId="41333" xr:uid="{00000000-0005-0000-0000-00007BA10000}"/>
    <cellStyle name="Note 4 3 2 3 2 2" xfId="41334" xr:uid="{00000000-0005-0000-0000-00007CA10000}"/>
    <cellStyle name="Note 4 3 2 3 3" xfId="41335" xr:uid="{00000000-0005-0000-0000-00007DA10000}"/>
    <cellStyle name="Note 4 3 2 3 4" xfId="41336" xr:uid="{00000000-0005-0000-0000-00007EA10000}"/>
    <cellStyle name="Note 4 3 2 3 5" xfId="41337" xr:uid="{00000000-0005-0000-0000-00007FA10000}"/>
    <cellStyle name="Note 4 3 2 4" xfId="41338" xr:uid="{00000000-0005-0000-0000-000080A10000}"/>
    <cellStyle name="Note 4 3 2 4 2" xfId="41339" xr:uid="{00000000-0005-0000-0000-000081A10000}"/>
    <cellStyle name="Note 4 3 2 4 3" xfId="41340" xr:uid="{00000000-0005-0000-0000-000082A10000}"/>
    <cellStyle name="Note 4 3 2 4 4" xfId="41341" xr:uid="{00000000-0005-0000-0000-000083A10000}"/>
    <cellStyle name="Note 4 3 2 5" xfId="41342" xr:uid="{00000000-0005-0000-0000-000084A10000}"/>
    <cellStyle name="Note 4 3 2 5 2" xfId="41343" xr:uid="{00000000-0005-0000-0000-000085A10000}"/>
    <cellStyle name="Note 4 3 2 6" xfId="41344" xr:uid="{00000000-0005-0000-0000-000086A10000}"/>
    <cellStyle name="Note 4 3 2 7" xfId="41345" xr:uid="{00000000-0005-0000-0000-000087A10000}"/>
    <cellStyle name="Note 4 3 2 8" xfId="41346" xr:uid="{00000000-0005-0000-0000-000088A10000}"/>
    <cellStyle name="Note 4 3 2 9" xfId="41347" xr:uid="{00000000-0005-0000-0000-000089A10000}"/>
    <cellStyle name="Note 4 3 3" xfId="41348" xr:uid="{00000000-0005-0000-0000-00008AA10000}"/>
    <cellStyle name="Note 4 3 3 2" xfId="41349" xr:uid="{00000000-0005-0000-0000-00008BA10000}"/>
    <cellStyle name="Note 4 3 3 2 2" xfId="41350" xr:uid="{00000000-0005-0000-0000-00008CA10000}"/>
    <cellStyle name="Note 4 3 3 2 3" xfId="41351" xr:uid="{00000000-0005-0000-0000-00008DA10000}"/>
    <cellStyle name="Note 4 3 3 3" xfId="41352" xr:uid="{00000000-0005-0000-0000-00008EA10000}"/>
    <cellStyle name="Note 4 3 3 4" xfId="41353" xr:uid="{00000000-0005-0000-0000-00008FA10000}"/>
    <cellStyle name="Note 4 3 3 5" xfId="41354" xr:uid="{00000000-0005-0000-0000-000090A10000}"/>
    <cellStyle name="Note 4 3 3 6" xfId="41355" xr:uid="{00000000-0005-0000-0000-000091A10000}"/>
    <cellStyle name="Note 4 3 4" xfId="41356" xr:uid="{00000000-0005-0000-0000-000092A10000}"/>
    <cellStyle name="Note 4 3 4 2" xfId="41357" xr:uid="{00000000-0005-0000-0000-000093A10000}"/>
    <cellStyle name="Note 4 3 4 2 2" xfId="41358" xr:uid="{00000000-0005-0000-0000-000094A10000}"/>
    <cellStyle name="Note 4 3 4 3" xfId="41359" xr:uid="{00000000-0005-0000-0000-000095A10000}"/>
    <cellStyle name="Note 4 3 4 4" xfId="41360" xr:uid="{00000000-0005-0000-0000-000096A10000}"/>
    <cellStyle name="Note 4 3 4 5" xfId="41361" xr:uid="{00000000-0005-0000-0000-000097A10000}"/>
    <cellStyle name="Note 4 3 5" xfId="41362" xr:uid="{00000000-0005-0000-0000-000098A10000}"/>
    <cellStyle name="Note 4 3 5 2" xfId="41363" xr:uid="{00000000-0005-0000-0000-000099A10000}"/>
    <cellStyle name="Note 4 3 5 2 2" xfId="41364" xr:uid="{00000000-0005-0000-0000-00009AA10000}"/>
    <cellStyle name="Note 4 3 5 3" xfId="41365" xr:uid="{00000000-0005-0000-0000-00009BA10000}"/>
    <cellStyle name="Note 4 3 5 4" xfId="41366" xr:uid="{00000000-0005-0000-0000-00009CA10000}"/>
    <cellStyle name="Note 4 3 5 5" xfId="41367" xr:uid="{00000000-0005-0000-0000-00009DA10000}"/>
    <cellStyle name="Note 4 3 6" xfId="41368" xr:uid="{00000000-0005-0000-0000-00009EA10000}"/>
    <cellStyle name="Note 4 3 6 2" xfId="41369" xr:uid="{00000000-0005-0000-0000-00009FA10000}"/>
    <cellStyle name="Note 4 3 7" xfId="41370" xr:uid="{00000000-0005-0000-0000-0000A0A10000}"/>
    <cellStyle name="Note 4 3 8" xfId="41371" xr:uid="{00000000-0005-0000-0000-0000A1A10000}"/>
    <cellStyle name="Note 4 3 9" xfId="41372" xr:uid="{00000000-0005-0000-0000-0000A2A10000}"/>
    <cellStyle name="Note 4 4" xfId="41373" xr:uid="{00000000-0005-0000-0000-0000A3A10000}"/>
    <cellStyle name="Note 4 4 10" xfId="41374" xr:uid="{00000000-0005-0000-0000-0000A4A10000}"/>
    <cellStyle name="Note 4 4 2" xfId="41375" xr:uid="{00000000-0005-0000-0000-0000A5A10000}"/>
    <cellStyle name="Note 4 4 2 2" xfId="41376" xr:uid="{00000000-0005-0000-0000-0000A6A10000}"/>
    <cellStyle name="Note 4 4 2 2 2" xfId="41377" xr:uid="{00000000-0005-0000-0000-0000A7A10000}"/>
    <cellStyle name="Note 4 4 2 2 2 2" xfId="41378" xr:uid="{00000000-0005-0000-0000-0000A8A10000}"/>
    <cellStyle name="Note 4 4 2 2 2 3" xfId="41379" xr:uid="{00000000-0005-0000-0000-0000A9A10000}"/>
    <cellStyle name="Note 4 4 2 2 3" xfId="41380" xr:uid="{00000000-0005-0000-0000-0000AAA10000}"/>
    <cellStyle name="Note 4 4 2 2 4" xfId="41381" xr:uid="{00000000-0005-0000-0000-0000ABA10000}"/>
    <cellStyle name="Note 4 4 2 2 5" xfId="41382" xr:uid="{00000000-0005-0000-0000-0000ACA10000}"/>
    <cellStyle name="Note 4 4 2 2 6" xfId="41383" xr:uid="{00000000-0005-0000-0000-0000ADA10000}"/>
    <cellStyle name="Note 4 4 2 3" xfId="41384" xr:uid="{00000000-0005-0000-0000-0000AEA10000}"/>
    <cellStyle name="Note 4 4 2 3 2" xfId="41385" xr:uid="{00000000-0005-0000-0000-0000AFA10000}"/>
    <cellStyle name="Note 4 4 2 3 2 2" xfId="41386" xr:uid="{00000000-0005-0000-0000-0000B0A10000}"/>
    <cellStyle name="Note 4 4 2 3 3" xfId="41387" xr:uid="{00000000-0005-0000-0000-0000B1A10000}"/>
    <cellStyle name="Note 4 4 2 3 4" xfId="41388" xr:uid="{00000000-0005-0000-0000-0000B2A10000}"/>
    <cellStyle name="Note 4 4 2 3 5" xfId="41389" xr:uid="{00000000-0005-0000-0000-0000B3A10000}"/>
    <cellStyle name="Note 4 4 2 4" xfId="41390" xr:uid="{00000000-0005-0000-0000-0000B4A10000}"/>
    <cellStyle name="Note 4 4 2 4 2" xfId="41391" xr:uid="{00000000-0005-0000-0000-0000B5A10000}"/>
    <cellStyle name="Note 4 4 2 4 3" xfId="41392" xr:uid="{00000000-0005-0000-0000-0000B6A10000}"/>
    <cellStyle name="Note 4 4 2 4 4" xfId="41393" xr:uid="{00000000-0005-0000-0000-0000B7A10000}"/>
    <cellStyle name="Note 4 4 2 5" xfId="41394" xr:uid="{00000000-0005-0000-0000-0000B8A10000}"/>
    <cellStyle name="Note 4 4 2 5 2" xfId="41395" xr:uid="{00000000-0005-0000-0000-0000B9A10000}"/>
    <cellStyle name="Note 4 4 2 6" xfId="41396" xr:uid="{00000000-0005-0000-0000-0000BAA10000}"/>
    <cellStyle name="Note 4 4 2 7" xfId="41397" xr:uid="{00000000-0005-0000-0000-0000BBA10000}"/>
    <cellStyle name="Note 4 4 2 8" xfId="41398" xr:uid="{00000000-0005-0000-0000-0000BCA10000}"/>
    <cellStyle name="Note 4 4 2 9" xfId="41399" xr:uid="{00000000-0005-0000-0000-0000BDA10000}"/>
    <cellStyle name="Note 4 4 3" xfId="41400" xr:uid="{00000000-0005-0000-0000-0000BEA10000}"/>
    <cellStyle name="Note 4 4 3 2" xfId="41401" xr:uid="{00000000-0005-0000-0000-0000BFA10000}"/>
    <cellStyle name="Note 4 4 3 2 2" xfId="41402" xr:uid="{00000000-0005-0000-0000-0000C0A10000}"/>
    <cellStyle name="Note 4 4 3 2 3" xfId="41403" xr:uid="{00000000-0005-0000-0000-0000C1A10000}"/>
    <cellStyle name="Note 4 4 3 3" xfId="41404" xr:uid="{00000000-0005-0000-0000-0000C2A10000}"/>
    <cellStyle name="Note 4 4 3 4" xfId="41405" xr:uid="{00000000-0005-0000-0000-0000C3A10000}"/>
    <cellStyle name="Note 4 4 3 5" xfId="41406" xr:uid="{00000000-0005-0000-0000-0000C4A10000}"/>
    <cellStyle name="Note 4 4 3 6" xfId="41407" xr:uid="{00000000-0005-0000-0000-0000C5A10000}"/>
    <cellStyle name="Note 4 4 4" xfId="41408" xr:uid="{00000000-0005-0000-0000-0000C6A10000}"/>
    <cellStyle name="Note 4 4 4 2" xfId="41409" xr:uid="{00000000-0005-0000-0000-0000C7A10000}"/>
    <cellStyle name="Note 4 4 4 2 2" xfId="41410" xr:uid="{00000000-0005-0000-0000-0000C8A10000}"/>
    <cellStyle name="Note 4 4 4 3" xfId="41411" xr:uid="{00000000-0005-0000-0000-0000C9A10000}"/>
    <cellStyle name="Note 4 4 4 4" xfId="41412" xr:uid="{00000000-0005-0000-0000-0000CAA10000}"/>
    <cellStyle name="Note 4 4 4 5" xfId="41413" xr:uid="{00000000-0005-0000-0000-0000CBA10000}"/>
    <cellStyle name="Note 4 4 5" xfId="41414" xr:uid="{00000000-0005-0000-0000-0000CCA10000}"/>
    <cellStyle name="Note 4 4 5 2" xfId="41415" xr:uid="{00000000-0005-0000-0000-0000CDA10000}"/>
    <cellStyle name="Note 4 4 5 2 2" xfId="41416" xr:uid="{00000000-0005-0000-0000-0000CEA10000}"/>
    <cellStyle name="Note 4 4 5 3" xfId="41417" xr:uid="{00000000-0005-0000-0000-0000CFA10000}"/>
    <cellStyle name="Note 4 4 5 4" xfId="41418" xr:uid="{00000000-0005-0000-0000-0000D0A10000}"/>
    <cellStyle name="Note 4 4 5 5" xfId="41419" xr:uid="{00000000-0005-0000-0000-0000D1A10000}"/>
    <cellStyle name="Note 4 4 6" xfId="41420" xr:uid="{00000000-0005-0000-0000-0000D2A10000}"/>
    <cellStyle name="Note 4 4 6 2" xfId="41421" xr:uid="{00000000-0005-0000-0000-0000D3A10000}"/>
    <cellStyle name="Note 4 4 7" xfId="41422" xr:uid="{00000000-0005-0000-0000-0000D4A10000}"/>
    <cellStyle name="Note 4 4 8" xfId="41423" xr:uid="{00000000-0005-0000-0000-0000D5A10000}"/>
    <cellStyle name="Note 4 4 9" xfId="41424" xr:uid="{00000000-0005-0000-0000-0000D6A10000}"/>
    <cellStyle name="Note 4 5" xfId="41425" xr:uid="{00000000-0005-0000-0000-0000D7A10000}"/>
    <cellStyle name="Note 4 5 10" xfId="41426" xr:uid="{00000000-0005-0000-0000-0000D8A10000}"/>
    <cellStyle name="Note 4 5 2" xfId="41427" xr:uid="{00000000-0005-0000-0000-0000D9A10000}"/>
    <cellStyle name="Note 4 5 2 2" xfId="41428" xr:uid="{00000000-0005-0000-0000-0000DAA10000}"/>
    <cellStyle name="Note 4 5 2 2 2" xfId="41429" xr:uid="{00000000-0005-0000-0000-0000DBA10000}"/>
    <cellStyle name="Note 4 5 2 2 2 2" xfId="41430" xr:uid="{00000000-0005-0000-0000-0000DCA10000}"/>
    <cellStyle name="Note 4 5 2 2 2 3" xfId="41431" xr:uid="{00000000-0005-0000-0000-0000DDA10000}"/>
    <cellStyle name="Note 4 5 2 2 3" xfId="41432" xr:uid="{00000000-0005-0000-0000-0000DEA10000}"/>
    <cellStyle name="Note 4 5 2 2 4" xfId="41433" xr:uid="{00000000-0005-0000-0000-0000DFA10000}"/>
    <cellStyle name="Note 4 5 2 2 5" xfId="41434" xr:uid="{00000000-0005-0000-0000-0000E0A10000}"/>
    <cellStyle name="Note 4 5 2 2 6" xfId="41435" xr:uid="{00000000-0005-0000-0000-0000E1A10000}"/>
    <cellStyle name="Note 4 5 2 3" xfId="41436" xr:uid="{00000000-0005-0000-0000-0000E2A10000}"/>
    <cellStyle name="Note 4 5 2 3 2" xfId="41437" xr:uid="{00000000-0005-0000-0000-0000E3A10000}"/>
    <cellStyle name="Note 4 5 2 3 2 2" xfId="41438" xr:uid="{00000000-0005-0000-0000-0000E4A10000}"/>
    <cellStyle name="Note 4 5 2 3 3" xfId="41439" xr:uid="{00000000-0005-0000-0000-0000E5A10000}"/>
    <cellStyle name="Note 4 5 2 3 4" xfId="41440" xr:uid="{00000000-0005-0000-0000-0000E6A10000}"/>
    <cellStyle name="Note 4 5 2 3 5" xfId="41441" xr:uid="{00000000-0005-0000-0000-0000E7A10000}"/>
    <cellStyle name="Note 4 5 2 4" xfId="41442" xr:uid="{00000000-0005-0000-0000-0000E8A10000}"/>
    <cellStyle name="Note 4 5 2 4 2" xfId="41443" xr:uid="{00000000-0005-0000-0000-0000E9A10000}"/>
    <cellStyle name="Note 4 5 2 4 3" xfId="41444" xr:uid="{00000000-0005-0000-0000-0000EAA10000}"/>
    <cellStyle name="Note 4 5 2 4 4" xfId="41445" xr:uid="{00000000-0005-0000-0000-0000EBA10000}"/>
    <cellStyle name="Note 4 5 2 5" xfId="41446" xr:uid="{00000000-0005-0000-0000-0000ECA10000}"/>
    <cellStyle name="Note 4 5 2 5 2" xfId="41447" xr:uid="{00000000-0005-0000-0000-0000EDA10000}"/>
    <cellStyle name="Note 4 5 2 6" xfId="41448" xr:uid="{00000000-0005-0000-0000-0000EEA10000}"/>
    <cellStyle name="Note 4 5 2 7" xfId="41449" xr:uid="{00000000-0005-0000-0000-0000EFA10000}"/>
    <cellStyle name="Note 4 5 2 8" xfId="41450" xr:uid="{00000000-0005-0000-0000-0000F0A10000}"/>
    <cellStyle name="Note 4 5 2 9" xfId="41451" xr:uid="{00000000-0005-0000-0000-0000F1A10000}"/>
    <cellStyle name="Note 4 5 3" xfId="41452" xr:uid="{00000000-0005-0000-0000-0000F2A10000}"/>
    <cellStyle name="Note 4 5 3 2" xfId="41453" xr:uid="{00000000-0005-0000-0000-0000F3A10000}"/>
    <cellStyle name="Note 4 5 3 2 2" xfId="41454" xr:uid="{00000000-0005-0000-0000-0000F4A10000}"/>
    <cellStyle name="Note 4 5 3 2 3" xfId="41455" xr:uid="{00000000-0005-0000-0000-0000F5A10000}"/>
    <cellStyle name="Note 4 5 3 3" xfId="41456" xr:uid="{00000000-0005-0000-0000-0000F6A10000}"/>
    <cellStyle name="Note 4 5 3 4" xfId="41457" xr:uid="{00000000-0005-0000-0000-0000F7A10000}"/>
    <cellStyle name="Note 4 5 3 5" xfId="41458" xr:uid="{00000000-0005-0000-0000-0000F8A10000}"/>
    <cellStyle name="Note 4 5 3 6" xfId="41459" xr:uid="{00000000-0005-0000-0000-0000F9A10000}"/>
    <cellStyle name="Note 4 5 4" xfId="41460" xr:uid="{00000000-0005-0000-0000-0000FAA10000}"/>
    <cellStyle name="Note 4 5 4 2" xfId="41461" xr:uid="{00000000-0005-0000-0000-0000FBA10000}"/>
    <cellStyle name="Note 4 5 4 2 2" xfId="41462" xr:uid="{00000000-0005-0000-0000-0000FCA10000}"/>
    <cellStyle name="Note 4 5 4 3" xfId="41463" xr:uid="{00000000-0005-0000-0000-0000FDA10000}"/>
    <cellStyle name="Note 4 5 4 4" xfId="41464" xr:uid="{00000000-0005-0000-0000-0000FEA10000}"/>
    <cellStyle name="Note 4 5 4 5" xfId="41465" xr:uid="{00000000-0005-0000-0000-0000FFA10000}"/>
    <cellStyle name="Note 4 5 5" xfId="41466" xr:uid="{00000000-0005-0000-0000-000000A20000}"/>
    <cellStyle name="Note 4 5 5 2" xfId="41467" xr:uid="{00000000-0005-0000-0000-000001A20000}"/>
    <cellStyle name="Note 4 5 5 2 2" xfId="41468" xr:uid="{00000000-0005-0000-0000-000002A20000}"/>
    <cellStyle name="Note 4 5 5 3" xfId="41469" xr:uid="{00000000-0005-0000-0000-000003A20000}"/>
    <cellStyle name="Note 4 5 5 4" xfId="41470" xr:uid="{00000000-0005-0000-0000-000004A20000}"/>
    <cellStyle name="Note 4 5 5 5" xfId="41471" xr:uid="{00000000-0005-0000-0000-000005A20000}"/>
    <cellStyle name="Note 4 5 6" xfId="41472" xr:uid="{00000000-0005-0000-0000-000006A20000}"/>
    <cellStyle name="Note 4 5 6 2" xfId="41473" xr:uid="{00000000-0005-0000-0000-000007A20000}"/>
    <cellStyle name="Note 4 5 7" xfId="41474" xr:uid="{00000000-0005-0000-0000-000008A20000}"/>
    <cellStyle name="Note 4 5 8" xfId="41475" xr:uid="{00000000-0005-0000-0000-000009A20000}"/>
    <cellStyle name="Note 4 5 9" xfId="41476" xr:uid="{00000000-0005-0000-0000-00000AA20000}"/>
    <cellStyle name="Note 4 6" xfId="41477" xr:uid="{00000000-0005-0000-0000-00000BA20000}"/>
    <cellStyle name="Note 4 6 10" xfId="41478" xr:uid="{00000000-0005-0000-0000-00000CA20000}"/>
    <cellStyle name="Note 4 6 2" xfId="41479" xr:uid="{00000000-0005-0000-0000-00000DA20000}"/>
    <cellStyle name="Note 4 6 2 2" xfId="41480" xr:uid="{00000000-0005-0000-0000-00000EA20000}"/>
    <cellStyle name="Note 4 6 2 2 2" xfId="41481" xr:uid="{00000000-0005-0000-0000-00000FA20000}"/>
    <cellStyle name="Note 4 6 2 2 2 2" xfId="41482" xr:uid="{00000000-0005-0000-0000-000010A20000}"/>
    <cellStyle name="Note 4 6 2 2 2 3" xfId="41483" xr:uid="{00000000-0005-0000-0000-000011A20000}"/>
    <cellStyle name="Note 4 6 2 2 3" xfId="41484" xr:uid="{00000000-0005-0000-0000-000012A20000}"/>
    <cellStyle name="Note 4 6 2 2 4" xfId="41485" xr:uid="{00000000-0005-0000-0000-000013A20000}"/>
    <cellStyle name="Note 4 6 2 2 5" xfId="41486" xr:uid="{00000000-0005-0000-0000-000014A20000}"/>
    <cellStyle name="Note 4 6 2 2 6" xfId="41487" xr:uid="{00000000-0005-0000-0000-000015A20000}"/>
    <cellStyle name="Note 4 6 2 3" xfId="41488" xr:uid="{00000000-0005-0000-0000-000016A20000}"/>
    <cellStyle name="Note 4 6 2 3 2" xfId="41489" xr:uid="{00000000-0005-0000-0000-000017A20000}"/>
    <cellStyle name="Note 4 6 2 3 2 2" xfId="41490" xr:uid="{00000000-0005-0000-0000-000018A20000}"/>
    <cellStyle name="Note 4 6 2 3 3" xfId="41491" xr:uid="{00000000-0005-0000-0000-000019A20000}"/>
    <cellStyle name="Note 4 6 2 3 4" xfId="41492" xr:uid="{00000000-0005-0000-0000-00001AA20000}"/>
    <cellStyle name="Note 4 6 2 3 5" xfId="41493" xr:uid="{00000000-0005-0000-0000-00001BA20000}"/>
    <cellStyle name="Note 4 6 2 4" xfId="41494" xr:uid="{00000000-0005-0000-0000-00001CA20000}"/>
    <cellStyle name="Note 4 6 2 4 2" xfId="41495" xr:uid="{00000000-0005-0000-0000-00001DA20000}"/>
    <cellStyle name="Note 4 6 2 4 3" xfId="41496" xr:uid="{00000000-0005-0000-0000-00001EA20000}"/>
    <cellStyle name="Note 4 6 2 4 4" xfId="41497" xr:uid="{00000000-0005-0000-0000-00001FA20000}"/>
    <cellStyle name="Note 4 6 2 5" xfId="41498" xr:uid="{00000000-0005-0000-0000-000020A20000}"/>
    <cellStyle name="Note 4 6 2 5 2" xfId="41499" xr:uid="{00000000-0005-0000-0000-000021A20000}"/>
    <cellStyle name="Note 4 6 2 6" xfId="41500" xr:uid="{00000000-0005-0000-0000-000022A20000}"/>
    <cellStyle name="Note 4 6 2 7" xfId="41501" xr:uid="{00000000-0005-0000-0000-000023A20000}"/>
    <cellStyle name="Note 4 6 2 8" xfId="41502" xr:uid="{00000000-0005-0000-0000-000024A20000}"/>
    <cellStyle name="Note 4 6 2 9" xfId="41503" xr:uid="{00000000-0005-0000-0000-000025A20000}"/>
    <cellStyle name="Note 4 6 3" xfId="41504" xr:uid="{00000000-0005-0000-0000-000026A20000}"/>
    <cellStyle name="Note 4 6 3 2" xfId="41505" xr:uid="{00000000-0005-0000-0000-000027A20000}"/>
    <cellStyle name="Note 4 6 3 2 2" xfId="41506" xr:uid="{00000000-0005-0000-0000-000028A20000}"/>
    <cellStyle name="Note 4 6 3 2 3" xfId="41507" xr:uid="{00000000-0005-0000-0000-000029A20000}"/>
    <cellStyle name="Note 4 6 3 3" xfId="41508" xr:uid="{00000000-0005-0000-0000-00002AA20000}"/>
    <cellStyle name="Note 4 6 3 4" xfId="41509" xr:uid="{00000000-0005-0000-0000-00002BA20000}"/>
    <cellStyle name="Note 4 6 3 5" xfId="41510" xr:uid="{00000000-0005-0000-0000-00002CA20000}"/>
    <cellStyle name="Note 4 6 3 6" xfId="41511" xr:uid="{00000000-0005-0000-0000-00002DA20000}"/>
    <cellStyle name="Note 4 6 4" xfId="41512" xr:uid="{00000000-0005-0000-0000-00002EA20000}"/>
    <cellStyle name="Note 4 6 4 2" xfId="41513" xr:uid="{00000000-0005-0000-0000-00002FA20000}"/>
    <cellStyle name="Note 4 6 4 2 2" xfId="41514" xr:uid="{00000000-0005-0000-0000-000030A20000}"/>
    <cellStyle name="Note 4 6 4 3" xfId="41515" xr:uid="{00000000-0005-0000-0000-000031A20000}"/>
    <cellStyle name="Note 4 6 4 4" xfId="41516" xr:uid="{00000000-0005-0000-0000-000032A20000}"/>
    <cellStyle name="Note 4 6 4 5" xfId="41517" xr:uid="{00000000-0005-0000-0000-000033A20000}"/>
    <cellStyle name="Note 4 6 5" xfId="41518" xr:uid="{00000000-0005-0000-0000-000034A20000}"/>
    <cellStyle name="Note 4 6 5 2" xfId="41519" xr:uid="{00000000-0005-0000-0000-000035A20000}"/>
    <cellStyle name="Note 4 6 5 2 2" xfId="41520" xr:uid="{00000000-0005-0000-0000-000036A20000}"/>
    <cellStyle name="Note 4 6 5 3" xfId="41521" xr:uid="{00000000-0005-0000-0000-000037A20000}"/>
    <cellStyle name="Note 4 6 5 4" xfId="41522" xr:uid="{00000000-0005-0000-0000-000038A20000}"/>
    <cellStyle name="Note 4 6 5 5" xfId="41523" xr:uid="{00000000-0005-0000-0000-000039A20000}"/>
    <cellStyle name="Note 4 6 6" xfId="41524" xr:uid="{00000000-0005-0000-0000-00003AA20000}"/>
    <cellStyle name="Note 4 6 6 2" xfId="41525" xr:uid="{00000000-0005-0000-0000-00003BA20000}"/>
    <cellStyle name="Note 4 6 7" xfId="41526" xr:uid="{00000000-0005-0000-0000-00003CA20000}"/>
    <cellStyle name="Note 4 6 8" xfId="41527" xr:uid="{00000000-0005-0000-0000-00003DA20000}"/>
    <cellStyle name="Note 4 6 9" xfId="41528" xr:uid="{00000000-0005-0000-0000-00003EA20000}"/>
    <cellStyle name="Note 4 7" xfId="41529" xr:uid="{00000000-0005-0000-0000-00003FA20000}"/>
    <cellStyle name="Note 4 7 10" xfId="41530" xr:uid="{00000000-0005-0000-0000-000040A20000}"/>
    <cellStyle name="Note 4 7 2" xfId="41531" xr:uid="{00000000-0005-0000-0000-000041A20000}"/>
    <cellStyle name="Note 4 7 2 2" xfId="41532" xr:uid="{00000000-0005-0000-0000-000042A20000}"/>
    <cellStyle name="Note 4 7 2 2 2" xfId="41533" xr:uid="{00000000-0005-0000-0000-000043A20000}"/>
    <cellStyle name="Note 4 7 2 2 2 2" xfId="41534" xr:uid="{00000000-0005-0000-0000-000044A20000}"/>
    <cellStyle name="Note 4 7 2 2 2 3" xfId="41535" xr:uid="{00000000-0005-0000-0000-000045A20000}"/>
    <cellStyle name="Note 4 7 2 2 3" xfId="41536" xr:uid="{00000000-0005-0000-0000-000046A20000}"/>
    <cellStyle name="Note 4 7 2 2 4" xfId="41537" xr:uid="{00000000-0005-0000-0000-000047A20000}"/>
    <cellStyle name="Note 4 7 2 2 5" xfId="41538" xr:uid="{00000000-0005-0000-0000-000048A20000}"/>
    <cellStyle name="Note 4 7 2 2 6" xfId="41539" xr:uid="{00000000-0005-0000-0000-000049A20000}"/>
    <cellStyle name="Note 4 7 2 3" xfId="41540" xr:uid="{00000000-0005-0000-0000-00004AA20000}"/>
    <cellStyle name="Note 4 7 2 3 2" xfId="41541" xr:uid="{00000000-0005-0000-0000-00004BA20000}"/>
    <cellStyle name="Note 4 7 2 3 2 2" xfId="41542" xr:uid="{00000000-0005-0000-0000-00004CA20000}"/>
    <cellStyle name="Note 4 7 2 3 3" xfId="41543" xr:uid="{00000000-0005-0000-0000-00004DA20000}"/>
    <cellStyle name="Note 4 7 2 3 4" xfId="41544" xr:uid="{00000000-0005-0000-0000-00004EA20000}"/>
    <cellStyle name="Note 4 7 2 3 5" xfId="41545" xr:uid="{00000000-0005-0000-0000-00004FA20000}"/>
    <cellStyle name="Note 4 7 2 4" xfId="41546" xr:uid="{00000000-0005-0000-0000-000050A20000}"/>
    <cellStyle name="Note 4 7 2 4 2" xfId="41547" xr:uid="{00000000-0005-0000-0000-000051A20000}"/>
    <cellStyle name="Note 4 7 2 4 3" xfId="41548" xr:uid="{00000000-0005-0000-0000-000052A20000}"/>
    <cellStyle name="Note 4 7 2 4 4" xfId="41549" xr:uid="{00000000-0005-0000-0000-000053A20000}"/>
    <cellStyle name="Note 4 7 2 5" xfId="41550" xr:uid="{00000000-0005-0000-0000-000054A20000}"/>
    <cellStyle name="Note 4 7 2 5 2" xfId="41551" xr:uid="{00000000-0005-0000-0000-000055A20000}"/>
    <cellStyle name="Note 4 7 2 6" xfId="41552" xr:uid="{00000000-0005-0000-0000-000056A20000}"/>
    <cellStyle name="Note 4 7 2 7" xfId="41553" xr:uid="{00000000-0005-0000-0000-000057A20000}"/>
    <cellStyle name="Note 4 7 2 8" xfId="41554" xr:uid="{00000000-0005-0000-0000-000058A20000}"/>
    <cellStyle name="Note 4 7 2 9" xfId="41555" xr:uid="{00000000-0005-0000-0000-000059A20000}"/>
    <cellStyle name="Note 4 7 3" xfId="41556" xr:uid="{00000000-0005-0000-0000-00005AA20000}"/>
    <cellStyle name="Note 4 7 3 2" xfId="41557" xr:uid="{00000000-0005-0000-0000-00005BA20000}"/>
    <cellStyle name="Note 4 7 3 2 2" xfId="41558" xr:uid="{00000000-0005-0000-0000-00005CA20000}"/>
    <cellStyle name="Note 4 7 3 2 3" xfId="41559" xr:uid="{00000000-0005-0000-0000-00005DA20000}"/>
    <cellStyle name="Note 4 7 3 3" xfId="41560" xr:uid="{00000000-0005-0000-0000-00005EA20000}"/>
    <cellStyle name="Note 4 7 3 4" xfId="41561" xr:uid="{00000000-0005-0000-0000-00005FA20000}"/>
    <cellStyle name="Note 4 7 3 5" xfId="41562" xr:uid="{00000000-0005-0000-0000-000060A20000}"/>
    <cellStyle name="Note 4 7 3 6" xfId="41563" xr:uid="{00000000-0005-0000-0000-000061A20000}"/>
    <cellStyle name="Note 4 7 4" xfId="41564" xr:uid="{00000000-0005-0000-0000-000062A20000}"/>
    <cellStyle name="Note 4 7 4 2" xfId="41565" xr:uid="{00000000-0005-0000-0000-000063A20000}"/>
    <cellStyle name="Note 4 7 4 2 2" xfId="41566" xr:uid="{00000000-0005-0000-0000-000064A20000}"/>
    <cellStyle name="Note 4 7 4 3" xfId="41567" xr:uid="{00000000-0005-0000-0000-000065A20000}"/>
    <cellStyle name="Note 4 7 4 4" xfId="41568" xr:uid="{00000000-0005-0000-0000-000066A20000}"/>
    <cellStyle name="Note 4 7 4 5" xfId="41569" xr:uid="{00000000-0005-0000-0000-000067A20000}"/>
    <cellStyle name="Note 4 7 5" xfId="41570" xr:uid="{00000000-0005-0000-0000-000068A20000}"/>
    <cellStyle name="Note 4 7 5 2" xfId="41571" xr:uid="{00000000-0005-0000-0000-000069A20000}"/>
    <cellStyle name="Note 4 7 5 2 2" xfId="41572" xr:uid="{00000000-0005-0000-0000-00006AA20000}"/>
    <cellStyle name="Note 4 7 5 3" xfId="41573" xr:uid="{00000000-0005-0000-0000-00006BA20000}"/>
    <cellStyle name="Note 4 7 5 4" xfId="41574" xr:uid="{00000000-0005-0000-0000-00006CA20000}"/>
    <cellStyle name="Note 4 7 5 5" xfId="41575" xr:uid="{00000000-0005-0000-0000-00006DA20000}"/>
    <cellStyle name="Note 4 7 6" xfId="41576" xr:uid="{00000000-0005-0000-0000-00006EA20000}"/>
    <cellStyle name="Note 4 7 6 2" xfId="41577" xr:uid="{00000000-0005-0000-0000-00006FA20000}"/>
    <cellStyle name="Note 4 7 7" xfId="41578" xr:uid="{00000000-0005-0000-0000-000070A20000}"/>
    <cellStyle name="Note 4 7 8" xfId="41579" xr:uid="{00000000-0005-0000-0000-000071A20000}"/>
    <cellStyle name="Note 4 7 9" xfId="41580" xr:uid="{00000000-0005-0000-0000-000072A20000}"/>
    <cellStyle name="Note 4 8" xfId="41581" xr:uid="{00000000-0005-0000-0000-000073A20000}"/>
    <cellStyle name="Note 4 8 10" xfId="41582" xr:uid="{00000000-0005-0000-0000-000074A20000}"/>
    <cellStyle name="Note 4 8 2" xfId="41583" xr:uid="{00000000-0005-0000-0000-000075A20000}"/>
    <cellStyle name="Note 4 8 2 2" xfId="41584" xr:uid="{00000000-0005-0000-0000-000076A20000}"/>
    <cellStyle name="Note 4 8 2 2 2" xfId="41585" xr:uid="{00000000-0005-0000-0000-000077A20000}"/>
    <cellStyle name="Note 4 8 2 2 2 2" xfId="41586" xr:uid="{00000000-0005-0000-0000-000078A20000}"/>
    <cellStyle name="Note 4 8 2 2 2 3" xfId="41587" xr:uid="{00000000-0005-0000-0000-000079A20000}"/>
    <cellStyle name="Note 4 8 2 2 3" xfId="41588" xr:uid="{00000000-0005-0000-0000-00007AA20000}"/>
    <cellStyle name="Note 4 8 2 2 4" xfId="41589" xr:uid="{00000000-0005-0000-0000-00007BA20000}"/>
    <cellStyle name="Note 4 8 2 2 5" xfId="41590" xr:uid="{00000000-0005-0000-0000-00007CA20000}"/>
    <cellStyle name="Note 4 8 2 2 6" xfId="41591" xr:uid="{00000000-0005-0000-0000-00007DA20000}"/>
    <cellStyle name="Note 4 8 2 3" xfId="41592" xr:uid="{00000000-0005-0000-0000-00007EA20000}"/>
    <cellStyle name="Note 4 8 2 3 2" xfId="41593" xr:uid="{00000000-0005-0000-0000-00007FA20000}"/>
    <cellStyle name="Note 4 8 2 3 2 2" xfId="41594" xr:uid="{00000000-0005-0000-0000-000080A20000}"/>
    <cellStyle name="Note 4 8 2 3 3" xfId="41595" xr:uid="{00000000-0005-0000-0000-000081A20000}"/>
    <cellStyle name="Note 4 8 2 3 4" xfId="41596" xr:uid="{00000000-0005-0000-0000-000082A20000}"/>
    <cellStyle name="Note 4 8 2 3 5" xfId="41597" xr:uid="{00000000-0005-0000-0000-000083A20000}"/>
    <cellStyle name="Note 4 8 2 4" xfId="41598" xr:uid="{00000000-0005-0000-0000-000084A20000}"/>
    <cellStyle name="Note 4 8 2 4 2" xfId="41599" xr:uid="{00000000-0005-0000-0000-000085A20000}"/>
    <cellStyle name="Note 4 8 2 4 3" xfId="41600" xr:uid="{00000000-0005-0000-0000-000086A20000}"/>
    <cellStyle name="Note 4 8 2 4 4" xfId="41601" xr:uid="{00000000-0005-0000-0000-000087A20000}"/>
    <cellStyle name="Note 4 8 2 5" xfId="41602" xr:uid="{00000000-0005-0000-0000-000088A20000}"/>
    <cellStyle name="Note 4 8 2 5 2" xfId="41603" xr:uid="{00000000-0005-0000-0000-000089A20000}"/>
    <cellStyle name="Note 4 8 2 6" xfId="41604" xr:uid="{00000000-0005-0000-0000-00008AA20000}"/>
    <cellStyle name="Note 4 8 2 7" xfId="41605" xr:uid="{00000000-0005-0000-0000-00008BA20000}"/>
    <cellStyle name="Note 4 8 2 8" xfId="41606" xr:uid="{00000000-0005-0000-0000-00008CA20000}"/>
    <cellStyle name="Note 4 8 2 9" xfId="41607" xr:uid="{00000000-0005-0000-0000-00008DA20000}"/>
    <cellStyle name="Note 4 8 3" xfId="41608" xr:uid="{00000000-0005-0000-0000-00008EA20000}"/>
    <cellStyle name="Note 4 8 3 2" xfId="41609" xr:uid="{00000000-0005-0000-0000-00008FA20000}"/>
    <cellStyle name="Note 4 8 3 2 2" xfId="41610" xr:uid="{00000000-0005-0000-0000-000090A20000}"/>
    <cellStyle name="Note 4 8 3 2 3" xfId="41611" xr:uid="{00000000-0005-0000-0000-000091A20000}"/>
    <cellStyle name="Note 4 8 3 3" xfId="41612" xr:uid="{00000000-0005-0000-0000-000092A20000}"/>
    <cellStyle name="Note 4 8 3 4" xfId="41613" xr:uid="{00000000-0005-0000-0000-000093A20000}"/>
    <cellStyle name="Note 4 8 3 5" xfId="41614" xr:uid="{00000000-0005-0000-0000-000094A20000}"/>
    <cellStyle name="Note 4 8 3 6" xfId="41615" xr:uid="{00000000-0005-0000-0000-000095A20000}"/>
    <cellStyle name="Note 4 8 4" xfId="41616" xr:uid="{00000000-0005-0000-0000-000096A20000}"/>
    <cellStyle name="Note 4 8 4 2" xfId="41617" xr:uid="{00000000-0005-0000-0000-000097A20000}"/>
    <cellStyle name="Note 4 8 4 2 2" xfId="41618" xr:uid="{00000000-0005-0000-0000-000098A20000}"/>
    <cellStyle name="Note 4 8 4 3" xfId="41619" xr:uid="{00000000-0005-0000-0000-000099A20000}"/>
    <cellStyle name="Note 4 8 4 4" xfId="41620" xr:uid="{00000000-0005-0000-0000-00009AA20000}"/>
    <cellStyle name="Note 4 8 4 5" xfId="41621" xr:uid="{00000000-0005-0000-0000-00009BA20000}"/>
    <cellStyle name="Note 4 8 5" xfId="41622" xr:uid="{00000000-0005-0000-0000-00009CA20000}"/>
    <cellStyle name="Note 4 8 5 2" xfId="41623" xr:uid="{00000000-0005-0000-0000-00009DA20000}"/>
    <cellStyle name="Note 4 8 5 2 2" xfId="41624" xr:uid="{00000000-0005-0000-0000-00009EA20000}"/>
    <cellStyle name="Note 4 8 5 3" xfId="41625" xr:uid="{00000000-0005-0000-0000-00009FA20000}"/>
    <cellStyle name="Note 4 8 5 4" xfId="41626" xr:uid="{00000000-0005-0000-0000-0000A0A20000}"/>
    <cellStyle name="Note 4 8 5 5" xfId="41627" xr:uid="{00000000-0005-0000-0000-0000A1A20000}"/>
    <cellStyle name="Note 4 8 6" xfId="41628" xr:uid="{00000000-0005-0000-0000-0000A2A20000}"/>
    <cellStyle name="Note 4 8 6 2" xfId="41629" xr:uid="{00000000-0005-0000-0000-0000A3A20000}"/>
    <cellStyle name="Note 4 8 7" xfId="41630" xr:uid="{00000000-0005-0000-0000-0000A4A20000}"/>
    <cellStyle name="Note 4 8 8" xfId="41631" xr:uid="{00000000-0005-0000-0000-0000A5A20000}"/>
    <cellStyle name="Note 4 8 9" xfId="41632" xr:uid="{00000000-0005-0000-0000-0000A6A20000}"/>
    <cellStyle name="Note 4 9" xfId="41633" xr:uid="{00000000-0005-0000-0000-0000A7A20000}"/>
    <cellStyle name="Note 4 9 10" xfId="41634" xr:uid="{00000000-0005-0000-0000-0000A8A20000}"/>
    <cellStyle name="Note 4 9 2" xfId="41635" xr:uid="{00000000-0005-0000-0000-0000A9A20000}"/>
    <cellStyle name="Note 4 9 2 2" xfId="41636" xr:uid="{00000000-0005-0000-0000-0000AAA20000}"/>
    <cellStyle name="Note 4 9 2 2 2" xfId="41637" xr:uid="{00000000-0005-0000-0000-0000ABA20000}"/>
    <cellStyle name="Note 4 9 2 2 2 2" xfId="41638" xr:uid="{00000000-0005-0000-0000-0000ACA20000}"/>
    <cellStyle name="Note 4 9 2 2 2 3" xfId="41639" xr:uid="{00000000-0005-0000-0000-0000ADA20000}"/>
    <cellStyle name="Note 4 9 2 2 3" xfId="41640" xr:uid="{00000000-0005-0000-0000-0000AEA20000}"/>
    <cellStyle name="Note 4 9 2 2 4" xfId="41641" xr:uid="{00000000-0005-0000-0000-0000AFA20000}"/>
    <cellStyle name="Note 4 9 2 2 5" xfId="41642" xr:uid="{00000000-0005-0000-0000-0000B0A20000}"/>
    <cellStyle name="Note 4 9 2 2 6" xfId="41643" xr:uid="{00000000-0005-0000-0000-0000B1A20000}"/>
    <cellStyle name="Note 4 9 2 3" xfId="41644" xr:uid="{00000000-0005-0000-0000-0000B2A20000}"/>
    <cellStyle name="Note 4 9 2 3 2" xfId="41645" xr:uid="{00000000-0005-0000-0000-0000B3A20000}"/>
    <cellStyle name="Note 4 9 2 3 2 2" xfId="41646" xr:uid="{00000000-0005-0000-0000-0000B4A20000}"/>
    <cellStyle name="Note 4 9 2 3 3" xfId="41647" xr:uid="{00000000-0005-0000-0000-0000B5A20000}"/>
    <cellStyle name="Note 4 9 2 3 4" xfId="41648" xr:uid="{00000000-0005-0000-0000-0000B6A20000}"/>
    <cellStyle name="Note 4 9 2 3 5" xfId="41649" xr:uid="{00000000-0005-0000-0000-0000B7A20000}"/>
    <cellStyle name="Note 4 9 2 4" xfId="41650" xr:uid="{00000000-0005-0000-0000-0000B8A20000}"/>
    <cellStyle name="Note 4 9 2 4 2" xfId="41651" xr:uid="{00000000-0005-0000-0000-0000B9A20000}"/>
    <cellStyle name="Note 4 9 2 4 3" xfId="41652" xr:uid="{00000000-0005-0000-0000-0000BAA20000}"/>
    <cellStyle name="Note 4 9 2 4 4" xfId="41653" xr:uid="{00000000-0005-0000-0000-0000BBA20000}"/>
    <cellStyle name="Note 4 9 2 5" xfId="41654" xr:uid="{00000000-0005-0000-0000-0000BCA20000}"/>
    <cellStyle name="Note 4 9 2 5 2" xfId="41655" xr:uid="{00000000-0005-0000-0000-0000BDA20000}"/>
    <cellStyle name="Note 4 9 2 6" xfId="41656" xr:uid="{00000000-0005-0000-0000-0000BEA20000}"/>
    <cellStyle name="Note 4 9 2 7" xfId="41657" xr:uid="{00000000-0005-0000-0000-0000BFA20000}"/>
    <cellStyle name="Note 4 9 2 8" xfId="41658" xr:uid="{00000000-0005-0000-0000-0000C0A20000}"/>
    <cellStyle name="Note 4 9 2 9" xfId="41659" xr:uid="{00000000-0005-0000-0000-0000C1A20000}"/>
    <cellStyle name="Note 4 9 3" xfId="41660" xr:uid="{00000000-0005-0000-0000-0000C2A20000}"/>
    <cellStyle name="Note 4 9 3 2" xfId="41661" xr:uid="{00000000-0005-0000-0000-0000C3A20000}"/>
    <cellStyle name="Note 4 9 3 2 2" xfId="41662" xr:uid="{00000000-0005-0000-0000-0000C4A20000}"/>
    <cellStyle name="Note 4 9 3 2 3" xfId="41663" xr:uid="{00000000-0005-0000-0000-0000C5A20000}"/>
    <cellStyle name="Note 4 9 3 3" xfId="41664" xr:uid="{00000000-0005-0000-0000-0000C6A20000}"/>
    <cellStyle name="Note 4 9 3 4" xfId="41665" xr:uid="{00000000-0005-0000-0000-0000C7A20000}"/>
    <cellStyle name="Note 4 9 3 5" xfId="41666" xr:uid="{00000000-0005-0000-0000-0000C8A20000}"/>
    <cellStyle name="Note 4 9 3 6" xfId="41667" xr:uid="{00000000-0005-0000-0000-0000C9A20000}"/>
    <cellStyle name="Note 4 9 4" xfId="41668" xr:uid="{00000000-0005-0000-0000-0000CAA20000}"/>
    <cellStyle name="Note 4 9 4 2" xfId="41669" xr:uid="{00000000-0005-0000-0000-0000CBA20000}"/>
    <cellStyle name="Note 4 9 4 2 2" xfId="41670" xr:uid="{00000000-0005-0000-0000-0000CCA20000}"/>
    <cellStyle name="Note 4 9 4 3" xfId="41671" xr:uid="{00000000-0005-0000-0000-0000CDA20000}"/>
    <cellStyle name="Note 4 9 4 4" xfId="41672" xr:uid="{00000000-0005-0000-0000-0000CEA20000}"/>
    <cellStyle name="Note 4 9 4 5" xfId="41673" xr:uid="{00000000-0005-0000-0000-0000CFA20000}"/>
    <cellStyle name="Note 4 9 5" xfId="41674" xr:uid="{00000000-0005-0000-0000-0000D0A20000}"/>
    <cellStyle name="Note 4 9 5 2" xfId="41675" xr:uid="{00000000-0005-0000-0000-0000D1A20000}"/>
    <cellStyle name="Note 4 9 5 3" xfId="41676" xr:uid="{00000000-0005-0000-0000-0000D2A20000}"/>
    <cellStyle name="Note 4 9 5 4" xfId="41677" xr:uid="{00000000-0005-0000-0000-0000D3A20000}"/>
    <cellStyle name="Note 4 9 6" xfId="41678" xr:uid="{00000000-0005-0000-0000-0000D4A20000}"/>
    <cellStyle name="Note 4 9 6 2" xfId="41679" xr:uid="{00000000-0005-0000-0000-0000D5A20000}"/>
    <cellStyle name="Note 4 9 7" xfId="41680" xr:uid="{00000000-0005-0000-0000-0000D6A20000}"/>
    <cellStyle name="Note 4 9 8" xfId="41681" xr:uid="{00000000-0005-0000-0000-0000D7A20000}"/>
    <cellStyle name="Note 4 9 9" xfId="41682" xr:uid="{00000000-0005-0000-0000-0000D8A20000}"/>
    <cellStyle name="Note 5" xfId="41683" xr:uid="{00000000-0005-0000-0000-0000D9A20000}"/>
    <cellStyle name="Note 5 10" xfId="41684" xr:uid="{00000000-0005-0000-0000-0000DAA20000}"/>
    <cellStyle name="Note 5 11" xfId="41685" xr:uid="{00000000-0005-0000-0000-0000DBA20000}"/>
    <cellStyle name="Note 5 2" xfId="41686" xr:uid="{00000000-0005-0000-0000-0000DCA20000}"/>
    <cellStyle name="Note 5 2 10" xfId="41687" xr:uid="{00000000-0005-0000-0000-0000DDA20000}"/>
    <cellStyle name="Note 5 2 2" xfId="41688" xr:uid="{00000000-0005-0000-0000-0000DEA20000}"/>
    <cellStyle name="Note 5 2 2 2" xfId="41689" xr:uid="{00000000-0005-0000-0000-0000DFA20000}"/>
    <cellStyle name="Note 5 2 2 2 2" xfId="41690" xr:uid="{00000000-0005-0000-0000-0000E0A20000}"/>
    <cellStyle name="Note 5 2 2 2 2 2" xfId="41691" xr:uid="{00000000-0005-0000-0000-0000E1A20000}"/>
    <cellStyle name="Note 5 2 2 2 2 3" xfId="41692" xr:uid="{00000000-0005-0000-0000-0000E2A20000}"/>
    <cellStyle name="Note 5 2 2 2 3" xfId="41693" xr:uid="{00000000-0005-0000-0000-0000E3A20000}"/>
    <cellStyle name="Note 5 2 2 2 4" xfId="41694" xr:uid="{00000000-0005-0000-0000-0000E4A20000}"/>
    <cellStyle name="Note 5 2 2 2 5" xfId="41695" xr:uid="{00000000-0005-0000-0000-0000E5A20000}"/>
    <cellStyle name="Note 5 2 2 2 6" xfId="41696" xr:uid="{00000000-0005-0000-0000-0000E6A20000}"/>
    <cellStyle name="Note 5 2 2 3" xfId="41697" xr:uid="{00000000-0005-0000-0000-0000E7A20000}"/>
    <cellStyle name="Note 5 2 2 3 2" xfId="41698" xr:uid="{00000000-0005-0000-0000-0000E8A20000}"/>
    <cellStyle name="Note 5 2 2 3 2 2" xfId="41699" xr:uid="{00000000-0005-0000-0000-0000E9A20000}"/>
    <cellStyle name="Note 5 2 2 3 3" xfId="41700" xr:uid="{00000000-0005-0000-0000-0000EAA20000}"/>
    <cellStyle name="Note 5 2 2 3 4" xfId="41701" xr:uid="{00000000-0005-0000-0000-0000EBA20000}"/>
    <cellStyle name="Note 5 2 2 3 5" xfId="41702" xr:uid="{00000000-0005-0000-0000-0000ECA20000}"/>
    <cellStyle name="Note 5 2 2 4" xfId="41703" xr:uid="{00000000-0005-0000-0000-0000EDA20000}"/>
    <cellStyle name="Note 5 2 2 4 2" xfId="41704" xr:uid="{00000000-0005-0000-0000-0000EEA20000}"/>
    <cellStyle name="Note 5 2 2 4 3" xfId="41705" xr:uid="{00000000-0005-0000-0000-0000EFA20000}"/>
    <cellStyle name="Note 5 2 2 4 4" xfId="41706" xr:uid="{00000000-0005-0000-0000-0000F0A20000}"/>
    <cellStyle name="Note 5 2 2 5" xfId="41707" xr:uid="{00000000-0005-0000-0000-0000F1A20000}"/>
    <cellStyle name="Note 5 2 2 5 2" xfId="41708" xr:uid="{00000000-0005-0000-0000-0000F2A20000}"/>
    <cellStyle name="Note 5 2 2 6" xfId="41709" xr:uid="{00000000-0005-0000-0000-0000F3A20000}"/>
    <cellStyle name="Note 5 2 2 7" xfId="41710" xr:uid="{00000000-0005-0000-0000-0000F4A20000}"/>
    <cellStyle name="Note 5 2 2 8" xfId="41711" xr:uid="{00000000-0005-0000-0000-0000F5A20000}"/>
    <cellStyle name="Note 5 2 2 9" xfId="41712" xr:uid="{00000000-0005-0000-0000-0000F6A20000}"/>
    <cellStyle name="Note 5 2 3" xfId="41713" xr:uid="{00000000-0005-0000-0000-0000F7A20000}"/>
    <cellStyle name="Note 5 2 3 2" xfId="41714" xr:uid="{00000000-0005-0000-0000-0000F8A20000}"/>
    <cellStyle name="Note 5 2 3 2 2" xfId="41715" xr:uid="{00000000-0005-0000-0000-0000F9A20000}"/>
    <cellStyle name="Note 5 2 3 2 3" xfId="41716" xr:uid="{00000000-0005-0000-0000-0000FAA20000}"/>
    <cellStyle name="Note 5 2 3 3" xfId="41717" xr:uid="{00000000-0005-0000-0000-0000FBA20000}"/>
    <cellStyle name="Note 5 2 3 4" xfId="41718" xr:uid="{00000000-0005-0000-0000-0000FCA20000}"/>
    <cellStyle name="Note 5 2 3 5" xfId="41719" xr:uid="{00000000-0005-0000-0000-0000FDA20000}"/>
    <cellStyle name="Note 5 2 3 6" xfId="41720" xr:uid="{00000000-0005-0000-0000-0000FEA20000}"/>
    <cellStyle name="Note 5 2 4" xfId="41721" xr:uid="{00000000-0005-0000-0000-0000FFA20000}"/>
    <cellStyle name="Note 5 2 4 2" xfId="41722" xr:uid="{00000000-0005-0000-0000-000000A30000}"/>
    <cellStyle name="Note 5 2 4 2 2" xfId="41723" xr:uid="{00000000-0005-0000-0000-000001A30000}"/>
    <cellStyle name="Note 5 2 4 3" xfId="41724" xr:uid="{00000000-0005-0000-0000-000002A30000}"/>
    <cellStyle name="Note 5 2 4 4" xfId="41725" xr:uid="{00000000-0005-0000-0000-000003A30000}"/>
    <cellStyle name="Note 5 2 4 5" xfId="41726" xr:uid="{00000000-0005-0000-0000-000004A30000}"/>
    <cellStyle name="Note 5 2 5" xfId="41727" xr:uid="{00000000-0005-0000-0000-000005A30000}"/>
    <cellStyle name="Note 5 2 5 2" xfId="41728" xr:uid="{00000000-0005-0000-0000-000006A30000}"/>
    <cellStyle name="Note 5 2 5 3" xfId="41729" xr:uid="{00000000-0005-0000-0000-000007A30000}"/>
    <cellStyle name="Note 5 2 5 4" xfId="41730" xr:uid="{00000000-0005-0000-0000-000008A30000}"/>
    <cellStyle name="Note 5 2 6" xfId="41731" xr:uid="{00000000-0005-0000-0000-000009A30000}"/>
    <cellStyle name="Note 5 2 6 2" xfId="41732" xr:uid="{00000000-0005-0000-0000-00000AA30000}"/>
    <cellStyle name="Note 5 2 7" xfId="41733" xr:uid="{00000000-0005-0000-0000-00000BA30000}"/>
    <cellStyle name="Note 5 2 8" xfId="41734" xr:uid="{00000000-0005-0000-0000-00000CA30000}"/>
    <cellStyle name="Note 5 2 9" xfId="41735" xr:uid="{00000000-0005-0000-0000-00000DA30000}"/>
    <cellStyle name="Note 5 3" xfId="41736" xr:uid="{00000000-0005-0000-0000-00000EA30000}"/>
    <cellStyle name="Note 5 3 2" xfId="41737" xr:uid="{00000000-0005-0000-0000-00000FA30000}"/>
    <cellStyle name="Note 5 3 2 2" xfId="41738" xr:uid="{00000000-0005-0000-0000-000010A30000}"/>
    <cellStyle name="Note 5 3 2 2 2" xfId="41739" xr:uid="{00000000-0005-0000-0000-000011A30000}"/>
    <cellStyle name="Note 5 3 2 2 3" xfId="41740" xr:uid="{00000000-0005-0000-0000-000012A30000}"/>
    <cellStyle name="Note 5 3 2 3" xfId="41741" xr:uid="{00000000-0005-0000-0000-000013A30000}"/>
    <cellStyle name="Note 5 3 2 4" xfId="41742" xr:uid="{00000000-0005-0000-0000-000014A30000}"/>
    <cellStyle name="Note 5 3 2 5" xfId="41743" xr:uid="{00000000-0005-0000-0000-000015A30000}"/>
    <cellStyle name="Note 5 3 2 6" xfId="41744" xr:uid="{00000000-0005-0000-0000-000016A30000}"/>
    <cellStyle name="Note 5 3 3" xfId="41745" xr:uid="{00000000-0005-0000-0000-000017A30000}"/>
    <cellStyle name="Note 5 3 3 2" xfId="41746" xr:uid="{00000000-0005-0000-0000-000018A30000}"/>
    <cellStyle name="Note 5 3 3 2 2" xfId="41747" xr:uid="{00000000-0005-0000-0000-000019A30000}"/>
    <cellStyle name="Note 5 3 3 3" xfId="41748" xr:uid="{00000000-0005-0000-0000-00001AA30000}"/>
    <cellStyle name="Note 5 3 3 4" xfId="41749" xr:uid="{00000000-0005-0000-0000-00001BA30000}"/>
    <cellStyle name="Note 5 3 3 5" xfId="41750" xr:uid="{00000000-0005-0000-0000-00001CA30000}"/>
    <cellStyle name="Note 5 3 4" xfId="41751" xr:uid="{00000000-0005-0000-0000-00001DA30000}"/>
    <cellStyle name="Note 5 3 4 2" xfId="41752" xr:uid="{00000000-0005-0000-0000-00001EA30000}"/>
    <cellStyle name="Note 5 3 4 3" xfId="41753" xr:uid="{00000000-0005-0000-0000-00001FA30000}"/>
    <cellStyle name="Note 5 3 4 4" xfId="41754" xr:uid="{00000000-0005-0000-0000-000020A30000}"/>
    <cellStyle name="Note 5 3 5" xfId="41755" xr:uid="{00000000-0005-0000-0000-000021A30000}"/>
    <cellStyle name="Note 5 3 5 2" xfId="41756" xr:uid="{00000000-0005-0000-0000-000022A30000}"/>
    <cellStyle name="Note 5 3 6" xfId="41757" xr:uid="{00000000-0005-0000-0000-000023A30000}"/>
    <cellStyle name="Note 5 3 7" xfId="41758" xr:uid="{00000000-0005-0000-0000-000024A30000}"/>
    <cellStyle name="Note 5 3 8" xfId="41759" xr:uid="{00000000-0005-0000-0000-000025A30000}"/>
    <cellStyle name="Note 5 3 9" xfId="41760" xr:uid="{00000000-0005-0000-0000-000026A30000}"/>
    <cellStyle name="Note 5 4" xfId="41761" xr:uid="{00000000-0005-0000-0000-000027A30000}"/>
    <cellStyle name="Note 5 4 2" xfId="41762" xr:uid="{00000000-0005-0000-0000-000028A30000}"/>
    <cellStyle name="Note 5 4 2 2" xfId="41763" xr:uid="{00000000-0005-0000-0000-000029A30000}"/>
    <cellStyle name="Note 5 4 2 3" xfId="41764" xr:uid="{00000000-0005-0000-0000-00002AA30000}"/>
    <cellStyle name="Note 5 4 3" xfId="41765" xr:uid="{00000000-0005-0000-0000-00002BA30000}"/>
    <cellStyle name="Note 5 4 4" xfId="41766" xr:uid="{00000000-0005-0000-0000-00002CA30000}"/>
    <cellStyle name="Note 5 4 5" xfId="41767" xr:uid="{00000000-0005-0000-0000-00002DA30000}"/>
    <cellStyle name="Note 5 4 6" xfId="41768" xr:uid="{00000000-0005-0000-0000-00002EA30000}"/>
    <cellStyle name="Note 5 5" xfId="41769" xr:uid="{00000000-0005-0000-0000-00002FA30000}"/>
    <cellStyle name="Note 5 5 2" xfId="41770" xr:uid="{00000000-0005-0000-0000-000030A30000}"/>
    <cellStyle name="Note 5 5 2 2" xfId="41771" xr:uid="{00000000-0005-0000-0000-000031A30000}"/>
    <cellStyle name="Note 5 5 3" xfId="41772" xr:uid="{00000000-0005-0000-0000-000032A30000}"/>
    <cellStyle name="Note 5 5 4" xfId="41773" xr:uid="{00000000-0005-0000-0000-000033A30000}"/>
    <cellStyle name="Note 5 5 5" xfId="41774" xr:uid="{00000000-0005-0000-0000-000034A30000}"/>
    <cellStyle name="Note 5 6" xfId="41775" xr:uid="{00000000-0005-0000-0000-000035A30000}"/>
    <cellStyle name="Note 5 6 2" xfId="41776" xr:uid="{00000000-0005-0000-0000-000036A30000}"/>
    <cellStyle name="Note 5 6 2 2" xfId="41777" xr:uid="{00000000-0005-0000-0000-000037A30000}"/>
    <cellStyle name="Note 5 6 3" xfId="41778" xr:uid="{00000000-0005-0000-0000-000038A30000}"/>
    <cellStyle name="Note 5 6 4" xfId="41779" xr:uid="{00000000-0005-0000-0000-000039A30000}"/>
    <cellStyle name="Note 5 6 5" xfId="41780" xr:uid="{00000000-0005-0000-0000-00003AA30000}"/>
    <cellStyle name="Note 5 7" xfId="41781" xr:uid="{00000000-0005-0000-0000-00003BA30000}"/>
    <cellStyle name="Note 5 7 2" xfId="41782" xr:uid="{00000000-0005-0000-0000-00003CA30000}"/>
    <cellStyle name="Note 5 8" xfId="41783" xr:uid="{00000000-0005-0000-0000-00003DA30000}"/>
    <cellStyle name="Note 5 9" xfId="41784" xr:uid="{00000000-0005-0000-0000-00003EA30000}"/>
    <cellStyle name="Note 6" xfId="41785" xr:uid="{00000000-0005-0000-0000-00003FA30000}"/>
    <cellStyle name="Note 6 10" xfId="41786" xr:uid="{00000000-0005-0000-0000-000040A30000}"/>
    <cellStyle name="Note 6 11" xfId="41787" xr:uid="{00000000-0005-0000-0000-000041A30000}"/>
    <cellStyle name="Note 6 2" xfId="41788" xr:uid="{00000000-0005-0000-0000-000042A30000}"/>
    <cellStyle name="Note 6 2 10" xfId="41789" xr:uid="{00000000-0005-0000-0000-000043A30000}"/>
    <cellStyle name="Note 6 2 2" xfId="41790" xr:uid="{00000000-0005-0000-0000-000044A30000}"/>
    <cellStyle name="Note 6 2 2 2" xfId="41791" xr:uid="{00000000-0005-0000-0000-000045A30000}"/>
    <cellStyle name="Note 6 2 2 2 2" xfId="41792" xr:uid="{00000000-0005-0000-0000-000046A30000}"/>
    <cellStyle name="Note 6 2 2 2 2 2" xfId="41793" xr:uid="{00000000-0005-0000-0000-000047A30000}"/>
    <cellStyle name="Note 6 2 2 2 2 3" xfId="41794" xr:uid="{00000000-0005-0000-0000-000048A30000}"/>
    <cellStyle name="Note 6 2 2 2 3" xfId="41795" xr:uid="{00000000-0005-0000-0000-000049A30000}"/>
    <cellStyle name="Note 6 2 2 2 4" xfId="41796" xr:uid="{00000000-0005-0000-0000-00004AA30000}"/>
    <cellStyle name="Note 6 2 2 2 5" xfId="41797" xr:uid="{00000000-0005-0000-0000-00004BA30000}"/>
    <cellStyle name="Note 6 2 2 2 6" xfId="41798" xr:uid="{00000000-0005-0000-0000-00004CA30000}"/>
    <cellStyle name="Note 6 2 2 3" xfId="41799" xr:uid="{00000000-0005-0000-0000-00004DA30000}"/>
    <cellStyle name="Note 6 2 2 3 2" xfId="41800" xr:uid="{00000000-0005-0000-0000-00004EA30000}"/>
    <cellStyle name="Note 6 2 2 3 2 2" xfId="41801" xr:uid="{00000000-0005-0000-0000-00004FA30000}"/>
    <cellStyle name="Note 6 2 2 3 3" xfId="41802" xr:uid="{00000000-0005-0000-0000-000050A30000}"/>
    <cellStyle name="Note 6 2 2 3 4" xfId="41803" xr:uid="{00000000-0005-0000-0000-000051A30000}"/>
    <cellStyle name="Note 6 2 2 3 5" xfId="41804" xr:uid="{00000000-0005-0000-0000-000052A30000}"/>
    <cellStyle name="Note 6 2 2 4" xfId="41805" xr:uid="{00000000-0005-0000-0000-000053A30000}"/>
    <cellStyle name="Note 6 2 2 4 2" xfId="41806" xr:uid="{00000000-0005-0000-0000-000054A30000}"/>
    <cellStyle name="Note 6 2 2 4 3" xfId="41807" xr:uid="{00000000-0005-0000-0000-000055A30000}"/>
    <cellStyle name="Note 6 2 2 4 4" xfId="41808" xr:uid="{00000000-0005-0000-0000-000056A30000}"/>
    <cellStyle name="Note 6 2 2 5" xfId="41809" xr:uid="{00000000-0005-0000-0000-000057A30000}"/>
    <cellStyle name="Note 6 2 2 5 2" xfId="41810" xr:uid="{00000000-0005-0000-0000-000058A30000}"/>
    <cellStyle name="Note 6 2 2 6" xfId="41811" xr:uid="{00000000-0005-0000-0000-000059A30000}"/>
    <cellStyle name="Note 6 2 2 7" xfId="41812" xr:uid="{00000000-0005-0000-0000-00005AA30000}"/>
    <cellStyle name="Note 6 2 2 8" xfId="41813" xr:uid="{00000000-0005-0000-0000-00005BA30000}"/>
    <cellStyle name="Note 6 2 2 9" xfId="41814" xr:uid="{00000000-0005-0000-0000-00005CA30000}"/>
    <cellStyle name="Note 6 2 3" xfId="41815" xr:uid="{00000000-0005-0000-0000-00005DA30000}"/>
    <cellStyle name="Note 6 2 3 2" xfId="41816" xr:uid="{00000000-0005-0000-0000-00005EA30000}"/>
    <cellStyle name="Note 6 2 3 2 2" xfId="41817" xr:uid="{00000000-0005-0000-0000-00005FA30000}"/>
    <cellStyle name="Note 6 2 3 2 3" xfId="41818" xr:uid="{00000000-0005-0000-0000-000060A30000}"/>
    <cellStyle name="Note 6 2 3 3" xfId="41819" xr:uid="{00000000-0005-0000-0000-000061A30000}"/>
    <cellStyle name="Note 6 2 3 4" xfId="41820" xr:uid="{00000000-0005-0000-0000-000062A30000}"/>
    <cellStyle name="Note 6 2 3 5" xfId="41821" xr:uid="{00000000-0005-0000-0000-000063A30000}"/>
    <cellStyle name="Note 6 2 3 6" xfId="41822" xr:uid="{00000000-0005-0000-0000-000064A30000}"/>
    <cellStyle name="Note 6 2 4" xfId="41823" xr:uid="{00000000-0005-0000-0000-000065A30000}"/>
    <cellStyle name="Note 6 2 4 2" xfId="41824" xr:uid="{00000000-0005-0000-0000-000066A30000}"/>
    <cellStyle name="Note 6 2 4 2 2" xfId="41825" xr:uid="{00000000-0005-0000-0000-000067A30000}"/>
    <cellStyle name="Note 6 2 4 3" xfId="41826" xr:uid="{00000000-0005-0000-0000-000068A30000}"/>
    <cellStyle name="Note 6 2 4 4" xfId="41827" xr:uid="{00000000-0005-0000-0000-000069A30000}"/>
    <cellStyle name="Note 6 2 4 5" xfId="41828" xr:uid="{00000000-0005-0000-0000-00006AA30000}"/>
    <cellStyle name="Note 6 2 5" xfId="41829" xr:uid="{00000000-0005-0000-0000-00006BA30000}"/>
    <cellStyle name="Note 6 2 5 2" xfId="41830" xr:uid="{00000000-0005-0000-0000-00006CA30000}"/>
    <cellStyle name="Note 6 2 5 3" xfId="41831" xr:uid="{00000000-0005-0000-0000-00006DA30000}"/>
    <cellStyle name="Note 6 2 5 4" xfId="41832" xr:uid="{00000000-0005-0000-0000-00006EA30000}"/>
    <cellStyle name="Note 6 2 6" xfId="41833" xr:uid="{00000000-0005-0000-0000-00006FA30000}"/>
    <cellStyle name="Note 6 2 6 2" xfId="41834" xr:uid="{00000000-0005-0000-0000-000070A30000}"/>
    <cellStyle name="Note 6 2 7" xfId="41835" xr:uid="{00000000-0005-0000-0000-000071A30000}"/>
    <cellStyle name="Note 6 2 8" xfId="41836" xr:uid="{00000000-0005-0000-0000-000072A30000}"/>
    <cellStyle name="Note 6 2 9" xfId="41837" xr:uid="{00000000-0005-0000-0000-000073A30000}"/>
    <cellStyle name="Note 6 3" xfId="41838" xr:uid="{00000000-0005-0000-0000-000074A30000}"/>
    <cellStyle name="Note 6 3 2" xfId="41839" xr:uid="{00000000-0005-0000-0000-000075A30000}"/>
    <cellStyle name="Note 6 3 2 2" xfId="41840" xr:uid="{00000000-0005-0000-0000-000076A30000}"/>
    <cellStyle name="Note 6 3 2 2 2" xfId="41841" xr:uid="{00000000-0005-0000-0000-000077A30000}"/>
    <cellStyle name="Note 6 3 2 2 3" xfId="41842" xr:uid="{00000000-0005-0000-0000-000078A30000}"/>
    <cellStyle name="Note 6 3 2 3" xfId="41843" xr:uid="{00000000-0005-0000-0000-000079A30000}"/>
    <cellStyle name="Note 6 3 2 4" xfId="41844" xr:uid="{00000000-0005-0000-0000-00007AA30000}"/>
    <cellStyle name="Note 6 3 2 5" xfId="41845" xr:uid="{00000000-0005-0000-0000-00007BA30000}"/>
    <cellStyle name="Note 6 3 2 6" xfId="41846" xr:uid="{00000000-0005-0000-0000-00007CA30000}"/>
    <cellStyle name="Note 6 3 3" xfId="41847" xr:uid="{00000000-0005-0000-0000-00007DA30000}"/>
    <cellStyle name="Note 6 3 3 2" xfId="41848" xr:uid="{00000000-0005-0000-0000-00007EA30000}"/>
    <cellStyle name="Note 6 3 3 2 2" xfId="41849" xr:uid="{00000000-0005-0000-0000-00007FA30000}"/>
    <cellStyle name="Note 6 3 3 3" xfId="41850" xr:uid="{00000000-0005-0000-0000-000080A30000}"/>
    <cellStyle name="Note 6 3 3 4" xfId="41851" xr:uid="{00000000-0005-0000-0000-000081A30000}"/>
    <cellStyle name="Note 6 3 3 5" xfId="41852" xr:uid="{00000000-0005-0000-0000-000082A30000}"/>
    <cellStyle name="Note 6 3 4" xfId="41853" xr:uid="{00000000-0005-0000-0000-000083A30000}"/>
    <cellStyle name="Note 6 3 4 2" xfId="41854" xr:uid="{00000000-0005-0000-0000-000084A30000}"/>
    <cellStyle name="Note 6 3 4 3" xfId="41855" xr:uid="{00000000-0005-0000-0000-000085A30000}"/>
    <cellStyle name="Note 6 3 4 4" xfId="41856" xr:uid="{00000000-0005-0000-0000-000086A30000}"/>
    <cellStyle name="Note 6 3 5" xfId="41857" xr:uid="{00000000-0005-0000-0000-000087A30000}"/>
    <cellStyle name="Note 6 3 5 2" xfId="41858" xr:uid="{00000000-0005-0000-0000-000088A30000}"/>
    <cellStyle name="Note 6 3 6" xfId="41859" xr:uid="{00000000-0005-0000-0000-000089A30000}"/>
    <cellStyle name="Note 6 3 7" xfId="41860" xr:uid="{00000000-0005-0000-0000-00008AA30000}"/>
    <cellStyle name="Note 6 3 8" xfId="41861" xr:uid="{00000000-0005-0000-0000-00008BA30000}"/>
    <cellStyle name="Note 6 3 9" xfId="41862" xr:uid="{00000000-0005-0000-0000-00008CA30000}"/>
    <cellStyle name="Note 6 4" xfId="41863" xr:uid="{00000000-0005-0000-0000-00008DA30000}"/>
    <cellStyle name="Note 6 4 2" xfId="41864" xr:uid="{00000000-0005-0000-0000-00008EA30000}"/>
    <cellStyle name="Note 6 4 2 2" xfId="41865" xr:uid="{00000000-0005-0000-0000-00008FA30000}"/>
    <cellStyle name="Note 6 4 2 3" xfId="41866" xr:uid="{00000000-0005-0000-0000-000090A30000}"/>
    <cellStyle name="Note 6 4 3" xfId="41867" xr:uid="{00000000-0005-0000-0000-000091A30000}"/>
    <cellStyle name="Note 6 4 4" xfId="41868" xr:uid="{00000000-0005-0000-0000-000092A30000}"/>
    <cellStyle name="Note 6 4 5" xfId="41869" xr:uid="{00000000-0005-0000-0000-000093A30000}"/>
    <cellStyle name="Note 6 4 6" xfId="41870" xr:uid="{00000000-0005-0000-0000-000094A30000}"/>
    <cellStyle name="Note 6 5" xfId="41871" xr:uid="{00000000-0005-0000-0000-000095A30000}"/>
    <cellStyle name="Note 6 5 2" xfId="41872" xr:uid="{00000000-0005-0000-0000-000096A30000}"/>
    <cellStyle name="Note 6 5 2 2" xfId="41873" xr:uid="{00000000-0005-0000-0000-000097A30000}"/>
    <cellStyle name="Note 6 5 3" xfId="41874" xr:uid="{00000000-0005-0000-0000-000098A30000}"/>
    <cellStyle name="Note 6 5 4" xfId="41875" xr:uid="{00000000-0005-0000-0000-000099A30000}"/>
    <cellStyle name="Note 6 5 5" xfId="41876" xr:uid="{00000000-0005-0000-0000-00009AA30000}"/>
    <cellStyle name="Note 6 6" xfId="41877" xr:uid="{00000000-0005-0000-0000-00009BA30000}"/>
    <cellStyle name="Note 6 6 2" xfId="41878" xr:uid="{00000000-0005-0000-0000-00009CA30000}"/>
    <cellStyle name="Note 6 6 2 2" xfId="41879" xr:uid="{00000000-0005-0000-0000-00009DA30000}"/>
    <cellStyle name="Note 6 6 3" xfId="41880" xr:uid="{00000000-0005-0000-0000-00009EA30000}"/>
    <cellStyle name="Note 6 6 4" xfId="41881" xr:uid="{00000000-0005-0000-0000-00009FA30000}"/>
    <cellStyle name="Note 6 6 5" xfId="41882" xr:uid="{00000000-0005-0000-0000-0000A0A30000}"/>
    <cellStyle name="Note 6 7" xfId="41883" xr:uid="{00000000-0005-0000-0000-0000A1A30000}"/>
    <cellStyle name="Note 6 7 2" xfId="41884" xr:uid="{00000000-0005-0000-0000-0000A2A30000}"/>
    <cellStyle name="Note 6 8" xfId="41885" xr:uid="{00000000-0005-0000-0000-0000A3A30000}"/>
    <cellStyle name="Note 6 9" xfId="41886" xr:uid="{00000000-0005-0000-0000-0000A4A30000}"/>
    <cellStyle name="Note 7" xfId="41887" xr:uid="{00000000-0005-0000-0000-0000A5A30000}"/>
    <cellStyle name="Note 7 10" xfId="41888" xr:uid="{00000000-0005-0000-0000-0000A6A30000}"/>
    <cellStyle name="Note 7 11" xfId="41889" xr:uid="{00000000-0005-0000-0000-0000A7A30000}"/>
    <cellStyle name="Note 7 2" xfId="41890" xr:uid="{00000000-0005-0000-0000-0000A8A30000}"/>
    <cellStyle name="Note 7 3" xfId="41891" xr:uid="{00000000-0005-0000-0000-0000A9A30000}"/>
    <cellStyle name="Note 7 3 2" xfId="41892" xr:uid="{00000000-0005-0000-0000-0000AAA30000}"/>
    <cellStyle name="Note 7 3 2 2" xfId="41893" xr:uid="{00000000-0005-0000-0000-0000ABA30000}"/>
    <cellStyle name="Note 7 3 2 2 2" xfId="41894" xr:uid="{00000000-0005-0000-0000-0000ACA30000}"/>
    <cellStyle name="Note 7 3 2 2 3" xfId="41895" xr:uid="{00000000-0005-0000-0000-0000ADA30000}"/>
    <cellStyle name="Note 7 3 2 3" xfId="41896" xr:uid="{00000000-0005-0000-0000-0000AEA30000}"/>
    <cellStyle name="Note 7 3 2 4" xfId="41897" xr:uid="{00000000-0005-0000-0000-0000AFA30000}"/>
    <cellStyle name="Note 7 3 2 5" xfId="41898" xr:uid="{00000000-0005-0000-0000-0000B0A30000}"/>
    <cellStyle name="Note 7 3 2 6" xfId="41899" xr:uid="{00000000-0005-0000-0000-0000B1A30000}"/>
    <cellStyle name="Note 7 3 3" xfId="41900" xr:uid="{00000000-0005-0000-0000-0000B2A30000}"/>
    <cellStyle name="Note 7 3 3 2" xfId="41901" xr:uid="{00000000-0005-0000-0000-0000B3A30000}"/>
    <cellStyle name="Note 7 3 3 2 2" xfId="41902" xr:uid="{00000000-0005-0000-0000-0000B4A30000}"/>
    <cellStyle name="Note 7 3 3 3" xfId="41903" xr:uid="{00000000-0005-0000-0000-0000B5A30000}"/>
    <cellStyle name="Note 7 3 3 4" xfId="41904" xr:uid="{00000000-0005-0000-0000-0000B6A30000}"/>
    <cellStyle name="Note 7 3 3 5" xfId="41905" xr:uid="{00000000-0005-0000-0000-0000B7A30000}"/>
    <cellStyle name="Note 7 3 4" xfId="41906" xr:uid="{00000000-0005-0000-0000-0000B8A30000}"/>
    <cellStyle name="Note 7 3 4 2" xfId="41907" xr:uid="{00000000-0005-0000-0000-0000B9A30000}"/>
    <cellStyle name="Note 7 3 4 3" xfId="41908" xr:uid="{00000000-0005-0000-0000-0000BAA30000}"/>
    <cellStyle name="Note 7 3 4 4" xfId="41909" xr:uid="{00000000-0005-0000-0000-0000BBA30000}"/>
    <cellStyle name="Note 7 3 5" xfId="41910" xr:uid="{00000000-0005-0000-0000-0000BCA30000}"/>
    <cellStyle name="Note 7 3 5 2" xfId="41911" xr:uid="{00000000-0005-0000-0000-0000BDA30000}"/>
    <cellStyle name="Note 7 3 6" xfId="41912" xr:uid="{00000000-0005-0000-0000-0000BEA30000}"/>
    <cellStyle name="Note 7 3 7" xfId="41913" xr:uid="{00000000-0005-0000-0000-0000BFA30000}"/>
    <cellStyle name="Note 7 3 8" xfId="41914" xr:uid="{00000000-0005-0000-0000-0000C0A30000}"/>
    <cellStyle name="Note 7 3 9" xfId="41915" xr:uid="{00000000-0005-0000-0000-0000C1A30000}"/>
    <cellStyle name="Note 7 4" xfId="41916" xr:uid="{00000000-0005-0000-0000-0000C2A30000}"/>
    <cellStyle name="Note 7 4 2" xfId="41917" xr:uid="{00000000-0005-0000-0000-0000C3A30000}"/>
    <cellStyle name="Note 7 4 2 2" xfId="41918" xr:uid="{00000000-0005-0000-0000-0000C4A30000}"/>
    <cellStyle name="Note 7 4 2 3" xfId="41919" xr:uid="{00000000-0005-0000-0000-0000C5A30000}"/>
    <cellStyle name="Note 7 4 3" xfId="41920" xr:uid="{00000000-0005-0000-0000-0000C6A30000}"/>
    <cellStyle name="Note 7 4 4" xfId="41921" xr:uid="{00000000-0005-0000-0000-0000C7A30000}"/>
    <cellStyle name="Note 7 4 5" xfId="41922" xr:uid="{00000000-0005-0000-0000-0000C8A30000}"/>
    <cellStyle name="Note 7 4 6" xfId="41923" xr:uid="{00000000-0005-0000-0000-0000C9A30000}"/>
    <cellStyle name="Note 7 5" xfId="41924" xr:uid="{00000000-0005-0000-0000-0000CAA30000}"/>
    <cellStyle name="Note 7 5 2" xfId="41925" xr:uid="{00000000-0005-0000-0000-0000CBA30000}"/>
    <cellStyle name="Note 7 5 2 2" xfId="41926" xr:uid="{00000000-0005-0000-0000-0000CCA30000}"/>
    <cellStyle name="Note 7 5 3" xfId="41927" xr:uid="{00000000-0005-0000-0000-0000CDA30000}"/>
    <cellStyle name="Note 7 5 4" xfId="41928" xr:uid="{00000000-0005-0000-0000-0000CEA30000}"/>
    <cellStyle name="Note 7 5 5" xfId="41929" xr:uid="{00000000-0005-0000-0000-0000CFA30000}"/>
    <cellStyle name="Note 7 6" xfId="41930" xr:uid="{00000000-0005-0000-0000-0000D0A30000}"/>
    <cellStyle name="Note 7 6 2" xfId="41931" xr:uid="{00000000-0005-0000-0000-0000D1A30000}"/>
    <cellStyle name="Note 7 6 3" xfId="41932" xr:uid="{00000000-0005-0000-0000-0000D2A30000}"/>
    <cellStyle name="Note 7 6 4" xfId="41933" xr:uid="{00000000-0005-0000-0000-0000D3A30000}"/>
    <cellStyle name="Note 7 7" xfId="41934" xr:uid="{00000000-0005-0000-0000-0000D4A30000}"/>
    <cellStyle name="Note 7 7 2" xfId="41935" xr:uid="{00000000-0005-0000-0000-0000D5A30000}"/>
    <cellStyle name="Note 7 8" xfId="41936" xr:uid="{00000000-0005-0000-0000-0000D6A30000}"/>
    <cellStyle name="Note 7 9" xfId="41937" xr:uid="{00000000-0005-0000-0000-0000D7A30000}"/>
    <cellStyle name="Note 8" xfId="41938" xr:uid="{00000000-0005-0000-0000-0000D8A30000}"/>
    <cellStyle name="Note 9" xfId="41939" xr:uid="{00000000-0005-0000-0000-0000D9A30000}"/>
    <cellStyle name="Percent" xfId="3" builtinId="5"/>
    <cellStyle name="Percent [2]" xfId="41940" xr:uid="{00000000-0005-0000-0000-0000DBA30000}"/>
    <cellStyle name="Percent 10" xfId="41941" xr:uid="{00000000-0005-0000-0000-0000DCA30000}"/>
    <cellStyle name="Percent 11" xfId="41942" xr:uid="{00000000-0005-0000-0000-0000DDA30000}"/>
    <cellStyle name="Percent 11 2" xfId="41943" xr:uid="{00000000-0005-0000-0000-0000DEA30000}"/>
    <cellStyle name="Percent 12" xfId="41944" xr:uid="{00000000-0005-0000-0000-0000DFA30000}"/>
    <cellStyle name="Percent 13" xfId="41945" xr:uid="{00000000-0005-0000-0000-0000E0A30000}"/>
    <cellStyle name="Percent 14" xfId="41946" xr:uid="{00000000-0005-0000-0000-0000E1A30000}"/>
    <cellStyle name="Percent 15" xfId="41947" xr:uid="{00000000-0005-0000-0000-0000E2A30000}"/>
    <cellStyle name="Percent 16" xfId="41948" xr:uid="{00000000-0005-0000-0000-0000E3A30000}"/>
    <cellStyle name="Percent 17" xfId="41949" xr:uid="{00000000-0005-0000-0000-0000E4A30000}"/>
    <cellStyle name="Percent 18" xfId="41950" xr:uid="{00000000-0005-0000-0000-0000E5A30000}"/>
    <cellStyle name="Percent 19" xfId="41951" xr:uid="{00000000-0005-0000-0000-0000E6A30000}"/>
    <cellStyle name="Percent 2" xfId="41952" xr:uid="{00000000-0005-0000-0000-0000E7A30000}"/>
    <cellStyle name="Percent 2 10" xfId="41953" xr:uid="{00000000-0005-0000-0000-0000E8A30000}"/>
    <cellStyle name="Percent 2 10 2" xfId="41954" xr:uid="{00000000-0005-0000-0000-0000E9A30000}"/>
    <cellStyle name="Percent 2 10 3" xfId="41955" xr:uid="{00000000-0005-0000-0000-0000EAA30000}"/>
    <cellStyle name="Percent 2 10 4" xfId="41956" xr:uid="{00000000-0005-0000-0000-0000EBA30000}"/>
    <cellStyle name="Percent 2 10 5" xfId="41957" xr:uid="{00000000-0005-0000-0000-0000ECA30000}"/>
    <cellStyle name="Percent 2 10 6" xfId="41958" xr:uid="{00000000-0005-0000-0000-0000EDA30000}"/>
    <cellStyle name="Percent 2 11" xfId="41959" xr:uid="{00000000-0005-0000-0000-0000EEA30000}"/>
    <cellStyle name="Percent 2 11 2" xfId="41960" xr:uid="{00000000-0005-0000-0000-0000EFA30000}"/>
    <cellStyle name="Percent 2 11 3" xfId="41961" xr:uid="{00000000-0005-0000-0000-0000F0A30000}"/>
    <cellStyle name="Percent 2 11 4" xfId="41962" xr:uid="{00000000-0005-0000-0000-0000F1A30000}"/>
    <cellStyle name="Percent 2 11 5" xfId="41963" xr:uid="{00000000-0005-0000-0000-0000F2A30000}"/>
    <cellStyle name="Percent 2 11 6" xfId="41964" xr:uid="{00000000-0005-0000-0000-0000F3A30000}"/>
    <cellStyle name="Percent 2 12" xfId="41965" xr:uid="{00000000-0005-0000-0000-0000F4A30000}"/>
    <cellStyle name="Percent 2 12 2" xfId="41966" xr:uid="{00000000-0005-0000-0000-0000F5A30000}"/>
    <cellStyle name="Percent 2 12 3" xfId="41967" xr:uid="{00000000-0005-0000-0000-0000F6A30000}"/>
    <cellStyle name="Percent 2 12 4" xfId="41968" xr:uid="{00000000-0005-0000-0000-0000F7A30000}"/>
    <cellStyle name="Percent 2 12 5" xfId="41969" xr:uid="{00000000-0005-0000-0000-0000F8A30000}"/>
    <cellStyle name="Percent 2 12 6" xfId="41970" xr:uid="{00000000-0005-0000-0000-0000F9A30000}"/>
    <cellStyle name="Percent 2 13" xfId="41971" xr:uid="{00000000-0005-0000-0000-0000FAA30000}"/>
    <cellStyle name="Percent 2 13 2" xfId="41972" xr:uid="{00000000-0005-0000-0000-0000FBA30000}"/>
    <cellStyle name="Percent 2 13 3" xfId="41973" xr:uid="{00000000-0005-0000-0000-0000FCA30000}"/>
    <cellStyle name="Percent 2 13 4" xfId="41974" xr:uid="{00000000-0005-0000-0000-0000FDA30000}"/>
    <cellStyle name="Percent 2 13 5" xfId="41975" xr:uid="{00000000-0005-0000-0000-0000FEA30000}"/>
    <cellStyle name="Percent 2 13 6" xfId="41976" xr:uid="{00000000-0005-0000-0000-0000FFA30000}"/>
    <cellStyle name="Percent 2 14" xfId="41977" xr:uid="{00000000-0005-0000-0000-000000A40000}"/>
    <cellStyle name="Percent 2 14 2" xfId="41978" xr:uid="{00000000-0005-0000-0000-000001A40000}"/>
    <cellStyle name="Percent 2 14 3" xfId="41979" xr:uid="{00000000-0005-0000-0000-000002A40000}"/>
    <cellStyle name="Percent 2 14 4" xfId="41980" xr:uid="{00000000-0005-0000-0000-000003A40000}"/>
    <cellStyle name="Percent 2 14 5" xfId="41981" xr:uid="{00000000-0005-0000-0000-000004A40000}"/>
    <cellStyle name="Percent 2 14 6" xfId="41982" xr:uid="{00000000-0005-0000-0000-000005A40000}"/>
    <cellStyle name="Percent 2 15" xfId="41983" xr:uid="{00000000-0005-0000-0000-000006A40000}"/>
    <cellStyle name="Percent 2 15 2" xfId="41984" xr:uid="{00000000-0005-0000-0000-000007A40000}"/>
    <cellStyle name="Percent 2 15 3" xfId="41985" xr:uid="{00000000-0005-0000-0000-000008A40000}"/>
    <cellStyle name="Percent 2 15 4" xfId="41986" xr:uid="{00000000-0005-0000-0000-000009A40000}"/>
    <cellStyle name="Percent 2 15 5" xfId="41987" xr:uid="{00000000-0005-0000-0000-00000AA40000}"/>
    <cellStyle name="Percent 2 15 6" xfId="41988" xr:uid="{00000000-0005-0000-0000-00000BA40000}"/>
    <cellStyle name="Percent 2 16" xfId="41989" xr:uid="{00000000-0005-0000-0000-00000CA40000}"/>
    <cellStyle name="Percent 2 16 2" xfId="41990" xr:uid="{00000000-0005-0000-0000-00000DA40000}"/>
    <cellStyle name="Percent 2 16 3" xfId="41991" xr:uid="{00000000-0005-0000-0000-00000EA40000}"/>
    <cellStyle name="Percent 2 16 4" xfId="41992" xr:uid="{00000000-0005-0000-0000-00000FA40000}"/>
    <cellStyle name="Percent 2 16 5" xfId="41993" xr:uid="{00000000-0005-0000-0000-000010A40000}"/>
    <cellStyle name="Percent 2 16 6" xfId="41994" xr:uid="{00000000-0005-0000-0000-000011A40000}"/>
    <cellStyle name="Percent 2 17" xfId="41995" xr:uid="{00000000-0005-0000-0000-000012A40000}"/>
    <cellStyle name="Percent 2 17 2" xfId="41996" xr:uid="{00000000-0005-0000-0000-000013A40000}"/>
    <cellStyle name="Percent 2 17 3" xfId="41997" xr:uid="{00000000-0005-0000-0000-000014A40000}"/>
    <cellStyle name="Percent 2 17 4" xfId="41998" xr:uid="{00000000-0005-0000-0000-000015A40000}"/>
    <cellStyle name="Percent 2 17 5" xfId="41999" xr:uid="{00000000-0005-0000-0000-000016A40000}"/>
    <cellStyle name="Percent 2 17 6" xfId="42000" xr:uid="{00000000-0005-0000-0000-000017A40000}"/>
    <cellStyle name="Percent 2 18" xfId="42001" xr:uid="{00000000-0005-0000-0000-000018A40000}"/>
    <cellStyle name="Percent 2 18 2" xfId="42002" xr:uid="{00000000-0005-0000-0000-000019A40000}"/>
    <cellStyle name="Percent 2 18 3" xfId="42003" xr:uid="{00000000-0005-0000-0000-00001AA40000}"/>
    <cellStyle name="Percent 2 18 4" xfId="42004" xr:uid="{00000000-0005-0000-0000-00001BA40000}"/>
    <cellStyle name="Percent 2 18 5" xfId="42005" xr:uid="{00000000-0005-0000-0000-00001CA40000}"/>
    <cellStyle name="Percent 2 18 6" xfId="42006" xr:uid="{00000000-0005-0000-0000-00001DA40000}"/>
    <cellStyle name="Percent 2 19" xfId="42007" xr:uid="{00000000-0005-0000-0000-00001EA40000}"/>
    <cellStyle name="Percent 2 19 2" xfId="42008" xr:uid="{00000000-0005-0000-0000-00001FA40000}"/>
    <cellStyle name="Percent 2 19 3" xfId="42009" xr:uid="{00000000-0005-0000-0000-000020A40000}"/>
    <cellStyle name="Percent 2 19 4" xfId="42010" xr:uid="{00000000-0005-0000-0000-000021A40000}"/>
    <cellStyle name="Percent 2 19 5" xfId="42011" xr:uid="{00000000-0005-0000-0000-000022A40000}"/>
    <cellStyle name="Percent 2 19 6" xfId="42012" xr:uid="{00000000-0005-0000-0000-000023A40000}"/>
    <cellStyle name="Percent 2 2" xfId="42013" xr:uid="{00000000-0005-0000-0000-000024A40000}"/>
    <cellStyle name="Percent 2 2 10" xfId="42014" xr:uid="{00000000-0005-0000-0000-000025A40000}"/>
    <cellStyle name="Percent 2 2 11" xfId="42015" xr:uid="{00000000-0005-0000-0000-000026A40000}"/>
    <cellStyle name="Percent 2 2 12" xfId="42016" xr:uid="{00000000-0005-0000-0000-000027A40000}"/>
    <cellStyle name="Percent 2 2 13" xfId="42017" xr:uid="{00000000-0005-0000-0000-000028A40000}"/>
    <cellStyle name="Percent 2 2 14" xfId="42018" xr:uid="{00000000-0005-0000-0000-000029A40000}"/>
    <cellStyle name="Percent 2 2 15" xfId="42019" xr:uid="{00000000-0005-0000-0000-00002AA40000}"/>
    <cellStyle name="Percent 2 2 16" xfId="42020" xr:uid="{00000000-0005-0000-0000-00002BA40000}"/>
    <cellStyle name="Percent 2 2 17" xfId="42021" xr:uid="{00000000-0005-0000-0000-00002CA40000}"/>
    <cellStyle name="Percent 2 2 18" xfId="42022" xr:uid="{00000000-0005-0000-0000-00002DA40000}"/>
    <cellStyle name="Percent 2 2 19" xfId="42023" xr:uid="{00000000-0005-0000-0000-00002EA40000}"/>
    <cellStyle name="Percent 2 2 2" xfId="42024" xr:uid="{00000000-0005-0000-0000-00002FA40000}"/>
    <cellStyle name="Percent 2 2 20" xfId="42025" xr:uid="{00000000-0005-0000-0000-000030A40000}"/>
    <cellStyle name="Percent 2 2 21" xfId="42026" xr:uid="{00000000-0005-0000-0000-000031A40000}"/>
    <cellStyle name="Percent 2 2 22" xfId="42027" xr:uid="{00000000-0005-0000-0000-000032A40000}"/>
    <cellStyle name="Percent 2 2 23" xfId="42028" xr:uid="{00000000-0005-0000-0000-000033A40000}"/>
    <cellStyle name="Percent 2 2 24" xfId="42029" xr:uid="{00000000-0005-0000-0000-000034A40000}"/>
    <cellStyle name="Percent 2 2 25" xfId="42030" xr:uid="{00000000-0005-0000-0000-000035A40000}"/>
    <cellStyle name="Percent 2 2 26" xfId="42031" xr:uid="{00000000-0005-0000-0000-000036A40000}"/>
    <cellStyle name="Percent 2 2 27" xfId="42032" xr:uid="{00000000-0005-0000-0000-000037A40000}"/>
    <cellStyle name="Percent 2 2 28" xfId="42033" xr:uid="{00000000-0005-0000-0000-000038A40000}"/>
    <cellStyle name="Percent 2 2 29" xfId="42034" xr:uid="{00000000-0005-0000-0000-000039A40000}"/>
    <cellStyle name="Percent 2 2 3" xfId="42035" xr:uid="{00000000-0005-0000-0000-00003AA40000}"/>
    <cellStyle name="Percent 2 2 3 2" xfId="42036" xr:uid="{00000000-0005-0000-0000-00003BA40000}"/>
    <cellStyle name="Percent 2 2 30" xfId="42037" xr:uid="{00000000-0005-0000-0000-00003CA40000}"/>
    <cellStyle name="Percent 2 2 31" xfId="42038" xr:uid="{00000000-0005-0000-0000-00003DA40000}"/>
    <cellStyle name="Percent 2 2 32" xfId="42039" xr:uid="{00000000-0005-0000-0000-00003EA40000}"/>
    <cellStyle name="Percent 2 2 33" xfId="42040" xr:uid="{00000000-0005-0000-0000-00003FA40000}"/>
    <cellStyle name="Percent 2 2 34" xfId="42041" xr:uid="{00000000-0005-0000-0000-000040A40000}"/>
    <cellStyle name="Percent 2 2 35" xfId="42042" xr:uid="{00000000-0005-0000-0000-000041A40000}"/>
    <cellStyle name="Percent 2 2 36" xfId="42043" xr:uid="{00000000-0005-0000-0000-000042A40000}"/>
    <cellStyle name="Percent 2 2 4" xfId="42044" xr:uid="{00000000-0005-0000-0000-000043A40000}"/>
    <cellStyle name="Percent 2 2 4 2" xfId="42045" xr:uid="{00000000-0005-0000-0000-000044A40000}"/>
    <cellStyle name="Percent 2 2 5" xfId="42046" xr:uid="{00000000-0005-0000-0000-000045A40000}"/>
    <cellStyle name="Percent 2 2 5 2" xfId="42047" xr:uid="{00000000-0005-0000-0000-000046A40000}"/>
    <cellStyle name="Percent 2 2 6" xfId="42048" xr:uid="{00000000-0005-0000-0000-000047A40000}"/>
    <cellStyle name="Percent 2 2 6 2" xfId="42049" xr:uid="{00000000-0005-0000-0000-000048A40000}"/>
    <cellStyle name="Percent 2 2 7" xfId="42050" xr:uid="{00000000-0005-0000-0000-000049A40000}"/>
    <cellStyle name="Percent 2 2 7 2" xfId="42051" xr:uid="{00000000-0005-0000-0000-00004AA40000}"/>
    <cellStyle name="Percent 2 2 8" xfId="42052" xr:uid="{00000000-0005-0000-0000-00004BA40000}"/>
    <cellStyle name="Percent 2 2 8 2" xfId="42053" xr:uid="{00000000-0005-0000-0000-00004CA40000}"/>
    <cellStyle name="Percent 2 2 9" xfId="42054" xr:uid="{00000000-0005-0000-0000-00004DA40000}"/>
    <cellStyle name="Percent 2 20" xfId="42055" xr:uid="{00000000-0005-0000-0000-00004EA40000}"/>
    <cellStyle name="Percent 2 21" xfId="42056" xr:uid="{00000000-0005-0000-0000-00004FA40000}"/>
    <cellStyle name="Percent 2 22" xfId="42057" xr:uid="{00000000-0005-0000-0000-000050A40000}"/>
    <cellStyle name="Percent 2 23" xfId="42058" xr:uid="{00000000-0005-0000-0000-000051A40000}"/>
    <cellStyle name="Percent 2 24" xfId="42059" xr:uid="{00000000-0005-0000-0000-000052A40000}"/>
    <cellStyle name="Percent 2 25" xfId="42060" xr:uid="{00000000-0005-0000-0000-000053A40000}"/>
    <cellStyle name="Percent 2 3" xfId="42061" xr:uid="{00000000-0005-0000-0000-000054A40000}"/>
    <cellStyle name="Percent 2 3 2" xfId="42062" xr:uid="{00000000-0005-0000-0000-000055A40000}"/>
    <cellStyle name="Percent 2 3 3" xfId="42063" xr:uid="{00000000-0005-0000-0000-000056A40000}"/>
    <cellStyle name="Percent 2 3 4" xfId="42064" xr:uid="{00000000-0005-0000-0000-000057A40000}"/>
    <cellStyle name="Percent 2 3 5" xfId="42065" xr:uid="{00000000-0005-0000-0000-000058A40000}"/>
    <cellStyle name="Percent 2 3 6" xfId="42066" xr:uid="{00000000-0005-0000-0000-000059A40000}"/>
    <cellStyle name="Percent 2 4" xfId="42067" xr:uid="{00000000-0005-0000-0000-00005AA40000}"/>
    <cellStyle name="Percent 2 4 2" xfId="42068" xr:uid="{00000000-0005-0000-0000-00005BA40000}"/>
    <cellStyle name="Percent 2 4 3" xfId="42069" xr:uid="{00000000-0005-0000-0000-00005CA40000}"/>
    <cellStyle name="Percent 2 4 4" xfId="42070" xr:uid="{00000000-0005-0000-0000-00005DA40000}"/>
    <cellStyle name="Percent 2 4 5" xfId="42071" xr:uid="{00000000-0005-0000-0000-00005EA40000}"/>
    <cellStyle name="Percent 2 4 6" xfId="42072" xr:uid="{00000000-0005-0000-0000-00005FA40000}"/>
    <cellStyle name="Percent 2 4 7" xfId="42073" xr:uid="{00000000-0005-0000-0000-000060A40000}"/>
    <cellStyle name="Percent 2 5" xfId="42074" xr:uid="{00000000-0005-0000-0000-000061A40000}"/>
    <cellStyle name="Percent 2 5 2" xfId="42075" xr:uid="{00000000-0005-0000-0000-000062A40000}"/>
    <cellStyle name="Percent 2 5 3" xfId="42076" xr:uid="{00000000-0005-0000-0000-000063A40000}"/>
    <cellStyle name="Percent 2 5 4" xfId="42077" xr:uid="{00000000-0005-0000-0000-000064A40000}"/>
    <cellStyle name="Percent 2 5 5" xfId="42078" xr:uid="{00000000-0005-0000-0000-000065A40000}"/>
    <cellStyle name="Percent 2 5 6" xfId="42079" xr:uid="{00000000-0005-0000-0000-000066A40000}"/>
    <cellStyle name="Percent 2 5 7" xfId="42080" xr:uid="{00000000-0005-0000-0000-000067A40000}"/>
    <cellStyle name="Percent 2 6" xfId="42081" xr:uid="{00000000-0005-0000-0000-000068A40000}"/>
    <cellStyle name="Percent 2 6 2" xfId="42082" xr:uid="{00000000-0005-0000-0000-000069A40000}"/>
    <cellStyle name="Percent 2 6 3" xfId="42083" xr:uid="{00000000-0005-0000-0000-00006AA40000}"/>
    <cellStyle name="Percent 2 6 4" xfId="42084" xr:uid="{00000000-0005-0000-0000-00006BA40000}"/>
    <cellStyle name="Percent 2 6 5" xfId="42085" xr:uid="{00000000-0005-0000-0000-00006CA40000}"/>
    <cellStyle name="Percent 2 6 6" xfId="42086" xr:uid="{00000000-0005-0000-0000-00006DA40000}"/>
    <cellStyle name="Percent 2 6 7" xfId="42087" xr:uid="{00000000-0005-0000-0000-00006EA40000}"/>
    <cellStyle name="Percent 2 7" xfId="42088" xr:uid="{00000000-0005-0000-0000-00006FA40000}"/>
    <cellStyle name="Percent 2 7 2" xfId="42089" xr:uid="{00000000-0005-0000-0000-000070A40000}"/>
    <cellStyle name="Percent 2 7 3" xfId="42090" xr:uid="{00000000-0005-0000-0000-000071A40000}"/>
    <cellStyle name="Percent 2 7 4" xfId="42091" xr:uid="{00000000-0005-0000-0000-000072A40000}"/>
    <cellStyle name="Percent 2 7 5" xfId="42092" xr:uid="{00000000-0005-0000-0000-000073A40000}"/>
    <cellStyle name="Percent 2 7 6" xfId="42093" xr:uid="{00000000-0005-0000-0000-000074A40000}"/>
    <cellStyle name="Percent 2 7 7" xfId="42094" xr:uid="{00000000-0005-0000-0000-000075A40000}"/>
    <cellStyle name="Percent 2 8" xfId="42095" xr:uid="{00000000-0005-0000-0000-000076A40000}"/>
    <cellStyle name="Percent 2 8 2" xfId="42096" xr:uid="{00000000-0005-0000-0000-000077A40000}"/>
    <cellStyle name="Percent 2 8 3" xfId="42097" xr:uid="{00000000-0005-0000-0000-000078A40000}"/>
    <cellStyle name="Percent 2 8 4" xfId="42098" xr:uid="{00000000-0005-0000-0000-000079A40000}"/>
    <cellStyle name="Percent 2 8 5" xfId="42099" xr:uid="{00000000-0005-0000-0000-00007AA40000}"/>
    <cellStyle name="Percent 2 8 6" xfId="42100" xr:uid="{00000000-0005-0000-0000-00007BA40000}"/>
    <cellStyle name="Percent 2 8 7" xfId="42101" xr:uid="{00000000-0005-0000-0000-00007CA40000}"/>
    <cellStyle name="Percent 2 9" xfId="42102" xr:uid="{00000000-0005-0000-0000-00007DA40000}"/>
    <cellStyle name="Percent 2 9 2" xfId="42103" xr:uid="{00000000-0005-0000-0000-00007EA40000}"/>
    <cellStyle name="Percent 2 9 3" xfId="42104" xr:uid="{00000000-0005-0000-0000-00007FA40000}"/>
    <cellStyle name="Percent 2 9 4" xfId="42105" xr:uid="{00000000-0005-0000-0000-000080A40000}"/>
    <cellStyle name="Percent 2 9 5" xfId="42106" xr:uid="{00000000-0005-0000-0000-000081A40000}"/>
    <cellStyle name="Percent 2 9 6" xfId="42107" xr:uid="{00000000-0005-0000-0000-000082A40000}"/>
    <cellStyle name="Percent 20" xfId="42108" xr:uid="{00000000-0005-0000-0000-000083A40000}"/>
    <cellStyle name="Percent 21" xfId="42109" xr:uid="{00000000-0005-0000-0000-000084A40000}"/>
    <cellStyle name="Percent 22" xfId="42110" xr:uid="{00000000-0005-0000-0000-000085A40000}"/>
    <cellStyle name="Percent 23" xfId="42111" xr:uid="{00000000-0005-0000-0000-000086A40000}"/>
    <cellStyle name="Percent 24" xfId="42112" xr:uid="{00000000-0005-0000-0000-000087A40000}"/>
    <cellStyle name="Percent 25" xfId="42113" xr:uid="{00000000-0005-0000-0000-000088A40000}"/>
    <cellStyle name="Percent 26" xfId="42114" xr:uid="{00000000-0005-0000-0000-000089A40000}"/>
    <cellStyle name="Percent 27" xfId="42115" xr:uid="{00000000-0005-0000-0000-00008AA40000}"/>
    <cellStyle name="Percent 28" xfId="42116" xr:uid="{00000000-0005-0000-0000-00008BA40000}"/>
    <cellStyle name="Percent 29" xfId="42117" xr:uid="{00000000-0005-0000-0000-00008CA40000}"/>
    <cellStyle name="Percent 3" xfId="42118" xr:uid="{00000000-0005-0000-0000-00008DA40000}"/>
    <cellStyle name="Percent 3 2" xfId="42119" xr:uid="{00000000-0005-0000-0000-00008EA40000}"/>
    <cellStyle name="Percent 3 2 2" xfId="42120" xr:uid="{00000000-0005-0000-0000-00008FA40000}"/>
    <cellStyle name="Percent 3 3" xfId="42121" xr:uid="{00000000-0005-0000-0000-000090A40000}"/>
    <cellStyle name="Percent 30" xfId="42122" xr:uid="{00000000-0005-0000-0000-000091A40000}"/>
    <cellStyle name="Percent 31" xfId="42123" xr:uid="{00000000-0005-0000-0000-000092A40000}"/>
    <cellStyle name="Percent 32" xfId="42124" xr:uid="{00000000-0005-0000-0000-000093A40000}"/>
    <cellStyle name="Percent 33" xfId="42125" xr:uid="{00000000-0005-0000-0000-000094A40000}"/>
    <cellStyle name="Percent 34" xfId="42126" xr:uid="{00000000-0005-0000-0000-000095A40000}"/>
    <cellStyle name="Percent 35" xfId="42127" xr:uid="{00000000-0005-0000-0000-000096A40000}"/>
    <cellStyle name="Percent 36" xfId="42128" xr:uid="{00000000-0005-0000-0000-000097A40000}"/>
    <cellStyle name="Percent 37" xfId="42129" xr:uid="{00000000-0005-0000-0000-000098A40000}"/>
    <cellStyle name="Percent 38" xfId="42130" xr:uid="{00000000-0005-0000-0000-000099A40000}"/>
    <cellStyle name="Percent 39" xfId="42131" xr:uid="{00000000-0005-0000-0000-00009AA40000}"/>
    <cellStyle name="Percent 4" xfId="42132" xr:uid="{00000000-0005-0000-0000-00009BA40000}"/>
    <cellStyle name="Percent 4 10" xfId="42133" xr:uid="{00000000-0005-0000-0000-00009CA40000}"/>
    <cellStyle name="Percent 4 2" xfId="42134" xr:uid="{00000000-0005-0000-0000-00009DA40000}"/>
    <cellStyle name="Percent 4 2 2" xfId="42135" xr:uid="{00000000-0005-0000-0000-00009EA40000}"/>
    <cellStyle name="Percent 4 2 2 2" xfId="42136" xr:uid="{00000000-0005-0000-0000-00009FA40000}"/>
    <cellStyle name="Percent 4 2 2 2 2" xfId="42137" xr:uid="{00000000-0005-0000-0000-0000A0A40000}"/>
    <cellStyle name="Percent 4 2 2 2 3" xfId="42138" xr:uid="{00000000-0005-0000-0000-0000A1A40000}"/>
    <cellStyle name="Percent 4 2 2 3" xfId="42139" xr:uid="{00000000-0005-0000-0000-0000A2A40000}"/>
    <cellStyle name="Percent 4 2 2 4" xfId="42140" xr:uid="{00000000-0005-0000-0000-0000A3A40000}"/>
    <cellStyle name="Percent 4 2 2 5" xfId="42141" xr:uid="{00000000-0005-0000-0000-0000A4A40000}"/>
    <cellStyle name="Percent 4 2 2 6" xfId="42142" xr:uid="{00000000-0005-0000-0000-0000A5A40000}"/>
    <cellStyle name="Percent 4 2 3" xfId="42143" xr:uid="{00000000-0005-0000-0000-0000A6A40000}"/>
    <cellStyle name="Percent 4 2 3 2" xfId="42144" xr:uid="{00000000-0005-0000-0000-0000A7A40000}"/>
    <cellStyle name="Percent 4 2 3 2 2" xfId="42145" xr:uid="{00000000-0005-0000-0000-0000A8A40000}"/>
    <cellStyle name="Percent 4 2 3 3" xfId="42146" xr:uid="{00000000-0005-0000-0000-0000A9A40000}"/>
    <cellStyle name="Percent 4 2 3 4" xfId="42147" xr:uid="{00000000-0005-0000-0000-0000AAA40000}"/>
    <cellStyle name="Percent 4 2 3 5" xfId="42148" xr:uid="{00000000-0005-0000-0000-0000ABA40000}"/>
    <cellStyle name="Percent 4 2 4" xfId="42149" xr:uid="{00000000-0005-0000-0000-0000ACA40000}"/>
    <cellStyle name="Percent 4 2 4 2" xfId="42150" xr:uid="{00000000-0005-0000-0000-0000ADA40000}"/>
    <cellStyle name="Percent 4 2 4 3" xfId="42151" xr:uid="{00000000-0005-0000-0000-0000AEA40000}"/>
    <cellStyle name="Percent 4 2 4 4" xfId="42152" xr:uid="{00000000-0005-0000-0000-0000AFA40000}"/>
    <cellStyle name="Percent 4 2 5" xfId="42153" xr:uid="{00000000-0005-0000-0000-0000B0A40000}"/>
    <cellStyle name="Percent 4 2 5 2" xfId="42154" xr:uid="{00000000-0005-0000-0000-0000B1A40000}"/>
    <cellStyle name="Percent 4 2 6" xfId="42155" xr:uid="{00000000-0005-0000-0000-0000B2A40000}"/>
    <cellStyle name="Percent 4 2 7" xfId="42156" xr:uid="{00000000-0005-0000-0000-0000B3A40000}"/>
    <cellStyle name="Percent 4 2 8" xfId="42157" xr:uid="{00000000-0005-0000-0000-0000B4A40000}"/>
    <cellStyle name="Percent 4 2 9" xfId="42158" xr:uid="{00000000-0005-0000-0000-0000B5A40000}"/>
    <cellStyle name="Percent 4 3" xfId="42159" xr:uid="{00000000-0005-0000-0000-0000B6A40000}"/>
    <cellStyle name="Percent 4 3 2" xfId="42160" xr:uid="{00000000-0005-0000-0000-0000B7A40000}"/>
    <cellStyle name="Percent 4 3 2 2" xfId="42161" xr:uid="{00000000-0005-0000-0000-0000B8A40000}"/>
    <cellStyle name="Percent 4 3 2 3" xfId="42162" xr:uid="{00000000-0005-0000-0000-0000B9A40000}"/>
    <cellStyle name="Percent 4 3 3" xfId="42163" xr:uid="{00000000-0005-0000-0000-0000BAA40000}"/>
    <cellStyle name="Percent 4 3 4" xfId="42164" xr:uid="{00000000-0005-0000-0000-0000BBA40000}"/>
    <cellStyle name="Percent 4 3 5" xfId="42165" xr:uid="{00000000-0005-0000-0000-0000BCA40000}"/>
    <cellStyle name="Percent 4 3 6" xfId="42166" xr:uid="{00000000-0005-0000-0000-0000BDA40000}"/>
    <cellStyle name="Percent 4 4" xfId="42167" xr:uid="{00000000-0005-0000-0000-0000BEA40000}"/>
    <cellStyle name="Percent 4 4 2" xfId="42168" xr:uid="{00000000-0005-0000-0000-0000BFA40000}"/>
    <cellStyle name="Percent 4 4 2 2" xfId="42169" xr:uid="{00000000-0005-0000-0000-0000C0A40000}"/>
    <cellStyle name="Percent 4 4 3" xfId="42170" xr:uid="{00000000-0005-0000-0000-0000C1A40000}"/>
    <cellStyle name="Percent 4 4 4" xfId="42171" xr:uid="{00000000-0005-0000-0000-0000C2A40000}"/>
    <cellStyle name="Percent 4 4 5" xfId="42172" xr:uid="{00000000-0005-0000-0000-0000C3A40000}"/>
    <cellStyle name="Percent 4 4 6" xfId="42173" xr:uid="{00000000-0005-0000-0000-0000C4A40000}"/>
    <cellStyle name="Percent 4 5" xfId="42174" xr:uid="{00000000-0005-0000-0000-0000C5A40000}"/>
    <cellStyle name="Percent 4 5 2" xfId="42175" xr:uid="{00000000-0005-0000-0000-0000C6A40000}"/>
    <cellStyle name="Percent 4 5 3" xfId="42176" xr:uid="{00000000-0005-0000-0000-0000C7A40000}"/>
    <cellStyle name="Percent 4 5 4" xfId="42177" xr:uid="{00000000-0005-0000-0000-0000C8A40000}"/>
    <cellStyle name="Percent 4 5 5" xfId="42178" xr:uid="{00000000-0005-0000-0000-0000C9A40000}"/>
    <cellStyle name="Percent 4 6" xfId="42179" xr:uid="{00000000-0005-0000-0000-0000CAA40000}"/>
    <cellStyle name="Percent 4 6 2" xfId="42180" xr:uid="{00000000-0005-0000-0000-0000CBA40000}"/>
    <cellStyle name="Percent 4 7" xfId="42181" xr:uid="{00000000-0005-0000-0000-0000CCA40000}"/>
    <cellStyle name="Percent 4 7 2" xfId="42182" xr:uid="{00000000-0005-0000-0000-0000CDA40000}"/>
    <cellStyle name="Percent 4 8" xfId="42183" xr:uid="{00000000-0005-0000-0000-0000CEA40000}"/>
    <cellStyle name="Percent 4 9" xfId="42184" xr:uid="{00000000-0005-0000-0000-0000CFA40000}"/>
    <cellStyle name="Percent 40" xfId="42185" xr:uid="{00000000-0005-0000-0000-0000D0A40000}"/>
    <cellStyle name="Percent 41" xfId="42186" xr:uid="{00000000-0005-0000-0000-0000D1A40000}"/>
    <cellStyle name="Percent 42" xfId="42187" xr:uid="{00000000-0005-0000-0000-0000D2A40000}"/>
    <cellStyle name="Percent 43" xfId="42188" xr:uid="{00000000-0005-0000-0000-0000D3A40000}"/>
    <cellStyle name="Percent 44" xfId="42189" xr:uid="{00000000-0005-0000-0000-0000D4A40000}"/>
    <cellStyle name="Percent 45" xfId="42190" xr:uid="{00000000-0005-0000-0000-0000D5A40000}"/>
    <cellStyle name="Percent 46" xfId="42191" xr:uid="{00000000-0005-0000-0000-0000D6A40000}"/>
    <cellStyle name="Percent 47" xfId="42192" xr:uid="{00000000-0005-0000-0000-0000D7A40000}"/>
    <cellStyle name="Percent 48" xfId="42193" xr:uid="{00000000-0005-0000-0000-0000D8A40000}"/>
    <cellStyle name="Percent 49" xfId="42194" xr:uid="{00000000-0005-0000-0000-0000D9A40000}"/>
    <cellStyle name="Percent 5" xfId="42195" xr:uid="{00000000-0005-0000-0000-0000DAA40000}"/>
    <cellStyle name="Percent 5 2" xfId="42196" xr:uid="{00000000-0005-0000-0000-0000DBA40000}"/>
    <cellStyle name="Percent 5 2 2" xfId="42197" xr:uid="{00000000-0005-0000-0000-0000DCA40000}"/>
    <cellStyle name="Percent 5 2 2 2" xfId="42198" xr:uid="{00000000-0005-0000-0000-0000DDA40000}"/>
    <cellStyle name="Percent 5 2 2 3" xfId="42199" xr:uid="{00000000-0005-0000-0000-0000DEA40000}"/>
    <cellStyle name="Percent 5 2 3" xfId="42200" xr:uid="{00000000-0005-0000-0000-0000DFA40000}"/>
    <cellStyle name="Percent 5 2 4" xfId="42201" xr:uid="{00000000-0005-0000-0000-0000E0A40000}"/>
    <cellStyle name="Percent 5 2 5" xfId="42202" xr:uid="{00000000-0005-0000-0000-0000E1A40000}"/>
    <cellStyle name="Percent 5 2 6" xfId="42203" xr:uid="{00000000-0005-0000-0000-0000E2A40000}"/>
    <cellStyle name="Percent 5 3" xfId="42204" xr:uid="{00000000-0005-0000-0000-0000E3A40000}"/>
    <cellStyle name="Percent 5 3 2" xfId="42205" xr:uid="{00000000-0005-0000-0000-0000E4A40000}"/>
    <cellStyle name="Percent 5 3 2 2" xfId="42206" xr:uid="{00000000-0005-0000-0000-0000E5A40000}"/>
    <cellStyle name="Percent 5 3 3" xfId="42207" xr:uid="{00000000-0005-0000-0000-0000E6A40000}"/>
    <cellStyle name="Percent 5 3 4" xfId="42208" xr:uid="{00000000-0005-0000-0000-0000E7A40000}"/>
    <cellStyle name="Percent 5 3 5" xfId="42209" xr:uid="{00000000-0005-0000-0000-0000E8A40000}"/>
    <cellStyle name="Percent 5 4" xfId="42210" xr:uid="{00000000-0005-0000-0000-0000E9A40000}"/>
    <cellStyle name="Percent 5 4 2" xfId="42211" xr:uid="{00000000-0005-0000-0000-0000EAA40000}"/>
    <cellStyle name="Percent 5 4 3" xfId="42212" xr:uid="{00000000-0005-0000-0000-0000EBA40000}"/>
    <cellStyle name="Percent 5 4 4" xfId="42213" xr:uid="{00000000-0005-0000-0000-0000ECA40000}"/>
    <cellStyle name="Percent 5 5" xfId="42214" xr:uid="{00000000-0005-0000-0000-0000EDA40000}"/>
    <cellStyle name="Percent 5 5 2" xfId="42215" xr:uid="{00000000-0005-0000-0000-0000EEA40000}"/>
    <cellStyle name="Percent 5 6" xfId="42216" xr:uid="{00000000-0005-0000-0000-0000EFA40000}"/>
    <cellStyle name="Percent 5 7" xfId="42217" xr:uid="{00000000-0005-0000-0000-0000F0A40000}"/>
    <cellStyle name="Percent 5 8" xfId="42218" xr:uid="{00000000-0005-0000-0000-0000F1A40000}"/>
    <cellStyle name="Percent 5 9" xfId="42219" xr:uid="{00000000-0005-0000-0000-0000F2A40000}"/>
    <cellStyle name="Percent 50" xfId="42220" xr:uid="{00000000-0005-0000-0000-0000F3A40000}"/>
    <cellStyle name="Percent 51" xfId="42221" xr:uid="{00000000-0005-0000-0000-0000F4A40000}"/>
    <cellStyle name="Percent 52" xfId="42325" xr:uid="{00000000-0005-0000-0000-0000F5A40000}"/>
    <cellStyle name="Percent 53" xfId="42326" xr:uid="{00000000-0005-0000-0000-0000F6A40000}"/>
    <cellStyle name="Percent 6" xfId="42222" xr:uid="{00000000-0005-0000-0000-0000F7A40000}"/>
    <cellStyle name="Percent 6 2" xfId="42223" xr:uid="{00000000-0005-0000-0000-0000F8A40000}"/>
    <cellStyle name="Percent 6 2 2" xfId="42224" xr:uid="{00000000-0005-0000-0000-0000F9A40000}"/>
    <cellStyle name="Percent 6 2 2 2" xfId="42225" xr:uid="{00000000-0005-0000-0000-0000FAA40000}"/>
    <cellStyle name="Percent 6 2 3" xfId="42226" xr:uid="{00000000-0005-0000-0000-0000FBA40000}"/>
    <cellStyle name="Percent 6 2 4" xfId="42227" xr:uid="{00000000-0005-0000-0000-0000FCA40000}"/>
    <cellStyle name="Percent 6 2 5" xfId="42228" xr:uid="{00000000-0005-0000-0000-0000FDA40000}"/>
    <cellStyle name="Percent 6 3" xfId="42229" xr:uid="{00000000-0005-0000-0000-0000FEA40000}"/>
    <cellStyle name="Percent 6 3 2" xfId="42230" xr:uid="{00000000-0005-0000-0000-0000FFA40000}"/>
    <cellStyle name="Percent 6 3 3" xfId="42231" xr:uid="{00000000-0005-0000-0000-000000A50000}"/>
    <cellStyle name="Percent 6 3 4" xfId="42232" xr:uid="{00000000-0005-0000-0000-000001A50000}"/>
    <cellStyle name="Percent 6 4" xfId="42233" xr:uid="{00000000-0005-0000-0000-000002A50000}"/>
    <cellStyle name="Percent 6 4 2" xfId="42234" xr:uid="{00000000-0005-0000-0000-000003A50000}"/>
    <cellStyle name="Percent 6 5" xfId="42235" xr:uid="{00000000-0005-0000-0000-000004A50000}"/>
    <cellStyle name="Percent 6 6" xfId="42236" xr:uid="{00000000-0005-0000-0000-000005A50000}"/>
    <cellStyle name="Percent 6 7" xfId="42237" xr:uid="{00000000-0005-0000-0000-000006A50000}"/>
    <cellStyle name="Percent 6 8" xfId="42238" xr:uid="{00000000-0005-0000-0000-000007A50000}"/>
    <cellStyle name="Percent 7" xfId="42239" xr:uid="{00000000-0005-0000-0000-000008A50000}"/>
    <cellStyle name="Percent 7 2" xfId="42240" xr:uid="{00000000-0005-0000-0000-000009A50000}"/>
    <cellStyle name="Percent 7 2 2" xfId="42241" xr:uid="{00000000-0005-0000-0000-00000AA50000}"/>
    <cellStyle name="Percent 7 2 2 2" xfId="42242" xr:uid="{00000000-0005-0000-0000-00000BA50000}"/>
    <cellStyle name="Percent 7 2 3" xfId="42243" xr:uid="{00000000-0005-0000-0000-00000CA50000}"/>
    <cellStyle name="Percent 7 2 4" xfId="42244" xr:uid="{00000000-0005-0000-0000-00000DA50000}"/>
    <cellStyle name="Percent 7 2 5" xfId="42245" xr:uid="{00000000-0005-0000-0000-00000EA50000}"/>
    <cellStyle name="Percent 7 3" xfId="42246" xr:uid="{00000000-0005-0000-0000-00000FA50000}"/>
    <cellStyle name="Percent 7 3 2" xfId="42247" xr:uid="{00000000-0005-0000-0000-000010A50000}"/>
    <cellStyle name="Percent 7 3 3" xfId="42248" xr:uid="{00000000-0005-0000-0000-000011A50000}"/>
    <cellStyle name="Percent 7 3 4" xfId="42249" xr:uid="{00000000-0005-0000-0000-000012A50000}"/>
    <cellStyle name="Percent 7 4" xfId="42250" xr:uid="{00000000-0005-0000-0000-000013A50000}"/>
    <cellStyle name="Percent 7 4 2" xfId="42251" xr:uid="{00000000-0005-0000-0000-000014A50000}"/>
    <cellStyle name="Percent 7 5" xfId="42252" xr:uid="{00000000-0005-0000-0000-000015A50000}"/>
    <cellStyle name="Percent 7 6" xfId="42253" xr:uid="{00000000-0005-0000-0000-000016A50000}"/>
    <cellStyle name="Percent 7 7" xfId="42254" xr:uid="{00000000-0005-0000-0000-000017A50000}"/>
    <cellStyle name="Percent 7 8" xfId="42255" xr:uid="{00000000-0005-0000-0000-000018A50000}"/>
    <cellStyle name="Percent 8" xfId="42256" xr:uid="{00000000-0005-0000-0000-000019A50000}"/>
    <cellStyle name="Percent 8 2" xfId="42257" xr:uid="{00000000-0005-0000-0000-00001AA50000}"/>
    <cellStyle name="Percent 8 2 2" xfId="42258" xr:uid="{00000000-0005-0000-0000-00001BA50000}"/>
    <cellStyle name="Percent 8 2 3" xfId="42259" xr:uid="{00000000-0005-0000-0000-00001CA50000}"/>
    <cellStyle name="Percent 8 2 4" xfId="42260" xr:uid="{00000000-0005-0000-0000-00001DA50000}"/>
    <cellStyle name="Percent 8 3" xfId="42261" xr:uid="{00000000-0005-0000-0000-00001EA50000}"/>
    <cellStyle name="Percent 8 3 2" xfId="42262" xr:uid="{00000000-0005-0000-0000-00001FA50000}"/>
    <cellStyle name="Percent 8 4" xfId="42263" xr:uid="{00000000-0005-0000-0000-000020A50000}"/>
    <cellStyle name="Percent 8 5" xfId="42264" xr:uid="{00000000-0005-0000-0000-000021A50000}"/>
    <cellStyle name="Percent 8 6" xfId="42265" xr:uid="{00000000-0005-0000-0000-000022A50000}"/>
    <cellStyle name="Percent 8 7" xfId="42266" xr:uid="{00000000-0005-0000-0000-000023A50000}"/>
    <cellStyle name="Percent 9" xfId="42267" xr:uid="{00000000-0005-0000-0000-000024A50000}"/>
    <cellStyle name="Percent 9 2" xfId="42268" xr:uid="{00000000-0005-0000-0000-000025A50000}"/>
    <cellStyle name="Percent 9 2 2" xfId="42269" xr:uid="{00000000-0005-0000-0000-000026A50000}"/>
    <cellStyle name="Percent 9 2 3" xfId="42270" xr:uid="{00000000-0005-0000-0000-000027A50000}"/>
    <cellStyle name="Percent 9 2 4" xfId="42271" xr:uid="{00000000-0005-0000-0000-000028A50000}"/>
    <cellStyle name="Percent 9 3" xfId="42272" xr:uid="{00000000-0005-0000-0000-000029A50000}"/>
    <cellStyle name="Percent 9 3 2" xfId="42273" xr:uid="{00000000-0005-0000-0000-00002AA50000}"/>
    <cellStyle name="Percent 9 4" xfId="42274" xr:uid="{00000000-0005-0000-0000-00002BA50000}"/>
    <cellStyle name="Percent 9 5" xfId="42275" xr:uid="{00000000-0005-0000-0000-00002CA50000}"/>
    <cellStyle name="Percent 9 6" xfId="42276" xr:uid="{00000000-0005-0000-0000-00002DA50000}"/>
    <cellStyle name="PSChar" xfId="42277" xr:uid="{00000000-0005-0000-0000-00002EA50000}"/>
    <cellStyle name="PSDate" xfId="42278" xr:uid="{00000000-0005-0000-0000-00002FA50000}"/>
    <cellStyle name="PSDec" xfId="42279" xr:uid="{00000000-0005-0000-0000-000030A50000}"/>
    <cellStyle name="PSdesc" xfId="42280" xr:uid="{00000000-0005-0000-0000-000031A50000}"/>
    <cellStyle name="PSHeading" xfId="42281" xr:uid="{00000000-0005-0000-0000-000032A50000}"/>
    <cellStyle name="PSInt" xfId="42282" xr:uid="{00000000-0005-0000-0000-000033A50000}"/>
    <cellStyle name="PSSpacer" xfId="42283" xr:uid="{00000000-0005-0000-0000-000034A50000}"/>
    <cellStyle name="PStest" xfId="42284" xr:uid="{00000000-0005-0000-0000-000035A50000}"/>
    <cellStyle name="R00A" xfId="42285" xr:uid="{00000000-0005-0000-0000-000036A50000}"/>
    <cellStyle name="R00B" xfId="42286" xr:uid="{00000000-0005-0000-0000-000037A50000}"/>
    <cellStyle name="R00L" xfId="42287" xr:uid="{00000000-0005-0000-0000-000038A50000}"/>
    <cellStyle name="R01A" xfId="42288" xr:uid="{00000000-0005-0000-0000-000039A50000}"/>
    <cellStyle name="R01B" xfId="42289" xr:uid="{00000000-0005-0000-0000-00003AA50000}"/>
    <cellStyle name="R01H" xfId="42290" xr:uid="{00000000-0005-0000-0000-00003BA50000}"/>
    <cellStyle name="R01L" xfId="42291" xr:uid="{00000000-0005-0000-0000-00003CA50000}"/>
    <cellStyle name="R02A" xfId="42292" xr:uid="{00000000-0005-0000-0000-00003DA50000}"/>
    <cellStyle name="R02B" xfId="42293" xr:uid="{00000000-0005-0000-0000-00003EA50000}"/>
    <cellStyle name="R02H" xfId="42294" xr:uid="{00000000-0005-0000-0000-00003FA50000}"/>
    <cellStyle name="R02L" xfId="42295" xr:uid="{00000000-0005-0000-0000-000040A50000}"/>
    <cellStyle name="R03A" xfId="42296" xr:uid="{00000000-0005-0000-0000-000041A50000}"/>
    <cellStyle name="R03B" xfId="42297" xr:uid="{00000000-0005-0000-0000-000042A50000}"/>
    <cellStyle name="R03H" xfId="42298" xr:uid="{00000000-0005-0000-0000-000043A50000}"/>
    <cellStyle name="R03L" xfId="42299" xr:uid="{00000000-0005-0000-0000-000044A50000}"/>
    <cellStyle name="R04A" xfId="42300" xr:uid="{00000000-0005-0000-0000-000045A50000}"/>
    <cellStyle name="R04B" xfId="42301" xr:uid="{00000000-0005-0000-0000-000046A50000}"/>
    <cellStyle name="R04H" xfId="42302" xr:uid="{00000000-0005-0000-0000-000047A50000}"/>
    <cellStyle name="R04L" xfId="42303" xr:uid="{00000000-0005-0000-0000-000048A50000}"/>
    <cellStyle name="R05A" xfId="42304" xr:uid="{00000000-0005-0000-0000-000049A50000}"/>
    <cellStyle name="R05B" xfId="42305" xr:uid="{00000000-0005-0000-0000-00004AA50000}"/>
    <cellStyle name="R05H" xfId="42306" xr:uid="{00000000-0005-0000-0000-00004BA50000}"/>
    <cellStyle name="R05L" xfId="42307" xr:uid="{00000000-0005-0000-0000-00004CA50000}"/>
    <cellStyle name="R06A" xfId="42308" xr:uid="{00000000-0005-0000-0000-00004DA50000}"/>
    <cellStyle name="R06B" xfId="42309" xr:uid="{00000000-0005-0000-0000-00004EA50000}"/>
    <cellStyle name="R06H" xfId="42310" xr:uid="{00000000-0005-0000-0000-00004FA50000}"/>
    <cellStyle name="R06L" xfId="42311" xr:uid="{00000000-0005-0000-0000-000050A50000}"/>
    <cellStyle name="R07A" xfId="42312" xr:uid="{00000000-0005-0000-0000-000051A50000}"/>
    <cellStyle name="R07B" xfId="42313" xr:uid="{00000000-0005-0000-0000-000052A50000}"/>
    <cellStyle name="R07H" xfId="42314" xr:uid="{00000000-0005-0000-0000-000053A50000}"/>
    <cellStyle name="R07L" xfId="42315" xr:uid="{00000000-0005-0000-0000-000054A50000}"/>
    <cellStyle name="Staff_Days" xfId="42316" xr:uid="{00000000-0005-0000-0000-000055A50000}"/>
    <cellStyle name="STYL1 - Style1" xfId="42317" xr:uid="{00000000-0005-0000-0000-000056A50000}"/>
    <cellStyle name="Total 2" xfId="42318" xr:uid="{00000000-0005-0000-0000-000057A50000}"/>
  </cellStyles>
  <dxfs count="50">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fill>
        <patternFill patternType="solid">
          <fgColor indexed="64"/>
          <bgColor theme="0"/>
        </patternFill>
      </fill>
      <alignment horizontal="center" vertical="bottom" textRotation="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medium">
          <color indexed="64"/>
        </right>
        <top/>
        <bottom/>
      </border>
    </dxf>
    <dxf>
      <alignment horizontal="general"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alignment horizontal="left" vertical="top" textRotation="0" wrapText="0" indent="0" justifyLastLine="0" shrinkToFit="0" readingOrder="0"/>
    </dxf>
    <dxf>
      <fill>
        <patternFill patternType="solid">
          <fgColor indexed="64"/>
          <bgColor theme="0"/>
        </patternFill>
      </fill>
    </dxf>
    <dxf>
      <font>
        <b/>
        <i val="0"/>
        <strike val="0"/>
        <condense val="0"/>
        <extend val="0"/>
        <outline val="0"/>
        <shadow val="0"/>
        <u val="none"/>
        <vertAlign val="baseline"/>
        <sz val="11"/>
        <color rgb="FF000000"/>
        <name val="Calibri"/>
        <scheme val="none"/>
      </font>
      <fill>
        <patternFill patternType="solid">
          <fgColor indexed="64"/>
          <bgColor theme="0"/>
        </patternFill>
      </fill>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Light1 3"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81014</xdr:colOff>
      <xdr:row>1</xdr:row>
      <xdr:rowOff>265545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69787" cy="8543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es/Transmission/Rate17/Draft%20Data/2017%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aker\Desktop\Reg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Summary 2020 est"/>
      <sheetName val="WAUGP-ATRR 2020 est"/>
      <sheetName val="WAUGP-AS1 2020 est"/>
      <sheetName val="Facilities 2020 est"/>
      <sheetName val="FACILITIES - Included Per AI"/>
      <sheetName val="FACILITIES - Excluded Per AI"/>
      <sheetName val="Facilities Changes 2020"/>
      <sheetName val="WAUW-AS3 2020 est"/>
      <sheetName val="Cost Data 2020 est"/>
      <sheetName val="WAUW-AS5&amp;6 2020 est"/>
      <sheetName val="SSCD Facilities 2020 est"/>
      <sheetName val="Base Plan Upgrades Zonal"/>
      <sheetName val="Base Plan Upgrades Regional"/>
      <sheetName val="Annual Allocator 2020 est"/>
      <sheetName val="Base Plan Upgrades 2020 est"/>
    </sheetNames>
    <sheetDataSet>
      <sheetData sheetId="0"/>
      <sheetData sheetId="1"/>
      <sheetData sheetId="2"/>
      <sheetData sheetId="3"/>
      <sheetData sheetId="4">
        <row r="215">
          <cell r="F215">
            <v>7671000</v>
          </cell>
        </row>
      </sheetData>
      <sheetData sheetId="5"/>
      <sheetData sheetId="6"/>
      <sheetData sheetId="7"/>
      <sheetData sheetId="8"/>
      <sheetData sheetId="9">
        <row r="25">
          <cell r="K25">
            <v>509668.47616130515</v>
          </cell>
        </row>
        <row r="49">
          <cell r="K49">
            <v>157688.57813986941</v>
          </cell>
        </row>
      </sheetData>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2424" displayName="Table142424" ref="A5:N789" totalsRowCount="1" headerRowDxfId="35" totalsRowDxfId="34">
  <tableColumns count="14">
    <tableColumn id="1" xr3:uid="{00000000-0010-0000-0000-000001000000}" name="Line No." dataDxfId="33" totalsRowDxfId="32"/>
    <tableColumn id="14" xr3:uid="{00000000-0010-0000-0000-00000E000000}" name="FID" dataDxfId="31" totalsRowDxfId="30"/>
    <tableColumn id="2" xr3:uid="{00000000-0010-0000-0000-000002000000}" name="Facility" dataDxfId="29" totalsRowDxfId="28"/>
    <tableColumn id="3" xr3:uid="{00000000-0010-0000-0000-000003000000}" name="Specific Plant Included" dataDxfId="27" totalsRowDxfId="26"/>
    <tableColumn id="4" xr3:uid="{00000000-0010-0000-0000-000004000000}" name="East or West" dataDxfId="25" totalsRowDxfId="24"/>
    <tableColumn id="5" xr3:uid="{00000000-0010-0000-0000-000005000000}" name="Costs" dataDxfId="23" totalsRowDxfId="22" dataCellStyle="Currency"/>
    <tableColumn id="6" xr3:uid="{00000000-0010-0000-0000-000006000000}" name="1" dataDxfId="21" totalsRowDxfId="20"/>
    <tableColumn id="7" xr3:uid="{00000000-0010-0000-0000-000007000000}" name="1(b)" dataDxfId="19" totalsRowDxfId="18"/>
    <tableColumn id="8" xr3:uid="{00000000-0010-0000-0000-000008000000}" name="2" dataDxfId="17" totalsRowDxfId="16"/>
    <tableColumn id="9" xr3:uid="{00000000-0010-0000-0000-000009000000}" name="3" dataDxfId="15" totalsRowDxfId="14"/>
    <tableColumn id="10" xr3:uid="{00000000-0010-0000-0000-00000A000000}" name="4" dataDxfId="13" totalsRowDxfId="12"/>
    <tableColumn id="11" xr3:uid="{00000000-0010-0000-0000-00000B000000}" name="5" dataDxfId="11" totalsRowDxfId="10"/>
    <tableColumn id="12" xr3:uid="{00000000-0010-0000-0000-00000C000000}" name="6" dataDxfId="9" totalsRowDxfId="8" dataCellStyle="Currency"/>
    <tableColumn id="13" xr3:uid="{00000000-0010-0000-0000-00000D000000}"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35" displayName="Table13535" ref="B4:E180" totalsRowShown="0" headerRowDxfId="5" dataDxfId="4">
  <tableColumns count="4">
    <tableColumn id="1" xr3:uid="{00000000-0010-0000-0100-000001000000}" name="FID" dataDxfId="3"/>
    <tableColumn id="2" xr3:uid="{00000000-0010-0000-0100-000002000000}" name="Facility" dataDxfId="2"/>
    <tableColumn id="3" xr3:uid="{00000000-0010-0000-0100-000003000000}" name="Specific Plant NOT Included" dataDxfId="1"/>
    <tableColumn id="13" xr3:uid="{00000000-0010-0000-0100-00000D000000}"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view="pageBreakPreview" zoomScaleNormal="100" zoomScaleSheetLayoutView="100" workbookViewId="0">
      <selection activeCell="A2" sqref="A2:D2"/>
    </sheetView>
  </sheetViews>
  <sheetFormatPr defaultRowHeight="14.4"/>
  <cols>
    <col min="1" max="1" width="55.33203125" customWidth="1"/>
    <col min="2" max="3" width="18.6640625" customWidth="1"/>
    <col min="4" max="4" width="30.6640625" customWidth="1"/>
    <col min="5" max="5" width="36" customWidth="1"/>
    <col min="6" max="6" width="15.33203125" bestFit="1" customWidth="1"/>
    <col min="7" max="7" width="14.5546875" bestFit="1" customWidth="1"/>
    <col min="8" max="8" width="24.109375" bestFit="1" customWidth="1"/>
    <col min="10" max="10" width="13.33203125" bestFit="1" customWidth="1"/>
  </cols>
  <sheetData>
    <row r="1" spans="1:4" ht="46.2">
      <c r="A1" s="755"/>
      <c r="B1" s="755"/>
      <c r="C1" s="755"/>
      <c r="D1" s="755"/>
    </row>
    <row r="2" spans="1:4" ht="46.2">
      <c r="A2" s="755"/>
      <c r="B2" s="755"/>
      <c r="C2" s="755"/>
      <c r="D2" s="755"/>
    </row>
    <row r="3" spans="1:4" ht="46.2">
      <c r="A3" s="755" t="s">
        <v>2476</v>
      </c>
      <c r="B3" s="755"/>
      <c r="C3" s="755"/>
      <c r="D3" s="755"/>
    </row>
    <row r="4" spans="1:4" ht="36.6">
      <c r="A4" s="756" t="s">
        <v>2477</v>
      </c>
      <c r="B4" s="756"/>
      <c r="C4" s="756"/>
      <c r="D4" s="756"/>
    </row>
    <row r="5" spans="1:4" ht="46.2">
      <c r="A5" s="755" t="s">
        <v>1438</v>
      </c>
      <c r="B5" s="755"/>
      <c r="C5" s="755"/>
      <c r="D5" s="755"/>
    </row>
    <row r="6" spans="1:4" ht="46.2">
      <c r="A6" s="755" t="s">
        <v>1440</v>
      </c>
      <c r="B6" s="755"/>
      <c r="C6" s="755"/>
      <c r="D6" s="755"/>
    </row>
    <row r="7" spans="1:4" ht="46.2">
      <c r="A7" s="592"/>
      <c r="B7" s="592"/>
      <c r="C7" s="591"/>
      <c r="D7" s="591"/>
    </row>
    <row r="8" spans="1:4" ht="46.2">
      <c r="A8" s="755" t="s">
        <v>2507</v>
      </c>
      <c r="B8" s="755"/>
      <c r="C8" s="755"/>
      <c r="D8" s="755"/>
    </row>
    <row r="9" spans="1:4" ht="46.2">
      <c r="A9" s="592"/>
      <c r="B9" s="592"/>
      <c r="C9" s="591"/>
      <c r="D9" s="591"/>
    </row>
    <row r="10" spans="1:4" ht="46.2">
      <c r="A10" s="755" t="s">
        <v>2511</v>
      </c>
      <c r="B10" s="755"/>
      <c r="C10" s="755"/>
      <c r="D10" s="755"/>
    </row>
    <row r="11" spans="1:4">
      <c r="A11" s="757" t="s">
        <v>2474</v>
      </c>
      <c r="B11" s="757"/>
      <c r="C11" s="757"/>
      <c r="D11" s="757"/>
    </row>
    <row r="12" spans="1:4">
      <c r="A12" s="652"/>
      <c r="B12" s="652"/>
      <c r="C12" s="652"/>
      <c r="D12" s="652"/>
    </row>
    <row r="13" spans="1:4">
      <c r="A13" s="652"/>
      <c r="B13" s="652"/>
      <c r="C13" s="652"/>
      <c r="D13" s="652"/>
    </row>
    <row r="14" spans="1:4">
      <c r="A14" s="757" t="s">
        <v>2475</v>
      </c>
      <c r="B14" s="757"/>
      <c r="C14" s="757"/>
      <c r="D14" s="757"/>
    </row>
    <row r="15" spans="1:4">
      <c r="A15" s="757" t="s">
        <v>1439</v>
      </c>
      <c r="B15" s="757"/>
      <c r="C15" s="757"/>
      <c r="D15" s="757"/>
    </row>
    <row r="16" spans="1:4">
      <c r="A16" s="652"/>
      <c r="B16" s="652"/>
      <c r="C16" s="652"/>
      <c r="D16" s="652"/>
    </row>
    <row r="17" spans="1:4">
      <c r="A17" s="654" t="s">
        <v>2516</v>
      </c>
      <c r="B17" s="654" t="s">
        <v>2517</v>
      </c>
      <c r="C17" s="652"/>
      <c r="D17" s="652"/>
    </row>
    <row r="18" spans="1:4">
      <c r="A18" s="591" t="s">
        <v>2515</v>
      </c>
      <c r="B18" s="754" t="s">
        <v>2518</v>
      </c>
      <c r="C18" s="754"/>
      <c r="D18" s="754"/>
    </row>
    <row r="19" spans="1:4">
      <c r="A19" s="591" t="s">
        <v>2492</v>
      </c>
      <c r="B19" s="754" t="s">
        <v>2519</v>
      </c>
      <c r="C19" s="754"/>
      <c r="D19" s="754"/>
    </row>
    <row r="20" spans="1:4">
      <c r="A20" s="591" t="s">
        <v>2493</v>
      </c>
      <c r="B20" s="754" t="s">
        <v>2520</v>
      </c>
      <c r="C20" s="754"/>
      <c r="D20" s="754"/>
    </row>
    <row r="21" spans="1:4">
      <c r="A21" s="591" t="s">
        <v>2494</v>
      </c>
      <c r="B21" s="754" t="s">
        <v>2521</v>
      </c>
      <c r="C21" s="754"/>
      <c r="D21" s="754"/>
    </row>
    <row r="22" spans="1:4">
      <c r="A22" s="591" t="s">
        <v>2495</v>
      </c>
      <c r="B22" s="754" t="s">
        <v>2523</v>
      </c>
      <c r="C22" s="754"/>
      <c r="D22" s="754"/>
    </row>
    <row r="23" spans="1:4">
      <c r="A23" s="591" t="s">
        <v>2496</v>
      </c>
      <c r="B23" s="651" t="s">
        <v>2524</v>
      </c>
      <c r="C23" s="593"/>
      <c r="D23" s="593"/>
    </row>
    <row r="24" spans="1:4">
      <c r="A24" s="591" t="s">
        <v>2497</v>
      </c>
      <c r="B24" s="754" t="s">
        <v>2525</v>
      </c>
      <c r="C24" s="754"/>
      <c r="D24" s="754"/>
    </row>
    <row r="25" spans="1:4">
      <c r="A25" s="591" t="s">
        <v>2498</v>
      </c>
      <c r="B25" s="651" t="s">
        <v>2526</v>
      </c>
      <c r="C25" s="593"/>
      <c r="D25" s="593"/>
    </row>
    <row r="26" spans="1:4">
      <c r="A26" s="591" t="s">
        <v>2499</v>
      </c>
      <c r="B26" s="754" t="s">
        <v>2522</v>
      </c>
      <c r="C26" s="754"/>
      <c r="D26" s="754"/>
    </row>
    <row r="27" spans="1:4">
      <c r="A27" s="591" t="s">
        <v>2500</v>
      </c>
      <c r="B27" s="754" t="s">
        <v>2527</v>
      </c>
      <c r="C27" s="754"/>
      <c r="D27" s="754"/>
    </row>
    <row r="28" spans="1:4">
      <c r="A28" s="591" t="s">
        <v>2501</v>
      </c>
      <c r="B28" s="594" t="s">
        <v>2528</v>
      </c>
      <c r="C28" s="591"/>
      <c r="D28" s="591"/>
    </row>
    <row r="29" spans="1:4">
      <c r="A29" s="591" t="s">
        <v>2502</v>
      </c>
      <c r="B29" s="594" t="s">
        <v>2529</v>
      </c>
      <c r="C29" s="591"/>
      <c r="D29" s="591"/>
    </row>
    <row r="30" spans="1:4">
      <c r="A30" s="591" t="s">
        <v>2503</v>
      </c>
      <c r="B30" s="594" t="s">
        <v>2530</v>
      </c>
      <c r="C30" s="591"/>
      <c r="D30" s="591"/>
    </row>
    <row r="31" spans="1:4">
      <c r="A31" s="591" t="s">
        <v>2504</v>
      </c>
      <c r="B31" s="754" t="s">
        <v>2531</v>
      </c>
      <c r="C31" s="754"/>
      <c r="D31" s="754"/>
    </row>
    <row r="32" spans="1:4">
      <c r="A32" s="591" t="s">
        <v>2505</v>
      </c>
      <c r="B32" s="754" t="s">
        <v>2532</v>
      </c>
      <c r="C32" s="754"/>
      <c r="D32" s="754"/>
    </row>
    <row r="33" spans="1:4">
      <c r="A33" s="591" t="s">
        <v>2506</v>
      </c>
      <c r="B33" s="594" t="s">
        <v>2533</v>
      </c>
      <c r="C33" s="591"/>
      <c r="D33" s="591"/>
    </row>
  </sheetData>
  <mergeCells count="21">
    <mergeCell ref="A3:D3"/>
    <mergeCell ref="A4:D4"/>
    <mergeCell ref="B22:D22"/>
    <mergeCell ref="A1:D1"/>
    <mergeCell ref="A5:D5"/>
    <mergeCell ref="A6:D6"/>
    <mergeCell ref="A8:D8"/>
    <mergeCell ref="A10:D10"/>
    <mergeCell ref="A11:D11"/>
    <mergeCell ref="A15:D15"/>
    <mergeCell ref="B18:D18"/>
    <mergeCell ref="B19:D19"/>
    <mergeCell ref="B20:D20"/>
    <mergeCell ref="B21:D21"/>
    <mergeCell ref="A14:D14"/>
    <mergeCell ref="A2:D2"/>
    <mergeCell ref="B31:D31"/>
    <mergeCell ref="B32:D32"/>
    <mergeCell ref="B24:D24"/>
    <mergeCell ref="B26:D26"/>
    <mergeCell ref="B27:D27"/>
  </mergeCells>
  <hyperlinks>
    <hyperlink ref="B18:D18" location="'Summary-TrueUp'!A1" display="Worksheet &quot;Summary-TrueUp&quot; -- Calculation of True-ups" xr:uid="{00000000-0004-0000-0000-000000000000}"/>
    <hyperlink ref="B19:D19" location="'WS1-RateBase'!A1" display="Worksheet 1 -- Calculation of Rate Base" xr:uid="{00000000-0004-0000-0000-000001000000}"/>
    <hyperlink ref="B20:D20" location="'WS2-AllocFactor'!A1" display="Worksheet 2 -- Allocation Factors" xr:uid="{00000000-0004-0000-0000-000002000000}"/>
    <hyperlink ref="B21:D21" location="'WS3-RevCredits'!A1" display="Worksheet 3 -- Revenue Credit detail" xr:uid="{00000000-0004-0000-0000-000003000000}"/>
    <hyperlink ref="B22:D22" location="'WS4-CostData'!A1" display="Worksheet 4 - Cost Support Data" xr:uid="{00000000-0004-0000-0000-000004000000}"/>
    <hyperlink ref="B23" location="'WS5-BPUz'!A1" display="Worksheet 5 - SPP Base Plan Upgrades (BPU) - Zonal" xr:uid="{00000000-0004-0000-0000-000005000000}"/>
    <hyperlink ref="B24:D24" location="'WS6-BPUr'!A1" display="Worksheet 6 - SPP Base Plan Upgrades (BPU) - Regional" xr:uid="{00000000-0004-0000-0000-000006000000}"/>
    <hyperlink ref="B25" location="'WS7-BPUFac'!A1" display="Worksheet 7 - SPP Base Plan Upgrades (BPU) - Facilities" xr:uid="{00000000-0004-0000-0000-000007000000}"/>
    <hyperlink ref="B26:D26" location="'WS8-TranFac'!A1" display="Worksheet 8 - Transmission Facilities" xr:uid="{00000000-0004-0000-0000-000008000000}"/>
    <hyperlink ref="B27:D27" location="'WS9-AI-Incl'!A1" display="Worksheet 9 - WAPA-UGP Facilities Included per SPP Tariff Attachment AI" xr:uid="{00000000-0004-0000-0000-000009000000}"/>
    <hyperlink ref="B28" location="'WS10-AI-Excl'!A1" display="Worksheet 10 - WAPA-UGP Facilities Excluded per SPP Tariff Attachment AI" xr:uid="{00000000-0004-0000-0000-00000A000000}"/>
    <hyperlink ref="B29" location="'WS11-FacChanges'!A1" display="Worksheet 11 - Facility Changes Detail" xr:uid="{00000000-0004-0000-0000-00000B000000}"/>
    <hyperlink ref="B30" location="'WS12-SSCD'!A1" display="Worksheet 12 - Scheduling, System Control and Dispatch Service (SSCD) ARR" xr:uid="{00000000-0004-0000-0000-00000C000000}"/>
    <hyperlink ref="B31:D31" location="'WS13-SSCDFac'!A1" display="Worksheet 13 - Scheduling, System Conrol and Dispatch Service (SSCD) Facilities" xr:uid="{00000000-0004-0000-0000-00000D000000}"/>
    <hyperlink ref="B32:D32" location="'WS14-Reg'!A1" display="Worksheet 14 - Regulaton and Frequency Response ARR" xr:uid="{00000000-0004-0000-0000-00000E000000}"/>
    <hyperlink ref="B33" location="'WS15-Res'!A1" display="Worksheet 15 - Reserves ARR" xr:uid="{00000000-0004-0000-0000-00000F000000}"/>
  </hyperlinks>
  <printOptions horizontalCentered="1" verticalCentered="1"/>
  <pageMargins left="0.7" right="0.7" top="0.75" bottom="0.75" header="0.3" footer="0.3"/>
  <pageSetup scale="7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583"/>
  <sheetViews>
    <sheetView view="pageBreakPreview" zoomScaleNormal="90" zoomScaleSheetLayoutView="100" zoomScalePageLayoutView="90" workbookViewId="0"/>
  </sheetViews>
  <sheetFormatPr defaultColWidth="9.109375" defaultRowHeight="13.8" outlineLevelRow="2"/>
  <cols>
    <col min="1" max="2" width="9.109375" style="10"/>
    <col min="3" max="3" width="8" style="16" customWidth="1"/>
    <col min="4" max="4" width="42.88671875" style="11" customWidth="1"/>
    <col min="5" max="5" width="16.109375" style="12" customWidth="1"/>
    <col min="6" max="6" width="18.33203125" style="12" customWidth="1"/>
    <col min="7" max="8" width="14.6640625" style="12" customWidth="1"/>
    <col min="9" max="9" width="23.5546875" style="13" customWidth="1"/>
    <col min="10" max="10" width="20.6640625" style="16" customWidth="1"/>
    <col min="11" max="11" width="13.5546875" style="11" bestFit="1" customWidth="1"/>
    <col min="12" max="12" width="12.109375" style="10" customWidth="1"/>
    <col min="13" max="13" width="12" style="10" customWidth="1"/>
    <col min="14" max="15" width="9.109375" style="11" customWidth="1"/>
    <col min="16" max="16" width="12.44140625" style="11" bestFit="1" customWidth="1"/>
    <col min="17" max="16384" width="9.109375" style="11"/>
  </cols>
  <sheetData>
    <row r="1" spans="1:13" s="3" customFormat="1" ht="14.4">
      <c r="A1" s="1" t="str">
        <f>'Cover Sheets'!A10:D10</f>
        <v>WAPA-UGP 2018 Rate True-up Calculation</v>
      </c>
      <c r="B1" s="1"/>
      <c r="C1" s="2"/>
      <c r="E1" s="661" t="s">
        <v>2543</v>
      </c>
      <c r="F1" s="4"/>
      <c r="G1" s="4"/>
      <c r="H1" s="4"/>
      <c r="I1" s="5"/>
    </row>
    <row r="2" spans="1:13" s="3" customFormat="1">
      <c r="A2" s="1" t="s">
        <v>2485</v>
      </c>
      <c r="B2" s="1"/>
      <c r="C2" s="2"/>
      <c r="E2" s="4"/>
      <c r="F2" s="4"/>
      <c r="G2" s="4"/>
      <c r="H2" s="4"/>
      <c r="I2" s="5"/>
    </row>
    <row r="3" spans="1:13" s="6" customFormat="1">
      <c r="A3" s="1" t="str">
        <f>'Summary-TrueUp'!A3</f>
        <v>12 Months Ending 09/30/2018 True-up</v>
      </c>
      <c r="B3" s="1"/>
      <c r="C3" s="3"/>
      <c r="E3" s="674">
        <v>-1</v>
      </c>
      <c r="F3" s="674">
        <v>-2</v>
      </c>
      <c r="G3" s="674">
        <v>-3</v>
      </c>
      <c r="H3" s="674">
        <v>-4</v>
      </c>
      <c r="I3" s="675">
        <v>-5</v>
      </c>
      <c r="J3" s="3"/>
      <c r="K3" s="3"/>
      <c r="L3" s="3"/>
      <c r="M3" s="3"/>
    </row>
    <row r="4" spans="1:13" s="3" customFormat="1" ht="27.75" customHeight="1">
      <c r="A4" s="3" t="s">
        <v>0</v>
      </c>
      <c r="C4" s="7" t="s">
        <v>1</v>
      </c>
      <c r="D4" s="8" t="s">
        <v>2</v>
      </c>
      <c r="E4" s="9" t="s">
        <v>4</v>
      </c>
      <c r="F4" s="9" t="s">
        <v>5</v>
      </c>
      <c r="G4" s="9" t="s">
        <v>6</v>
      </c>
      <c r="H4" s="9" t="s">
        <v>2432</v>
      </c>
      <c r="I4" s="407" t="s">
        <v>2369</v>
      </c>
      <c r="J4" s="7" t="s">
        <v>7</v>
      </c>
      <c r="M4" s="7"/>
    </row>
    <row r="5" spans="1:13" ht="13.5" customHeight="1" outlineLevel="2">
      <c r="A5" s="10">
        <v>1</v>
      </c>
      <c r="B5" s="10" t="s">
        <v>8</v>
      </c>
      <c r="C5" s="11" t="s">
        <v>9</v>
      </c>
      <c r="D5" s="11" t="s">
        <v>10</v>
      </c>
      <c r="E5" s="12">
        <v>133157.92000000001</v>
      </c>
      <c r="F5" s="13">
        <v>0</v>
      </c>
      <c r="G5" s="13">
        <v>0</v>
      </c>
      <c r="H5" s="13"/>
      <c r="I5" s="13">
        <f t="shared" ref="I5:I36" si="0">SUM(E5:G5)</f>
        <v>133157.92000000001</v>
      </c>
      <c r="J5" s="11"/>
      <c r="K5" s="10"/>
      <c r="M5" s="14"/>
    </row>
    <row r="6" spans="1:13" outlineLevel="2">
      <c r="A6" s="10">
        <f t="shared" ref="A6:A69" si="1">A5+1</f>
        <v>2</v>
      </c>
      <c r="B6" s="10" t="s">
        <v>8</v>
      </c>
      <c r="C6" s="11" t="s">
        <v>12</v>
      </c>
      <c r="D6" s="11" t="s">
        <v>13</v>
      </c>
      <c r="E6" s="12">
        <v>96623.18</v>
      </c>
      <c r="F6" s="13">
        <v>0</v>
      </c>
      <c r="G6" s="13">
        <v>0</v>
      </c>
      <c r="H6" s="13"/>
      <c r="I6" s="13">
        <f t="shared" si="0"/>
        <v>96623.18</v>
      </c>
      <c r="J6" s="11"/>
      <c r="K6" s="10"/>
      <c r="M6" s="14"/>
    </row>
    <row r="7" spans="1:13" ht="12.75" customHeight="1" outlineLevel="2">
      <c r="A7" s="10">
        <f t="shared" si="1"/>
        <v>3</v>
      </c>
      <c r="B7" s="10" t="s">
        <v>8</v>
      </c>
      <c r="C7" s="11" t="s">
        <v>14</v>
      </c>
      <c r="D7" s="11" t="s">
        <v>15</v>
      </c>
      <c r="E7" s="12">
        <v>459778.46</v>
      </c>
      <c r="F7" s="13">
        <v>0</v>
      </c>
      <c r="G7" s="13">
        <v>0</v>
      </c>
      <c r="H7" s="13"/>
      <c r="I7" s="13">
        <f t="shared" si="0"/>
        <v>459778.46</v>
      </c>
      <c r="J7" s="11"/>
      <c r="K7" s="10"/>
      <c r="M7" s="14"/>
    </row>
    <row r="8" spans="1:13" outlineLevel="2">
      <c r="A8" s="10">
        <f t="shared" si="1"/>
        <v>4</v>
      </c>
      <c r="B8" s="10" t="s">
        <v>8</v>
      </c>
      <c r="C8" s="15" t="s">
        <v>16</v>
      </c>
      <c r="D8" s="11" t="s">
        <v>17</v>
      </c>
      <c r="E8" s="12">
        <v>357312.09</v>
      </c>
      <c r="F8" s="13">
        <v>0</v>
      </c>
      <c r="G8" s="13">
        <v>0</v>
      </c>
      <c r="H8" s="13"/>
      <c r="I8" s="13">
        <f t="shared" si="0"/>
        <v>357312.09</v>
      </c>
      <c r="J8" s="15"/>
      <c r="K8" s="10"/>
      <c r="M8" s="14"/>
    </row>
    <row r="9" spans="1:13" outlineLevel="2">
      <c r="A9" s="10">
        <f t="shared" si="1"/>
        <v>5</v>
      </c>
      <c r="B9" s="10" t="s">
        <v>8</v>
      </c>
      <c r="C9" s="16" t="s">
        <v>18</v>
      </c>
      <c r="D9" s="11" t="s">
        <v>19</v>
      </c>
      <c r="E9" s="12">
        <v>5076896.62</v>
      </c>
      <c r="F9" s="13">
        <v>0</v>
      </c>
      <c r="G9" s="13">
        <v>0</v>
      </c>
      <c r="H9" s="13"/>
      <c r="I9" s="13">
        <f t="shared" si="0"/>
        <v>5076896.62</v>
      </c>
      <c r="K9" s="10"/>
      <c r="M9" s="14"/>
    </row>
    <row r="10" spans="1:13" outlineLevel="2">
      <c r="A10" s="10">
        <f t="shared" si="1"/>
        <v>6</v>
      </c>
      <c r="B10" s="10" t="s">
        <v>8</v>
      </c>
      <c r="C10" s="16" t="s">
        <v>20</v>
      </c>
      <c r="D10" s="11" t="s">
        <v>21</v>
      </c>
      <c r="E10" s="12">
        <v>9755199.8900000006</v>
      </c>
      <c r="F10" s="13">
        <v>0</v>
      </c>
      <c r="G10" s="13">
        <v>0</v>
      </c>
      <c r="H10" s="13"/>
      <c r="I10" s="13">
        <f t="shared" si="0"/>
        <v>9755199.8900000006</v>
      </c>
      <c r="K10" s="10"/>
    </row>
    <row r="11" spans="1:13" outlineLevel="2">
      <c r="A11" s="10">
        <f t="shared" si="1"/>
        <v>7</v>
      </c>
      <c r="B11" s="10" t="s">
        <v>8</v>
      </c>
      <c r="C11" s="16" t="s">
        <v>22</v>
      </c>
      <c r="D11" s="11" t="s">
        <v>23</v>
      </c>
      <c r="E11" s="12">
        <v>4229572.28</v>
      </c>
      <c r="F11" s="13">
        <v>0</v>
      </c>
      <c r="G11" s="13">
        <v>0</v>
      </c>
      <c r="H11" s="13"/>
      <c r="I11" s="13">
        <f t="shared" si="0"/>
        <v>4229572.28</v>
      </c>
      <c r="K11" s="10"/>
      <c r="M11" s="14"/>
    </row>
    <row r="12" spans="1:13" outlineLevel="2">
      <c r="A12" s="10">
        <f>A11+1</f>
        <v>8</v>
      </c>
      <c r="B12" s="10" t="s">
        <v>8</v>
      </c>
      <c r="C12" s="16" t="s">
        <v>24</v>
      </c>
      <c r="D12" s="11" t="s">
        <v>25</v>
      </c>
      <c r="E12" s="12">
        <v>12764457.25</v>
      </c>
      <c r="F12" s="13">
        <v>0</v>
      </c>
      <c r="G12" s="13">
        <v>0</v>
      </c>
      <c r="H12" s="13"/>
      <c r="I12" s="13">
        <f t="shared" si="0"/>
        <v>12764457.25</v>
      </c>
      <c r="K12" s="10"/>
    </row>
    <row r="13" spans="1:13" outlineLevel="2">
      <c r="A13" s="10">
        <f t="shared" si="1"/>
        <v>9</v>
      </c>
      <c r="B13" s="10" t="s">
        <v>8</v>
      </c>
      <c r="C13" s="16" t="s">
        <v>26</v>
      </c>
      <c r="D13" s="11" t="s">
        <v>27</v>
      </c>
      <c r="E13" s="12">
        <v>2587517.9900000002</v>
      </c>
      <c r="F13" s="13">
        <v>0</v>
      </c>
      <c r="G13" s="13">
        <v>0</v>
      </c>
      <c r="H13" s="13"/>
      <c r="I13" s="13">
        <f t="shared" si="0"/>
        <v>2587517.9900000002</v>
      </c>
      <c r="K13" s="10"/>
      <c r="M13" s="14"/>
    </row>
    <row r="14" spans="1:13" outlineLevel="2">
      <c r="A14" s="10">
        <f t="shared" si="1"/>
        <v>10</v>
      </c>
      <c r="B14" s="10" t="s">
        <v>8</v>
      </c>
      <c r="C14" s="16" t="s">
        <v>28</v>
      </c>
      <c r="D14" s="11" t="s">
        <v>29</v>
      </c>
      <c r="E14" s="12">
        <v>1718240.27</v>
      </c>
      <c r="F14" s="13">
        <v>0</v>
      </c>
      <c r="G14" s="13">
        <v>0</v>
      </c>
      <c r="H14" s="13"/>
      <c r="I14" s="13">
        <f t="shared" si="0"/>
        <v>1718240.27</v>
      </c>
      <c r="K14" s="10"/>
      <c r="M14" s="14"/>
    </row>
    <row r="15" spans="1:13" outlineLevel="2">
      <c r="A15" s="10">
        <f t="shared" si="1"/>
        <v>11</v>
      </c>
      <c r="B15" s="10" t="s">
        <v>8</v>
      </c>
      <c r="C15" s="16" t="s">
        <v>30</v>
      </c>
      <c r="D15" s="11" t="s">
        <v>31</v>
      </c>
      <c r="E15" s="12">
        <v>3318557.94</v>
      </c>
      <c r="F15" s="13">
        <v>0</v>
      </c>
      <c r="G15" s="13">
        <v>0</v>
      </c>
      <c r="H15" s="13"/>
      <c r="I15" s="13">
        <f t="shared" si="0"/>
        <v>3318557.94</v>
      </c>
      <c r="K15" s="10"/>
      <c r="M15" s="14"/>
    </row>
    <row r="16" spans="1:13" outlineLevel="2">
      <c r="A16" s="10">
        <f t="shared" si="1"/>
        <v>12</v>
      </c>
      <c r="B16" s="10" t="s">
        <v>8</v>
      </c>
      <c r="C16" s="16" t="s">
        <v>32</v>
      </c>
      <c r="D16" s="11" t="s">
        <v>33</v>
      </c>
      <c r="E16" s="12">
        <v>2952236.87</v>
      </c>
      <c r="F16" s="13">
        <v>0</v>
      </c>
      <c r="G16" s="13">
        <v>0</v>
      </c>
      <c r="H16" s="13"/>
      <c r="I16" s="13">
        <f t="shared" si="0"/>
        <v>2952236.87</v>
      </c>
      <c r="K16" s="10"/>
      <c r="M16" s="14"/>
    </row>
    <row r="17" spans="1:13" outlineLevel="2">
      <c r="A17" s="10">
        <f t="shared" si="1"/>
        <v>13</v>
      </c>
      <c r="B17" s="10" t="s">
        <v>8</v>
      </c>
      <c r="C17" s="16" t="s">
        <v>34</v>
      </c>
      <c r="D17" s="11" t="s">
        <v>35</v>
      </c>
      <c r="E17" s="12">
        <v>141044</v>
      </c>
      <c r="F17" s="12">
        <v>0</v>
      </c>
      <c r="G17" s="12">
        <v>0</v>
      </c>
      <c r="I17" s="13">
        <f t="shared" si="0"/>
        <v>141044</v>
      </c>
      <c r="J17" s="11"/>
      <c r="K17" s="10"/>
      <c r="M17" s="14"/>
    </row>
    <row r="18" spans="1:13" outlineLevel="2">
      <c r="A18" s="10">
        <f t="shared" si="1"/>
        <v>14</v>
      </c>
      <c r="B18" s="10" t="s">
        <v>8</v>
      </c>
      <c r="C18" s="529" t="s">
        <v>37</v>
      </c>
      <c r="D18" s="11" t="s">
        <v>38</v>
      </c>
      <c r="E18" s="12">
        <v>141044</v>
      </c>
      <c r="F18" s="12">
        <v>0</v>
      </c>
      <c r="G18" s="12">
        <v>0</v>
      </c>
      <c r="I18" s="13">
        <f t="shared" si="0"/>
        <v>141044</v>
      </c>
      <c r="K18" s="10"/>
      <c r="M18" s="14"/>
    </row>
    <row r="19" spans="1:13" outlineLevel="2">
      <c r="A19" s="10">
        <f>A18+1</f>
        <v>15</v>
      </c>
      <c r="B19" s="10" t="s">
        <v>8</v>
      </c>
      <c r="C19" s="16" t="s">
        <v>39</v>
      </c>
      <c r="D19" s="11" t="s">
        <v>40</v>
      </c>
      <c r="E19" s="12">
        <v>1259667.9099999999</v>
      </c>
      <c r="F19" s="13">
        <v>0</v>
      </c>
      <c r="G19" s="13">
        <v>0</v>
      </c>
      <c r="H19" s="13"/>
      <c r="I19" s="13">
        <f t="shared" si="0"/>
        <v>1259667.9099999999</v>
      </c>
      <c r="K19" s="10"/>
      <c r="M19" s="14"/>
    </row>
    <row r="20" spans="1:13" outlineLevel="2">
      <c r="A20" s="10">
        <f t="shared" si="1"/>
        <v>16</v>
      </c>
      <c r="B20" s="10" t="s">
        <v>8</v>
      </c>
      <c r="C20" s="16" t="s">
        <v>41</v>
      </c>
      <c r="D20" s="11" t="s">
        <v>42</v>
      </c>
      <c r="E20" s="12">
        <v>13451446</v>
      </c>
      <c r="F20" s="13">
        <v>0</v>
      </c>
      <c r="G20" s="13">
        <v>0</v>
      </c>
      <c r="H20" s="13"/>
      <c r="I20" s="13">
        <f t="shared" si="0"/>
        <v>13451446</v>
      </c>
      <c r="K20" s="10"/>
      <c r="M20" s="14"/>
    </row>
    <row r="21" spans="1:13" outlineLevel="2">
      <c r="A21" s="10">
        <f t="shared" si="1"/>
        <v>17</v>
      </c>
      <c r="B21" s="10" t="s">
        <v>8</v>
      </c>
      <c r="C21" s="16" t="s">
        <v>43</v>
      </c>
      <c r="D21" s="11" t="s">
        <v>44</v>
      </c>
      <c r="E21" s="12">
        <v>14513307.74</v>
      </c>
      <c r="F21" s="13">
        <v>0</v>
      </c>
      <c r="G21" s="13">
        <v>0</v>
      </c>
      <c r="H21" s="13"/>
      <c r="I21" s="13">
        <f t="shared" si="0"/>
        <v>14513307.74</v>
      </c>
      <c r="K21" s="10"/>
      <c r="M21" s="14"/>
    </row>
    <row r="22" spans="1:13" outlineLevel="2">
      <c r="A22" s="10">
        <f t="shared" si="1"/>
        <v>18</v>
      </c>
      <c r="B22" s="10" t="s">
        <v>8</v>
      </c>
      <c r="C22" s="16" t="s">
        <v>45</v>
      </c>
      <c r="D22" s="11" t="s">
        <v>46</v>
      </c>
      <c r="E22" s="12">
        <v>5804318.2699999996</v>
      </c>
      <c r="F22" s="13">
        <v>0</v>
      </c>
      <c r="G22" s="13">
        <v>0</v>
      </c>
      <c r="H22" s="13"/>
      <c r="I22" s="13">
        <f t="shared" si="0"/>
        <v>5804318.2699999996</v>
      </c>
      <c r="K22" s="10"/>
      <c r="M22" s="14"/>
    </row>
    <row r="23" spans="1:13" outlineLevel="2">
      <c r="A23" s="10">
        <f t="shared" si="1"/>
        <v>19</v>
      </c>
      <c r="B23" s="10" t="s">
        <v>8</v>
      </c>
      <c r="C23" s="16" t="s">
        <v>47</v>
      </c>
      <c r="D23" s="11" t="s">
        <v>48</v>
      </c>
      <c r="E23" s="12">
        <v>1366481</v>
      </c>
      <c r="F23" s="13">
        <v>0</v>
      </c>
      <c r="G23" s="13">
        <v>0</v>
      </c>
      <c r="H23" s="13"/>
      <c r="I23" s="13">
        <f t="shared" si="0"/>
        <v>1366481</v>
      </c>
      <c r="K23" s="10"/>
      <c r="M23" s="14"/>
    </row>
    <row r="24" spans="1:13" outlineLevel="2">
      <c r="A24" s="10">
        <f t="shared" si="1"/>
        <v>20</v>
      </c>
      <c r="B24" s="10" t="s">
        <v>8</v>
      </c>
      <c r="C24" s="16" t="s">
        <v>49</v>
      </c>
      <c r="D24" s="11" t="s">
        <v>50</v>
      </c>
      <c r="E24" s="12">
        <v>2605678.14</v>
      </c>
      <c r="F24" s="13">
        <v>0</v>
      </c>
      <c r="G24" s="13">
        <v>0</v>
      </c>
      <c r="H24" s="13"/>
      <c r="I24" s="13">
        <f t="shared" si="0"/>
        <v>2605678.14</v>
      </c>
      <c r="K24" s="10"/>
      <c r="M24" s="14"/>
    </row>
    <row r="25" spans="1:13" outlineLevel="2">
      <c r="A25" s="10">
        <f t="shared" si="1"/>
        <v>21</v>
      </c>
      <c r="B25" s="10" t="s">
        <v>8</v>
      </c>
      <c r="C25" s="16" t="s">
        <v>51</v>
      </c>
      <c r="D25" s="11" t="s">
        <v>52</v>
      </c>
      <c r="E25" s="12">
        <v>553799.82999999996</v>
      </c>
      <c r="F25" s="13">
        <v>0</v>
      </c>
      <c r="G25" s="13">
        <v>0</v>
      </c>
      <c r="H25" s="13"/>
      <c r="I25" s="13">
        <f t="shared" si="0"/>
        <v>553799.82999999996</v>
      </c>
      <c r="K25" s="10"/>
      <c r="M25" s="14"/>
    </row>
    <row r="26" spans="1:13" outlineLevel="2">
      <c r="A26" s="10">
        <f t="shared" si="1"/>
        <v>22</v>
      </c>
      <c r="B26" s="10" t="s">
        <v>8</v>
      </c>
      <c r="C26" s="16" t="s">
        <v>53</v>
      </c>
      <c r="D26" s="11" t="s">
        <v>54</v>
      </c>
      <c r="E26" s="12">
        <v>3464063.5</v>
      </c>
      <c r="F26" s="13">
        <v>0</v>
      </c>
      <c r="G26" s="13">
        <v>0</v>
      </c>
      <c r="H26" s="13"/>
      <c r="I26" s="13">
        <f t="shared" si="0"/>
        <v>3464063.5</v>
      </c>
      <c r="K26" s="10"/>
      <c r="M26" s="14"/>
    </row>
    <row r="27" spans="1:13" outlineLevel="2">
      <c r="A27" s="10">
        <f t="shared" si="1"/>
        <v>23</v>
      </c>
      <c r="B27" s="10" t="s">
        <v>8</v>
      </c>
      <c r="C27" s="16" t="s">
        <v>55</v>
      </c>
      <c r="D27" s="11" t="s">
        <v>56</v>
      </c>
      <c r="E27" s="12">
        <v>918676</v>
      </c>
      <c r="F27" s="13">
        <v>0</v>
      </c>
      <c r="G27" s="13">
        <v>0</v>
      </c>
      <c r="H27" s="13"/>
      <c r="I27" s="13">
        <f t="shared" si="0"/>
        <v>918676</v>
      </c>
      <c r="K27" s="10"/>
      <c r="M27" s="14"/>
    </row>
    <row r="28" spans="1:13" outlineLevel="2">
      <c r="A28" s="10">
        <f t="shared" si="1"/>
        <v>24</v>
      </c>
      <c r="B28" s="10" t="s">
        <v>8</v>
      </c>
      <c r="C28" s="16" t="s">
        <v>57</v>
      </c>
      <c r="D28" s="11" t="s">
        <v>58</v>
      </c>
      <c r="E28" s="12">
        <v>1258899.68</v>
      </c>
      <c r="F28" s="13">
        <v>0</v>
      </c>
      <c r="G28" s="13">
        <v>0</v>
      </c>
      <c r="H28" s="13"/>
      <c r="I28" s="13">
        <f t="shared" si="0"/>
        <v>1258899.68</v>
      </c>
      <c r="K28" s="10"/>
      <c r="M28" s="14"/>
    </row>
    <row r="29" spans="1:13" outlineLevel="2">
      <c r="A29" s="10">
        <f t="shared" si="1"/>
        <v>25</v>
      </c>
      <c r="B29" s="10" t="s">
        <v>8</v>
      </c>
      <c r="C29" s="16" t="s">
        <v>59</v>
      </c>
      <c r="D29" s="11" t="s">
        <v>60</v>
      </c>
      <c r="E29" s="12">
        <v>20977730.73</v>
      </c>
      <c r="F29" s="13">
        <v>0</v>
      </c>
      <c r="G29" s="13">
        <v>0</v>
      </c>
      <c r="H29" s="13"/>
      <c r="I29" s="13">
        <f t="shared" si="0"/>
        <v>20977730.73</v>
      </c>
      <c r="K29" s="10"/>
      <c r="M29" s="14"/>
    </row>
    <row r="30" spans="1:13" outlineLevel="2">
      <c r="A30" s="10">
        <f t="shared" si="1"/>
        <v>26</v>
      </c>
      <c r="B30" s="10" t="s">
        <v>8</v>
      </c>
      <c r="C30" s="16" t="s">
        <v>61</v>
      </c>
      <c r="D30" s="11" t="s">
        <v>62</v>
      </c>
      <c r="E30" s="12">
        <v>7672600.2400000002</v>
      </c>
      <c r="F30" s="13">
        <v>0</v>
      </c>
      <c r="G30" s="13">
        <v>0</v>
      </c>
      <c r="H30" s="13"/>
      <c r="I30" s="13">
        <f t="shared" si="0"/>
        <v>7672600.2400000002</v>
      </c>
      <c r="K30" s="10"/>
      <c r="M30" s="14"/>
    </row>
    <row r="31" spans="1:13" outlineLevel="2">
      <c r="A31" s="10">
        <f t="shared" si="1"/>
        <v>27</v>
      </c>
      <c r="B31" s="10" t="s">
        <v>8</v>
      </c>
      <c r="C31" s="16" t="s">
        <v>63</v>
      </c>
      <c r="D31" s="11" t="s">
        <v>64</v>
      </c>
      <c r="E31" s="12">
        <v>1872141.8</v>
      </c>
      <c r="F31" s="13">
        <v>0</v>
      </c>
      <c r="G31" s="13">
        <v>0</v>
      </c>
      <c r="H31" s="13"/>
      <c r="I31" s="13">
        <f t="shared" si="0"/>
        <v>1872141.8</v>
      </c>
      <c r="K31" s="10"/>
      <c r="M31" s="14"/>
    </row>
    <row r="32" spans="1:13" outlineLevel="2">
      <c r="A32" s="10">
        <f t="shared" si="1"/>
        <v>28</v>
      </c>
      <c r="B32" s="10" t="s">
        <v>8</v>
      </c>
      <c r="C32" s="16" t="s">
        <v>65</v>
      </c>
      <c r="D32" s="11" t="s">
        <v>66</v>
      </c>
      <c r="E32" s="12">
        <v>375316.01</v>
      </c>
      <c r="F32" s="13">
        <v>0</v>
      </c>
      <c r="G32" s="13">
        <v>0</v>
      </c>
      <c r="H32" s="13"/>
      <c r="I32" s="13">
        <f t="shared" si="0"/>
        <v>375316.01</v>
      </c>
      <c r="K32" s="10"/>
      <c r="M32" s="14"/>
    </row>
    <row r="33" spans="1:13" outlineLevel="2">
      <c r="A33" s="10">
        <f t="shared" si="1"/>
        <v>29</v>
      </c>
      <c r="B33" s="10" t="s">
        <v>8</v>
      </c>
      <c r="C33" s="16" t="s">
        <v>67</v>
      </c>
      <c r="D33" s="11" t="s">
        <v>68</v>
      </c>
      <c r="E33" s="12">
        <v>771572.37</v>
      </c>
      <c r="F33" s="13">
        <v>0</v>
      </c>
      <c r="G33" s="13">
        <v>0</v>
      </c>
      <c r="H33" s="13"/>
      <c r="I33" s="13">
        <f t="shared" si="0"/>
        <v>771572.37</v>
      </c>
      <c r="K33" s="10"/>
      <c r="M33" s="14"/>
    </row>
    <row r="34" spans="1:13" outlineLevel="2">
      <c r="A34" s="10">
        <f t="shared" si="1"/>
        <v>30</v>
      </c>
      <c r="B34" s="10" t="s">
        <v>8</v>
      </c>
      <c r="C34" s="16" t="s">
        <v>69</v>
      </c>
      <c r="D34" s="11" t="s">
        <v>70</v>
      </c>
      <c r="E34" s="12">
        <v>60704.18</v>
      </c>
      <c r="F34" s="13">
        <v>0</v>
      </c>
      <c r="G34" s="13">
        <v>0</v>
      </c>
      <c r="H34" s="13"/>
      <c r="I34" s="13">
        <f t="shared" si="0"/>
        <v>60704.18</v>
      </c>
      <c r="K34" s="10"/>
      <c r="M34" s="14"/>
    </row>
    <row r="35" spans="1:13" outlineLevel="2">
      <c r="A35" s="10">
        <f t="shared" si="1"/>
        <v>31</v>
      </c>
      <c r="B35" s="10" t="s">
        <v>8</v>
      </c>
      <c r="C35" s="16" t="s">
        <v>71</v>
      </c>
      <c r="D35" s="11" t="s">
        <v>72</v>
      </c>
      <c r="E35" s="12">
        <v>2369098.0699999998</v>
      </c>
      <c r="F35" s="13">
        <v>0</v>
      </c>
      <c r="G35" s="13">
        <v>0</v>
      </c>
      <c r="H35" s="13"/>
      <c r="I35" s="13">
        <f t="shared" si="0"/>
        <v>2369098.0699999998</v>
      </c>
      <c r="K35" s="10"/>
      <c r="M35" s="14"/>
    </row>
    <row r="36" spans="1:13" outlineLevel="2">
      <c r="A36" s="10">
        <f t="shared" si="1"/>
        <v>32</v>
      </c>
      <c r="B36" s="10" t="s">
        <v>8</v>
      </c>
      <c r="C36" s="16" t="s">
        <v>73</v>
      </c>
      <c r="D36" s="11" t="s">
        <v>74</v>
      </c>
      <c r="E36" s="12">
        <v>7305876.0899999999</v>
      </c>
      <c r="F36" s="13">
        <v>0</v>
      </c>
      <c r="G36" s="13">
        <v>0</v>
      </c>
      <c r="H36" s="13"/>
      <c r="I36" s="13">
        <f t="shared" si="0"/>
        <v>7305876.0899999999</v>
      </c>
      <c r="K36" s="10"/>
      <c r="M36" s="14"/>
    </row>
    <row r="37" spans="1:13" outlineLevel="2">
      <c r="A37" s="10">
        <f t="shared" si="1"/>
        <v>33</v>
      </c>
      <c r="B37" s="10" t="s">
        <v>8</v>
      </c>
      <c r="C37" s="16" t="s">
        <v>75</v>
      </c>
      <c r="D37" s="11" t="s">
        <v>76</v>
      </c>
      <c r="E37" s="12">
        <v>922097.72</v>
      </c>
      <c r="F37" s="13">
        <v>0</v>
      </c>
      <c r="G37" s="13">
        <v>0</v>
      </c>
      <c r="H37" s="13"/>
      <c r="I37" s="13">
        <f t="shared" ref="I37:I101" si="2">SUM(E37:G37)</f>
        <v>922097.72</v>
      </c>
      <c r="K37" s="10"/>
      <c r="M37" s="14"/>
    </row>
    <row r="38" spans="1:13" outlineLevel="2">
      <c r="A38" s="10">
        <f t="shared" si="1"/>
        <v>34</v>
      </c>
      <c r="B38" s="10" t="s">
        <v>8</v>
      </c>
      <c r="C38" s="16" t="s">
        <v>77</v>
      </c>
      <c r="D38" s="11" t="s">
        <v>78</v>
      </c>
      <c r="E38" s="12">
        <v>4465037.05</v>
      </c>
      <c r="F38" s="13">
        <v>0</v>
      </c>
      <c r="G38" s="13">
        <v>0</v>
      </c>
      <c r="H38" s="13"/>
      <c r="I38" s="13">
        <f t="shared" si="2"/>
        <v>4465037.05</v>
      </c>
      <c r="K38" s="10"/>
      <c r="M38" s="14"/>
    </row>
    <row r="39" spans="1:13" outlineLevel="2">
      <c r="A39" s="10">
        <f t="shared" si="1"/>
        <v>35</v>
      </c>
      <c r="B39" s="10" t="s">
        <v>8</v>
      </c>
      <c r="C39" s="16" t="s">
        <v>79</v>
      </c>
      <c r="D39" s="11" t="s">
        <v>80</v>
      </c>
      <c r="E39" s="12">
        <v>261417.22</v>
      </c>
      <c r="F39" s="13">
        <v>0</v>
      </c>
      <c r="G39" s="13">
        <v>0</v>
      </c>
      <c r="H39" s="13"/>
      <c r="I39" s="13">
        <f t="shared" si="2"/>
        <v>261417.22</v>
      </c>
      <c r="K39" s="10"/>
      <c r="M39" s="14"/>
    </row>
    <row r="40" spans="1:13" outlineLevel="2">
      <c r="A40" s="10">
        <f t="shared" si="1"/>
        <v>36</v>
      </c>
      <c r="B40" s="10" t="s">
        <v>8</v>
      </c>
      <c r="C40" s="16" t="s">
        <v>81</v>
      </c>
      <c r="D40" s="11" t="s">
        <v>82</v>
      </c>
      <c r="E40" s="12">
        <v>8301710.0999999996</v>
      </c>
      <c r="F40" s="13"/>
      <c r="G40" s="13"/>
      <c r="H40" s="13"/>
      <c r="I40" s="13">
        <f t="shared" si="2"/>
        <v>8301710.0999999996</v>
      </c>
      <c r="K40" s="10"/>
      <c r="M40" s="14"/>
    </row>
    <row r="41" spans="1:13" outlineLevel="2">
      <c r="A41" s="10">
        <f t="shared" si="1"/>
        <v>37</v>
      </c>
      <c r="B41" s="10" t="s">
        <v>8</v>
      </c>
      <c r="C41" s="16" t="s">
        <v>83</v>
      </c>
      <c r="D41" s="11" t="s">
        <v>84</v>
      </c>
      <c r="E41" s="12">
        <v>28806330.280000001</v>
      </c>
      <c r="F41" s="13">
        <v>0</v>
      </c>
      <c r="G41" s="13">
        <v>0</v>
      </c>
      <c r="H41" s="13"/>
      <c r="I41" s="13">
        <f t="shared" si="2"/>
        <v>28806330.280000001</v>
      </c>
      <c r="K41" s="10"/>
      <c r="M41" s="14"/>
    </row>
    <row r="42" spans="1:13" outlineLevel="2">
      <c r="A42" s="10">
        <f t="shared" si="1"/>
        <v>38</v>
      </c>
      <c r="B42" s="10" t="s">
        <v>8</v>
      </c>
      <c r="C42" s="16" t="s">
        <v>85</v>
      </c>
      <c r="D42" s="11" t="s">
        <v>86</v>
      </c>
      <c r="E42" s="12">
        <v>157876.32</v>
      </c>
      <c r="F42" s="13">
        <v>0</v>
      </c>
      <c r="G42" s="13">
        <v>0</v>
      </c>
      <c r="H42" s="13"/>
      <c r="I42" s="13">
        <f t="shared" si="2"/>
        <v>157876.32</v>
      </c>
      <c r="K42" s="10"/>
      <c r="M42" s="14"/>
    </row>
    <row r="43" spans="1:13" outlineLevel="2">
      <c r="A43" s="10">
        <f t="shared" si="1"/>
        <v>39</v>
      </c>
      <c r="B43" s="10" t="s">
        <v>8</v>
      </c>
      <c r="C43" s="16" t="s">
        <v>87</v>
      </c>
      <c r="D43" s="11" t="s">
        <v>88</v>
      </c>
      <c r="E43" s="12">
        <v>10096096.66</v>
      </c>
      <c r="F43" s="13">
        <v>0</v>
      </c>
      <c r="G43" s="13">
        <v>0</v>
      </c>
      <c r="H43" s="13"/>
      <c r="I43" s="13">
        <f t="shared" si="2"/>
        <v>10096096.66</v>
      </c>
      <c r="K43" s="10"/>
      <c r="M43" s="14"/>
    </row>
    <row r="44" spans="1:13" outlineLevel="2">
      <c r="A44" s="10">
        <f t="shared" si="1"/>
        <v>40</v>
      </c>
      <c r="B44" s="10" t="s">
        <v>8</v>
      </c>
      <c r="C44" s="16" t="s">
        <v>89</v>
      </c>
      <c r="D44" s="11" t="s">
        <v>90</v>
      </c>
      <c r="E44" s="12">
        <v>7554491.9000000004</v>
      </c>
      <c r="F44" s="13">
        <v>0</v>
      </c>
      <c r="G44" s="13">
        <v>0</v>
      </c>
      <c r="H44" s="13"/>
      <c r="I44" s="13">
        <f t="shared" si="2"/>
        <v>7554491.9000000004</v>
      </c>
      <c r="K44" s="10"/>
      <c r="M44" s="14"/>
    </row>
    <row r="45" spans="1:13" outlineLevel="2">
      <c r="A45" s="10">
        <f t="shared" si="1"/>
        <v>41</v>
      </c>
      <c r="B45" s="10" t="s">
        <v>8</v>
      </c>
      <c r="C45" s="16" t="s">
        <v>91</v>
      </c>
      <c r="D45" s="11" t="s">
        <v>92</v>
      </c>
      <c r="E45" s="12">
        <v>7782247.0099999998</v>
      </c>
      <c r="F45" s="13">
        <v>0</v>
      </c>
      <c r="G45" s="13">
        <v>0</v>
      </c>
      <c r="H45" s="13"/>
      <c r="I45" s="13">
        <f t="shared" si="2"/>
        <v>7782247.0099999998</v>
      </c>
      <c r="K45" s="10"/>
      <c r="M45" s="14"/>
    </row>
    <row r="46" spans="1:13" outlineLevel="2">
      <c r="A46" s="10">
        <f t="shared" si="1"/>
        <v>42</v>
      </c>
      <c r="B46" s="10" t="s">
        <v>8</v>
      </c>
      <c r="C46" s="16" t="s">
        <v>93</v>
      </c>
      <c r="D46" s="11" t="s">
        <v>94</v>
      </c>
      <c r="E46" s="12">
        <v>2319938.7200000002</v>
      </c>
      <c r="F46" s="13">
        <v>0</v>
      </c>
      <c r="G46" s="13">
        <v>0</v>
      </c>
      <c r="H46" s="13"/>
      <c r="I46" s="13">
        <f t="shared" si="2"/>
        <v>2319938.7200000002</v>
      </c>
      <c r="K46" s="10"/>
      <c r="M46" s="14"/>
    </row>
    <row r="47" spans="1:13" outlineLevel="2">
      <c r="A47" s="10">
        <f t="shared" si="1"/>
        <v>43</v>
      </c>
      <c r="B47" s="10" t="s">
        <v>8</v>
      </c>
      <c r="C47" s="16" t="s">
        <v>95</v>
      </c>
      <c r="D47" s="11" t="s">
        <v>96</v>
      </c>
      <c r="E47" s="12">
        <v>777326.71</v>
      </c>
      <c r="F47" s="13">
        <v>0</v>
      </c>
      <c r="G47" s="13">
        <v>0</v>
      </c>
      <c r="H47" s="13"/>
      <c r="I47" s="13">
        <f t="shared" si="2"/>
        <v>777326.71</v>
      </c>
      <c r="K47" s="10"/>
      <c r="M47" s="14"/>
    </row>
    <row r="48" spans="1:13" outlineLevel="2">
      <c r="A48" s="10">
        <f t="shared" si="1"/>
        <v>44</v>
      </c>
      <c r="B48" s="10" t="s">
        <v>8</v>
      </c>
      <c r="C48" s="16" t="s">
        <v>97</v>
      </c>
      <c r="D48" s="11" t="s">
        <v>98</v>
      </c>
      <c r="E48" s="12">
        <v>1308561.8400000001</v>
      </c>
      <c r="F48" s="13">
        <v>0</v>
      </c>
      <c r="G48" s="13">
        <v>0</v>
      </c>
      <c r="H48" s="13"/>
      <c r="I48" s="13">
        <f t="shared" si="2"/>
        <v>1308561.8400000001</v>
      </c>
      <c r="K48" s="10"/>
      <c r="M48" s="14"/>
    </row>
    <row r="49" spans="1:13" outlineLevel="2">
      <c r="A49" s="10">
        <f t="shared" si="1"/>
        <v>45</v>
      </c>
      <c r="B49" s="10" t="s">
        <v>8</v>
      </c>
      <c r="C49" s="16" t="s">
        <v>99</v>
      </c>
      <c r="D49" s="11" t="s">
        <v>100</v>
      </c>
      <c r="E49" s="12">
        <v>679540.13</v>
      </c>
      <c r="F49" s="13">
        <v>0</v>
      </c>
      <c r="G49" s="13">
        <v>0</v>
      </c>
      <c r="H49" s="13"/>
      <c r="I49" s="13">
        <f t="shared" si="2"/>
        <v>679540.13</v>
      </c>
      <c r="K49" s="10"/>
      <c r="M49" s="14"/>
    </row>
    <row r="50" spans="1:13" outlineLevel="2">
      <c r="A50" s="10">
        <f t="shared" si="1"/>
        <v>46</v>
      </c>
      <c r="B50" s="10" t="s">
        <v>8</v>
      </c>
      <c r="C50" s="16" t="s">
        <v>101</v>
      </c>
      <c r="D50" s="11" t="s">
        <v>102</v>
      </c>
      <c r="E50" s="12">
        <v>11019006.33</v>
      </c>
      <c r="F50" s="13">
        <v>0</v>
      </c>
      <c r="G50" s="13">
        <v>0</v>
      </c>
      <c r="H50" s="13"/>
      <c r="I50" s="13">
        <f t="shared" si="2"/>
        <v>11019006.33</v>
      </c>
      <c r="K50" s="10"/>
      <c r="M50" s="14"/>
    </row>
    <row r="51" spans="1:13" outlineLevel="2">
      <c r="A51" s="10">
        <f t="shared" si="1"/>
        <v>47</v>
      </c>
      <c r="B51" s="10" t="s">
        <v>8</v>
      </c>
      <c r="C51" s="16" t="s">
        <v>103</v>
      </c>
      <c r="D51" s="11" t="s">
        <v>104</v>
      </c>
      <c r="E51" s="12">
        <v>16397505.050000001</v>
      </c>
      <c r="F51" s="13">
        <v>0</v>
      </c>
      <c r="G51" s="13">
        <v>0</v>
      </c>
      <c r="H51" s="13"/>
      <c r="I51" s="13">
        <f t="shared" si="2"/>
        <v>16397505.050000001</v>
      </c>
      <c r="K51" s="10"/>
      <c r="M51" s="14"/>
    </row>
    <row r="52" spans="1:13" outlineLevel="2">
      <c r="A52" s="10">
        <f t="shared" si="1"/>
        <v>48</v>
      </c>
      <c r="B52" s="10" t="s">
        <v>8</v>
      </c>
      <c r="C52" s="16" t="s">
        <v>105</v>
      </c>
      <c r="D52" s="11" t="s">
        <v>106</v>
      </c>
      <c r="E52" s="12">
        <v>6788950.71</v>
      </c>
      <c r="F52" s="13">
        <v>0</v>
      </c>
      <c r="G52" s="13">
        <v>0</v>
      </c>
      <c r="H52" s="13"/>
      <c r="I52" s="13">
        <f t="shared" si="2"/>
        <v>6788950.71</v>
      </c>
      <c r="K52" s="10"/>
      <c r="M52" s="14"/>
    </row>
    <row r="53" spans="1:13" outlineLevel="2">
      <c r="A53" s="10">
        <f t="shared" si="1"/>
        <v>49</v>
      </c>
      <c r="B53" s="10" t="s">
        <v>8</v>
      </c>
      <c r="C53" s="16" t="s">
        <v>107</v>
      </c>
      <c r="D53" s="11" t="s">
        <v>108</v>
      </c>
      <c r="E53" s="12">
        <v>10455917.060000001</v>
      </c>
      <c r="F53" s="13">
        <v>0</v>
      </c>
      <c r="G53" s="13">
        <v>0</v>
      </c>
      <c r="H53" s="13"/>
      <c r="I53" s="13">
        <f t="shared" si="2"/>
        <v>10455917.060000001</v>
      </c>
      <c r="K53" s="10"/>
      <c r="M53" s="14"/>
    </row>
    <row r="54" spans="1:13" outlineLevel="2">
      <c r="A54" s="10">
        <f t="shared" si="1"/>
        <v>50</v>
      </c>
      <c r="B54" s="10" t="s">
        <v>8</v>
      </c>
      <c r="C54" s="16" t="s">
        <v>109</v>
      </c>
      <c r="D54" s="11" t="s">
        <v>110</v>
      </c>
      <c r="E54" s="12">
        <v>10713977.23</v>
      </c>
      <c r="F54" s="13">
        <v>0</v>
      </c>
      <c r="G54" s="13">
        <v>0</v>
      </c>
      <c r="H54" s="13"/>
      <c r="I54" s="13">
        <f t="shared" si="2"/>
        <v>10713977.23</v>
      </c>
      <c r="K54" s="10"/>
      <c r="M54" s="14"/>
    </row>
    <row r="55" spans="1:13" outlineLevel="2">
      <c r="A55" s="10">
        <f t="shared" si="1"/>
        <v>51</v>
      </c>
      <c r="B55" s="10" t="s">
        <v>8</v>
      </c>
      <c r="C55" s="16" t="s">
        <v>111</v>
      </c>
      <c r="D55" s="11" t="s">
        <v>112</v>
      </c>
      <c r="E55" s="12">
        <v>4763398.6500000004</v>
      </c>
      <c r="F55" s="13">
        <v>0</v>
      </c>
      <c r="G55" s="13">
        <v>0</v>
      </c>
      <c r="H55" s="13"/>
      <c r="I55" s="13">
        <f t="shared" si="2"/>
        <v>4763398.6500000004</v>
      </c>
      <c r="K55" s="10"/>
      <c r="M55" s="14"/>
    </row>
    <row r="56" spans="1:13" outlineLevel="2">
      <c r="A56" s="10">
        <f t="shared" si="1"/>
        <v>52</v>
      </c>
      <c r="B56" s="10" t="s">
        <v>8</v>
      </c>
      <c r="C56" s="16" t="s">
        <v>113</v>
      </c>
      <c r="D56" s="11" t="s">
        <v>114</v>
      </c>
      <c r="E56" s="12">
        <v>1948078.5</v>
      </c>
      <c r="F56" s="13">
        <v>0</v>
      </c>
      <c r="G56" s="13">
        <v>0</v>
      </c>
      <c r="H56" s="13"/>
      <c r="I56" s="13">
        <f t="shared" si="2"/>
        <v>1948078.5</v>
      </c>
      <c r="K56" s="10"/>
      <c r="M56" s="14"/>
    </row>
    <row r="57" spans="1:13" outlineLevel="2">
      <c r="A57" s="10">
        <f t="shared" si="1"/>
        <v>53</v>
      </c>
      <c r="B57" s="10" t="s">
        <v>8</v>
      </c>
      <c r="C57" s="16" t="s">
        <v>115</v>
      </c>
      <c r="D57" s="11" t="s">
        <v>116</v>
      </c>
      <c r="E57" s="12">
        <v>1521173.69</v>
      </c>
      <c r="F57" s="13">
        <v>0</v>
      </c>
      <c r="G57" s="13">
        <v>0</v>
      </c>
      <c r="H57" s="13"/>
      <c r="I57" s="13">
        <f t="shared" si="2"/>
        <v>1521173.69</v>
      </c>
      <c r="K57" s="10"/>
      <c r="M57" s="14"/>
    </row>
    <row r="58" spans="1:13" outlineLevel="2">
      <c r="A58" s="10">
        <f t="shared" si="1"/>
        <v>54</v>
      </c>
      <c r="B58" s="10" t="s">
        <v>8</v>
      </c>
      <c r="C58" s="16" t="s">
        <v>117</v>
      </c>
      <c r="D58" s="11" t="s">
        <v>118</v>
      </c>
      <c r="E58" s="12">
        <v>455727</v>
      </c>
      <c r="F58" s="13">
        <v>0</v>
      </c>
      <c r="G58" s="13">
        <v>0</v>
      </c>
      <c r="H58" s="13"/>
      <c r="I58" s="13">
        <f t="shared" si="2"/>
        <v>455727</v>
      </c>
      <c r="K58" s="10"/>
      <c r="M58" s="14"/>
    </row>
    <row r="59" spans="1:13" outlineLevel="2">
      <c r="A59" s="10">
        <f t="shared" si="1"/>
        <v>55</v>
      </c>
      <c r="B59" s="10" t="s">
        <v>8</v>
      </c>
      <c r="C59" s="16" t="s">
        <v>119</v>
      </c>
      <c r="D59" s="11" t="s">
        <v>120</v>
      </c>
      <c r="E59" s="12">
        <v>3361449.06</v>
      </c>
      <c r="F59" s="13">
        <v>0</v>
      </c>
      <c r="G59" s="13">
        <v>0</v>
      </c>
      <c r="H59" s="13"/>
      <c r="I59" s="13">
        <f t="shared" si="2"/>
        <v>3361449.06</v>
      </c>
      <c r="K59" s="10"/>
      <c r="M59" s="14"/>
    </row>
    <row r="60" spans="1:13" outlineLevel="2">
      <c r="A60" s="10">
        <f t="shared" si="1"/>
        <v>56</v>
      </c>
      <c r="B60" s="10" t="s">
        <v>8</v>
      </c>
      <c r="C60" s="16" t="s">
        <v>121</v>
      </c>
      <c r="D60" s="11" t="s">
        <v>122</v>
      </c>
      <c r="E60" s="12">
        <v>3279089.4</v>
      </c>
      <c r="F60" s="13">
        <v>0</v>
      </c>
      <c r="G60" s="13">
        <v>0</v>
      </c>
      <c r="H60" s="13"/>
      <c r="I60" s="13">
        <f t="shared" si="2"/>
        <v>3279089.4</v>
      </c>
      <c r="K60" s="10"/>
      <c r="M60" s="14"/>
    </row>
    <row r="61" spans="1:13" outlineLevel="2">
      <c r="A61" s="10">
        <f t="shared" si="1"/>
        <v>57</v>
      </c>
      <c r="B61" s="10" t="s">
        <v>8</v>
      </c>
      <c r="C61" s="16" t="s">
        <v>123</v>
      </c>
      <c r="D61" s="11" t="s">
        <v>124</v>
      </c>
      <c r="E61" s="12">
        <v>156778</v>
      </c>
      <c r="F61" s="13">
        <v>0</v>
      </c>
      <c r="G61" s="13">
        <v>0</v>
      </c>
      <c r="H61" s="13"/>
      <c r="I61" s="13">
        <f t="shared" si="2"/>
        <v>156778</v>
      </c>
      <c r="K61" s="10"/>
      <c r="M61" s="14"/>
    </row>
    <row r="62" spans="1:13" outlineLevel="2">
      <c r="A62" s="10">
        <f t="shared" si="1"/>
        <v>58</v>
      </c>
      <c r="B62" s="10" t="s">
        <v>8</v>
      </c>
      <c r="C62" s="16" t="s">
        <v>125</v>
      </c>
      <c r="D62" s="11" t="s">
        <v>126</v>
      </c>
      <c r="E62" s="12">
        <v>12744944.75</v>
      </c>
      <c r="F62" s="13">
        <v>0</v>
      </c>
      <c r="G62" s="13">
        <v>0</v>
      </c>
      <c r="H62" s="13"/>
      <c r="I62" s="13">
        <f t="shared" si="2"/>
        <v>12744944.75</v>
      </c>
      <c r="K62" s="10"/>
      <c r="M62" s="14"/>
    </row>
    <row r="63" spans="1:13" outlineLevel="2">
      <c r="A63" s="10">
        <f t="shared" si="1"/>
        <v>59</v>
      </c>
      <c r="B63" s="10" t="s">
        <v>8</v>
      </c>
      <c r="C63" s="16" t="s">
        <v>127</v>
      </c>
      <c r="D63" s="11" t="s">
        <v>128</v>
      </c>
      <c r="E63" s="12">
        <v>10110752.16</v>
      </c>
      <c r="F63" s="13">
        <v>0</v>
      </c>
      <c r="G63" s="13">
        <v>0</v>
      </c>
      <c r="H63" s="13"/>
      <c r="I63" s="13">
        <f t="shared" si="2"/>
        <v>10110752.16</v>
      </c>
      <c r="K63" s="10"/>
      <c r="M63" s="14"/>
    </row>
    <row r="64" spans="1:13" outlineLevel="2">
      <c r="A64" s="10">
        <f t="shared" si="1"/>
        <v>60</v>
      </c>
      <c r="B64" s="10" t="s">
        <v>8</v>
      </c>
      <c r="C64" s="16" t="s">
        <v>129</v>
      </c>
      <c r="D64" s="11" t="s">
        <v>130</v>
      </c>
      <c r="E64" s="12">
        <v>2869905.99</v>
      </c>
      <c r="F64" s="13">
        <v>0</v>
      </c>
      <c r="G64" s="13">
        <v>0</v>
      </c>
      <c r="H64" s="13"/>
      <c r="I64" s="13">
        <f t="shared" si="2"/>
        <v>2869905.99</v>
      </c>
      <c r="K64" s="10"/>
      <c r="M64" s="14"/>
    </row>
    <row r="65" spans="1:13" outlineLevel="2">
      <c r="A65" s="10">
        <f t="shared" si="1"/>
        <v>61</v>
      </c>
      <c r="B65" s="10" t="s">
        <v>8</v>
      </c>
      <c r="C65" s="16" t="s">
        <v>131</v>
      </c>
      <c r="D65" s="11" t="s">
        <v>132</v>
      </c>
      <c r="E65" s="12">
        <v>3255847.1</v>
      </c>
      <c r="F65" s="13">
        <v>0</v>
      </c>
      <c r="G65" s="13">
        <v>0</v>
      </c>
      <c r="H65" s="13"/>
      <c r="I65" s="13">
        <f t="shared" si="2"/>
        <v>3255847.1</v>
      </c>
      <c r="K65" s="10"/>
      <c r="M65" s="14"/>
    </row>
    <row r="66" spans="1:13" outlineLevel="2">
      <c r="A66" s="10">
        <f t="shared" si="1"/>
        <v>62</v>
      </c>
      <c r="B66" s="10" t="s">
        <v>8</v>
      </c>
      <c r="C66" s="16" t="s">
        <v>133</v>
      </c>
      <c r="D66" s="11" t="s">
        <v>134</v>
      </c>
      <c r="E66" s="12">
        <v>8681331.6699999999</v>
      </c>
      <c r="F66" s="13">
        <v>0</v>
      </c>
      <c r="G66" s="13">
        <v>0</v>
      </c>
      <c r="H66" s="13"/>
      <c r="I66" s="13">
        <f t="shared" si="2"/>
        <v>8681331.6699999999</v>
      </c>
      <c r="K66" s="10"/>
      <c r="M66" s="14"/>
    </row>
    <row r="67" spans="1:13" outlineLevel="2">
      <c r="A67" s="10">
        <f t="shared" si="1"/>
        <v>63</v>
      </c>
      <c r="B67" s="10" t="s">
        <v>8</v>
      </c>
      <c r="C67" s="16" t="s">
        <v>135</v>
      </c>
      <c r="D67" s="11" t="s">
        <v>136</v>
      </c>
      <c r="E67" s="12">
        <v>5561904.6399999997</v>
      </c>
      <c r="F67" s="13">
        <v>0</v>
      </c>
      <c r="G67" s="13">
        <v>0</v>
      </c>
      <c r="H67" s="13"/>
      <c r="I67" s="13">
        <f t="shared" si="2"/>
        <v>5561904.6399999997</v>
      </c>
      <c r="K67" s="10"/>
      <c r="M67" s="14"/>
    </row>
    <row r="68" spans="1:13" outlineLevel="2">
      <c r="A68" s="10">
        <f t="shared" si="1"/>
        <v>64</v>
      </c>
      <c r="B68" s="10" t="s">
        <v>8</v>
      </c>
      <c r="C68" s="16" t="s">
        <v>137</v>
      </c>
      <c r="D68" s="11" t="s">
        <v>138</v>
      </c>
      <c r="E68" s="12">
        <v>3647665.52</v>
      </c>
      <c r="F68" s="13">
        <v>0</v>
      </c>
      <c r="G68" s="13">
        <v>0</v>
      </c>
      <c r="H68" s="13"/>
      <c r="I68" s="13">
        <f t="shared" si="2"/>
        <v>3647665.52</v>
      </c>
      <c r="K68" s="10"/>
      <c r="M68" s="14"/>
    </row>
    <row r="69" spans="1:13" outlineLevel="2">
      <c r="A69" s="10">
        <f t="shared" si="1"/>
        <v>65</v>
      </c>
      <c r="B69" s="10" t="s">
        <v>8</v>
      </c>
      <c r="C69" s="16" t="s">
        <v>139</v>
      </c>
      <c r="D69" s="11" t="s">
        <v>140</v>
      </c>
      <c r="E69" s="12">
        <v>11263708.41</v>
      </c>
      <c r="F69" s="13">
        <v>0</v>
      </c>
      <c r="G69" s="13">
        <v>0</v>
      </c>
      <c r="H69" s="13"/>
      <c r="I69" s="13">
        <f t="shared" si="2"/>
        <v>11263708.41</v>
      </c>
      <c r="K69" s="10"/>
      <c r="M69" s="14"/>
    </row>
    <row r="70" spans="1:13" outlineLevel="2">
      <c r="A70" s="10">
        <f t="shared" ref="A70:A138" si="3">A69+1</f>
        <v>66</v>
      </c>
      <c r="B70" s="10" t="s">
        <v>8</v>
      </c>
      <c r="C70" s="16" t="s">
        <v>141</v>
      </c>
      <c r="D70" s="11" t="s">
        <v>142</v>
      </c>
      <c r="E70" s="12">
        <v>617622.68000000005</v>
      </c>
      <c r="F70" s="13">
        <v>0</v>
      </c>
      <c r="G70" s="13">
        <v>0</v>
      </c>
      <c r="H70" s="13"/>
      <c r="I70" s="13">
        <f t="shared" si="2"/>
        <v>617622.68000000005</v>
      </c>
      <c r="K70" s="10"/>
      <c r="M70" s="14"/>
    </row>
    <row r="71" spans="1:13" outlineLevel="2">
      <c r="A71" s="10">
        <f t="shared" si="3"/>
        <v>67</v>
      </c>
      <c r="B71" s="10" t="s">
        <v>8</v>
      </c>
      <c r="C71" s="16" t="s">
        <v>143</v>
      </c>
      <c r="D71" s="11" t="s">
        <v>144</v>
      </c>
      <c r="E71" s="12">
        <v>6319621.6699999999</v>
      </c>
      <c r="F71" s="13">
        <v>0</v>
      </c>
      <c r="G71" s="13">
        <v>0</v>
      </c>
      <c r="H71" s="13"/>
      <c r="I71" s="13">
        <f t="shared" si="2"/>
        <v>6319621.6699999999</v>
      </c>
      <c r="K71" s="10"/>
      <c r="M71" s="14"/>
    </row>
    <row r="72" spans="1:13" outlineLevel="2">
      <c r="A72" s="10">
        <f t="shared" si="3"/>
        <v>68</v>
      </c>
      <c r="B72" s="10" t="s">
        <v>8</v>
      </c>
      <c r="C72" s="16" t="s">
        <v>145</v>
      </c>
      <c r="D72" s="11" t="s">
        <v>146</v>
      </c>
      <c r="E72" s="12">
        <v>1189519.96</v>
      </c>
      <c r="F72" s="13">
        <v>0</v>
      </c>
      <c r="G72" s="13">
        <v>0</v>
      </c>
      <c r="H72" s="13"/>
      <c r="I72" s="13">
        <f t="shared" si="2"/>
        <v>1189519.96</v>
      </c>
      <c r="K72" s="10"/>
      <c r="M72" s="14"/>
    </row>
    <row r="73" spans="1:13" outlineLevel="2">
      <c r="A73" s="10">
        <f t="shared" si="3"/>
        <v>69</v>
      </c>
      <c r="B73" s="10" t="s">
        <v>8</v>
      </c>
      <c r="C73" s="16" t="s">
        <v>147</v>
      </c>
      <c r="D73" s="11" t="s">
        <v>148</v>
      </c>
      <c r="E73" s="12">
        <v>4941648.6100000003</v>
      </c>
      <c r="F73" s="13">
        <v>0</v>
      </c>
      <c r="G73" s="13">
        <v>0</v>
      </c>
      <c r="H73" s="13"/>
      <c r="I73" s="13">
        <f t="shared" si="2"/>
        <v>4941648.6100000003</v>
      </c>
      <c r="K73" s="10"/>
      <c r="M73" s="14"/>
    </row>
    <row r="74" spans="1:13" outlineLevel="2">
      <c r="A74" s="10">
        <f t="shared" si="3"/>
        <v>70</v>
      </c>
      <c r="B74" s="10" t="s">
        <v>8</v>
      </c>
      <c r="C74" s="16" t="s">
        <v>149</v>
      </c>
      <c r="D74" s="11" t="s">
        <v>150</v>
      </c>
      <c r="E74" s="12">
        <v>3155849.87</v>
      </c>
      <c r="F74" s="13">
        <v>0</v>
      </c>
      <c r="G74" s="13">
        <v>0</v>
      </c>
      <c r="H74" s="13"/>
      <c r="I74" s="13">
        <f t="shared" si="2"/>
        <v>3155849.87</v>
      </c>
      <c r="K74" s="10"/>
      <c r="M74" s="14"/>
    </row>
    <row r="75" spans="1:13" outlineLevel="2">
      <c r="A75" s="10">
        <f t="shared" si="3"/>
        <v>71</v>
      </c>
      <c r="B75" s="10" t="s">
        <v>8</v>
      </c>
      <c r="C75" s="16" t="s">
        <v>151</v>
      </c>
      <c r="D75" s="11" t="s">
        <v>152</v>
      </c>
      <c r="E75" s="12">
        <v>28751576.699999999</v>
      </c>
      <c r="F75" s="13">
        <v>0</v>
      </c>
      <c r="G75" s="13">
        <v>0</v>
      </c>
      <c r="H75" s="13"/>
      <c r="I75" s="13">
        <f t="shared" si="2"/>
        <v>28751576.699999999</v>
      </c>
      <c r="K75" s="10"/>
      <c r="M75" s="14"/>
    </row>
    <row r="76" spans="1:13" outlineLevel="2">
      <c r="A76" s="10">
        <f t="shared" si="3"/>
        <v>72</v>
      </c>
      <c r="B76" s="10" t="s">
        <v>8</v>
      </c>
      <c r="C76" s="16" t="s">
        <v>153</v>
      </c>
      <c r="D76" s="11" t="s">
        <v>154</v>
      </c>
      <c r="E76" s="12">
        <v>1055414.43</v>
      </c>
      <c r="F76" s="13">
        <v>0</v>
      </c>
      <c r="G76" s="13">
        <v>0</v>
      </c>
      <c r="H76" s="13"/>
      <c r="I76" s="13">
        <f t="shared" si="2"/>
        <v>1055414.43</v>
      </c>
      <c r="K76" s="10"/>
      <c r="M76" s="14"/>
    </row>
    <row r="77" spans="1:13" outlineLevel="2">
      <c r="A77" s="10">
        <f t="shared" si="3"/>
        <v>73</v>
      </c>
      <c r="B77" s="10" t="s">
        <v>8</v>
      </c>
      <c r="C77" s="16" t="s">
        <v>155</v>
      </c>
      <c r="D77" s="11" t="s">
        <v>156</v>
      </c>
      <c r="E77" s="12">
        <v>8982947.9100000001</v>
      </c>
      <c r="F77" s="13">
        <v>0</v>
      </c>
      <c r="G77" s="13">
        <v>0</v>
      </c>
      <c r="H77" s="13"/>
      <c r="I77" s="13">
        <f t="shared" si="2"/>
        <v>8982947.9100000001</v>
      </c>
      <c r="K77" s="10"/>
      <c r="M77" s="14"/>
    </row>
    <row r="78" spans="1:13" outlineLevel="2">
      <c r="A78" s="10">
        <f t="shared" si="3"/>
        <v>74</v>
      </c>
      <c r="B78" s="10" t="s">
        <v>8</v>
      </c>
      <c r="C78" s="16" t="s">
        <v>157</v>
      </c>
      <c r="D78" s="11" t="s">
        <v>158</v>
      </c>
      <c r="E78" s="12">
        <v>5274133.7300000004</v>
      </c>
      <c r="F78" s="13">
        <v>0</v>
      </c>
      <c r="G78" s="13">
        <v>0</v>
      </c>
      <c r="H78" s="13"/>
      <c r="I78" s="13">
        <f t="shared" si="2"/>
        <v>5274133.7300000004</v>
      </c>
      <c r="K78" s="10"/>
      <c r="M78" s="14"/>
    </row>
    <row r="79" spans="1:13" outlineLevel="2">
      <c r="A79" s="10">
        <f t="shared" si="3"/>
        <v>75</v>
      </c>
      <c r="B79" s="10" t="s">
        <v>8</v>
      </c>
      <c r="C79" s="16" t="s">
        <v>159</v>
      </c>
      <c r="D79" s="11" t="s">
        <v>160</v>
      </c>
      <c r="E79" s="12">
        <v>1089083.24</v>
      </c>
      <c r="F79" s="13">
        <v>0</v>
      </c>
      <c r="G79" s="13">
        <v>0</v>
      </c>
      <c r="H79" s="13"/>
      <c r="I79" s="13">
        <f t="shared" si="2"/>
        <v>1089083.24</v>
      </c>
      <c r="K79" s="10"/>
      <c r="M79" s="14"/>
    </row>
    <row r="80" spans="1:13" outlineLevel="2">
      <c r="A80" s="10">
        <f t="shared" si="3"/>
        <v>76</v>
      </c>
      <c r="B80" s="10" t="s">
        <v>8</v>
      </c>
      <c r="C80" s="16" t="s">
        <v>161</v>
      </c>
      <c r="D80" s="11" t="s">
        <v>162</v>
      </c>
      <c r="E80" s="12">
        <v>1816903.7</v>
      </c>
      <c r="F80" s="13">
        <v>0</v>
      </c>
      <c r="G80" s="13">
        <v>0</v>
      </c>
      <c r="H80" s="13"/>
      <c r="I80" s="13">
        <f t="shared" si="2"/>
        <v>1816903.7</v>
      </c>
      <c r="K80" s="10"/>
      <c r="M80" s="14"/>
    </row>
    <row r="81" spans="1:13" outlineLevel="2">
      <c r="A81" s="10">
        <f t="shared" si="3"/>
        <v>77</v>
      </c>
      <c r="B81" s="10" t="s">
        <v>8</v>
      </c>
      <c r="C81" s="16" t="s">
        <v>163</v>
      </c>
      <c r="D81" s="11" t="s">
        <v>164</v>
      </c>
      <c r="E81" s="12">
        <v>1790107.66</v>
      </c>
      <c r="F81" s="13">
        <v>0</v>
      </c>
      <c r="G81" s="13">
        <v>0</v>
      </c>
      <c r="H81" s="13"/>
      <c r="I81" s="13">
        <f t="shared" si="2"/>
        <v>1790107.66</v>
      </c>
      <c r="K81" s="10"/>
      <c r="M81" s="14"/>
    </row>
    <row r="82" spans="1:13" outlineLevel="2">
      <c r="A82" s="10">
        <f t="shared" si="3"/>
        <v>78</v>
      </c>
      <c r="B82" s="10" t="s">
        <v>8</v>
      </c>
      <c r="C82" s="16" t="s">
        <v>165</v>
      </c>
      <c r="D82" s="11" t="s">
        <v>166</v>
      </c>
      <c r="E82" s="12">
        <v>6346264.54</v>
      </c>
      <c r="F82" s="13">
        <v>0</v>
      </c>
      <c r="G82" s="13">
        <v>0</v>
      </c>
      <c r="H82" s="13"/>
      <c r="I82" s="13">
        <f t="shared" si="2"/>
        <v>6346264.54</v>
      </c>
      <c r="K82" s="10"/>
      <c r="M82" s="14"/>
    </row>
    <row r="83" spans="1:13" outlineLevel="2">
      <c r="A83" s="10">
        <f t="shared" si="3"/>
        <v>79</v>
      </c>
      <c r="B83" s="10" t="s">
        <v>8</v>
      </c>
      <c r="C83" s="16" t="s">
        <v>167</v>
      </c>
      <c r="D83" s="11" t="s">
        <v>168</v>
      </c>
      <c r="E83" s="12">
        <v>10569337.84</v>
      </c>
      <c r="F83" s="13">
        <v>0</v>
      </c>
      <c r="G83" s="13">
        <v>0</v>
      </c>
      <c r="H83" s="13"/>
      <c r="I83" s="13">
        <f t="shared" si="2"/>
        <v>10569337.84</v>
      </c>
      <c r="K83" s="10"/>
      <c r="M83" s="14"/>
    </row>
    <row r="84" spans="1:13" outlineLevel="2">
      <c r="A84" s="10">
        <f t="shared" si="3"/>
        <v>80</v>
      </c>
      <c r="B84" s="10" t="s">
        <v>8</v>
      </c>
      <c r="C84" s="16" t="s">
        <v>169</v>
      </c>
      <c r="D84" s="11" t="s">
        <v>170</v>
      </c>
      <c r="E84" s="12">
        <v>3750704.04</v>
      </c>
      <c r="F84" s="13">
        <v>0</v>
      </c>
      <c r="G84" s="13">
        <v>0</v>
      </c>
      <c r="H84" s="13"/>
      <c r="I84" s="13">
        <f t="shared" si="2"/>
        <v>3750704.04</v>
      </c>
      <c r="K84" s="10"/>
      <c r="M84" s="14"/>
    </row>
    <row r="85" spans="1:13" outlineLevel="2">
      <c r="A85" s="10">
        <f t="shared" si="3"/>
        <v>81</v>
      </c>
      <c r="B85" s="10" t="s">
        <v>8</v>
      </c>
      <c r="C85" s="16" t="s">
        <v>171</v>
      </c>
      <c r="D85" s="11" t="s">
        <v>172</v>
      </c>
      <c r="E85" s="12">
        <v>2915316.01</v>
      </c>
      <c r="F85" s="13">
        <v>0</v>
      </c>
      <c r="G85" s="13">
        <v>0</v>
      </c>
      <c r="H85" s="13"/>
      <c r="I85" s="13">
        <f t="shared" si="2"/>
        <v>2915316.01</v>
      </c>
      <c r="K85" s="10"/>
      <c r="M85" s="14"/>
    </row>
    <row r="86" spans="1:13" outlineLevel="2">
      <c r="A86" s="10">
        <f t="shared" si="3"/>
        <v>82</v>
      </c>
      <c r="B86" s="10" t="s">
        <v>8</v>
      </c>
      <c r="C86" s="16" t="s">
        <v>173</v>
      </c>
      <c r="D86" s="11" t="s">
        <v>174</v>
      </c>
      <c r="E86" s="12">
        <v>1132485.8600000001</v>
      </c>
      <c r="F86" s="13">
        <v>0</v>
      </c>
      <c r="G86" s="13">
        <v>0</v>
      </c>
      <c r="H86" s="13"/>
      <c r="I86" s="13">
        <f t="shared" si="2"/>
        <v>1132485.8600000001</v>
      </c>
      <c r="K86" s="10"/>
      <c r="M86" s="14"/>
    </row>
    <row r="87" spans="1:13" outlineLevel="2">
      <c r="A87" s="10">
        <f t="shared" si="3"/>
        <v>83</v>
      </c>
      <c r="B87" s="10" t="s">
        <v>8</v>
      </c>
      <c r="C87" s="16" t="s">
        <v>175</v>
      </c>
      <c r="D87" s="11" t="s">
        <v>176</v>
      </c>
      <c r="E87" s="12">
        <v>309991</v>
      </c>
      <c r="F87" s="13">
        <v>0</v>
      </c>
      <c r="G87" s="13">
        <v>0</v>
      </c>
      <c r="H87" s="13"/>
      <c r="I87" s="13">
        <f t="shared" si="2"/>
        <v>309991</v>
      </c>
      <c r="K87" s="10"/>
      <c r="M87" s="14"/>
    </row>
    <row r="88" spans="1:13" outlineLevel="2">
      <c r="A88" s="10">
        <f t="shared" si="3"/>
        <v>84</v>
      </c>
      <c r="B88" s="10" t="s">
        <v>8</v>
      </c>
      <c r="C88" s="16" t="s">
        <v>177</v>
      </c>
      <c r="D88" s="11" t="s">
        <v>178</v>
      </c>
      <c r="E88" s="12">
        <v>2651859.84</v>
      </c>
      <c r="F88" s="13">
        <v>0</v>
      </c>
      <c r="G88" s="13">
        <v>0</v>
      </c>
      <c r="H88" s="13"/>
      <c r="I88" s="13">
        <f t="shared" si="2"/>
        <v>2651859.84</v>
      </c>
      <c r="K88" s="10"/>
      <c r="M88" s="14"/>
    </row>
    <row r="89" spans="1:13" ht="13.5" customHeight="1" outlineLevel="2">
      <c r="A89" s="10">
        <f t="shared" si="3"/>
        <v>85</v>
      </c>
      <c r="B89" s="10" t="s">
        <v>8</v>
      </c>
      <c r="C89" s="16" t="s">
        <v>179</v>
      </c>
      <c r="D89" s="11" t="s">
        <v>180</v>
      </c>
      <c r="E89" s="12">
        <v>3973415.92</v>
      </c>
      <c r="F89" s="13">
        <v>0</v>
      </c>
      <c r="G89" s="13">
        <v>0</v>
      </c>
      <c r="H89" s="13"/>
      <c r="I89" s="13">
        <f t="shared" si="2"/>
        <v>3973415.92</v>
      </c>
      <c r="K89" s="10"/>
      <c r="M89" s="14"/>
    </row>
    <row r="90" spans="1:13" outlineLevel="2">
      <c r="A90" s="10">
        <f t="shared" si="3"/>
        <v>86</v>
      </c>
      <c r="B90" s="10" t="s">
        <v>8</v>
      </c>
      <c r="C90" s="16" t="s">
        <v>181</v>
      </c>
      <c r="D90" s="11" t="s">
        <v>182</v>
      </c>
      <c r="E90" s="12">
        <v>5563295.5999999996</v>
      </c>
      <c r="F90" s="13">
        <v>0</v>
      </c>
      <c r="G90" s="13">
        <v>0</v>
      </c>
      <c r="H90" s="13"/>
      <c r="I90" s="13">
        <f t="shared" si="2"/>
        <v>5563295.5999999996</v>
      </c>
      <c r="K90" s="10"/>
      <c r="M90" s="14"/>
    </row>
    <row r="91" spans="1:13" outlineLevel="2">
      <c r="A91" s="10">
        <f t="shared" si="3"/>
        <v>87</v>
      </c>
      <c r="B91" s="10" t="s">
        <v>8</v>
      </c>
      <c r="C91" s="16" t="s">
        <v>183</v>
      </c>
      <c r="D91" s="11" t="s">
        <v>184</v>
      </c>
      <c r="E91" s="12">
        <v>5949647.5099999998</v>
      </c>
      <c r="F91" s="13">
        <v>0</v>
      </c>
      <c r="G91" s="13">
        <v>0</v>
      </c>
      <c r="H91" s="13"/>
      <c r="I91" s="13">
        <f t="shared" si="2"/>
        <v>5949647.5099999998</v>
      </c>
      <c r="K91" s="10"/>
      <c r="M91" s="14"/>
    </row>
    <row r="92" spans="1:13" outlineLevel="2">
      <c r="A92" s="10">
        <f t="shared" si="3"/>
        <v>88</v>
      </c>
      <c r="B92" s="10" t="s">
        <v>8</v>
      </c>
      <c r="C92" s="16" t="s">
        <v>185</v>
      </c>
      <c r="D92" s="11" t="s">
        <v>186</v>
      </c>
      <c r="E92" s="12">
        <v>1967901.35</v>
      </c>
      <c r="F92" s="13">
        <v>0</v>
      </c>
      <c r="G92" s="13">
        <v>0</v>
      </c>
      <c r="H92" s="13"/>
      <c r="I92" s="13">
        <f t="shared" si="2"/>
        <v>1967901.35</v>
      </c>
      <c r="K92" s="10"/>
      <c r="M92" s="14"/>
    </row>
    <row r="93" spans="1:13" outlineLevel="2">
      <c r="A93" s="10">
        <f t="shared" si="3"/>
        <v>89</v>
      </c>
      <c r="B93" s="10" t="s">
        <v>8</v>
      </c>
      <c r="C93" s="16" t="s">
        <v>187</v>
      </c>
      <c r="D93" s="11" t="s">
        <v>188</v>
      </c>
      <c r="E93" s="12">
        <v>6683770.3600000003</v>
      </c>
      <c r="F93" s="13">
        <v>0</v>
      </c>
      <c r="G93" s="13">
        <v>0</v>
      </c>
      <c r="H93" s="13"/>
      <c r="I93" s="13">
        <f t="shared" si="2"/>
        <v>6683770.3600000003</v>
      </c>
      <c r="K93" s="10"/>
      <c r="M93" s="14"/>
    </row>
    <row r="94" spans="1:13" outlineLevel="2">
      <c r="A94" s="10">
        <f t="shared" si="3"/>
        <v>90</v>
      </c>
      <c r="B94" s="10" t="s">
        <v>8</v>
      </c>
      <c r="C94" s="16" t="s">
        <v>189</v>
      </c>
      <c r="D94" s="11" t="s">
        <v>190</v>
      </c>
      <c r="E94" s="12">
        <v>388816.19</v>
      </c>
      <c r="F94" s="13">
        <v>0</v>
      </c>
      <c r="G94" s="13">
        <v>0</v>
      </c>
      <c r="H94" s="13"/>
      <c r="I94" s="13">
        <f t="shared" si="2"/>
        <v>388816.19</v>
      </c>
      <c r="K94" s="10"/>
      <c r="M94" s="14"/>
    </row>
    <row r="95" spans="1:13" outlineLevel="2">
      <c r="A95" s="10">
        <f t="shared" si="3"/>
        <v>91</v>
      </c>
      <c r="B95" s="10" t="s">
        <v>8</v>
      </c>
      <c r="C95" s="16" t="s">
        <v>191</v>
      </c>
      <c r="D95" s="11" t="s">
        <v>192</v>
      </c>
      <c r="E95" s="12">
        <v>2488318.48</v>
      </c>
      <c r="F95" s="13">
        <v>0</v>
      </c>
      <c r="G95" s="13">
        <v>0</v>
      </c>
      <c r="H95" s="13"/>
      <c r="I95" s="13">
        <f t="shared" si="2"/>
        <v>2488318.48</v>
      </c>
      <c r="K95" s="10"/>
      <c r="M95" s="14"/>
    </row>
    <row r="96" spans="1:13" outlineLevel="2">
      <c r="A96" s="10">
        <f t="shared" si="3"/>
        <v>92</v>
      </c>
      <c r="B96" s="10" t="s">
        <v>8</v>
      </c>
      <c r="C96" s="16" t="s">
        <v>193</v>
      </c>
      <c r="D96" s="11" t="s">
        <v>194</v>
      </c>
      <c r="E96" s="12">
        <v>2140435.5299999998</v>
      </c>
      <c r="F96" s="13">
        <v>0</v>
      </c>
      <c r="G96" s="13">
        <v>0</v>
      </c>
      <c r="H96" s="13"/>
      <c r="I96" s="13">
        <f t="shared" si="2"/>
        <v>2140435.5299999998</v>
      </c>
      <c r="K96" s="10"/>
      <c r="M96" s="14"/>
    </row>
    <row r="97" spans="1:13" outlineLevel="2">
      <c r="A97" s="10">
        <f t="shared" si="3"/>
        <v>93</v>
      </c>
      <c r="B97" s="10" t="s">
        <v>8</v>
      </c>
      <c r="C97" s="16" t="s">
        <v>2270</v>
      </c>
      <c r="D97" s="11" t="s">
        <v>1961</v>
      </c>
      <c r="E97" s="12">
        <v>9269194.1600000001</v>
      </c>
      <c r="F97" s="13"/>
      <c r="G97" s="13"/>
      <c r="H97" s="13"/>
      <c r="I97" s="13">
        <f t="shared" si="2"/>
        <v>9269194.1600000001</v>
      </c>
      <c r="K97" s="10"/>
      <c r="M97" s="14"/>
    </row>
    <row r="98" spans="1:13" outlineLevel="2">
      <c r="A98" s="10">
        <f t="shared" si="3"/>
        <v>94</v>
      </c>
      <c r="B98" s="10" t="s">
        <v>8</v>
      </c>
      <c r="C98" s="16" t="s">
        <v>195</v>
      </c>
      <c r="D98" s="11" t="s">
        <v>196</v>
      </c>
      <c r="E98" s="12">
        <v>52063.76</v>
      </c>
      <c r="F98" s="13">
        <v>0</v>
      </c>
      <c r="G98" s="13">
        <v>0</v>
      </c>
      <c r="H98" s="13"/>
      <c r="I98" s="13">
        <f t="shared" si="2"/>
        <v>52063.76</v>
      </c>
      <c r="K98" s="10"/>
      <c r="M98" s="14"/>
    </row>
    <row r="99" spans="1:13" outlineLevel="2">
      <c r="A99" s="10">
        <f t="shared" si="3"/>
        <v>95</v>
      </c>
      <c r="B99" s="10" t="s">
        <v>8</v>
      </c>
      <c r="C99" s="16" t="s">
        <v>197</v>
      </c>
      <c r="D99" s="11" t="s">
        <v>198</v>
      </c>
      <c r="E99" s="12">
        <v>2235654.88</v>
      </c>
      <c r="F99" s="13">
        <v>0</v>
      </c>
      <c r="G99" s="13">
        <v>0</v>
      </c>
      <c r="H99" s="13"/>
      <c r="I99" s="13">
        <f t="shared" si="2"/>
        <v>2235654.88</v>
      </c>
      <c r="K99" s="10"/>
      <c r="M99" s="14"/>
    </row>
    <row r="100" spans="1:13" outlineLevel="2">
      <c r="A100" s="10">
        <f t="shared" si="3"/>
        <v>96</v>
      </c>
      <c r="B100" s="10" t="s">
        <v>8</v>
      </c>
      <c r="C100" s="16" t="s">
        <v>2259</v>
      </c>
      <c r="D100" s="11" t="s">
        <v>199</v>
      </c>
      <c r="E100" s="12">
        <v>576089.67000000004</v>
      </c>
      <c r="F100" s="13">
        <v>-576090</v>
      </c>
      <c r="G100" s="13"/>
      <c r="H100" s="13"/>
      <c r="I100" s="13">
        <f t="shared" si="2"/>
        <v>-0.32999999995809048</v>
      </c>
      <c r="K100" s="10"/>
      <c r="M100" s="14"/>
    </row>
    <row r="101" spans="1:13" outlineLevel="2">
      <c r="A101" s="10">
        <f t="shared" si="3"/>
        <v>97</v>
      </c>
      <c r="B101" s="10" t="s">
        <v>8</v>
      </c>
      <c r="C101" s="16" t="s">
        <v>200</v>
      </c>
      <c r="D101" s="11" t="s">
        <v>201</v>
      </c>
      <c r="E101" s="12">
        <v>7485605.7400000002</v>
      </c>
      <c r="F101" s="13">
        <v>0</v>
      </c>
      <c r="G101" s="13">
        <v>0</v>
      </c>
      <c r="H101" s="13"/>
      <c r="I101" s="13">
        <f t="shared" si="2"/>
        <v>7485605.7400000002</v>
      </c>
      <c r="K101" s="10"/>
      <c r="M101" s="14"/>
    </row>
    <row r="102" spans="1:13" outlineLevel="2">
      <c r="A102" s="10">
        <f t="shared" si="3"/>
        <v>98</v>
      </c>
      <c r="B102" s="10" t="s">
        <v>8</v>
      </c>
      <c r="C102" s="16" t="s">
        <v>202</v>
      </c>
      <c r="D102" s="11" t="s">
        <v>203</v>
      </c>
      <c r="E102" s="12">
        <v>1938352.95</v>
      </c>
      <c r="F102" s="13">
        <v>0</v>
      </c>
      <c r="G102" s="13">
        <v>0</v>
      </c>
      <c r="H102" s="13"/>
      <c r="I102" s="13">
        <f t="shared" ref="I102:I117" si="4">SUM(E102:G102)</f>
        <v>1938352.95</v>
      </c>
      <c r="K102" s="10"/>
      <c r="M102" s="14"/>
    </row>
    <row r="103" spans="1:13" outlineLevel="2">
      <c r="A103" s="10">
        <f t="shared" si="3"/>
        <v>99</v>
      </c>
      <c r="B103" s="10" t="s">
        <v>8</v>
      </c>
      <c r="C103" s="16" t="s">
        <v>204</v>
      </c>
      <c r="D103" s="11" t="s">
        <v>205</v>
      </c>
      <c r="E103" s="12">
        <v>3217192.17</v>
      </c>
      <c r="F103" s="13">
        <v>0</v>
      </c>
      <c r="G103" s="13">
        <v>0</v>
      </c>
      <c r="H103" s="13"/>
      <c r="I103" s="13">
        <f t="shared" si="4"/>
        <v>3217192.17</v>
      </c>
      <c r="K103" s="10"/>
      <c r="M103" s="14"/>
    </row>
    <row r="104" spans="1:13" outlineLevel="2">
      <c r="A104" s="10">
        <f t="shared" si="3"/>
        <v>100</v>
      </c>
      <c r="B104" s="10" t="s">
        <v>8</v>
      </c>
      <c r="C104" s="16" t="s">
        <v>206</v>
      </c>
      <c r="D104" s="11" t="s">
        <v>207</v>
      </c>
      <c r="E104" s="12">
        <v>277896.62</v>
      </c>
      <c r="F104" s="13">
        <v>0</v>
      </c>
      <c r="G104" s="13">
        <v>0</v>
      </c>
      <c r="H104" s="13"/>
      <c r="I104" s="13">
        <f t="shared" si="4"/>
        <v>277896.62</v>
      </c>
      <c r="K104" s="10"/>
    </row>
    <row r="105" spans="1:13" outlineLevel="2">
      <c r="A105" s="10">
        <f t="shared" si="3"/>
        <v>101</v>
      </c>
      <c r="B105" s="10" t="s">
        <v>8</v>
      </c>
      <c r="C105" s="16" t="s">
        <v>208</v>
      </c>
      <c r="D105" s="11" t="s">
        <v>209</v>
      </c>
      <c r="E105" s="12">
        <v>6743203.0499999998</v>
      </c>
      <c r="F105" s="13">
        <v>0</v>
      </c>
      <c r="G105" s="13">
        <v>0</v>
      </c>
      <c r="H105" s="13"/>
      <c r="I105" s="13">
        <f t="shared" si="4"/>
        <v>6743203.0499999998</v>
      </c>
      <c r="K105" s="10"/>
      <c r="M105" s="14"/>
    </row>
    <row r="106" spans="1:13" outlineLevel="2">
      <c r="A106" s="10">
        <f t="shared" si="3"/>
        <v>102</v>
      </c>
      <c r="B106" s="10" t="s">
        <v>8</v>
      </c>
      <c r="C106" s="16" t="s">
        <v>210</v>
      </c>
      <c r="D106" s="11" t="s">
        <v>211</v>
      </c>
      <c r="E106" s="12">
        <v>1084857.5</v>
      </c>
      <c r="F106" s="13">
        <v>0</v>
      </c>
      <c r="G106" s="13">
        <v>0</v>
      </c>
      <c r="H106" s="13"/>
      <c r="I106" s="13">
        <f t="shared" si="4"/>
        <v>1084857.5</v>
      </c>
      <c r="K106" s="10"/>
    </row>
    <row r="107" spans="1:13" outlineLevel="2">
      <c r="A107" s="10">
        <f t="shared" si="3"/>
        <v>103</v>
      </c>
      <c r="B107" s="10" t="s">
        <v>8</v>
      </c>
      <c r="C107" s="16" t="s">
        <v>212</v>
      </c>
      <c r="D107" s="11" t="s">
        <v>213</v>
      </c>
      <c r="E107" s="12">
        <v>3485236.01</v>
      </c>
      <c r="F107" s="13">
        <v>0</v>
      </c>
      <c r="G107" s="13">
        <v>0</v>
      </c>
      <c r="H107" s="13"/>
      <c r="I107" s="13">
        <f t="shared" si="4"/>
        <v>3485236.01</v>
      </c>
      <c r="K107" s="10"/>
      <c r="M107" s="14"/>
    </row>
    <row r="108" spans="1:13" outlineLevel="2">
      <c r="A108" s="10">
        <f t="shared" si="3"/>
        <v>104</v>
      </c>
      <c r="B108" s="10" t="s">
        <v>8</v>
      </c>
      <c r="C108" s="16" t="s">
        <v>214</v>
      </c>
      <c r="D108" s="11" t="s">
        <v>215</v>
      </c>
      <c r="E108" s="12">
        <v>1527895.21</v>
      </c>
      <c r="F108" s="13">
        <v>0</v>
      </c>
      <c r="G108" s="13">
        <v>0</v>
      </c>
      <c r="H108" s="13"/>
      <c r="I108" s="13">
        <f t="shared" si="4"/>
        <v>1527895.21</v>
      </c>
      <c r="K108" s="10"/>
      <c r="M108" s="14"/>
    </row>
    <row r="109" spans="1:13" ht="13.5" customHeight="1" outlineLevel="2">
      <c r="A109" s="10">
        <f t="shared" si="3"/>
        <v>105</v>
      </c>
      <c r="B109" s="10" t="s">
        <v>8</v>
      </c>
      <c r="C109" s="16" t="s">
        <v>216</v>
      </c>
      <c r="D109" s="11" t="s">
        <v>217</v>
      </c>
      <c r="E109" s="12">
        <v>5110115.21</v>
      </c>
      <c r="F109" s="13">
        <v>0</v>
      </c>
      <c r="G109" s="13">
        <v>0</v>
      </c>
      <c r="H109" s="13"/>
      <c r="I109" s="13">
        <f t="shared" si="4"/>
        <v>5110115.21</v>
      </c>
      <c r="K109" s="10"/>
      <c r="M109" s="14"/>
    </row>
    <row r="110" spans="1:13" outlineLevel="2">
      <c r="A110" s="10">
        <f t="shared" si="3"/>
        <v>106</v>
      </c>
      <c r="B110" s="10" t="s">
        <v>8</v>
      </c>
      <c r="C110" s="16" t="s">
        <v>218</v>
      </c>
      <c r="D110" s="11" t="s">
        <v>219</v>
      </c>
      <c r="E110" s="12">
        <v>312931.03999999998</v>
      </c>
      <c r="F110" s="13">
        <v>0</v>
      </c>
      <c r="G110" s="13">
        <v>0</v>
      </c>
      <c r="H110" s="13"/>
      <c r="I110" s="13">
        <f t="shared" si="4"/>
        <v>312931.03999999998</v>
      </c>
      <c r="K110" s="10"/>
      <c r="M110" s="14"/>
    </row>
    <row r="111" spans="1:13" outlineLevel="2">
      <c r="A111" s="10">
        <f t="shared" si="3"/>
        <v>107</v>
      </c>
      <c r="B111" s="10" t="s">
        <v>8</v>
      </c>
      <c r="C111" s="16" t="s">
        <v>220</v>
      </c>
      <c r="D111" s="11" t="s">
        <v>221</v>
      </c>
      <c r="E111" s="12">
        <v>7488153.7300000004</v>
      </c>
      <c r="F111" s="13">
        <v>0</v>
      </c>
      <c r="G111" s="13">
        <v>0</v>
      </c>
      <c r="H111" s="13"/>
      <c r="I111" s="13">
        <f t="shared" si="4"/>
        <v>7488153.7300000004</v>
      </c>
      <c r="K111" s="10"/>
      <c r="M111" s="14"/>
    </row>
    <row r="112" spans="1:13" outlineLevel="2">
      <c r="A112" s="10">
        <f t="shared" si="3"/>
        <v>108</v>
      </c>
      <c r="B112" s="10" t="s">
        <v>8</v>
      </c>
      <c r="C112" s="16" t="s">
        <v>222</v>
      </c>
      <c r="D112" s="11" t="s">
        <v>223</v>
      </c>
      <c r="E112" s="12">
        <v>26924889.420000002</v>
      </c>
      <c r="F112" s="13">
        <v>0</v>
      </c>
      <c r="G112" s="13">
        <v>0</v>
      </c>
      <c r="H112" s="13"/>
      <c r="I112" s="13">
        <f t="shared" si="4"/>
        <v>26924889.420000002</v>
      </c>
      <c r="K112" s="10"/>
      <c r="M112" s="14"/>
    </row>
    <row r="113" spans="1:13" outlineLevel="2">
      <c r="A113" s="10">
        <f t="shared" si="3"/>
        <v>109</v>
      </c>
      <c r="B113" s="10" t="s">
        <v>8</v>
      </c>
      <c r="C113" s="16" t="s">
        <v>41</v>
      </c>
      <c r="D113" s="11" t="s">
        <v>224</v>
      </c>
      <c r="E113" s="12">
        <v>349954</v>
      </c>
      <c r="F113" s="13">
        <v>0</v>
      </c>
      <c r="G113" s="13">
        <v>0</v>
      </c>
      <c r="H113" s="13"/>
      <c r="I113" s="13">
        <f t="shared" si="4"/>
        <v>349954</v>
      </c>
      <c r="K113" s="10"/>
      <c r="M113" s="14"/>
    </row>
    <row r="114" spans="1:13" outlineLevel="2">
      <c r="A114" s="10">
        <f t="shared" si="3"/>
        <v>110</v>
      </c>
      <c r="B114" s="10" t="s">
        <v>8</v>
      </c>
      <c r="C114" s="16" t="s">
        <v>225</v>
      </c>
      <c r="D114" s="11" t="s">
        <v>226</v>
      </c>
      <c r="E114" s="12">
        <v>17627867.68</v>
      </c>
      <c r="F114" s="13">
        <v>0</v>
      </c>
      <c r="G114" s="13">
        <v>0</v>
      </c>
      <c r="H114" s="13"/>
      <c r="I114" s="13">
        <f t="shared" si="4"/>
        <v>17627867.68</v>
      </c>
      <c r="K114" s="10"/>
      <c r="M114" s="14"/>
    </row>
    <row r="115" spans="1:13" outlineLevel="2">
      <c r="A115" s="10">
        <f t="shared" si="3"/>
        <v>111</v>
      </c>
      <c r="B115" s="10" t="s">
        <v>8</v>
      </c>
      <c r="C115" s="16" t="s">
        <v>227</v>
      </c>
      <c r="D115" s="11" t="s">
        <v>228</v>
      </c>
      <c r="E115" s="12">
        <v>11035513.970000001</v>
      </c>
      <c r="F115" s="13">
        <v>0</v>
      </c>
      <c r="G115" s="13">
        <v>0</v>
      </c>
      <c r="H115" s="13"/>
      <c r="I115" s="13">
        <f t="shared" si="4"/>
        <v>11035513.970000001</v>
      </c>
      <c r="K115" s="10"/>
      <c r="M115" s="14"/>
    </row>
    <row r="116" spans="1:13" outlineLevel="2">
      <c r="A116" s="10">
        <f t="shared" si="3"/>
        <v>112</v>
      </c>
      <c r="B116" s="10" t="s">
        <v>8</v>
      </c>
      <c r="C116" s="16" t="s">
        <v>229</v>
      </c>
      <c r="D116" s="11" t="s">
        <v>230</v>
      </c>
      <c r="E116" s="12">
        <v>4629315.97</v>
      </c>
      <c r="F116" s="13">
        <v>0</v>
      </c>
      <c r="G116" s="13">
        <v>0</v>
      </c>
      <c r="H116" s="13"/>
      <c r="I116" s="13">
        <f t="shared" si="4"/>
        <v>4629315.97</v>
      </c>
      <c r="K116" s="10"/>
      <c r="M116" s="14"/>
    </row>
    <row r="117" spans="1:13" outlineLevel="2">
      <c r="A117" s="10">
        <f t="shared" si="3"/>
        <v>113</v>
      </c>
      <c r="B117" s="10" t="s">
        <v>8</v>
      </c>
      <c r="C117" s="16" t="s">
        <v>231</v>
      </c>
      <c r="D117" s="11" t="s">
        <v>232</v>
      </c>
      <c r="E117" s="12">
        <v>2265163.38</v>
      </c>
      <c r="F117" s="13">
        <v>0</v>
      </c>
      <c r="G117" s="13">
        <v>0</v>
      </c>
      <c r="H117" s="13"/>
      <c r="I117" s="13">
        <f t="shared" si="4"/>
        <v>2265163.38</v>
      </c>
      <c r="K117" s="10"/>
      <c r="M117" s="14"/>
    </row>
    <row r="118" spans="1:13" s="6" customFormat="1" ht="14.4" outlineLevel="1" thickBot="1">
      <c r="A118" s="10">
        <f t="shared" si="3"/>
        <v>114</v>
      </c>
      <c r="B118" s="18" t="s">
        <v>233</v>
      </c>
      <c r="C118" s="19"/>
      <c r="D118" s="20" t="s">
        <v>234</v>
      </c>
      <c r="E118" s="21">
        <f>SUBTOTAL(9,E5:E117)</f>
        <v>568215935.25000024</v>
      </c>
      <c r="F118" s="21">
        <f>SUBTOTAL(9,F5:F117)</f>
        <v>-576090</v>
      </c>
      <c r="G118" s="21">
        <f>SUBTOTAL(9,G5:G117)</f>
        <v>0</v>
      </c>
      <c r="H118" s="21"/>
      <c r="I118" s="22">
        <f>SUBTOTAL(9,I5:I117)</f>
        <v>567639845.25000024</v>
      </c>
      <c r="J118" s="23"/>
      <c r="K118" s="3"/>
      <c r="L118" s="3"/>
      <c r="M118" s="7"/>
    </row>
    <row r="119" spans="1:13" ht="14.4" outlineLevel="2" thickTop="1">
      <c r="A119" s="10">
        <f t="shared" si="3"/>
        <v>115</v>
      </c>
      <c r="B119" s="10" t="s">
        <v>235</v>
      </c>
      <c r="C119" s="16" t="s">
        <v>459</v>
      </c>
      <c r="D119" s="11" t="s">
        <v>460</v>
      </c>
      <c r="E119" s="12">
        <v>6259.21</v>
      </c>
      <c r="F119" s="12">
        <v>0</v>
      </c>
      <c r="G119" s="12">
        <v>0</v>
      </c>
      <c r="I119" s="13">
        <f t="shared" ref="I119:I120" si="5">SUM(E119:G119)</f>
        <v>6259.21</v>
      </c>
      <c r="K119" s="10"/>
      <c r="M119" s="14"/>
    </row>
    <row r="120" spans="1:13" outlineLevel="2">
      <c r="A120" s="10">
        <f t="shared" si="3"/>
        <v>116</v>
      </c>
      <c r="B120" s="10" t="s">
        <v>235</v>
      </c>
      <c r="C120" s="16" t="s">
        <v>236</v>
      </c>
      <c r="D120" s="1" t="s">
        <v>237</v>
      </c>
      <c r="E120" s="12">
        <v>5878984.1399999997</v>
      </c>
      <c r="F120" s="12">
        <v>0</v>
      </c>
      <c r="G120" s="12">
        <v>0</v>
      </c>
      <c r="I120" s="13">
        <f t="shared" si="5"/>
        <v>5878984.1399999997</v>
      </c>
      <c r="K120" s="10"/>
      <c r="M120" s="14"/>
    </row>
    <row r="121" spans="1:13" outlineLevel="2">
      <c r="A121" s="10">
        <f t="shared" si="3"/>
        <v>117</v>
      </c>
      <c r="B121" s="10" t="s">
        <v>235</v>
      </c>
      <c r="C121" s="16" t="s">
        <v>238</v>
      </c>
      <c r="D121" s="11" t="s">
        <v>239</v>
      </c>
      <c r="E121" s="12">
        <v>2318295.1</v>
      </c>
      <c r="F121" s="12">
        <v>-800023.53</v>
      </c>
      <c r="G121" s="12">
        <v>0</v>
      </c>
      <c r="I121" s="13">
        <f t="shared" ref="I121:I160" si="6">SUM(E121:G121)</f>
        <v>1518271.57</v>
      </c>
      <c r="K121" s="10"/>
      <c r="M121" s="14"/>
    </row>
    <row r="122" spans="1:13" outlineLevel="2">
      <c r="A122" s="10">
        <f t="shared" si="3"/>
        <v>118</v>
      </c>
      <c r="B122" s="10" t="s">
        <v>235</v>
      </c>
      <c r="C122" s="16" t="s">
        <v>241</v>
      </c>
      <c r="D122" s="11" t="s">
        <v>242</v>
      </c>
      <c r="E122" s="12">
        <v>63325.31</v>
      </c>
      <c r="F122" s="12">
        <v>0</v>
      </c>
      <c r="G122" s="12">
        <v>0</v>
      </c>
      <c r="I122" s="13">
        <f t="shared" si="6"/>
        <v>63325.31</v>
      </c>
      <c r="K122" s="10"/>
    </row>
    <row r="123" spans="1:13" outlineLevel="2">
      <c r="A123" s="10">
        <f t="shared" si="3"/>
        <v>119</v>
      </c>
      <c r="B123" s="10" t="s">
        <v>235</v>
      </c>
      <c r="C123" s="16" t="s">
        <v>461</v>
      </c>
      <c r="D123" s="11" t="s">
        <v>462</v>
      </c>
      <c r="E123" s="12">
        <v>35004.78</v>
      </c>
      <c r="F123" s="12">
        <v>-35004.78</v>
      </c>
      <c r="G123" s="12">
        <v>0</v>
      </c>
      <c r="I123" s="13">
        <f t="shared" si="6"/>
        <v>0</v>
      </c>
      <c r="K123" s="10"/>
    </row>
    <row r="124" spans="1:13" outlineLevel="2">
      <c r="A124" s="10">
        <f t="shared" si="3"/>
        <v>120</v>
      </c>
      <c r="B124" s="10" t="s">
        <v>235</v>
      </c>
      <c r="C124" s="16" t="s">
        <v>243</v>
      </c>
      <c r="D124" s="11" t="s">
        <v>244</v>
      </c>
      <c r="E124" s="12">
        <v>2899880.73</v>
      </c>
      <c r="F124" s="12">
        <v>-124344</v>
      </c>
      <c r="G124" s="12">
        <v>0</v>
      </c>
      <c r="I124" s="13">
        <f t="shared" si="6"/>
        <v>2775536.73</v>
      </c>
      <c r="K124" s="10"/>
    </row>
    <row r="125" spans="1:13" outlineLevel="2">
      <c r="A125" s="10">
        <f t="shared" si="3"/>
        <v>121</v>
      </c>
      <c r="B125" s="10" t="s">
        <v>235</v>
      </c>
      <c r="C125" s="16" t="s">
        <v>463</v>
      </c>
      <c r="D125" s="11" t="s">
        <v>464</v>
      </c>
      <c r="E125" s="12">
        <v>279691.27</v>
      </c>
      <c r="F125" s="12">
        <v>0</v>
      </c>
      <c r="G125" s="12">
        <v>0</v>
      </c>
      <c r="I125" s="13">
        <f t="shared" si="6"/>
        <v>279691.27</v>
      </c>
      <c r="K125" s="10"/>
    </row>
    <row r="126" spans="1:13" outlineLevel="2">
      <c r="A126" s="10">
        <f t="shared" si="3"/>
        <v>122</v>
      </c>
      <c r="B126" s="10" t="s">
        <v>235</v>
      </c>
      <c r="C126" s="16" t="s">
        <v>245</v>
      </c>
      <c r="D126" s="11" t="s">
        <v>246</v>
      </c>
      <c r="E126" s="12">
        <v>309700.65000000002</v>
      </c>
      <c r="F126" s="12">
        <v>0</v>
      </c>
      <c r="G126" s="12">
        <v>0</v>
      </c>
      <c r="I126" s="13">
        <f t="shared" si="6"/>
        <v>309700.65000000002</v>
      </c>
      <c r="K126" s="10"/>
      <c r="M126" s="14"/>
    </row>
    <row r="127" spans="1:13" outlineLevel="2">
      <c r="A127" s="10">
        <f t="shared" si="3"/>
        <v>123</v>
      </c>
      <c r="B127" s="10" t="s">
        <v>235</v>
      </c>
      <c r="C127" s="16" t="s">
        <v>247</v>
      </c>
      <c r="D127" s="11" t="s">
        <v>248</v>
      </c>
      <c r="E127" s="12">
        <v>13779308.23</v>
      </c>
      <c r="F127" s="12">
        <v>-163836</v>
      </c>
      <c r="G127" s="12">
        <v>0</v>
      </c>
      <c r="I127" s="13">
        <f t="shared" si="6"/>
        <v>13615472.23</v>
      </c>
      <c r="J127" s="11"/>
      <c r="K127" s="10"/>
      <c r="M127" s="14"/>
    </row>
    <row r="128" spans="1:13" outlineLevel="2">
      <c r="A128" s="10">
        <f t="shared" si="3"/>
        <v>124</v>
      </c>
      <c r="B128" s="10" t="s">
        <v>235</v>
      </c>
      <c r="C128" s="16" t="s">
        <v>249</v>
      </c>
      <c r="D128" s="11" t="s">
        <v>250</v>
      </c>
      <c r="E128" s="12">
        <v>4706446.99</v>
      </c>
      <c r="F128" s="12">
        <v>-231321.2</v>
      </c>
      <c r="G128" s="12">
        <v>0</v>
      </c>
      <c r="I128" s="13">
        <f t="shared" si="6"/>
        <v>4475125.79</v>
      </c>
      <c r="J128" s="11"/>
      <c r="K128" s="10"/>
      <c r="M128" s="14"/>
    </row>
    <row r="129" spans="1:16" outlineLevel="2">
      <c r="A129" s="10">
        <f t="shared" si="3"/>
        <v>125</v>
      </c>
      <c r="B129" s="10" t="s">
        <v>235</v>
      </c>
      <c r="C129" s="16" t="s">
        <v>251</v>
      </c>
      <c r="D129" s="11" t="s">
        <v>252</v>
      </c>
      <c r="E129" s="12">
        <v>272529.27</v>
      </c>
      <c r="F129" s="12">
        <v>-218121.74</v>
      </c>
      <c r="G129" s="12">
        <v>0</v>
      </c>
      <c r="I129" s="13">
        <f t="shared" si="6"/>
        <v>54407.530000000028</v>
      </c>
      <c r="J129" s="11"/>
      <c r="K129" s="10"/>
      <c r="M129" s="14"/>
    </row>
    <row r="130" spans="1:16" outlineLevel="2">
      <c r="A130" s="10">
        <f t="shared" si="3"/>
        <v>126</v>
      </c>
      <c r="B130" s="10" t="s">
        <v>235</v>
      </c>
      <c r="C130" s="16" t="s">
        <v>253</v>
      </c>
      <c r="D130" s="11" t="s">
        <v>254</v>
      </c>
      <c r="E130" s="12">
        <v>17751914.77</v>
      </c>
      <c r="F130" s="12">
        <v>-187217.77</v>
      </c>
      <c r="G130" s="12">
        <v>0</v>
      </c>
      <c r="I130" s="13">
        <f t="shared" si="6"/>
        <v>17564697</v>
      </c>
      <c r="J130" s="11"/>
      <c r="K130" s="10"/>
      <c r="M130" s="14"/>
    </row>
    <row r="131" spans="1:16" outlineLevel="2">
      <c r="A131" s="10">
        <f t="shared" si="3"/>
        <v>127</v>
      </c>
      <c r="B131" s="10" t="s">
        <v>235</v>
      </c>
      <c r="C131" s="16" t="s">
        <v>255</v>
      </c>
      <c r="D131" s="11" t="s">
        <v>256</v>
      </c>
      <c r="E131" s="12">
        <v>12472.19</v>
      </c>
      <c r="F131" s="12">
        <v>0</v>
      </c>
      <c r="G131" s="12">
        <v>0</v>
      </c>
      <c r="I131" s="13">
        <f t="shared" si="6"/>
        <v>12472.19</v>
      </c>
      <c r="K131" s="10"/>
      <c r="M131" s="14"/>
    </row>
    <row r="132" spans="1:16" outlineLevel="2">
      <c r="A132" s="10">
        <f t="shared" si="3"/>
        <v>128</v>
      </c>
      <c r="B132" s="10" t="s">
        <v>235</v>
      </c>
      <c r="C132" s="16" t="s">
        <v>257</v>
      </c>
      <c r="D132" s="11" t="s">
        <v>258</v>
      </c>
      <c r="E132" s="12">
        <v>2997082.15</v>
      </c>
      <c r="F132" s="12">
        <v>-630455</v>
      </c>
      <c r="G132" s="12">
        <v>0</v>
      </c>
      <c r="I132" s="13">
        <f t="shared" si="6"/>
        <v>2366627.15</v>
      </c>
      <c r="J132" s="11"/>
      <c r="K132" s="10"/>
      <c r="M132" s="14"/>
    </row>
    <row r="133" spans="1:16" outlineLevel="2">
      <c r="A133" s="10">
        <f t="shared" si="3"/>
        <v>129</v>
      </c>
      <c r="B133" s="10" t="s">
        <v>235</v>
      </c>
      <c r="C133" s="16" t="s">
        <v>259</v>
      </c>
      <c r="D133" s="11" t="s">
        <v>260</v>
      </c>
      <c r="E133" s="12">
        <v>3398445.6</v>
      </c>
      <c r="F133" s="12">
        <v>-1226623.06</v>
      </c>
      <c r="G133" s="12">
        <v>0</v>
      </c>
      <c r="I133" s="13">
        <f t="shared" si="6"/>
        <v>2171822.54</v>
      </c>
      <c r="J133" s="11"/>
      <c r="K133" s="10"/>
      <c r="M133" s="14"/>
    </row>
    <row r="134" spans="1:16" outlineLevel="2">
      <c r="A134" s="10">
        <f t="shared" si="3"/>
        <v>130</v>
      </c>
      <c r="B134" s="10" t="s">
        <v>235</v>
      </c>
      <c r="C134" s="16" t="s">
        <v>261</v>
      </c>
      <c r="D134" s="11" t="s">
        <v>262</v>
      </c>
      <c r="E134" s="12">
        <v>4460377.1900000004</v>
      </c>
      <c r="F134" s="12">
        <v>0</v>
      </c>
      <c r="G134" s="12">
        <v>0</v>
      </c>
      <c r="I134" s="13">
        <f t="shared" si="6"/>
        <v>4460377.1900000004</v>
      </c>
      <c r="K134" s="10"/>
      <c r="M134" s="14"/>
    </row>
    <row r="135" spans="1:16" outlineLevel="2">
      <c r="A135" s="10">
        <f t="shared" si="3"/>
        <v>131</v>
      </c>
      <c r="B135" s="10" t="s">
        <v>235</v>
      </c>
      <c r="C135" s="16" t="s">
        <v>2245</v>
      </c>
      <c r="D135" s="11" t="s">
        <v>2256</v>
      </c>
      <c r="E135" s="12">
        <f>4765825.66-4765825.66</f>
        <v>0</v>
      </c>
      <c r="F135" s="12">
        <v>0</v>
      </c>
      <c r="G135" s="12">
        <v>0</v>
      </c>
      <c r="I135" s="13">
        <f t="shared" si="6"/>
        <v>0</v>
      </c>
      <c r="K135" s="10"/>
      <c r="M135" s="14"/>
    </row>
    <row r="136" spans="1:16" outlineLevel="2">
      <c r="A136" s="10">
        <f t="shared" si="3"/>
        <v>132</v>
      </c>
      <c r="B136" s="10" t="s">
        <v>235</v>
      </c>
      <c r="C136" s="16" t="s">
        <v>465</v>
      </c>
      <c r="D136" s="11" t="s">
        <v>466</v>
      </c>
      <c r="E136" s="12">
        <v>45210.14</v>
      </c>
      <c r="I136" s="13">
        <f t="shared" si="6"/>
        <v>45210.14</v>
      </c>
      <c r="K136" s="10"/>
      <c r="M136" s="14"/>
    </row>
    <row r="137" spans="1:16" outlineLevel="2">
      <c r="A137" s="10">
        <f t="shared" si="3"/>
        <v>133</v>
      </c>
      <c r="B137" s="10" t="s">
        <v>235</v>
      </c>
      <c r="C137" s="16" t="s">
        <v>263</v>
      </c>
      <c r="D137" s="11" t="s">
        <v>264</v>
      </c>
      <c r="E137" s="12">
        <v>2463312.04</v>
      </c>
      <c r="F137" s="12">
        <v>0</v>
      </c>
      <c r="G137" s="12">
        <v>0</v>
      </c>
      <c r="I137" s="13">
        <f t="shared" si="6"/>
        <v>2463312.04</v>
      </c>
      <c r="K137" s="10"/>
      <c r="M137" s="14"/>
    </row>
    <row r="138" spans="1:16" outlineLevel="2">
      <c r="A138" s="10">
        <f t="shared" si="3"/>
        <v>134</v>
      </c>
      <c r="B138" s="10" t="s">
        <v>235</v>
      </c>
      <c r="C138" s="16" t="s">
        <v>265</v>
      </c>
      <c r="D138" s="11" t="s">
        <v>266</v>
      </c>
      <c r="E138" s="12">
        <v>3819872.91</v>
      </c>
      <c r="F138" s="12">
        <v>-1007873.07</v>
      </c>
      <c r="G138" s="12">
        <v>0</v>
      </c>
      <c r="I138" s="13">
        <f t="shared" si="6"/>
        <v>2811999.8400000003</v>
      </c>
      <c r="J138" s="11"/>
      <c r="K138" s="10"/>
      <c r="M138" s="14"/>
    </row>
    <row r="139" spans="1:16" outlineLevel="2">
      <c r="A139" s="10">
        <f>A138+1</f>
        <v>135</v>
      </c>
      <c r="B139" s="10" t="s">
        <v>235</v>
      </c>
      <c r="C139" s="16" t="s">
        <v>467</v>
      </c>
      <c r="D139" s="11" t="s">
        <v>468</v>
      </c>
      <c r="E139" s="12">
        <v>1376075.86</v>
      </c>
      <c r="F139" s="12">
        <v>0</v>
      </c>
      <c r="G139" s="12">
        <v>0</v>
      </c>
      <c r="I139" s="13">
        <f t="shared" si="6"/>
        <v>1376075.86</v>
      </c>
      <c r="J139" s="11"/>
      <c r="K139" s="10"/>
      <c r="M139" s="14"/>
    </row>
    <row r="140" spans="1:16" outlineLevel="2">
      <c r="A140" s="10">
        <f>A139+1</f>
        <v>136</v>
      </c>
      <c r="B140" s="10" t="s">
        <v>235</v>
      </c>
      <c r="C140" s="16" t="s">
        <v>267</v>
      </c>
      <c r="D140" s="11" t="s">
        <v>268</v>
      </c>
      <c r="E140" s="12">
        <v>9139053.5299999993</v>
      </c>
      <c r="F140" s="12">
        <v>-2140669.77</v>
      </c>
      <c r="G140" s="12">
        <v>0</v>
      </c>
      <c r="I140" s="13">
        <f t="shared" si="6"/>
        <v>6998383.7599999998</v>
      </c>
      <c r="J140" s="11"/>
      <c r="K140" s="10"/>
      <c r="M140" s="14"/>
    </row>
    <row r="141" spans="1:16" outlineLevel="2">
      <c r="A141" s="10">
        <f>A140+1</f>
        <v>137</v>
      </c>
      <c r="B141" s="10" t="s">
        <v>235</v>
      </c>
      <c r="C141" s="16" t="s">
        <v>269</v>
      </c>
      <c r="D141" s="11" t="s">
        <v>270</v>
      </c>
      <c r="E141" s="12">
        <v>5986123.4699999997</v>
      </c>
      <c r="F141" s="12">
        <v>-315045</v>
      </c>
      <c r="G141" s="12">
        <v>0</v>
      </c>
      <c r="I141" s="13">
        <f t="shared" si="6"/>
        <v>5671078.4699999997</v>
      </c>
      <c r="J141" s="11"/>
      <c r="K141" s="10"/>
      <c r="M141" s="14"/>
    </row>
    <row r="142" spans="1:16" outlineLevel="2">
      <c r="A142" s="10">
        <f t="shared" ref="A142:A222" si="7">A141+1</f>
        <v>138</v>
      </c>
      <c r="B142" s="10" t="s">
        <v>235</v>
      </c>
      <c r="C142" s="16" t="s">
        <v>271</v>
      </c>
      <c r="D142" s="11" t="s">
        <v>272</v>
      </c>
      <c r="E142" s="12">
        <v>8453083.7100000009</v>
      </c>
      <c r="F142" s="12">
        <v>0</v>
      </c>
      <c r="G142" s="12">
        <v>0</v>
      </c>
      <c r="I142" s="13">
        <f t="shared" si="6"/>
        <v>8453083.7100000009</v>
      </c>
      <c r="K142" s="10"/>
      <c r="M142" s="14"/>
    </row>
    <row r="143" spans="1:16" outlineLevel="2">
      <c r="A143" s="10">
        <f t="shared" si="7"/>
        <v>139</v>
      </c>
      <c r="B143" s="10" t="s">
        <v>235</v>
      </c>
      <c r="C143" s="16" t="s">
        <v>273</v>
      </c>
      <c r="D143" s="11" t="s">
        <v>274</v>
      </c>
      <c r="E143" s="12">
        <v>11630045.17</v>
      </c>
      <c r="F143" s="12">
        <v>0</v>
      </c>
      <c r="G143" s="12">
        <v>0</v>
      </c>
      <c r="I143" s="13">
        <f t="shared" si="6"/>
        <v>11630045.17</v>
      </c>
      <c r="K143" s="10"/>
      <c r="M143" s="14"/>
    </row>
    <row r="144" spans="1:16" outlineLevel="2">
      <c r="A144" s="10">
        <f t="shared" si="7"/>
        <v>140</v>
      </c>
      <c r="B144" s="10" t="s">
        <v>235</v>
      </c>
      <c r="C144" s="16" t="s">
        <v>275</v>
      </c>
      <c r="D144" s="11" t="s">
        <v>276</v>
      </c>
      <c r="E144" s="12">
        <v>2390851.2200000002</v>
      </c>
      <c r="F144" s="12">
        <v>0</v>
      </c>
      <c r="G144" s="12">
        <v>0</v>
      </c>
      <c r="I144" s="13">
        <f t="shared" si="6"/>
        <v>2390851.2200000002</v>
      </c>
      <c r="K144" s="10"/>
      <c r="M144" s="14"/>
      <c r="P144" s="24"/>
    </row>
    <row r="145" spans="1:16" outlineLevel="2">
      <c r="A145" s="10">
        <f t="shared" si="7"/>
        <v>141</v>
      </c>
      <c r="B145" s="10" t="s">
        <v>235</v>
      </c>
      <c r="C145" s="16" t="s">
        <v>277</v>
      </c>
      <c r="D145" s="11" t="s">
        <v>278</v>
      </c>
      <c r="E145" s="12">
        <v>4633608.43</v>
      </c>
      <c r="F145" s="12">
        <v>-346141.75</v>
      </c>
      <c r="G145" s="12">
        <v>0</v>
      </c>
      <c r="I145" s="13">
        <f t="shared" si="6"/>
        <v>4287466.68</v>
      </c>
      <c r="J145" s="11"/>
      <c r="K145" s="10"/>
      <c r="M145" s="14"/>
      <c r="P145" s="25"/>
    </row>
    <row r="146" spans="1:16" outlineLevel="2">
      <c r="A146" s="10">
        <f t="shared" si="7"/>
        <v>142</v>
      </c>
      <c r="B146" s="10" t="s">
        <v>235</v>
      </c>
      <c r="C146" s="16" t="s">
        <v>279</v>
      </c>
      <c r="D146" s="11" t="s">
        <v>280</v>
      </c>
      <c r="E146" s="12">
        <v>1484722.33</v>
      </c>
      <c r="F146" s="12">
        <v>-1484722</v>
      </c>
      <c r="G146" s="12">
        <v>0</v>
      </c>
      <c r="I146" s="13">
        <f t="shared" si="6"/>
        <v>0.33000000007450581</v>
      </c>
      <c r="J146" s="11"/>
      <c r="K146" s="10"/>
      <c r="M146" s="14"/>
      <c r="P146" s="25"/>
    </row>
    <row r="147" spans="1:16" outlineLevel="2">
      <c r="A147" s="10">
        <f t="shared" si="7"/>
        <v>143</v>
      </c>
      <c r="B147" s="10" t="s">
        <v>235</v>
      </c>
      <c r="C147" s="16" t="s">
        <v>281</v>
      </c>
      <c r="D147" s="11" t="s">
        <v>282</v>
      </c>
      <c r="E147" s="12">
        <v>10478271.449999999</v>
      </c>
      <c r="F147" s="12">
        <v>-2304.9</v>
      </c>
      <c r="G147" s="12">
        <v>0</v>
      </c>
      <c r="I147" s="13">
        <f t="shared" si="6"/>
        <v>10475966.549999999</v>
      </c>
      <c r="J147" s="11"/>
      <c r="K147" s="10"/>
      <c r="M147" s="14"/>
    </row>
    <row r="148" spans="1:16" outlineLevel="2">
      <c r="A148" s="10">
        <f t="shared" si="7"/>
        <v>144</v>
      </c>
      <c r="B148" s="10" t="s">
        <v>235</v>
      </c>
      <c r="C148" s="16" t="s">
        <v>469</v>
      </c>
      <c r="D148" s="11" t="s">
        <v>470</v>
      </c>
      <c r="E148" s="12">
        <v>848872.14</v>
      </c>
      <c r="F148" s="12">
        <v>-109672.64</v>
      </c>
      <c r="I148" s="13">
        <f t="shared" si="6"/>
        <v>739199.5</v>
      </c>
      <c r="J148" s="11"/>
      <c r="K148" s="10"/>
      <c r="M148" s="14"/>
    </row>
    <row r="149" spans="1:16" outlineLevel="2">
      <c r="A149" s="10">
        <f t="shared" si="7"/>
        <v>145</v>
      </c>
      <c r="B149" s="10" t="s">
        <v>235</v>
      </c>
      <c r="C149" s="16" t="s">
        <v>283</v>
      </c>
      <c r="D149" s="11" t="s">
        <v>284</v>
      </c>
      <c r="E149" s="12">
        <v>16188021.15</v>
      </c>
      <c r="F149" s="12">
        <v>-183385</v>
      </c>
      <c r="G149" s="12">
        <v>0</v>
      </c>
      <c r="I149" s="13">
        <f t="shared" si="6"/>
        <v>16004636.15</v>
      </c>
      <c r="J149" s="11"/>
      <c r="K149" s="10"/>
      <c r="M149" s="14"/>
    </row>
    <row r="150" spans="1:16" outlineLevel="2">
      <c r="A150" s="10">
        <f t="shared" si="7"/>
        <v>146</v>
      </c>
      <c r="B150" s="10" t="s">
        <v>235</v>
      </c>
      <c r="C150" s="16" t="s">
        <v>285</v>
      </c>
      <c r="D150" s="11" t="s">
        <v>286</v>
      </c>
      <c r="E150" s="12">
        <v>1602554.49</v>
      </c>
      <c r="F150" s="12">
        <v>-1602554</v>
      </c>
      <c r="G150" s="12">
        <v>0</v>
      </c>
      <c r="I150" s="13">
        <f t="shared" si="6"/>
        <v>0.48999999999068677</v>
      </c>
      <c r="J150" s="11"/>
      <c r="K150" s="10"/>
      <c r="M150" s="14"/>
    </row>
    <row r="151" spans="1:16" outlineLevel="2">
      <c r="A151" s="10">
        <f t="shared" si="7"/>
        <v>147</v>
      </c>
      <c r="B151" s="10" t="s">
        <v>235</v>
      </c>
      <c r="C151" s="16" t="s">
        <v>287</v>
      </c>
      <c r="D151" s="11" t="s">
        <v>288</v>
      </c>
      <c r="E151" s="12">
        <v>2918979.13</v>
      </c>
      <c r="F151" s="12">
        <v>-81504.12</v>
      </c>
      <c r="G151" s="12">
        <v>0</v>
      </c>
      <c r="I151" s="13">
        <f t="shared" si="6"/>
        <v>2837475.01</v>
      </c>
      <c r="J151" s="11"/>
      <c r="K151" s="10"/>
      <c r="M151" s="14"/>
    </row>
    <row r="152" spans="1:16" outlineLevel="2">
      <c r="A152" s="10">
        <f t="shared" si="7"/>
        <v>148</v>
      </c>
      <c r="B152" s="10" t="s">
        <v>235</v>
      </c>
      <c r="C152" s="16" t="s">
        <v>471</v>
      </c>
      <c r="D152" s="11" t="s">
        <v>472</v>
      </c>
      <c r="E152" s="12">
        <v>23704.42</v>
      </c>
      <c r="F152" s="12">
        <v>0</v>
      </c>
      <c r="G152" s="12">
        <v>0</v>
      </c>
      <c r="I152" s="13">
        <f t="shared" si="6"/>
        <v>23704.42</v>
      </c>
      <c r="J152" s="11"/>
      <c r="K152" s="10"/>
      <c r="M152" s="14"/>
    </row>
    <row r="153" spans="1:16" outlineLevel="2">
      <c r="A153" s="10">
        <f t="shared" si="7"/>
        <v>149</v>
      </c>
      <c r="B153" s="10" t="s">
        <v>235</v>
      </c>
      <c r="C153" s="16" t="s">
        <v>473</v>
      </c>
      <c r="D153" s="11" t="s">
        <v>474</v>
      </c>
      <c r="E153" s="12">
        <v>49112.160000000003</v>
      </c>
      <c r="F153" s="12">
        <v>0</v>
      </c>
      <c r="G153" s="12">
        <v>0</v>
      </c>
      <c r="I153" s="13">
        <f t="shared" si="6"/>
        <v>49112.160000000003</v>
      </c>
      <c r="J153" s="11"/>
      <c r="K153" s="10"/>
      <c r="M153" s="14"/>
    </row>
    <row r="154" spans="1:16" outlineLevel="2">
      <c r="A154" s="10">
        <f t="shared" si="7"/>
        <v>150</v>
      </c>
      <c r="B154" s="10" t="s">
        <v>235</v>
      </c>
      <c r="C154" s="16" t="s">
        <v>475</v>
      </c>
      <c r="D154" s="11" t="s">
        <v>476</v>
      </c>
      <c r="E154" s="12">
        <v>66107.63</v>
      </c>
      <c r="F154" s="12">
        <v>0</v>
      </c>
      <c r="G154" s="12">
        <v>0</v>
      </c>
      <c r="I154" s="13">
        <f t="shared" si="6"/>
        <v>66107.63</v>
      </c>
      <c r="J154" s="11"/>
      <c r="K154" s="10"/>
      <c r="M154" s="14"/>
    </row>
    <row r="155" spans="1:16" outlineLevel="2">
      <c r="A155" s="10">
        <f t="shared" si="7"/>
        <v>151</v>
      </c>
      <c r="B155" s="10" t="s">
        <v>235</v>
      </c>
      <c r="C155" s="16" t="s">
        <v>289</v>
      </c>
      <c r="D155" s="11" t="s">
        <v>290</v>
      </c>
      <c r="E155" s="12">
        <v>1347433.28</v>
      </c>
      <c r="F155" s="12">
        <v>-351322.52</v>
      </c>
      <c r="G155" s="12">
        <v>0</v>
      </c>
      <c r="I155" s="13">
        <f t="shared" si="6"/>
        <v>996110.76</v>
      </c>
      <c r="J155" s="11"/>
      <c r="K155" s="10"/>
      <c r="M155" s="14"/>
    </row>
    <row r="156" spans="1:16" outlineLevel="2">
      <c r="A156" s="10">
        <f t="shared" si="7"/>
        <v>152</v>
      </c>
      <c r="B156" s="10" t="s">
        <v>235</v>
      </c>
      <c r="C156" s="16" t="s">
        <v>291</v>
      </c>
      <c r="D156" s="11" t="s">
        <v>292</v>
      </c>
      <c r="E156" s="12">
        <v>6878146.0300000003</v>
      </c>
      <c r="F156" s="12">
        <v>-1197121.81</v>
      </c>
      <c r="G156" s="12">
        <v>0</v>
      </c>
      <c r="I156" s="13">
        <f t="shared" si="6"/>
        <v>5681024.2200000007</v>
      </c>
      <c r="J156" s="11"/>
      <c r="K156" s="10"/>
      <c r="M156" s="14"/>
    </row>
    <row r="157" spans="1:16" outlineLevel="2">
      <c r="A157" s="10">
        <f t="shared" si="7"/>
        <v>153</v>
      </c>
      <c r="B157" s="10" t="s">
        <v>235</v>
      </c>
      <c r="C157" s="16" t="s">
        <v>293</v>
      </c>
      <c r="D157" s="11" t="s">
        <v>294</v>
      </c>
      <c r="E157" s="12">
        <v>2099906.66</v>
      </c>
      <c r="F157" s="12">
        <v>-17146.990000000002</v>
      </c>
      <c r="G157" s="12">
        <v>0</v>
      </c>
      <c r="I157" s="13">
        <f t="shared" si="6"/>
        <v>2082759.6700000002</v>
      </c>
      <c r="J157" s="11"/>
      <c r="K157" s="10"/>
      <c r="M157" s="14"/>
    </row>
    <row r="158" spans="1:16" outlineLevel="2">
      <c r="A158" s="10">
        <f t="shared" si="7"/>
        <v>154</v>
      </c>
      <c r="B158" s="10" t="s">
        <v>235</v>
      </c>
      <c r="C158" s="16" t="s">
        <v>295</v>
      </c>
      <c r="D158" s="11" t="s">
        <v>296</v>
      </c>
      <c r="E158" s="12">
        <v>579.42999999999995</v>
      </c>
      <c r="F158" s="12">
        <v>-579</v>
      </c>
      <c r="G158" s="12">
        <v>0</v>
      </c>
      <c r="I158" s="13">
        <f t="shared" si="6"/>
        <v>0.42999999999994998</v>
      </c>
      <c r="J158" s="11"/>
      <c r="K158" s="10"/>
      <c r="M158" s="14"/>
    </row>
    <row r="159" spans="1:16" outlineLevel="2">
      <c r="A159" s="10">
        <f t="shared" si="7"/>
        <v>155</v>
      </c>
      <c r="B159" s="10" t="s">
        <v>235</v>
      </c>
      <c r="C159" s="16" t="s">
        <v>297</v>
      </c>
      <c r="D159" s="11" t="s">
        <v>298</v>
      </c>
      <c r="E159" s="12">
        <v>3507128.62</v>
      </c>
      <c r="F159" s="12">
        <v>-41652.43</v>
      </c>
      <c r="G159" s="12">
        <v>0</v>
      </c>
      <c r="I159" s="13">
        <f t="shared" si="6"/>
        <v>3465476.19</v>
      </c>
      <c r="J159" s="11"/>
      <c r="K159" s="10"/>
      <c r="M159" s="14"/>
    </row>
    <row r="160" spans="1:16" outlineLevel="2">
      <c r="A160" s="10">
        <f t="shared" si="7"/>
        <v>156</v>
      </c>
      <c r="B160" s="10" t="s">
        <v>235</v>
      </c>
      <c r="C160" s="16" t="s">
        <v>299</v>
      </c>
      <c r="D160" s="11" t="s">
        <v>300</v>
      </c>
      <c r="E160" s="12">
        <v>749767.78</v>
      </c>
      <c r="F160" s="12">
        <v>-247423.37</v>
      </c>
      <c r="G160" s="12">
        <v>0</v>
      </c>
      <c r="I160" s="13">
        <f t="shared" si="6"/>
        <v>502344.41000000003</v>
      </c>
      <c r="K160" s="10"/>
      <c r="M160" s="14"/>
    </row>
    <row r="161" spans="1:13" outlineLevel="2">
      <c r="A161" s="10">
        <f t="shared" si="7"/>
        <v>157</v>
      </c>
      <c r="B161" s="10" t="s">
        <v>235</v>
      </c>
      <c r="C161" s="16" t="s">
        <v>301</v>
      </c>
      <c r="D161" s="11" t="s">
        <v>302</v>
      </c>
      <c r="E161" s="12">
        <v>5530495.0199999996</v>
      </c>
      <c r="F161" s="12">
        <v>-164228.81</v>
      </c>
      <c r="G161" s="12">
        <v>0</v>
      </c>
      <c r="I161" s="13">
        <f t="shared" ref="I161:I243" si="8">SUM(E161:G161)</f>
        <v>5366266.21</v>
      </c>
      <c r="J161" s="11"/>
      <c r="K161" s="10"/>
      <c r="M161" s="14"/>
    </row>
    <row r="162" spans="1:13" outlineLevel="2">
      <c r="A162" s="10">
        <f t="shared" si="7"/>
        <v>158</v>
      </c>
      <c r="B162" s="10" t="s">
        <v>235</v>
      </c>
      <c r="C162" s="16" t="s">
        <v>303</v>
      </c>
      <c r="D162" s="11" t="s">
        <v>304</v>
      </c>
      <c r="E162" s="12">
        <v>4296872.84</v>
      </c>
      <c r="F162" s="12">
        <v>0</v>
      </c>
      <c r="G162" s="12">
        <v>0</v>
      </c>
      <c r="I162" s="13">
        <f t="shared" si="8"/>
        <v>4296872.84</v>
      </c>
      <c r="J162" s="11"/>
      <c r="K162" s="10"/>
      <c r="M162" s="14"/>
    </row>
    <row r="163" spans="1:13" ht="12.75" customHeight="1" outlineLevel="2">
      <c r="A163" s="10">
        <f t="shared" si="7"/>
        <v>159</v>
      </c>
      <c r="B163" s="10" t="s">
        <v>235</v>
      </c>
      <c r="C163" s="16" t="s">
        <v>305</v>
      </c>
      <c r="D163" s="11" t="s">
        <v>306</v>
      </c>
      <c r="E163" s="12">
        <v>1270127.44</v>
      </c>
      <c r="F163" s="12">
        <v>-572275.19999999995</v>
      </c>
      <c r="G163" s="12">
        <v>0</v>
      </c>
      <c r="I163" s="13">
        <f t="shared" si="8"/>
        <v>697852.24</v>
      </c>
      <c r="J163" s="11"/>
      <c r="K163" s="10"/>
      <c r="M163" s="14"/>
    </row>
    <row r="164" spans="1:13" outlineLevel="2">
      <c r="A164" s="10">
        <f t="shared" si="7"/>
        <v>160</v>
      </c>
      <c r="B164" s="10" t="s">
        <v>235</v>
      </c>
      <c r="C164" s="16" t="s">
        <v>307</v>
      </c>
      <c r="D164" s="11" t="s">
        <v>308</v>
      </c>
      <c r="E164" s="12">
        <v>27656157.329999998</v>
      </c>
      <c r="F164" s="12">
        <v>0</v>
      </c>
      <c r="G164" s="12">
        <v>0</v>
      </c>
      <c r="I164" s="13">
        <f t="shared" si="8"/>
        <v>27656157.329999998</v>
      </c>
      <c r="J164" s="11"/>
      <c r="K164" s="10"/>
      <c r="M164" s="14"/>
    </row>
    <row r="165" spans="1:13" outlineLevel="2">
      <c r="A165" s="10">
        <f t="shared" si="7"/>
        <v>161</v>
      </c>
      <c r="B165" s="10" t="s">
        <v>235</v>
      </c>
      <c r="C165" s="16" t="s">
        <v>309</v>
      </c>
      <c r="D165" s="11" t="s">
        <v>310</v>
      </c>
      <c r="E165" s="12">
        <v>4266040.32</v>
      </c>
      <c r="F165" s="12">
        <v>-40435</v>
      </c>
      <c r="G165" s="12">
        <v>0</v>
      </c>
      <c r="I165" s="13">
        <f t="shared" si="8"/>
        <v>4225605.32</v>
      </c>
      <c r="J165" s="11"/>
      <c r="K165" s="10"/>
      <c r="M165" s="14"/>
    </row>
    <row r="166" spans="1:13" outlineLevel="2">
      <c r="A166" s="10">
        <f t="shared" si="7"/>
        <v>162</v>
      </c>
      <c r="B166" s="10" t="s">
        <v>235</v>
      </c>
      <c r="C166" s="16" t="s">
        <v>311</v>
      </c>
      <c r="D166" s="11" t="s">
        <v>312</v>
      </c>
      <c r="E166" s="12">
        <v>7744394.29</v>
      </c>
      <c r="F166" s="12">
        <v>-1030789.81</v>
      </c>
      <c r="G166" s="12">
        <v>0</v>
      </c>
      <c r="I166" s="13">
        <f t="shared" si="8"/>
        <v>6713604.4800000004</v>
      </c>
      <c r="J166" s="11"/>
      <c r="K166" s="10"/>
      <c r="M166" s="14"/>
    </row>
    <row r="167" spans="1:13" outlineLevel="2">
      <c r="A167" s="10">
        <f t="shared" si="7"/>
        <v>163</v>
      </c>
      <c r="B167" s="10" t="s">
        <v>235</v>
      </c>
      <c r="C167" s="16" t="s">
        <v>313</v>
      </c>
      <c r="D167" s="11" t="s">
        <v>314</v>
      </c>
      <c r="E167" s="12">
        <v>253710.27</v>
      </c>
      <c r="F167" s="12">
        <v>0</v>
      </c>
      <c r="G167" s="12">
        <v>0</v>
      </c>
      <c r="I167" s="13">
        <f t="shared" si="8"/>
        <v>253710.27</v>
      </c>
      <c r="J167" s="11"/>
      <c r="K167" s="10"/>
      <c r="M167" s="14"/>
    </row>
    <row r="168" spans="1:13" outlineLevel="2">
      <c r="A168" s="10">
        <f t="shared" si="7"/>
        <v>164</v>
      </c>
      <c r="B168" s="10" t="s">
        <v>235</v>
      </c>
      <c r="C168" s="16" t="s">
        <v>315</v>
      </c>
      <c r="D168" s="11" t="s">
        <v>316</v>
      </c>
      <c r="E168" s="12">
        <v>10832303.18</v>
      </c>
      <c r="F168" s="12">
        <v>0</v>
      </c>
      <c r="G168" s="12">
        <v>0</v>
      </c>
      <c r="I168" s="13">
        <f t="shared" si="8"/>
        <v>10832303.18</v>
      </c>
      <c r="K168" s="10"/>
      <c r="M168" s="14"/>
    </row>
    <row r="169" spans="1:13" outlineLevel="2">
      <c r="A169" s="10">
        <f t="shared" si="7"/>
        <v>165</v>
      </c>
      <c r="B169" s="10" t="s">
        <v>235</v>
      </c>
      <c r="C169" s="16" t="s">
        <v>317</v>
      </c>
      <c r="D169" s="11" t="s">
        <v>318</v>
      </c>
      <c r="E169" s="12">
        <v>17698959.530000001</v>
      </c>
      <c r="F169" s="12">
        <v>-163144</v>
      </c>
      <c r="G169" s="12">
        <v>0</v>
      </c>
      <c r="I169" s="13">
        <f t="shared" si="8"/>
        <v>17535815.530000001</v>
      </c>
      <c r="J169" s="11"/>
      <c r="K169" s="10"/>
      <c r="M169" s="14"/>
    </row>
    <row r="170" spans="1:13" outlineLevel="2">
      <c r="A170" s="10">
        <f t="shared" si="7"/>
        <v>166</v>
      </c>
      <c r="B170" s="10" t="s">
        <v>235</v>
      </c>
      <c r="C170" s="16" t="s">
        <v>319</v>
      </c>
      <c r="D170" s="11" t="s">
        <v>320</v>
      </c>
      <c r="E170" s="12">
        <v>1725310.24</v>
      </c>
      <c r="F170" s="12">
        <v>0</v>
      </c>
      <c r="G170" s="12">
        <v>0</v>
      </c>
      <c r="I170" s="13">
        <f t="shared" si="8"/>
        <v>1725310.24</v>
      </c>
      <c r="K170" s="10"/>
      <c r="M170" s="14"/>
    </row>
    <row r="171" spans="1:13" outlineLevel="2">
      <c r="A171" s="10">
        <f t="shared" si="7"/>
        <v>167</v>
      </c>
      <c r="B171" s="10" t="s">
        <v>235</v>
      </c>
      <c r="C171" s="16" t="s">
        <v>321</v>
      </c>
      <c r="D171" s="11" t="s">
        <v>322</v>
      </c>
      <c r="E171" s="12">
        <v>10645252.35</v>
      </c>
      <c r="F171" s="12">
        <v>0</v>
      </c>
      <c r="G171" s="12">
        <v>0</v>
      </c>
      <c r="I171" s="13">
        <f t="shared" si="8"/>
        <v>10645252.35</v>
      </c>
      <c r="K171" s="10"/>
      <c r="M171" s="14"/>
    </row>
    <row r="172" spans="1:13" outlineLevel="2">
      <c r="A172" s="10">
        <f t="shared" si="7"/>
        <v>168</v>
      </c>
      <c r="B172" s="10" t="s">
        <v>235</v>
      </c>
      <c r="C172" s="16" t="s">
        <v>323</v>
      </c>
      <c r="D172" s="11" t="s">
        <v>324</v>
      </c>
      <c r="E172" s="12">
        <v>17791350.989999998</v>
      </c>
      <c r="F172" s="12">
        <v>0</v>
      </c>
      <c r="G172" s="12">
        <v>0</v>
      </c>
      <c r="I172" s="13">
        <f t="shared" si="8"/>
        <v>17791350.989999998</v>
      </c>
      <c r="K172" s="10"/>
      <c r="M172" s="14"/>
    </row>
    <row r="173" spans="1:13" outlineLevel="2">
      <c r="A173" s="10">
        <f t="shared" si="7"/>
        <v>169</v>
      </c>
      <c r="B173" s="10" t="s">
        <v>235</v>
      </c>
      <c r="C173" s="16" t="s">
        <v>2246</v>
      </c>
      <c r="D173" s="11" t="s">
        <v>2255</v>
      </c>
      <c r="E173" s="12">
        <f>11966651.04+253719.57-11966651.04-253719.57</f>
        <v>2.9103830456733704E-10</v>
      </c>
      <c r="F173" s="12">
        <v>0</v>
      </c>
      <c r="G173" s="12">
        <v>0</v>
      </c>
      <c r="I173" s="13">
        <f t="shared" si="8"/>
        <v>2.9103830456733704E-10</v>
      </c>
      <c r="K173" s="10"/>
      <c r="M173" s="14"/>
    </row>
    <row r="174" spans="1:13" ht="12.75" customHeight="1" outlineLevel="2">
      <c r="A174" s="10">
        <f>A173+1</f>
        <v>170</v>
      </c>
      <c r="B174" s="10" t="s">
        <v>235</v>
      </c>
      <c r="C174" s="16" t="s">
        <v>325</v>
      </c>
      <c r="D174" s="11" t="s">
        <v>326</v>
      </c>
      <c r="E174" s="12">
        <v>23855781.239999998</v>
      </c>
      <c r="F174" s="12">
        <v>-2224202.81</v>
      </c>
      <c r="G174" s="12">
        <v>0</v>
      </c>
      <c r="I174" s="13">
        <f t="shared" si="8"/>
        <v>21631578.43</v>
      </c>
      <c r="J174" s="11"/>
      <c r="K174" s="10"/>
      <c r="M174" s="14"/>
    </row>
    <row r="175" spans="1:13" outlineLevel="2">
      <c r="A175" s="10">
        <f t="shared" si="7"/>
        <v>171</v>
      </c>
      <c r="B175" s="10" t="s">
        <v>235</v>
      </c>
      <c r="C175" s="16" t="s">
        <v>327</v>
      </c>
      <c r="D175" s="11" t="s">
        <v>328</v>
      </c>
      <c r="E175" s="12">
        <v>8439044.1799999997</v>
      </c>
      <c r="F175" s="12">
        <v>0</v>
      </c>
      <c r="G175" s="12">
        <v>0</v>
      </c>
      <c r="I175" s="13">
        <f t="shared" si="8"/>
        <v>8439044.1799999997</v>
      </c>
      <c r="K175" s="10"/>
      <c r="M175" s="14"/>
    </row>
    <row r="176" spans="1:13" outlineLevel="2">
      <c r="A176" s="10">
        <f t="shared" si="7"/>
        <v>172</v>
      </c>
      <c r="B176" s="10" t="s">
        <v>235</v>
      </c>
      <c r="C176" s="16" t="s">
        <v>329</v>
      </c>
      <c r="D176" s="11" t="s">
        <v>330</v>
      </c>
      <c r="E176" s="12">
        <v>1510561.05</v>
      </c>
      <c r="F176" s="12">
        <v>-43752</v>
      </c>
      <c r="G176" s="12">
        <v>0</v>
      </c>
      <c r="I176" s="13">
        <f t="shared" si="8"/>
        <v>1466809.05</v>
      </c>
      <c r="J176" s="11"/>
      <c r="K176" s="10"/>
      <c r="M176" s="14"/>
    </row>
    <row r="177" spans="1:13" outlineLevel="2">
      <c r="A177" s="10">
        <f t="shared" si="7"/>
        <v>173</v>
      </c>
      <c r="B177" s="10" t="s">
        <v>235</v>
      </c>
      <c r="C177" s="16" t="s">
        <v>331</v>
      </c>
      <c r="D177" s="11" t="s">
        <v>332</v>
      </c>
      <c r="E177" s="12">
        <v>5578082.3200000003</v>
      </c>
      <c r="F177" s="12">
        <v>-326876.78999999998</v>
      </c>
      <c r="G177" s="12">
        <v>0</v>
      </c>
      <c r="I177" s="13">
        <f t="shared" si="8"/>
        <v>5251205.53</v>
      </c>
      <c r="J177" s="11"/>
      <c r="K177" s="10"/>
      <c r="M177" s="14"/>
    </row>
    <row r="178" spans="1:13" outlineLevel="2">
      <c r="A178" s="10">
        <f t="shared" si="7"/>
        <v>174</v>
      </c>
      <c r="B178" s="10" t="s">
        <v>235</v>
      </c>
      <c r="C178" s="16" t="s">
        <v>2376</v>
      </c>
      <c r="D178" s="11" t="s">
        <v>2377</v>
      </c>
      <c r="E178" s="12">
        <v>9869842</v>
      </c>
      <c r="F178" s="12">
        <v>0</v>
      </c>
      <c r="G178" s="12">
        <v>0</v>
      </c>
      <c r="I178" s="13">
        <f t="shared" si="8"/>
        <v>9869842</v>
      </c>
      <c r="J178" s="11"/>
      <c r="K178" s="10"/>
      <c r="M178" s="14"/>
    </row>
    <row r="179" spans="1:13" outlineLevel="2">
      <c r="A179" s="10">
        <f t="shared" si="7"/>
        <v>175</v>
      </c>
      <c r="B179" s="10" t="s">
        <v>235</v>
      </c>
      <c r="C179" s="16" t="s">
        <v>479</v>
      </c>
      <c r="D179" s="11" t="s">
        <v>480</v>
      </c>
      <c r="E179" s="12">
        <f>82518.71+16015.17</f>
        <v>98533.88</v>
      </c>
      <c r="F179" s="12">
        <v>0</v>
      </c>
      <c r="G179" s="12">
        <v>0</v>
      </c>
      <c r="I179" s="13">
        <f t="shared" si="8"/>
        <v>98533.88</v>
      </c>
      <c r="J179" s="11"/>
      <c r="K179" s="10"/>
      <c r="M179" s="14"/>
    </row>
    <row r="180" spans="1:13" outlineLevel="2">
      <c r="A180" s="10">
        <f t="shared" si="7"/>
        <v>176</v>
      </c>
      <c r="B180" s="10" t="s">
        <v>235</v>
      </c>
      <c r="C180" s="16" t="s">
        <v>333</v>
      </c>
      <c r="D180" s="11" t="s">
        <v>334</v>
      </c>
      <c r="E180" s="12">
        <v>11868241.48</v>
      </c>
      <c r="F180" s="12">
        <v>-62475.4</v>
      </c>
      <c r="G180" s="12">
        <v>0</v>
      </c>
      <c r="I180" s="13">
        <f t="shared" si="8"/>
        <v>11805766.08</v>
      </c>
      <c r="J180" s="11"/>
      <c r="K180" s="10"/>
      <c r="M180" s="14"/>
    </row>
    <row r="181" spans="1:13" outlineLevel="2">
      <c r="A181" s="10">
        <f t="shared" si="7"/>
        <v>177</v>
      </c>
      <c r="B181" s="10" t="s">
        <v>235</v>
      </c>
      <c r="C181" s="16" t="s">
        <v>2247</v>
      </c>
      <c r="D181" s="11" t="s">
        <v>2257</v>
      </c>
      <c r="E181" s="12">
        <f>6841033.8-6841033.8</f>
        <v>0</v>
      </c>
      <c r="F181" s="12">
        <v>0</v>
      </c>
      <c r="G181" s="12">
        <v>0</v>
      </c>
      <c r="I181" s="13">
        <f t="shared" si="8"/>
        <v>0</v>
      </c>
      <c r="J181" s="11"/>
      <c r="K181" s="10"/>
      <c r="M181" s="14"/>
    </row>
    <row r="182" spans="1:13" outlineLevel="2">
      <c r="A182" s="10">
        <f t="shared" si="7"/>
        <v>178</v>
      </c>
      <c r="B182" s="10" t="s">
        <v>235</v>
      </c>
      <c r="C182" s="16" t="s">
        <v>481</v>
      </c>
      <c r="D182" s="11" t="s">
        <v>482</v>
      </c>
      <c r="E182" s="12">
        <v>10832.21</v>
      </c>
      <c r="F182" s="12">
        <v>0</v>
      </c>
      <c r="G182" s="12">
        <v>0</v>
      </c>
      <c r="I182" s="13">
        <f t="shared" si="8"/>
        <v>10832.21</v>
      </c>
      <c r="J182" s="11"/>
      <c r="K182" s="10"/>
      <c r="M182" s="14"/>
    </row>
    <row r="183" spans="1:13" outlineLevel="2">
      <c r="A183" s="10">
        <f t="shared" si="7"/>
        <v>179</v>
      </c>
      <c r="B183" s="10" t="s">
        <v>235</v>
      </c>
      <c r="C183" s="16" t="s">
        <v>335</v>
      </c>
      <c r="D183" s="11" t="s">
        <v>336</v>
      </c>
      <c r="E183" s="12">
        <v>3894019.92</v>
      </c>
      <c r="F183" s="12">
        <v>-143716.45000000001</v>
      </c>
      <c r="G183" s="12">
        <v>0</v>
      </c>
      <c r="I183" s="13">
        <f t="shared" si="8"/>
        <v>3750303.4699999997</v>
      </c>
      <c r="J183" s="11"/>
      <c r="K183" s="10"/>
      <c r="M183" s="14"/>
    </row>
    <row r="184" spans="1:13" outlineLevel="2">
      <c r="A184" s="10">
        <f t="shared" si="7"/>
        <v>180</v>
      </c>
      <c r="B184" s="10" t="s">
        <v>235</v>
      </c>
      <c r="C184" s="16" t="s">
        <v>337</v>
      </c>
      <c r="D184" s="11" t="s">
        <v>338</v>
      </c>
      <c r="E184" s="12">
        <v>11683545.109999999</v>
      </c>
      <c r="F184" s="12">
        <v>-320531.18</v>
      </c>
      <c r="G184" s="12">
        <v>0</v>
      </c>
      <c r="I184" s="13">
        <f t="shared" si="8"/>
        <v>11363013.93</v>
      </c>
      <c r="J184" s="11"/>
      <c r="K184" s="10"/>
      <c r="M184" s="14"/>
    </row>
    <row r="185" spans="1:13" outlineLevel="2">
      <c r="A185" s="10">
        <f t="shared" si="7"/>
        <v>181</v>
      </c>
      <c r="B185" s="10" t="s">
        <v>235</v>
      </c>
      <c r="C185" s="16" t="s">
        <v>339</v>
      </c>
      <c r="D185" s="11" t="s">
        <v>340</v>
      </c>
      <c r="E185" s="12">
        <v>23290587.5</v>
      </c>
      <c r="F185" s="12">
        <v>-1837674</v>
      </c>
      <c r="G185" s="12">
        <v>0</v>
      </c>
      <c r="I185" s="13">
        <f t="shared" si="8"/>
        <v>21452913.5</v>
      </c>
      <c r="J185" s="11"/>
      <c r="K185" s="10"/>
      <c r="M185" s="14"/>
    </row>
    <row r="186" spans="1:13" outlineLevel="2">
      <c r="A186" s="10">
        <f t="shared" si="7"/>
        <v>182</v>
      </c>
      <c r="B186" s="10" t="s">
        <v>235</v>
      </c>
      <c r="C186" s="16" t="s">
        <v>341</v>
      </c>
      <c r="D186" s="11" t="s">
        <v>342</v>
      </c>
      <c r="E186" s="12">
        <v>7092854.1799999997</v>
      </c>
      <c r="F186" s="12">
        <v>-1180480.01</v>
      </c>
      <c r="G186" s="12">
        <v>0</v>
      </c>
      <c r="I186" s="13">
        <f t="shared" si="8"/>
        <v>5912374.1699999999</v>
      </c>
      <c r="J186" s="11"/>
      <c r="K186" s="10"/>
      <c r="M186" s="14"/>
    </row>
    <row r="187" spans="1:13" outlineLevel="2">
      <c r="A187" s="10">
        <f t="shared" si="7"/>
        <v>183</v>
      </c>
      <c r="B187" s="10" t="s">
        <v>235</v>
      </c>
      <c r="C187" s="16" t="s">
        <v>343</v>
      </c>
      <c r="D187" s="11" t="s">
        <v>344</v>
      </c>
      <c r="E187" s="12">
        <v>2861374.78</v>
      </c>
      <c r="F187" s="12">
        <v>-1307837</v>
      </c>
      <c r="G187" s="12">
        <v>0</v>
      </c>
      <c r="I187" s="13">
        <f t="shared" si="8"/>
        <v>1553537.7799999998</v>
      </c>
      <c r="J187" s="11"/>
      <c r="K187" s="10"/>
      <c r="M187" s="14"/>
    </row>
    <row r="188" spans="1:13" outlineLevel="2">
      <c r="A188" s="10">
        <f t="shared" si="7"/>
        <v>184</v>
      </c>
      <c r="B188" s="10" t="s">
        <v>235</v>
      </c>
      <c r="C188" s="16" t="s">
        <v>345</v>
      </c>
      <c r="D188" s="11" t="s">
        <v>346</v>
      </c>
      <c r="E188" s="12">
        <v>3943916.72</v>
      </c>
      <c r="F188" s="12">
        <v>-158721.51</v>
      </c>
      <c r="G188" s="12">
        <v>0</v>
      </c>
      <c r="I188" s="13">
        <f t="shared" si="8"/>
        <v>3785195.21</v>
      </c>
      <c r="J188" s="11"/>
      <c r="K188" s="10"/>
      <c r="M188" s="14"/>
    </row>
    <row r="189" spans="1:13" outlineLevel="2">
      <c r="A189" s="10">
        <f t="shared" si="7"/>
        <v>185</v>
      </c>
      <c r="B189" s="10" t="s">
        <v>235</v>
      </c>
      <c r="C189" s="16" t="s">
        <v>347</v>
      </c>
      <c r="D189" s="11" t="s">
        <v>348</v>
      </c>
      <c r="E189" s="12">
        <v>11108747.65</v>
      </c>
      <c r="F189" s="12">
        <v>0</v>
      </c>
      <c r="G189" s="12">
        <v>0</v>
      </c>
      <c r="I189" s="13">
        <f t="shared" si="8"/>
        <v>11108747.65</v>
      </c>
      <c r="J189" s="11"/>
      <c r="K189" s="10"/>
      <c r="M189" s="14"/>
    </row>
    <row r="190" spans="1:13" outlineLevel="2">
      <c r="A190" s="10">
        <f t="shared" si="7"/>
        <v>186</v>
      </c>
      <c r="B190" s="10" t="s">
        <v>235</v>
      </c>
      <c r="C190" s="16" t="s">
        <v>483</v>
      </c>
      <c r="D190" s="11" t="s">
        <v>484</v>
      </c>
      <c r="E190" s="12">
        <v>29969.23</v>
      </c>
      <c r="F190" s="12">
        <v>0</v>
      </c>
      <c r="I190" s="13">
        <f t="shared" si="8"/>
        <v>29969.23</v>
      </c>
      <c r="J190" s="11"/>
      <c r="K190" s="10"/>
      <c r="M190" s="14"/>
    </row>
    <row r="191" spans="1:13" outlineLevel="2">
      <c r="A191" s="10">
        <f t="shared" si="7"/>
        <v>187</v>
      </c>
      <c r="B191" s="10" t="s">
        <v>235</v>
      </c>
      <c r="C191" s="16" t="s">
        <v>485</v>
      </c>
      <c r="D191" s="11" t="s">
        <v>486</v>
      </c>
      <c r="E191" s="12">
        <v>340848.27</v>
      </c>
      <c r="F191" s="12">
        <v>0</v>
      </c>
      <c r="I191" s="13">
        <f t="shared" si="8"/>
        <v>340848.27</v>
      </c>
      <c r="J191" s="11"/>
      <c r="K191" s="10"/>
      <c r="M191" s="14"/>
    </row>
    <row r="192" spans="1:13" outlineLevel="2">
      <c r="A192" s="10">
        <f t="shared" si="7"/>
        <v>188</v>
      </c>
      <c r="B192" s="10" t="s">
        <v>235</v>
      </c>
      <c r="C192" s="16" t="s">
        <v>349</v>
      </c>
      <c r="D192" s="11" t="s">
        <v>350</v>
      </c>
      <c r="E192" s="12">
        <v>19476</v>
      </c>
      <c r="F192" s="12">
        <v>0</v>
      </c>
      <c r="G192" s="12">
        <v>0</v>
      </c>
      <c r="I192" s="13">
        <f t="shared" si="8"/>
        <v>19476</v>
      </c>
      <c r="K192" s="10"/>
      <c r="M192" s="14"/>
    </row>
    <row r="193" spans="1:13" outlineLevel="2">
      <c r="A193" s="10">
        <f t="shared" si="7"/>
        <v>189</v>
      </c>
      <c r="B193" s="10" t="s">
        <v>235</v>
      </c>
      <c r="C193" s="16" t="s">
        <v>351</v>
      </c>
      <c r="D193" s="11" t="s">
        <v>352</v>
      </c>
      <c r="E193" s="12">
        <v>1829480.7</v>
      </c>
      <c r="F193" s="12">
        <v>-1134119.53</v>
      </c>
      <c r="G193" s="12">
        <v>0</v>
      </c>
      <c r="I193" s="13">
        <f t="shared" si="8"/>
        <v>695361.16999999993</v>
      </c>
      <c r="J193" s="11"/>
      <c r="K193" s="10"/>
      <c r="M193" s="14"/>
    </row>
    <row r="194" spans="1:13" outlineLevel="2">
      <c r="A194" s="10">
        <f t="shared" si="7"/>
        <v>190</v>
      </c>
      <c r="B194" s="10" t="s">
        <v>235</v>
      </c>
      <c r="C194" s="16" t="s">
        <v>353</v>
      </c>
      <c r="D194" s="11" t="s">
        <v>354</v>
      </c>
      <c r="E194" s="12">
        <v>7925435.4699999997</v>
      </c>
      <c r="F194" s="12">
        <v>-593801.27</v>
      </c>
      <c r="G194" s="12">
        <v>0</v>
      </c>
      <c r="I194" s="13">
        <f t="shared" si="8"/>
        <v>7331634.1999999993</v>
      </c>
      <c r="J194" s="11"/>
      <c r="K194" s="10"/>
      <c r="M194" s="14"/>
    </row>
    <row r="195" spans="1:13" outlineLevel="2">
      <c r="A195" s="10">
        <f t="shared" si="7"/>
        <v>191</v>
      </c>
      <c r="B195" s="10" t="s">
        <v>235</v>
      </c>
      <c r="C195" s="16" t="s">
        <v>355</v>
      </c>
      <c r="D195" s="11" t="s">
        <v>356</v>
      </c>
      <c r="E195" s="12">
        <v>838166.05</v>
      </c>
      <c r="F195" s="12">
        <v>-154097</v>
      </c>
      <c r="G195" s="12">
        <v>0</v>
      </c>
      <c r="I195" s="13">
        <f t="shared" si="8"/>
        <v>684069.05</v>
      </c>
      <c r="K195" s="10"/>
      <c r="M195" s="14"/>
    </row>
    <row r="196" spans="1:13" outlineLevel="2">
      <c r="A196" s="10">
        <f t="shared" si="7"/>
        <v>192</v>
      </c>
      <c r="B196" s="10" t="s">
        <v>235</v>
      </c>
      <c r="C196" s="16" t="s">
        <v>357</v>
      </c>
      <c r="D196" s="11" t="s">
        <v>358</v>
      </c>
      <c r="E196" s="12">
        <v>6920614.1399999997</v>
      </c>
      <c r="F196" s="12">
        <v>0</v>
      </c>
      <c r="G196" s="12">
        <v>0</v>
      </c>
      <c r="I196" s="13">
        <f t="shared" si="8"/>
        <v>6920614.1399999997</v>
      </c>
      <c r="K196" s="10"/>
      <c r="M196" s="14"/>
    </row>
    <row r="197" spans="1:13" outlineLevel="2">
      <c r="A197" s="10">
        <f t="shared" si="7"/>
        <v>193</v>
      </c>
      <c r="B197" s="10" t="s">
        <v>235</v>
      </c>
      <c r="C197" s="16" t="s">
        <v>359</v>
      </c>
      <c r="D197" s="11" t="s">
        <v>360</v>
      </c>
      <c r="E197" s="12">
        <v>1895701.8</v>
      </c>
      <c r="F197" s="12">
        <v>0</v>
      </c>
      <c r="G197" s="12">
        <v>0</v>
      </c>
      <c r="I197" s="13">
        <f t="shared" si="8"/>
        <v>1895701.8</v>
      </c>
      <c r="K197" s="10"/>
      <c r="M197" s="14"/>
    </row>
    <row r="198" spans="1:13" outlineLevel="2">
      <c r="A198" s="10">
        <f t="shared" si="7"/>
        <v>194</v>
      </c>
      <c r="B198" s="10" t="s">
        <v>235</v>
      </c>
      <c r="C198" s="16" t="s">
        <v>361</v>
      </c>
      <c r="D198" s="11" t="s">
        <v>362</v>
      </c>
      <c r="E198" s="12">
        <f>305417.9+896681.51</f>
        <v>1202099.4100000001</v>
      </c>
      <c r="F198" s="12">
        <v>0</v>
      </c>
      <c r="G198" s="12">
        <v>0</v>
      </c>
      <c r="I198" s="13">
        <f t="shared" si="8"/>
        <v>1202099.4100000001</v>
      </c>
      <c r="K198" s="10"/>
      <c r="M198" s="14"/>
    </row>
    <row r="199" spans="1:13" outlineLevel="2">
      <c r="A199" s="10">
        <f t="shared" si="7"/>
        <v>195</v>
      </c>
      <c r="B199" s="10" t="s">
        <v>235</v>
      </c>
      <c r="C199" s="16" t="s">
        <v>2272</v>
      </c>
      <c r="D199" s="11" t="s">
        <v>2271</v>
      </c>
      <c r="E199" s="12">
        <v>5351152.01</v>
      </c>
      <c r="F199" s="12">
        <v>0</v>
      </c>
      <c r="G199" s="12">
        <v>0</v>
      </c>
      <c r="I199" s="13">
        <f t="shared" si="8"/>
        <v>5351152.01</v>
      </c>
      <c r="K199" s="10"/>
      <c r="M199" s="14"/>
    </row>
    <row r="200" spans="1:13" outlineLevel="2">
      <c r="A200" s="10">
        <f t="shared" si="7"/>
        <v>196</v>
      </c>
      <c r="B200" s="10" t="s">
        <v>235</v>
      </c>
      <c r="C200" s="16" t="s">
        <v>363</v>
      </c>
      <c r="D200" s="11" t="s">
        <v>364</v>
      </c>
      <c r="E200" s="12">
        <v>3473709.71</v>
      </c>
      <c r="F200" s="12">
        <v>-586992</v>
      </c>
      <c r="G200" s="12">
        <v>0</v>
      </c>
      <c r="I200" s="13">
        <f t="shared" si="8"/>
        <v>2886717.71</v>
      </c>
      <c r="J200" s="11"/>
      <c r="K200" s="10"/>
      <c r="M200" s="14"/>
    </row>
    <row r="201" spans="1:13" outlineLevel="2">
      <c r="A201" s="10">
        <f t="shared" si="7"/>
        <v>197</v>
      </c>
      <c r="B201" s="10" t="s">
        <v>235</v>
      </c>
      <c r="C201" s="16" t="s">
        <v>365</v>
      </c>
      <c r="D201" s="11" t="s">
        <v>366</v>
      </c>
      <c r="E201" s="12">
        <v>7254341.0700000003</v>
      </c>
      <c r="F201" s="12">
        <v>-1095435.3600000001</v>
      </c>
      <c r="G201" s="12">
        <v>0</v>
      </c>
      <c r="I201" s="13">
        <f t="shared" si="8"/>
        <v>6158905.71</v>
      </c>
      <c r="K201" s="10"/>
      <c r="M201" s="14"/>
    </row>
    <row r="202" spans="1:13" outlineLevel="2">
      <c r="A202" s="10">
        <f t="shared" si="7"/>
        <v>198</v>
      </c>
      <c r="B202" s="10" t="s">
        <v>235</v>
      </c>
      <c r="C202" s="16" t="s">
        <v>367</v>
      </c>
      <c r="D202" s="11" t="s">
        <v>368</v>
      </c>
      <c r="E202" s="12">
        <v>2030823.76</v>
      </c>
      <c r="F202" s="12">
        <v>-139236</v>
      </c>
      <c r="G202" s="12">
        <v>0</v>
      </c>
      <c r="I202" s="13">
        <f t="shared" si="8"/>
        <v>1891587.76</v>
      </c>
      <c r="J202" s="11"/>
      <c r="K202" s="10"/>
      <c r="M202" s="14"/>
    </row>
    <row r="203" spans="1:13" outlineLevel="2">
      <c r="A203" s="10">
        <f t="shared" si="7"/>
        <v>199</v>
      </c>
      <c r="B203" s="10" t="s">
        <v>235</v>
      </c>
      <c r="C203" s="16" t="s">
        <v>487</v>
      </c>
      <c r="D203" s="11" t="s">
        <v>488</v>
      </c>
      <c r="E203" s="12">
        <v>72367.83</v>
      </c>
      <c r="F203" s="12">
        <v>-72368</v>
      </c>
      <c r="G203" s="12">
        <v>0</v>
      </c>
      <c r="I203" s="13">
        <f t="shared" si="8"/>
        <v>-0.16999999999825377</v>
      </c>
      <c r="J203" s="11"/>
      <c r="K203" s="10"/>
      <c r="M203" s="14"/>
    </row>
    <row r="204" spans="1:13" outlineLevel="2">
      <c r="A204" s="10">
        <f t="shared" si="7"/>
        <v>200</v>
      </c>
      <c r="B204" s="10" t="s">
        <v>235</v>
      </c>
      <c r="C204" s="16" t="s">
        <v>369</v>
      </c>
      <c r="D204" s="11" t="s">
        <v>370</v>
      </c>
      <c r="E204" s="12">
        <v>1944816.97</v>
      </c>
      <c r="F204" s="12">
        <v>-33744</v>
      </c>
      <c r="G204" s="12">
        <v>0</v>
      </c>
      <c r="I204" s="13">
        <f t="shared" si="8"/>
        <v>1911072.97</v>
      </c>
      <c r="J204" s="11"/>
      <c r="K204" s="10"/>
      <c r="M204" s="14"/>
    </row>
    <row r="205" spans="1:13" ht="13.5" customHeight="1" outlineLevel="2">
      <c r="A205" s="10">
        <f t="shared" si="7"/>
        <v>201</v>
      </c>
      <c r="B205" s="10" t="s">
        <v>235</v>
      </c>
      <c r="C205" s="16" t="s">
        <v>371</v>
      </c>
      <c r="D205" s="11" t="s">
        <v>372</v>
      </c>
      <c r="E205" s="12">
        <v>18333139.199999999</v>
      </c>
      <c r="F205" s="12">
        <v>0</v>
      </c>
      <c r="G205" s="12">
        <v>0</v>
      </c>
      <c r="I205" s="13">
        <f t="shared" si="8"/>
        <v>18333139.199999999</v>
      </c>
      <c r="K205" s="10"/>
      <c r="M205" s="14"/>
    </row>
    <row r="206" spans="1:13" outlineLevel="2">
      <c r="A206" s="10">
        <f t="shared" si="7"/>
        <v>202</v>
      </c>
      <c r="B206" s="10" t="s">
        <v>235</v>
      </c>
      <c r="C206" s="16" t="s">
        <v>373</v>
      </c>
      <c r="D206" s="11" t="s">
        <v>374</v>
      </c>
      <c r="E206" s="12">
        <v>1152964.03</v>
      </c>
      <c r="F206" s="12">
        <v>-287496.89</v>
      </c>
      <c r="G206" s="12">
        <v>0</v>
      </c>
      <c r="I206" s="13">
        <f t="shared" si="8"/>
        <v>865467.14</v>
      </c>
      <c r="J206" s="11"/>
      <c r="K206" s="10"/>
      <c r="M206" s="14"/>
    </row>
    <row r="207" spans="1:13" outlineLevel="2">
      <c r="A207" s="10">
        <f t="shared" si="7"/>
        <v>203</v>
      </c>
      <c r="B207" s="10" t="s">
        <v>235</v>
      </c>
      <c r="C207" s="16" t="s">
        <v>375</v>
      </c>
      <c r="D207" s="11" t="s">
        <v>376</v>
      </c>
      <c r="E207" s="12">
        <v>3242234.29</v>
      </c>
      <c r="F207" s="12">
        <v>-58595.199999999997</v>
      </c>
      <c r="G207" s="12">
        <v>0</v>
      </c>
      <c r="I207" s="13">
        <f t="shared" si="8"/>
        <v>3183639.09</v>
      </c>
      <c r="J207" s="11"/>
      <c r="K207" s="10"/>
      <c r="M207" s="14"/>
    </row>
    <row r="208" spans="1:13" outlineLevel="2">
      <c r="A208" s="10">
        <f t="shared" si="7"/>
        <v>204</v>
      </c>
      <c r="B208" s="10" t="s">
        <v>235</v>
      </c>
      <c r="C208" s="16" t="s">
        <v>489</v>
      </c>
      <c r="D208" s="11" t="s">
        <v>490</v>
      </c>
      <c r="E208" s="12">
        <v>180660.37</v>
      </c>
      <c r="F208" s="12">
        <v>0</v>
      </c>
      <c r="G208" s="12">
        <v>0</v>
      </c>
      <c r="I208" s="13">
        <f t="shared" si="8"/>
        <v>180660.37</v>
      </c>
      <c r="J208" s="11"/>
      <c r="K208" s="10"/>
      <c r="M208" s="14"/>
    </row>
    <row r="209" spans="1:13" outlineLevel="2">
      <c r="A209" s="10">
        <f t="shared" si="7"/>
        <v>205</v>
      </c>
      <c r="B209" s="10" t="s">
        <v>235</v>
      </c>
      <c r="C209" s="16" t="s">
        <v>491</v>
      </c>
      <c r="D209" s="11" t="s">
        <v>492</v>
      </c>
      <c r="E209" s="12">
        <v>890606.75</v>
      </c>
      <c r="F209" s="12">
        <v>-108484.95</v>
      </c>
      <c r="G209" s="12">
        <v>0</v>
      </c>
      <c r="I209" s="13">
        <f t="shared" si="8"/>
        <v>782121.8</v>
      </c>
      <c r="J209" s="11"/>
      <c r="K209" s="10"/>
      <c r="M209" s="14"/>
    </row>
    <row r="210" spans="1:13" outlineLevel="2">
      <c r="A210" s="10">
        <f t="shared" si="7"/>
        <v>206</v>
      </c>
      <c r="B210" s="10" t="s">
        <v>235</v>
      </c>
      <c r="C210" s="16" t="s">
        <v>377</v>
      </c>
      <c r="D210" s="11" t="s">
        <v>378</v>
      </c>
      <c r="E210" s="12">
        <v>2037147.6</v>
      </c>
      <c r="F210" s="12">
        <v>-209290</v>
      </c>
      <c r="G210" s="12">
        <v>0</v>
      </c>
      <c r="I210" s="13">
        <f t="shared" si="8"/>
        <v>1827857.6</v>
      </c>
      <c r="J210" s="11"/>
      <c r="K210" s="10"/>
      <c r="M210" s="14"/>
    </row>
    <row r="211" spans="1:13" outlineLevel="2">
      <c r="A211" s="10">
        <f t="shared" si="7"/>
        <v>207</v>
      </c>
      <c r="B211" s="10" t="s">
        <v>235</v>
      </c>
      <c r="C211" s="16" t="s">
        <v>379</v>
      </c>
      <c r="D211" s="11" t="s">
        <v>380</v>
      </c>
      <c r="E211" s="12">
        <v>4284663.8099999996</v>
      </c>
      <c r="F211" s="12">
        <v>-699890</v>
      </c>
      <c r="G211" s="12">
        <v>0</v>
      </c>
      <c r="I211" s="13">
        <f t="shared" si="8"/>
        <v>3584773.8099999996</v>
      </c>
      <c r="J211" s="11"/>
      <c r="K211" s="10"/>
      <c r="M211" s="14"/>
    </row>
    <row r="212" spans="1:13" outlineLevel="2">
      <c r="A212" s="10">
        <f t="shared" si="7"/>
        <v>208</v>
      </c>
      <c r="B212" s="10" t="s">
        <v>235</v>
      </c>
      <c r="C212" s="16" t="s">
        <v>493</v>
      </c>
      <c r="D212" s="11" t="s">
        <v>494</v>
      </c>
      <c r="E212" s="12">
        <v>992414.68</v>
      </c>
      <c r="F212" s="12">
        <v>-101191.22</v>
      </c>
      <c r="G212" s="12">
        <v>0</v>
      </c>
      <c r="I212" s="13">
        <f t="shared" si="8"/>
        <v>891223.46000000008</v>
      </c>
      <c r="J212" s="11"/>
      <c r="K212" s="10"/>
      <c r="M212" s="14"/>
    </row>
    <row r="213" spans="1:13" outlineLevel="2">
      <c r="A213" s="10">
        <f t="shared" si="7"/>
        <v>209</v>
      </c>
      <c r="B213" s="10" t="s">
        <v>235</v>
      </c>
      <c r="C213" s="16" t="s">
        <v>381</v>
      </c>
      <c r="D213" s="11" t="s">
        <v>382</v>
      </c>
      <c r="E213" s="12">
        <v>250628.78</v>
      </c>
      <c r="F213" s="12">
        <v>-250629</v>
      </c>
      <c r="G213" s="12">
        <v>0</v>
      </c>
      <c r="I213" s="13">
        <f t="shared" si="8"/>
        <v>-0.22000000000116415</v>
      </c>
      <c r="J213" s="11"/>
      <c r="K213" s="10"/>
      <c r="M213" s="14"/>
    </row>
    <row r="214" spans="1:13" outlineLevel="2">
      <c r="A214" s="10">
        <f t="shared" si="7"/>
        <v>210</v>
      </c>
      <c r="B214" s="10" t="s">
        <v>235</v>
      </c>
      <c r="C214" s="16" t="s">
        <v>383</v>
      </c>
      <c r="D214" s="11" t="s">
        <v>384</v>
      </c>
      <c r="E214" s="12">
        <f>5739050.59</f>
        <v>5739050.5899999999</v>
      </c>
      <c r="F214" s="12">
        <v>-556793.17000000004</v>
      </c>
      <c r="G214" s="12">
        <v>0</v>
      </c>
      <c r="I214" s="13">
        <f t="shared" si="8"/>
        <v>5182257.42</v>
      </c>
      <c r="J214" s="11"/>
      <c r="K214" s="10"/>
      <c r="M214" s="14"/>
    </row>
    <row r="215" spans="1:13" outlineLevel="2">
      <c r="A215" s="10">
        <f t="shared" si="7"/>
        <v>211</v>
      </c>
      <c r="B215" s="10" t="s">
        <v>235</v>
      </c>
      <c r="C215" s="16" t="s">
        <v>385</v>
      </c>
      <c r="D215" s="11" t="s">
        <v>386</v>
      </c>
      <c r="E215" s="12">
        <v>1733527.61</v>
      </c>
      <c r="F215" s="12">
        <v>-1733528</v>
      </c>
      <c r="G215" s="12">
        <v>0</v>
      </c>
      <c r="I215" s="13">
        <f t="shared" si="8"/>
        <v>-0.38999999989755452</v>
      </c>
      <c r="K215" s="10"/>
      <c r="M215" s="14"/>
    </row>
    <row r="216" spans="1:13" outlineLevel="2">
      <c r="A216" s="10">
        <f t="shared" si="7"/>
        <v>212</v>
      </c>
      <c r="B216" s="10" t="s">
        <v>235</v>
      </c>
      <c r="C216" s="16" t="s">
        <v>387</v>
      </c>
      <c r="D216" s="11" t="s">
        <v>388</v>
      </c>
      <c r="E216" s="12">
        <v>623512.97</v>
      </c>
      <c r="F216" s="12">
        <v>0</v>
      </c>
      <c r="G216" s="12">
        <v>0</v>
      </c>
      <c r="I216" s="13">
        <f t="shared" si="8"/>
        <v>623512.97</v>
      </c>
      <c r="K216" s="10"/>
      <c r="M216" s="14"/>
    </row>
    <row r="217" spans="1:13" outlineLevel="2">
      <c r="A217" s="10">
        <f t="shared" si="7"/>
        <v>213</v>
      </c>
      <c r="B217" s="10" t="s">
        <v>235</v>
      </c>
      <c r="C217" s="16" t="s">
        <v>389</v>
      </c>
      <c r="D217" s="11" t="s">
        <v>390</v>
      </c>
      <c r="E217" s="12">
        <v>3193683.23</v>
      </c>
      <c r="F217" s="12">
        <v>-1380449</v>
      </c>
      <c r="G217" s="12">
        <v>0</v>
      </c>
      <c r="I217" s="13">
        <f t="shared" si="8"/>
        <v>1813234.23</v>
      </c>
      <c r="J217" s="11"/>
      <c r="K217" s="10"/>
      <c r="M217" s="14"/>
    </row>
    <row r="218" spans="1:13" outlineLevel="2">
      <c r="A218" s="10">
        <f t="shared" si="7"/>
        <v>214</v>
      </c>
      <c r="B218" s="10" t="s">
        <v>235</v>
      </c>
      <c r="C218" s="16" t="s">
        <v>391</v>
      </c>
      <c r="D218" s="11" t="s">
        <v>392</v>
      </c>
      <c r="E218" s="12">
        <v>8722780.4299999997</v>
      </c>
      <c r="F218" s="12">
        <v>-570711.76</v>
      </c>
      <c r="G218" s="12">
        <v>0</v>
      </c>
      <c r="I218" s="13">
        <f t="shared" si="8"/>
        <v>8152068.6699999999</v>
      </c>
      <c r="J218" s="11"/>
      <c r="K218" s="10"/>
      <c r="M218" s="14"/>
    </row>
    <row r="219" spans="1:13" outlineLevel="2">
      <c r="A219" s="10">
        <f t="shared" si="7"/>
        <v>215</v>
      </c>
      <c r="B219" s="10" t="s">
        <v>235</v>
      </c>
      <c r="C219" s="16" t="s">
        <v>393</v>
      </c>
      <c r="D219" s="11" t="s">
        <v>394</v>
      </c>
      <c r="E219" s="12">
        <v>74402.89</v>
      </c>
      <c r="F219" s="12">
        <v>0</v>
      </c>
      <c r="G219" s="12">
        <v>0</v>
      </c>
      <c r="I219" s="13">
        <f t="shared" si="8"/>
        <v>74402.89</v>
      </c>
      <c r="K219" s="10"/>
      <c r="M219" s="14"/>
    </row>
    <row r="220" spans="1:13" outlineLevel="2">
      <c r="A220" s="10">
        <f t="shared" si="7"/>
        <v>216</v>
      </c>
      <c r="B220" s="10" t="s">
        <v>235</v>
      </c>
      <c r="C220" s="16" t="s">
        <v>395</v>
      </c>
      <c r="D220" s="11" t="s">
        <v>396</v>
      </c>
      <c r="E220" s="12">
        <v>861699.29</v>
      </c>
      <c r="F220" s="12">
        <v>-861699</v>
      </c>
      <c r="G220" s="12">
        <v>0</v>
      </c>
      <c r="I220" s="13">
        <f t="shared" si="8"/>
        <v>0.2900000000372529</v>
      </c>
      <c r="J220" s="11"/>
      <c r="K220" s="10"/>
      <c r="M220" s="14"/>
    </row>
    <row r="221" spans="1:13" outlineLevel="2">
      <c r="A221" s="10">
        <f>A220+1</f>
        <v>217</v>
      </c>
      <c r="B221" s="10" t="s">
        <v>235</v>
      </c>
      <c r="C221" s="16" t="s">
        <v>397</v>
      </c>
      <c r="D221" s="11" t="s">
        <v>398</v>
      </c>
      <c r="E221" s="12">
        <v>5490901.8799999999</v>
      </c>
      <c r="F221" s="12">
        <v>-169696</v>
      </c>
      <c r="G221" s="12">
        <v>0</v>
      </c>
      <c r="I221" s="13">
        <f t="shared" si="8"/>
        <v>5321205.88</v>
      </c>
      <c r="J221" s="11"/>
      <c r="K221" s="10"/>
      <c r="M221" s="14"/>
    </row>
    <row r="222" spans="1:13" outlineLevel="2">
      <c r="A222" s="10">
        <f t="shared" si="7"/>
        <v>218</v>
      </c>
      <c r="B222" s="10" t="s">
        <v>235</v>
      </c>
      <c r="C222" s="16" t="s">
        <v>495</v>
      </c>
      <c r="D222" s="11" t="s">
        <v>496</v>
      </c>
      <c r="E222" s="12">
        <v>22102.23</v>
      </c>
      <c r="F222" s="12">
        <v>0</v>
      </c>
      <c r="G222" s="12">
        <v>0</v>
      </c>
      <c r="I222" s="13">
        <f t="shared" si="8"/>
        <v>22102.23</v>
      </c>
      <c r="J222" s="11"/>
      <c r="K222" s="10"/>
      <c r="M222" s="14"/>
    </row>
    <row r="223" spans="1:13" outlineLevel="2">
      <c r="A223" s="10">
        <f t="shared" ref="A223:A274" si="9">A222+1</f>
        <v>219</v>
      </c>
      <c r="B223" s="10" t="s">
        <v>235</v>
      </c>
      <c r="C223" s="16" t="s">
        <v>399</v>
      </c>
      <c r="D223" s="11" t="s">
        <v>400</v>
      </c>
      <c r="E223" s="12">
        <v>13019488.130000001</v>
      </c>
      <c r="F223" s="12">
        <v>0</v>
      </c>
      <c r="G223" s="12">
        <v>0</v>
      </c>
      <c r="I223" s="13">
        <f t="shared" si="8"/>
        <v>13019488.130000001</v>
      </c>
      <c r="K223" s="10"/>
      <c r="M223" s="14"/>
    </row>
    <row r="224" spans="1:13" outlineLevel="2">
      <c r="A224" s="10">
        <f t="shared" si="9"/>
        <v>220</v>
      </c>
      <c r="B224" s="10" t="s">
        <v>235</v>
      </c>
      <c r="C224" s="16" t="s">
        <v>401</v>
      </c>
      <c r="D224" s="11" t="s">
        <v>402</v>
      </c>
      <c r="E224" s="12">
        <v>17196540.600000001</v>
      </c>
      <c r="F224" s="12">
        <v>0</v>
      </c>
      <c r="G224" s="12">
        <v>0</v>
      </c>
      <c r="I224" s="13">
        <f t="shared" si="8"/>
        <v>17196540.600000001</v>
      </c>
      <c r="K224" s="10"/>
      <c r="M224" s="14"/>
    </row>
    <row r="225" spans="1:13" outlineLevel="2">
      <c r="A225" s="10">
        <f t="shared" si="9"/>
        <v>221</v>
      </c>
      <c r="B225" s="10" t="s">
        <v>235</v>
      </c>
      <c r="C225" s="16" t="s">
        <v>403</v>
      </c>
      <c r="D225" s="11" t="s">
        <v>404</v>
      </c>
      <c r="E225" s="12">
        <v>14952320.199999999</v>
      </c>
      <c r="F225" s="12">
        <v>-516513.16</v>
      </c>
      <c r="G225" s="12">
        <v>0</v>
      </c>
      <c r="I225" s="13">
        <f t="shared" si="8"/>
        <v>14435807.039999999</v>
      </c>
      <c r="J225" s="11"/>
      <c r="K225" s="10"/>
      <c r="M225" s="14"/>
    </row>
    <row r="226" spans="1:13" outlineLevel="2">
      <c r="A226" s="10">
        <f t="shared" si="9"/>
        <v>222</v>
      </c>
      <c r="B226" s="10" t="s">
        <v>235</v>
      </c>
      <c r="C226" s="16" t="s">
        <v>405</v>
      </c>
      <c r="D226" s="11" t="s">
        <v>406</v>
      </c>
      <c r="E226" s="12">
        <v>8021788.9400000004</v>
      </c>
      <c r="F226" s="12">
        <v>-245264</v>
      </c>
      <c r="G226" s="12">
        <v>0</v>
      </c>
      <c r="I226" s="13">
        <f t="shared" si="8"/>
        <v>7776524.9400000004</v>
      </c>
      <c r="K226" s="10"/>
      <c r="M226" s="14"/>
    </row>
    <row r="227" spans="1:13" outlineLevel="2">
      <c r="A227" s="10">
        <f t="shared" si="9"/>
        <v>223</v>
      </c>
      <c r="B227" s="10" t="s">
        <v>235</v>
      </c>
      <c r="C227" s="16" t="s">
        <v>497</v>
      </c>
      <c r="D227" s="11" t="s">
        <v>498</v>
      </c>
      <c r="E227" s="12">
        <v>49735.05</v>
      </c>
      <c r="F227" s="12">
        <v>0</v>
      </c>
      <c r="G227" s="12">
        <v>0</v>
      </c>
      <c r="I227" s="13">
        <f t="shared" si="8"/>
        <v>49735.05</v>
      </c>
      <c r="K227" s="10"/>
      <c r="M227" s="14"/>
    </row>
    <row r="228" spans="1:13" outlineLevel="2">
      <c r="A228" s="10">
        <f t="shared" si="9"/>
        <v>224</v>
      </c>
      <c r="B228" s="10" t="s">
        <v>235</v>
      </c>
      <c r="C228" s="16" t="s">
        <v>407</v>
      </c>
      <c r="D228" s="11" t="s">
        <v>408</v>
      </c>
      <c r="E228" s="12">
        <v>74427.83</v>
      </c>
      <c r="F228" s="12">
        <v>0</v>
      </c>
      <c r="G228" s="12">
        <v>0</v>
      </c>
      <c r="I228" s="13">
        <f t="shared" si="8"/>
        <v>74427.83</v>
      </c>
      <c r="K228" s="10"/>
      <c r="M228" s="14"/>
    </row>
    <row r="229" spans="1:13" outlineLevel="2">
      <c r="A229" s="10">
        <f t="shared" si="9"/>
        <v>225</v>
      </c>
      <c r="B229" s="10" t="s">
        <v>235</v>
      </c>
      <c r="C229" s="16" t="s">
        <v>409</v>
      </c>
      <c r="D229" s="11" t="s">
        <v>410</v>
      </c>
      <c r="E229" s="12">
        <v>2881761.04</v>
      </c>
      <c r="F229" s="12">
        <v>-373848</v>
      </c>
      <c r="G229" s="12">
        <v>0</v>
      </c>
      <c r="I229" s="13">
        <f t="shared" si="8"/>
        <v>2507913.04</v>
      </c>
      <c r="K229" s="10"/>
      <c r="M229" s="14"/>
    </row>
    <row r="230" spans="1:13" outlineLevel="2">
      <c r="A230" s="10">
        <f t="shared" si="9"/>
        <v>226</v>
      </c>
      <c r="B230" s="10" t="s">
        <v>235</v>
      </c>
      <c r="C230" s="16" t="s">
        <v>499</v>
      </c>
      <c r="D230" s="11" t="s">
        <v>500</v>
      </c>
      <c r="E230" s="12">
        <v>606043.92000000004</v>
      </c>
      <c r="F230" s="12">
        <v>-103120.76</v>
      </c>
      <c r="I230" s="13">
        <f t="shared" si="8"/>
        <v>502923.16000000003</v>
      </c>
      <c r="K230" s="10"/>
      <c r="M230" s="14"/>
    </row>
    <row r="231" spans="1:13" outlineLevel="2">
      <c r="A231" s="10">
        <f t="shared" si="9"/>
        <v>227</v>
      </c>
      <c r="B231" s="10" t="s">
        <v>235</v>
      </c>
      <c r="C231" s="16" t="s">
        <v>501</v>
      </c>
      <c r="D231" s="11" t="s">
        <v>502</v>
      </c>
      <c r="E231" s="12">
        <v>166305.57999999999</v>
      </c>
      <c r="F231" s="12">
        <v>0</v>
      </c>
      <c r="G231" s="12">
        <v>0</v>
      </c>
      <c r="I231" s="13">
        <f t="shared" si="8"/>
        <v>166305.57999999999</v>
      </c>
      <c r="K231" s="10"/>
      <c r="M231" s="14"/>
    </row>
    <row r="232" spans="1:13" outlineLevel="2">
      <c r="A232" s="10">
        <f t="shared" si="9"/>
        <v>228</v>
      </c>
      <c r="B232" s="10" t="s">
        <v>235</v>
      </c>
      <c r="C232" s="16" t="s">
        <v>2378</v>
      </c>
      <c r="D232" s="11" t="s">
        <v>2379</v>
      </c>
      <c r="E232" s="12">
        <v>5187463.4800000004</v>
      </c>
      <c r="F232" s="12">
        <v>0</v>
      </c>
      <c r="G232" s="12">
        <v>0</v>
      </c>
      <c r="I232" s="13">
        <f t="shared" si="8"/>
        <v>5187463.4800000004</v>
      </c>
      <c r="K232" s="10"/>
      <c r="M232" s="14"/>
    </row>
    <row r="233" spans="1:13" outlineLevel="2">
      <c r="A233" s="10">
        <f t="shared" si="9"/>
        <v>229</v>
      </c>
      <c r="B233" s="10" t="s">
        <v>235</v>
      </c>
      <c r="C233" s="16" t="s">
        <v>411</v>
      </c>
      <c r="D233" s="11" t="s">
        <v>412</v>
      </c>
      <c r="E233" s="12">
        <v>948489.72</v>
      </c>
      <c r="F233" s="12">
        <v>-125594.13</v>
      </c>
      <c r="G233" s="12">
        <v>0</v>
      </c>
      <c r="I233" s="13">
        <f t="shared" si="8"/>
        <v>822895.59</v>
      </c>
      <c r="J233" s="11"/>
      <c r="K233" s="10"/>
      <c r="M233" s="14"/>
    </row>
    <row r="234" spans="1:13" outlineLevel="2">
      <c r="A234" s="10">
        <f t="shared" si="9"/>
        <v>230</v>
      </c>
      <c r="B234" s="10" t="s">
        <v>235</v>
      </c>
      <c r="C234" s="16" t="s">
        <v>413</v>
      </c>
      <c r="D234" s="11" t="s">
        <v>414</v>
      </c>
      <c r="E234" s="12">
        <v>12974149.65</v>
      </c>
      <c r="F234" s="12">
        <v>0</v>
      </c>
      <c r="G234" s="12">
        <v>0</v>
      </c>
      <c r="I234" s="13">
        <f t="shared" si="8"/>
        <v>12974149.65</v>
      </c>
      <c r="K234" s="10"/>
      <c r="M234" s="14"/>
    </row>
    <row r="235" spans="1:13" outlineLevel="2">
      <c r="A235" s="10">
        <f t="shared" si="9"/>
        <v>231</v>
      </c>
      <c r="B235" s="10" t="s">
        <v>235</v>
      </c>
      <c r="C235" s="16" t="s">
        <v>505</v>
      </c>
      <c r="D235" s="11" t="s">
        <v>506</v>
      </c>
      <c r="E235" s="12">
        <v>12390930.82</v>
      </c>
      <c r="F235" s="12">
        <v>0</v>
      </c>
      <c r="G235" s="12">
        <v>0</v>
      </c>
      <c r="I235" s="13">
        <f t="shared" si="8"/>
        <v>12390930.82</v>
      </c>
      <c r="K235" s="10"/>
      <c r="M235" s="14"/>
    </row>
    <row r="236" spans="1:13" outlineLevel="2">
      <c r="A236" s="10">
        <f t="shared" si="9"/>
        <v>232</v>
      </c>
      <c r="B236" s="10" t="s">
        <v>235</v>
      </c>
      <c r="C236" s="16" t="s">
        <v>415</v>
      </c>
      <c r="D236" s="11" t="s">
        <v>416</v>
      </c>
      <c r="E236" s="12">
        <v>6819467.9199999999</v>
      </c>
      <c r="F236" s="12">
        <v>-176541.41</v>
      </c>
      <c r="G236" s="12">
        <v>0</v>
      </c>
      <c r="I236" s="13">
        <f t="shared" si="8"/>
        <v>6642926.5099999998</v>
      </c>
      <c r="J236" s="11"/>
      <c r="K236" s="10"/>
      <c r="M236" s="14"/>
    </row>
    <row r="237" spans="1:13" outlineLevel="2">
      <c r="A237" s="10">
        <f t="shared" si="9"/>
        <v>233</v>
      </c>
      <c r="B237" s="10" t="s">
        <v>235</v>
      </c>
      <c r="C237" s="16" t="s">
        <v>417</v>
      </c>
      <c r="D237" s="11" t="s">
        <v>418</v>
      </c>
      <c r="E237" s="12">
        <v>108751.28</v>
      </c>
      <c r="F237" s="12">
        <v>0</v>
      </c>
      <c r="G237" s="12">
        <v>0</v>
      </c>
      <c r="I237" s="13">
        <f t="shared" si="8"/>
        <v>108751.28</v>
      </c>
      <c r="K237" s="10"/>
      <c r="M237" s="14"/>
    </row>
    <row r="238" spans="1:13" outlineLevel="2">
      <c r="A238" s="10">
        <f t="shared" si="9"/>
        <v>234</v>
      </c>
      <c r="B238" s="10" t="s">
        <v>235</v>
      </c>
      <c r="C238" s="16" t="s">
        <v>503</v>
      </c>
      <c r="D238" s="11" t="s">
        <v>504</v>
      </c>
      <c r="E238" s="12">
        <v>232375.26</v>
      </c>
      <c r="F238" s="12">
        <v>0</v>
      </c>
      <c r="G238" s="12">
        <v>0</v>
      </c>
      <c r="I238" s="13">
        <f t="shared" si="8"/>
        <v>232375.26</v>
      </c>
      <c r="K238" s="10"/>
      <c r="M238" s="14"/>
    </row>
    <row r="239" spans="1:13" outlineLevel="2">
      <c r="A239" s="10">
        <f t="shared" si="9"/>
        <v>235</v>
      </c>
      <c r="B239" s="10" t="s">
        <v>235</v>
      </c>
      <c r="C239" s="16" t="s">
        <v>419</v>
      </c>
      <c r="D239" s="11" t="s">
        <v>420</v>
      </c>
      <c r="E239" s="12">
        <v>3206763.26</v>
      </c>
      <c r="F239" s="12">
        <v>0</v>
      </c>
      <c r="G239" s="12">
        <v>0</v>
      </c>
      <c r="I239" s="13">
        <f t="shared" si="8"/>
        <v>3206763.26</v>
      </c>
      <c r="K239" s="10"/>
      <c r="M239" s="14"/>
    </row>
    <row r="240" spans="1:13" outlineLevel="2">
      <c r="A240" s="10">
        <f t="shared" si="9"/>
        <v>236</v>
      </c>
      <c r="B240" s="10" t="s">
        <v>235</v>
      </c>
      <c r="C240" s="16" t="s">
        <v>421</v>
      </c>
      <c r="D240" s="11" t="s">
        <v>422</v>
      </c>
      <c r="E240" s="12">
        <v>1571437.2</v>
      </c>
      <c r="F240" s="12">
        <v>-654299</v>
      </c>
      <c r="G240" s="12">
        <v>0</v>
      </c>
      <c r="I240" s="13">
        <f t="shared" si="8"/>
        <v>917138.2</v>
      </c>
      <c r="J240" s="11"/>
      <c r="K240" s="10"/>
      <c r="M240" s="14"/>
    </row>
    <row r="241" spans="1:13" outlineLevel="2">
      <c r="A241" s="10">
        <f t="shared" si="9"/>
        <v>237</v>
      </c>
      <c r="B241" s="10" t="s">
        <v>235</v>
      </c>
      <c r="C241" s="16" t="s">
        <v>423</v>
      </c>
      <c r="D241" s="11" t="s">
        <v>424</v>
      </c>
      <c r="E241" s="12">
        <v>3453847.29</v>
      </c>
      <c r="F241" s="12">
        <v>-45361</v>
      </c>
      <c r="G241" s="12">
        <v>0</v>
      </c>
      <c r="I241" s="13">
        <f t="shared" si="8"/>
        <v>3408486.29</v>
      </c>
      <c r="J241" s="11"/>
      <c r="K241" s="10"/>
      <c r="M241" s="14"/>
    </row>
    <row r="242" spans="1:13" outlineLevel="2">
      <c r="A242" s="10">
        <f t="shared" si="9"/>
        <v>238</v>
      </c>
      <c r="B242" s="10" t="s">
        <v>235</v>
      </c>
      <c r="C242" s="16" t="s">
        <v>425</v>
      </c>
      <c r="D242" s="11" t="s">
        <v>426</v>
      </c>
      <c r="E242" s="12">
        <v>2075908.82</v>
      </c>
      <c r="F242" s="12">
        <v>-938019.87</v>
      </c>
      <c r="G242" s="12">
        <v>0</v>
      </c>
      <c r="I242" s="13">
        <f t="shared" si="8"/>
        <v>1137888.9500000002</v>
      </c>
      <c r="J242" s="11"/>
      <c r="K242" s="10"/>
      <c r="M242" s="14"/>
    </row>
    <row r="243" spans="1:13" outlineLevel="2">
      <c r="A243" s="10">
        <f t="shared" si="9"/>
        <v>239</v>
      </c>
      <c r="B243" s="10" t="s">
        <v>235</v>
      </c>
      <c r="C243" s="16" t="s">
        <v>427</v>
      </c>
      <c r="D243" s="11" t="s">
        <v>428</v>
      </c>
      <c r="E243" s="12">
        <v>3609306.24</v>
      </c>
      <c r="F243" s="12">
        <v>0</v>
      </c>
      <c r="G243" s="12">
        <v>0</v>
      </c>
      <c r="I243" s="13">
        <f t="shared" si="8"/>
        <v>3609306.24</v>
      </c>
      <c r="K243" s="10"/>
      <c r="M243" s="14"/>
    </row>
    <row r="244" spans="1:13" outlineLevel="2">
      <c r="A244" s="10">
        <f t="shared" si="9"/>
        <v>240</v>
      </c>
      <c r="B244" s="10" t="s">
        <v>235</v>
      </c>
      <c r="C244" s="16" t="s">
        <v>429</v>
      </c>
      <c r="D244" s="11" t="s">
        <v>430</v>
      </c>
      <c r="E244" s="12">
        <v>11778774.810000001</v>
      </c>
      <c r="F244" s="12">
        <v>0</v>
      </c>
      <c r="G244" s="12">
        <v>0</v>
      </c>
      <c r="I244" s="13">
        <f t="shared" ref="I244:I259" si="10">SUM(E244:G244)</f>
        <v>11778774.810000001</v>
      </c>
      <c r="K244" s="10"/>
      <c r="M244" s="14"/>
    </row>
    <row r="245" spans="1:13" outlineLevel="2">
      <c r="A245" s="10">
        <f t="shared" si="9"/>
        <v>241</v>
      </c>
      <c r="B245" s="10" t="s">
        <v>235</v>
      </c>
      <c r="C245" s="16" t="s">
        <v>431</v>
      </c>
      <c r="D245" s="11" t="s">
        <v>432</v>
      </c>
      <c r="E245" s="12">
        <v>16007532.51</v>
      </c>
      <c r="F245" s="12">
        <v>0</v>
      </c>
      <c r="G245" s="12">
        <v>0</v>
      </c>
      <c r="I245" s="13">
        <f t="shared" si="10"/>
        <v>16007532.51</v>
      </c>
      <c r="J245" s="11"/>
      <c r="K245" s="10"/>
      <c r="M245" s="14"/>
    </row>
    <row r="246" spans="1:13" outlineLevel="2">
      <c r="A246" s="10">
        <f t="shared" si="9"/>
        <v>242</v>
      </c>
      <c r="B246" s="10" t="s">
        <v>235</v>
      </c>
      <c r="C246" s="16" t="s">
        <v>433</v>
      </c>
      <c r="D246" s="11" t="s">
        <v>434</v>
      </c>
      <c r="E246" s="12">
        <v>7600293.54</v>
      </c>
      <c r="F246" s="12">
        <v>-108365.37</v>
      </c>
      <c r="G246" s="12">
        <v>0</v>
      </c>
      <c r="I246" s="13">
        <f t="shared" si="10"/>
        <v>7491928.1699999999</v>
      </c>
      <c r="J246" s="11"/>
      <c r="K246" s="10"/>
      <c r="M246" s="14"/>
    </row>
    <row r="247" spans="1:13" outlineLevel="2">
      <c r="A247" s="10">
        <f t="shared" si="9"/>
        <v>243</v>
      </c>
      <c r="B247" s="10" t="s">
        <v>235</v>
      </c>
      <c r="C247" s="16" t="s">
        <v>435</v>
      </c>
      <c r="D247" s="11" t="s">
        <v>436</v>
      </c>
      <c r="E247" s="12">
        <v>5141440.25</v>
      </c>
      <c r="F247" s="12">
        <v>-181849</v>
      </c>
      <c r="G247" s="12">
        <v>0</v>
      </c>
      <c r="I247" s="13">
        <f t="shared" si="10"/>
        <v>4959591.25</v>
      </c>
      <c r="J247" s="11"/>
      <c r="K247" s="10"/>
      <c r="M247" s="14"/>
    </row>
    <row r="248" spans="1:13" outlineLevel="2">
      <c r="A248" s="10">
        <f t="shared" si="9"/>
        <v>244</v>
      </c>
      <c r="B248" s="10" t="s">
        <v>235</v>
      </c>
      <c r="C248" s="16" t="s">
        <v>437</v>
      </c>
      <c r="D248" s="11" t="s">
        <v>438</v>
      </c>
      <c r="E248" s="12">
        <v>40859.629999999997</v>
      </c>
      <c r="F248" s="12">
        <v>0</v>
      </c>
      <c r="G248" s="12">
        <v>0</v>
      </c>
      <c r="I248" s="13">
        <f t="shared" si="10"/>
        <v>40859.629999999997</v>
      </c>
      <c r="K248" s="10"/>
      <c r="M248" s="14"/>
    </row>
    <row r="249" spans="1:13" outlineLevel="2">
      <c r="A249" s="10">
        <f t="shared" si="9"/>
        <v>245</v>
      </c>
      <c r="B249" s="10" t="s">
        <v>235</v>
      </c>
      <c r="C249" s="16" t="s">
        <v>439</v>
      </c>
      <c r="D249" s="11" t="s">
        <v>440</v>
      </c>
      <c r="E249" s="12">
        <v>109910.18</v>
      </c>
      <c r="F249" s="12">
        <v>-54082.99</v>
      </c>
      <c r="G249" s="12">
        <v>0</v>
      </c>
      <c r="I249" s="13">
        <f t="shared" si="10"/>
        <v>55827.189999999995</v>
      </c>
      <c r="J249" s="11"/>
      <c r="K249" s="10"/>
      <c r="M249" s="14"/>
    </row>
    <row r="250" spans="1:13" outlineLevel="2">
      <c r="A250" s="10">
        <f t="shared" si="9"/>
        <v>246</v>
      </c>
      <c r="B250" s="10" t="s">
        <v>235</v>
      </c>
      <c r="C250" s="16" t="s">
        <v>441</v>
      </c>
      <c r="D250" s="11" t="s">
        <v>442</v>
      </c>
      <c r="E250" s="12">
        <v>11047497.42</v>
      </c>
      <c r="F250" s="12">
        <v>0</v>
      </c>
      <c r="G250" s="12">
        <v>0</v>
      </c>
      <c r="I250" s="13">
        <f t="shared" si="10"/>
        <v>11047497.42</v>
      </c>
      <c r="K250" s="10"/>
      <c r="M250" s="14"/>
    </row>
    <row r="251" spans="1:13" outlineLevel="2">
      <c r="A251" s="10">
        <f t="shared" si="9"/>
        <v>247</v>
      </c>
      <c r="B251" s="10" t="s">
        <v>235</v>
      </c>
      <c r="C251" s="16" t="s">
        <v>443</v>
      </c>
      <c r="D251" s="11" t="s">
        <v>444</v>
      </c>
      <c r="E251" s="12">
        <v>831303.68000000005</v>
      </c>
      <c r="F251" s="12">
        <v>-250593.49</v>
      </c>
      <c r="G251" s="12">
        <v>0</v>
      </c>
      <c r="I251" s="13">
        <f t="shared" si="10"/>
        <v>580710.19000000006</v>
      </c>
      <c r="J251" s="11"/>
      <c r="K251" s="10"/>
      <c r="M251" s="14"/>
    </row>
    <row r="252" spans="1:13" outlineLevel="2">
      <c r="A252" s="10">
        <f t="shared" si="9"/>
        <v>248</v>
      </c>
      <c r="B252" s="10" t="s">
        <v>235</v>
      </c>
      <c r="C252" s="16" t="s">
        <v>445</v>
      </c>
      <c r="D252" s="11" t="s">
        <v>446</v>
      </c>
      <c r="E252" s="12">
        <v>15594604.08</v>
      </c>
      <c r="F252" s="12">
        <v>0</v>
      </c>
      <c r="G252" s="12">
        <v>0</v>
      </c>
      <c r="I252" s="13">
        <f t="shared" si="10"/>
        <v>15594604.08</v>
      </c>
      <c r="K252" s="10"/>
      <c r="M252" s="14"/>
    </row>
    <row r="253" spans="1:13" outlineLevel="2">
      <c r="A253" s="10">
        <f t="shared" si="9"/>
        <v>249</v>
      </c>
      <c r="B253" s="10" t="s">
        <v>235</v>
      </c>
      <c r="C253" s="16" t="s">
        <v>447</v>
      </c>
      <c r="D253" s="11" t="s">
        <v>448</v>
      </c>
      <c r="E253" s="12">
        <v>8198986.5800000001</v>
      </c>
      <c r="F253" s="12">
        <v>-97320</v>
      </c>
      <c r="G253" s="12">
        <v>0</v>
      </c>
      <c r="I253" s="13">
        <f t="shared" si="10"/>
        <v>8101666.5800000001</v>
      </c>
      <c r="K253" s="10"/>
      <c r="M253" s="14"/>
    </row>
    <row r="254" spans="1:13" outlineLevel="2">
      <c r="A254" s="10">
        <f t="shared" si="9"/>
        <v>250</v>
      </c>
      <c r="B254" s="10" t="s">
        <v>235</v>
      </c>
      <c r="C254" s="16" t="s">
        <v>449</v>
      </c>
      <c r="D254" s="11" t="s">
        <v>450</v>
      </c>
      <c r="E254" s="12">
        <v>3234614.29</v>
      </c>
      <c r="F254" s="12">
        <v>-101868.59</v>
      </c>
      <c r="G254" s="12">
        <v>0</v>
      </c>
      <c r="I254" s="13">
        <f t="shared" si="10"/>
        <v>3132745.7</v>
      </c>
      <c r="J254" s="11"/>
      <c r="K254" s="10"/>
      <c r="M254" s="14"/>
    </row>
    <row r="255" spans="1:13" outlineLevel="2">
      <c r="A255" s="10">
        <f t="shared" si="9"/>
        <v>251</v>
      </c>
      <c r="B255" s="10" t="s">
        <v>235</v>
      </c>
      <c r="C255" s="16" t="s">
        <v>507</v>
      </c>
      <c r="D255" s="11" t="s">
        <v>508</v>
      </c>
      <c r="E255" s="12">
        <v>183222.22</v>
      </c>
      <c r="F255" s="12">
        <v>0</v>
      </c>
      <c r="G255" s="12">
        <v>0</v>
      </c>
      <c r="I255" s="13">
        <f t="shared" si="10"/>
        <v>183222.22</v>
      </c>
      <c r="J255" s="11"/>
      <c r="K255" s="10"/>
      <c r="M255" s="14"/>
    </row>
    <row r="256" spans="1:13" outlineLevel="2">
      <c r="A256" s="10">
        <f t="shared" si="9"/>
        <v>252</v>
      </c>
      <c r="B256" s="10" t="s">
        <v>235</v>
      </c>
      <c r="C256" s="16" t="s">
        <v>451</v>
      </c>
      <c r="D256" s="11" t="s">
        <v>452</v>
      </c>
      <c r="E256" s="12">
        <v>7181904.5999999996</v>
      </c>
      <c r="F256" s="12">
        <v>-1346899.36</v>
      </c>
      <c r="G256" s="12">
        <v>0</v>
      </c>
      <c r="I256" s="13">
        <f t="shared" si="10"/>
        <v>5835005.2399999993</v>
      </c>
      <c r="J256" s="11"/>
      <c r="K256" s="10"/>
      <c r="M256" s="14"/>
    </row>
    <row r="257" spans="1:13" outlineLevel="2">
      <c r="A257" s="10">
        <f t="shared" si="9"/>
        <v>253</v>
      </c>
      <c r="B257" s="10" t="s">
        <v>235</v>
      </c>
      <c r="C257" s="16" t="s">
        <v>453</v>
      </c>
      <c r="D257" s="11" t="s">
        <v>454</v>
      </c>
      <c r="E257" s="12">
        <v>2775992.03</v>
      </c>
      <c r="F257" s="12">
        <v>-1579680.04</v>
      </c>
      <c r="G257" s="12">
        <v>0</v>
      </c>
      <c r="I257" s="13">
        <f t="shared" si="10"/>
        <v>1196311.9899999998</v>
      </c>
      <c r="J257" s="11"/>
      <c r="K257" s="10"/>
      <c r="M257" s="14"/>
    </row>
    <row r="258" spans="1:13" outlineLevel="2">
      <c r="A258" s="10">
        <f t="shared" si="9"/>
        <v>254</v>
      </c>
      <c r="B258" s="10" t="s">
        <v>235</v>
      </c>
      <c r="C258" s="16" t="s">
        <v>509</v>
      </c>
      <c r="D258" s="11" t="s">
        <v>510</v>
      </c>
      <c r="E258" s="12">
        <v>76395.83</v>
      </c>
      <c r="F258" s="12">
        <v>0</v>
      </c>
      <c r="G258" s="12">
        <v>0</v>
      </c>
      <c r="I258" s="13">
        <f t="shared" si="10"/>
        <v>76395.83</v>
      </c>
      <c r="J258" s="11"/>
      <c r="K258" s="10"/>
      <c r="M258" s="14"/>
    </row>
    <row r="259" spans="1:13" outlineLevel="2">
      <c r="A259" s="10">
        <f t="shared" si="9"/>
        <v>255</v>
      </c>
      <c r="B259" s="10" t="s">
        <v>235</v>
      </c>
      <c r="C259" s="16" t="s">
        <v>455</v>
      </c>
      <c r="D259" s="11" t="s">
        <v>456</v>
      </c>
      <c r="E259" s="12">
        <v>2935</v>
      </c>
      <c r="F259" s="12">
        <v>0</v>
      </c>
      <c r="G259" s="12">
        <v>0</v>
      </c>
      <c r="I259" s="13">
        <f t="shared" si="10"/>
        <v>2935</v>
      </c>
      <c r="J259" s="11"/>
      <c r="K259" s="10"/>
      <c r="M259" s="14"/>
    </row>
    <row r="260" spans="1:13" s="6" customFormat="1" ht="14.4" outlineLevel="1" thickBot="1">
      <c r="A260" s="10">
        <f t="shared" si="9"/>
        <v>256</v>
      </c>
      <c r="B260" s="18" t="s">
        <v>457</v>
      </c>
      <c r="C260" s="19"/>
      <c r="D260" s="20" t="s">
        <v>458</v>
      </c>
      <c r="E260" s="21">
        <f>SUBTOTAL(9,E119:E259)</f>
        <v>690475890.71000004</v>
      </c>
      <c r="F260" s="21">
        <f>SUBTOTAL(9,F119:F259)</f>
        <v>-40020672.939999998</v>
      </c>
      <c r="G260" s="21">
        <f>SUBTOTAL(9,G119:G259)</f>
        <v>0</v>
      </c>
      <c r="H260" s="21"/>
      <c r="I260" s="22">
        <f>SUBTOTAL(9,I119:I259)</f>
        <v>650455217.77000022</v>
      </c>
      <c r="J260" s="23"/>
      <c r="K260" s="3"/>
      <c r="L260" s="3"/>
      <c r="M260" s="7"/>
    </row>
    <row r="261" spans="1:13" ht="14.4" outlineLevel="2" thickTop="1">
      <c r="A261" s="10">
        <f t="shared" si="9"/>
        <v>257</v>
      </c>
      <c r="B261" s="10" t="s">
        <v>511</v>
      </c>
      <c r="C261" s="16" t="s">
        <v>512</v>
      </c>
      <c r="D261" s="11" t="s">
        <v>513</v>
      </c>
      <c r="E261" s="12">
        <v>3488667.41</v>
      </c>
      <c r="F261" s="12">
        <v>0</v>
      </c>
      <c r="G261" s="12">
        <v>0</v>
      </c>
      <c r="I261" s="13">
        <f t="shared" ref="I261:I279" si="11">SUM(E261:G261)</f>
        <v>3488667.41</v>
      </c>
      <c r="K261" s="10"/>
      <c r="M261" s="14"/>
    </row>
    <row r="262" spans="1:13" outlineLevel="2">
      <c r="A262" s="10">
        <f t="shared" si="9"/>
        <v>258</v>
      </c>
      <c r="B262" s="10" t="s">
        <v>511</v>
      </c>
      <c r="C262" s="16" t="s">
        <v>514</v>
      </c>
      <c r="D262" s="11" t="s">
        <v>515</v>
      </c>
      <c r="E262" s="12">
        <v>9917898.5700000003</v>
      </c>
      <c r="F262" s="12">
        <v>0</v>
      </c>
      <c r="G262" s="12">
        <v>0</v>
      </c>
      <c r="I262" s="13">
        <f t="shared" si="11"/>
        <v>9917898.5700000003</v>
      </c>
      <c r="K262" s="10"/>
      <c r="M262" s="14"/>
    </row>
    <row r="263" spans="1:13" outlineLevel="2">
      <c r="A263" s="10">
        <f t="shared" si="9"/>
        <v>259</v>
      </c>
      <c r="B263" s="10" t="s">
        <v>511</v>
      </c>
      <c r="C263" s="16" t="s">
        <v>516</v>
      </c>
      <c r="D263" s="11" t="s">
        <v>517</v>
      </c>
      <c r="E263" s="12">
        <v>6845966.21</v>
      </c>
      <c r="F263" s="12">
        <v>0</v>
      </c>
      <c r="G263" s="12">
        <v>0</v>
      </c>
      <c r="I263" s="13">
        <f t="shared" si="11"/>
        <v>6845966.21</v>
      </c>
      <c r="K263" s="10"/>
      <c r="M263" s="14"/>
    </row>
    <row r="264" spans="1:13" outlineLevel="2">
      <c r="A264" s="10">
        <f t="shared" si="9"/>
        <v>260</v>
      </c>
      <c r="B264" s="10" t="s">
        <v>511</v>
      </c>
      <c r="C264" s="16" t="s">
        <v>518</v>
      </c>
      <c r="D264" s="11" t="s">
        <v>519</v>
      </c>
      <c r="E264" s="12">
        <v>3852063.84</v>
      </c>
      <c r="F264" s="12">
        <v>0</v>
      </c>
      <c r="G264" s="12">
        <v>0</v>
      </c>
      <c r="I264" s="13">
        <f t="shared" si="11"/>
        <v>3852063.84</v>
      </c>
      <c r="K264" s="10"/>
      <c r="M264" s="14"/>
    </row>
    <row r="265" spans="1:13" outlineLevel="2">
      <c r="A265" s="10">
        <f t="shared" si="9"/>
        <v>261</v>
      </c>
      <c r="B265" s="10" t="s">
        <v>511</v>
      </c>
      <c r="C265" s="16" t="s">
        <v>520</v>
      </c>
      <c r="D265" s="11" t="s">
        <v>521</v>
      </c>
      <c r="E265" s="12">
        <v>2040286.92</v>
      </c>
      <c r="F265" s="12">
        <v>0</v>
      </c>
      <c r="G265" s="12">
        <v>0</v>
      </c>
      <c r="I265" s="13">
        <f t="shared" si="11"/>
        <v>2040286.92</v>
      </c>
      <c r="K265" s="10"/>
      <c r="M265" s="14"/>
    </row>
    <row r="266" spans="1:13" outlineLevel="2">
      <c r="A266" s="10">
        <f t="shared" si="9"/>
        <v>262</v>
      </c>
      <c r="B266" s="10" t="s">
        <v>511</v>
      </c>
      <c r="C266" s="16" t="s">
        <v>522</v>
      </c>
      <c r="D266" s="11" t="s">
        <v>523</v>
      </c>
      <c r="E266" s="12">
        <v>794673.34</v>
      </c>
      <c r="F266" s="12">
        <v>0</v>
      </c>
      <c r="G266" s="12">
        <v>0</v>
      </c>
      <c r="I266" s="13">
        <f t="shared" si="11"/>
        <v>794673.34</v>
      </c>
      <c r="K266" s="10"/>
      <c r="M266" s="14"/>
    </row>
    <row r="267" spans="1:13" outlineLevel="2">
      <c r="A267" s="10">
        <f t="shared" si="9"/>
        <v>263</v>
      </c>
      <c r="B267" s="10" t="s">
        <v>511</v>
      </c>
      <c r="C267" s="16" t="s">
        <v>524</v>
      </c>
      <c r="D267" s="11" t="s">
        <v>525</v>
      </c>
      <c r="E267" s="12">
        <v>8351981.5899999999</v>
      </c>
      <c r="F267" s="12">
        <v>0</v>
      </c>
      <c r="G267" s="12">
        <v>0</v>
      </c>
      <c r="I267" s="13">
        <f t="shared" si="11"/>
        <v>8351981.5899999999</v>
      </c>
      <c r="K267" s="10"/>
      <c r="M267" s="14"/>
    </row>
    <row r="268" spans="1:13" outlineLevel="2">
      <c r="A268" s="10">
        <f t="shared" si="9"/>
        <v>264</v>
      </c>
      <c r="B268" s="10" t="s">
        <v>511</v>
      </c>
      <c r="C268" s="16" t="s">
        <v>526</v>
      </c>
      <c r="D268" s="11" t="s">
        <v>527</v>
      </c>
      <c r="E268" s="12">
        <v>2435618.58</v>
      </c>
      <c r="F268" s="12">
        <v>0</v>
      </c>
      <c r="G268" s="12">
        <v>0</v>
      </c>
      <c r="I268" s="13">
        <f t="shared" si="11"/>
        <v>2435618.58</v>
      </c>
      <c r="K268" s="10"/>
      <c r="M268" s="14"/>
    </row>
    <row r="269" spans="1:13" outlineLevel="2">
      <c r="A269" s="10">
        <f t="shared" si="9"/>
        <v>265</v>
      </c>
      <c r="B269" s="10" t="s">
        <v>511</v>
      </c>
      <c r="C269" s="16" t="s">
        <v>528</v>
      </c>
      <c r="D269" s="11" t="s">
        <v>529</v>
      </c>
      <c r="E269" s="12">
        <v>493999.14</v>
      </c>
      <c r="F269" s="12">
        <v>0</v>
      </c>
      <c r="G269" s="12">
        <v>0</v>
      </c>
      <c r="I269" s="13">
        <f t="shared" si="11"/>
        <v>493999.14</v>
      </c>
      <c r="K269" s="10"/>
      <c r="M269" s="14"/>
    </row>
    <row r="270" spans="1:13" outlineLevel="2">
      <c r="A270" s="10">
        <f t="shared" si="9"/>
        <v>266</v>
      </c>
      <c r="B270" s="10" t="s">
        <v>511</v>
      </c>
      <c r="C270" s="16" t="s">
        <v>530</v>
      </c>
      <c r="D270" s="11" t="s">
        <v>531</v>
      </c>
      <c r="E270" s="12">
        <v>2709638.83</v>
      </c>
      <c r="F270" s="12">
        <v>0</v>
      </c>
      <c r="G270" s="12">
        <v>0</v>
      </c>
      <c r="I270" s="13">
        <f t="shared" si="11"/>
        <v>2709638.83</v>
      </c>
      <c r="K270" s="10"/>
      <c r="M270" s="14"/>
    </row>
    <row r="271" spans="1:13" outlineLevel="2">
      <c r="A271" s="10">
        <f t="shared" si="9"/>
        <v>267</v>
      </c>
      <c r="B271" s="10" t="s">
        <v>511</v>
      </c>
      <c r="C271" s="16" t="s">
        <v>532</v>
      </c>
      <c r="D271" s="11" t="s">
        <v>533</v>
      </c>
      <c r="E271" s="12">
        <v>3841397.64</v>
      </c>
      <c r="F271" s="12">
        <v>0</v>
      </c>
      <c r="G271" s="12">
        <v>0</v>
      </c>
      <c r="I271" s="13">
        <f t="shared" si="11"/>
        <v>3841397.64</v>
      </c>
      <c r="K271" s="10"/>
      <c r="M271" s="14"/>
    </row>
    <row r="272" spans="1:13" outlineLevel="2">
      <c r="A272" s="10">
        <f t="shared" si="9"/>
        <v>268</v>
      </c>
      <c r="B272" s="10" t="s">
        <v>511</v>
      </c>
      <c r="C272" s="16" t="s">
        <v>534</v>
      </c>
      <c r="D272" s="11" t="s">
        <v>535</v>
      </c>
      <c r="E272" s="12">
        <v>1025254.07</v>
      </c>
      <c r="F272" s="12">
        <v>0</v>
      </c>
      <c r="G272" s="12">
        <v>0</v>
      </c>
      <c r="I272" s="13">
        <f t="shared" si="11"/>
        <v>1025254.07</v>
      </c>
      <c r="K272" s="10"/>
      <c r="M272" s="14"/>
    </row>
    <row r="273" spans="1:13" outlineLevel="2">
      <c r="A273" s="10">
        <f t="shared" si="9"/>
        <v>269</v>
      </c>
      <c r="B273" s="10" t="s">
        <v>511</v>
      </c>
      <c r="C273" s="16" t="s">
        <v>536</v>
      </c>
      <c r="D273" s="11" t="s">
        <v>537</v>
      </c>
      <c r="E273" s="12">
        <v>96884.41</v>
      </c>
      <c r="F273" s="12">
        <v>0</v>
      </c>
      <c r="G273" s="12">
        <v>0</v>
      </c>
      <c r="I273" s="13">
        <f t="shared" si="11"/>
        <v>96884.41</v>
      </c>
      <c r="K273" s="10"/>
      <c r="M273" s="14"/>
    </row>
    <row r="274" spans="1:13" outlineLevel="2">
      <c r="A274" s="10">
        <f t="shared" si="9"/>
        <v>270</v>
      </c>
      <c r="B274" s="10" t="s">
        <v>511</v>
      </c>
      <c r="C274" s="16" t="s">
        <v>538</v>
      </c>
      <c r="D274" s="11" t="s">
        <v>539</v>
      </c>
      <c r="E274" s="12">
        <v>1679673.69</v>
      </c>
      <c r="F274" s="12">
        <v>0</v>
      </c>
      <c r="G274" s="12">
        <v>0</v>
      </c>
      <c r="I274" s="13">
        <f t="shared" si="11"/>
        <v>1679673.69</v>
      </c>
      <c r="K274" s="10"/>
      <c r="M274" s="14"/>
    </row>
    <row r="275" spans="1:13" outlineLevel="2">
      <c r="A275" s="10">
        <f t="shared" ref="A275:A331" si="12">A274+1</f>
        <v>271</v>
      </c>
      <c r="B275" s="10" t="s">
        <v>511</v>
      </c>
      <c r="C275" s="16" t="s">
        <v>540</v>
      </c>
      <c r="D275" s="11" t="s">
        <v>541</v>
      </c>
      <c r="E275" s="12">
        <v>1051383.4099999999</v>
      </c>
      <c r="F275" s="12">
        <v>0</v>
      </c>
      <c r="G275" s="12">
        <v>0</v>
      </c>
      <c r="I275" s="13">
        <f t="shared" si="11"/>
        <v>1051383.4099999999</v>
      </c>
      <c r="K275" s="10"/>
      <c r="M275" s="14"/>
    </row>
    <row r="276" spans="1:13" outlineLevel="2">
      <c r="A276" s="10">
        <f t="shared" si="12"/>
        <v>272</v>
      </c>
      <c r="B276" s="10" t="s">
        <v>511</v>
      </c>
      <c r="C276" s="16" t="s">
        <v>542</v>
      </c>
      <c r="D276" s="11" t="s">
        <v>543</v>
      </c>
      <c r="E276" s="12">
        <v>2221966.7200000002</v>
      </c>
      <c r="F276" s="12">
        <v>0</v>
      </c>
      <c r="G276" s="12">
        <v>0</v>
      </c>
      <c r="I276" s="13">
        <f t="shared" si="11"/>
        <v>2221966.7200000002</v>
      </c>
      <c r="K276" s="10"/>
      <c r="M276" s="14"/>
    </row>
    <row r="277" spans="1:13" ht="12.75" customHeight="1" outlineLevel="2">
      <c r="A277" s="10">
        <f t="shared" si="12"/>
        <v>273</v>
      </c>
      <c r="B277" s="10" t="s">
        <v>511</v>
      </c>
      <c r="C277" s="529" t="s">
        <v>544</v>
      </c>
      <c r="D277" s="11" t="s">
        <v>545</v>
      </c>
      <c r="E277" s="12">
        <v>3007881.59</v>
      </c>
      <c r="F277" s="12">
        <v>0</v>
      </c>
      <c r="G277" s="12">
        <v>0</v>
      </c>
      <c r="I277" s="13">
        <f t="shared" si="11"/>
        <v>3007881.59</v>
      </c>
      <c r="J277" s="11"/>
      <c r="K277" s="10"/>
      <c r="M277" s="14"/>
    </row>
    <row r="278" spans="1:13" outlineLevel="2">
      <c r="A278" s="10">
        <f t="shared" si="12"/>
        <v>274</v>
      </c>
      <c r="B278" s="10" t="s">
        <v>511</v>
      </c>
      <c r="C278" s="16" t="s">
        <v>546</v>
      </c>
      <c r="D278" s="11" t="s">
        <v>547</v>
      </c>
      <c r="E278" s="12">
        <v>239919.86</v>
      </c>
      <c r="F278" s="12">
        <v>0</v>
      </c>
      <c r="G278" s="12">
        <v>0</v>
      </c>
      <c r="I278" s="13">
        <f t="shared" si="11"/>
        <v>239919.86</v>
      </c>
      <c r="J278" s="17"/>
      <c r="K278" s="10"/>
    </row>
    <row r="279" spans="1:13" outlineLevel="2">
      <c r="A279" s="10">
        <f t="shared" si="12"/>
        <v>275</v>
      </c>
      <c r="B279" s="10" t="s">
        <v>511</v>
      </c>
      <c r="C279" s="16" t="s">
        <v>548</v>
      </c>
      <c r="D279" s="11" t="s">
        <v>549</v>
      </c>
      <c r="E279" s="12">
        <v>7452150.5499999998</v>
      </c>
      <c r="F279" s="12">
        <v>0</v>
      </c>
      <c r="G279" s="12">
        <v>0</v>
      </c>
      <c r="I279" s="13">
        <f t="shared" si="11"/>
        <v>7452150.5499999998</v>
      </c>
      <c r="K279" s="10"/>
      <c r="M279" s="14"/>
    </row>
    <row r="280" spans="1:13" s="6" customFormat="1" ht="14.4" outlineLevel="1" thickBot="1">
      <c r="A280" s="10">
        <f t="shared" si="12"/>
        <v>276</v>
      </c>
      <c r="B280" s="18" t="s">
        <v>550</v>
      </c>
      <c r="C280" s="19"/>
      <c r="D280" s="20" t="s">
        <v>551</v>
      </c>
      <c r="E280" s="21">
        <f>SUBTOTAL(9,E261:E279)</f>
        <v>61547306.36999999</v>
      </c>
      <c r="F280" s="21">
        <f>SUBTOTAL(9,F261:F279)</f>
        <v>0</v>
      </c>
      <c r="G280" s="21">
        <f>SUBTOTAL(9,G261:G279)</f>
        <v>0</v>
      </c>
      <c r="H280" s="21"/>
      <c r="I280" s="22">
        <f>SUBTOTAL(9,I261:I279)</f>
        <v>61547306.36999999</v>
      </c>
      <c r="J280" s="23"/>
      <c r="K280" s="3"/>
      <c r="L280" s="3"/>
      <c r="M280" s="7"/>
    </row>
    <row r="281" spans="1:13" ht="14.4" outlineLevel="2" thickTop="1">
      <c r="A281" s="10">
        <f t="shared" si="12"/>
        <v>277</v>
      </c>
      <c r="B281" s="10" t="s">
        <v>552</v>
      </c>
      <c r="C281" s="16" t="s">
        <v>553</v>
      </c>
      <c r="D281" s="1" t="s">
        <v>554</v>
      </c>
      <c r="E281" s="12">
        <f>6006058.11</f>
        <v>6006058.1100000003</v>
      </c>
      <c r="F281" s="12">
        <v>0</v>
      </c>
      <c r="G281" s="12">
        <v>0</v>
      </c>
      <c r="H281" s="12">
        <f>'WS13-SSCDFac'!H5</f>
        <v>-1501514.5274999989</v>
      </c>
      <c r="I281" s="13">
        <f>SUM(E281:H281)</f>
        <v>4504543.5825000014</v>
      </c>
      <c r="J281" s="773" t="s">
        <v>1436</v>
      </c>
      <c r="K281" s="10"/>
    </row>
    <row r="282" spans="1:13" ht="12.75" customHeight="1" outlineLevel="2">
      <c r="A282" s="10">
        <f t="shared" si="12"/>
        <v>278</v>
      </c>
      <c r="B282" s="10" t="s">
        <v>552</v>
      </c>
      <c r="C282" s="16" t="s">
        <v>555</v>
      </c>
      <c r="D282" s="11" t="s">
        <v>556</v>
      </c>
      <c r="E282" s="12">
        <v>2542599.64</v>
      </c>
      <c r="F282" s="12">
        <v>0</v>
      </c>
      <c r="G282" s="12">
        <v>0</v>
      </c>
      <c r="H282" s="12">
        <f>'WS13-SSCDFac'!H6</f>
        <v>-720132.67026999965</v>
      </c>
      <c r="I282" s="13">
        <f>SUM(E282:H282)</f>
        <v>1822466.9697300005</v>
      </c>
      <c r="J282" s="774"/>
      <c r="K282" s="10"/>
      <c r="M282" s="14"/>
    </row>
    <row r="283" spans="1:13" outlineLevel="2">
      <c r="A283" s="10">
        <f t="shared" si="12"/>
        <v>279</v>
      </c>
      <c r="B283" s="10" t="s">
        <v>552</v>
      </c>
      <c r="C283" s="16" t="s">
        <v>1371</v>
      </c>
      <c r="D283" s="11" t="s">
        <v>557</v>
      </c>
      <c r="E283" s="12">
        <v>12430495.15</v>
      </c>
      <c r="F283" s="12">
        <v>0</v>
      </c>
      <c r="G283" s="12">
        <v>0</v>
      </c>
      <c r="H283" s="12">
        <f>'WS13-SSCDFac'!H7</f>
        <v>-3854499.916824</v>
      </c>
      <c r="I283" s="13">
        <f>SUM(E283:H283)</f>
        <v>8575995.2331760004</v>
      </c>
      <c r="J283" s="774"/>
      <c r="K283" s="10"/>
      <c r="M283" s="14"/>
    </row>
    <row r="284" spans="1:13" s="6" customFormat="1" ht="14.4" outlineLevel="1" thickBot="1">
      <c r="A284" s="10">
        <f t="shared" si="12"/>
        <v>280</v>
      </c>
      <c r="B284" s="18" t="s">
        <v>558</v>
      </c>
      <c r="C284" s="19"/>
      <c r="D284" s="20" t="s">
        <v>559</v>
      </c>
      <c r="E284" s="21">
        <f>SUBTOTAL(9,E281:E283)</f>
        <v>20979152.899999999</v>
      </c>
      <c r="F284" s="21">
        <f>SUBTOTAL(9,F281:F283)</f>
        <v>0</v>
      </c>
      <c r="G284" s="21">
        <f>SUBTOTAL(9,G281:G283)</f>
        <v>0</v>
      </c>
      <c r="H284" s="21">
        <f>SUBTOTAL(9,H281:H283)</f>
        <v>-6076147.1145939985</v>
      </c>
      <c r="I284" s="22">
        <f>SUBTOTAL(9,I281:I283)</f>
        <v>14903005.785406003</v>
      </c>
      <c r="J284" s="26"/>
      <c r="K284" s="3"/>
      <c r="L284" s="3"/>
      <c r="M284" s="7"/>
    </row>
    <row r="285" spans="1:13" ht="14.4" outlineLevel="2" thickTop="1">
      <c r="A285" s="10">
        <f t="shared" si="12"/>
        <v>281</v>
      </c>
      <c r="B285" s="10" t="s">
        <v>560</v>
      </c>
      <c r="C285" s="16" t="s">
        <v>561</v>
      </c>
      <c r="D285" s="11" t="s">
        <v>562</v>
      </c>
      <c r="E285" s="12">
        <v>69740.75</v>
      </c>
      <c r="F285" s="12">
        <v>0</v>
      </c>
      <c r="G285" s="12">
        <v>0</v>
      </c>
      <c r="I285" s="13">
        <f t="shared" ref="I285:I298" si="13">SUM(E285:G285)</f>
        <v>69740.75</v>
      </c>
      <c r="K285" s="10"/>
      <c r="M285" s="14"/>
    </row>
    <row r="286" spans="1:13" outlineLevel="2">
      <c r="A286" s="10">
        <f t="shared" si="12"/>
        <v>282</v>
      </c>
      <c r="B286" s="10" t="s">
        <v>560</v>
      </c>
      <c r="C286" s="16" t="s">
        <v>563</v>
      </c>
      <c r="D286" s="11" t="s">
        <v>564</v>
      </c>
      <c r="E286" s="12">
        <v>213000</v>
      </c>
      <c r="F286" s="12">
        <v>0</v>
      </c>
      <c r="G286" s="12">
        <v>0</v>
      </c>
      <c r="I286" s="13">
        <f t="shared" si="13"/>
        <v>213000</v>
      </c>
      <c r="K286" s="10"/>
      <c r="M286" s="14"/>
    </row>
    <row r="287" spans="1:13" outlineLevel="2">
      <c r="A287" s="10">
        <f t="shared" si="12"/>
        <v>283</v>
      </c>
      <c r="B287" s="10" t="s">
        <v>560</v>
      </c>
      <c r="C287" s="16" t="s">
        <v>565</v>
      </c>
      <c r="D287" s="11" t="s">
        <v>566</v>
      </c>
      <c r="E287" s="12">
        <v>218492.84</v>
      </c>
      <c r="F287" s="12">
        <v>0</v>
      </c>
      <c r="G287" s="12">
        <v>0</v>
      </c>
      <c r="I287" s="13">
        <f t="shared" si="13"/>
        <v>218492.84</v>
      </c>
      <c r="K287" s="10"/>
      <c r="M287" s="14"/>
    </row>
    <row r="288" spans="1:13" outlineLevel="2">
      <c r="A288" s="10">
        <f t="shared" si="12"/>
        <v>284</v>
      </c>
      <c r="B288" s="10" t="s">
        <v>560</v>
      </c>
      <c r="C288" s="16" t="s">
        <v>567</v>
      </c>
      <c r="D288" s="11" t="s">
        <v>568</v>
      </c>
      <c r="E288" s="12">
        <v>813859.77</v>
      </c>
      <c r="F288" s="12">
        <v>0</v>
      </c>
      <c r="G288" s="12">
        <v>0</v>
      </c>
      <c r="I288" s="13">
        <f t="shared" si="13"/>
        <v>813859.77</v>
      </c>
      <c r="K288" s="10"/>
      <c r="M288" s="14"/>
    </row>
    <row r="289" spans="1:13" outlineLevel="2">
      <c r="A289" s="10">
        <f t="shared" si="12"/>
        <v>285</v>
      </c>
      <c r="B289" s="10" t="s">
        <v>560</v>
      </c>
      <c r="C289" s="16" t="s">
        <v>569</v>
      </c>
      <c r="D289" s="11" t="s">
        <v>570</v>
      </c>
      <c r="E289" s="12">
        <f>519632.09+6569.16</f>
        <v>526201.25</v>
      </c>
      <c r="F289" s="12">
        <v>0</v>
      </c>
      <c r="G289" s="12">
        <v>0</v>
      </c>
      <c r="I289" s="13">
        <f t="shared" si="13"/>
        <v>526201.25</v>
      </c>
      <c r="K289" s="10"/>
      <c r="M289" s="14"/>
    </row>
    <row r="290" spans="1:13" outlineLevel="2">
      <c r="A290" s="10">
        <f t="shared" si="12"/>
        <v>286</v>
      </c>
      <c r="B290" s="10" t="s">
        <v>560</v>
      </c>
      <c r="C290" s="16" t="s">
        <v>571</v>
      </c>
      <c r="D290" s="11" t="s">
        <v>572</v>
      </c>
      <c r="E290" s="12">
        <v>170278</v>
      </c>
      <c r="F290" s="12">
        <v>0</v>
      </c>
      <c r="G290" s="12">
        <v>0</v>
      </c>
      <c r="I290" s="13">
        <f t="shared" si="13"/>
        <v>170278</v>
      </c>
      <c r="K290" s="10"/>
      <c r="M290" s="14"/>
    </row>
    <row r="291" spans="1:13" outlineLevel="2">
      <c r="A291" s="10">
        <f t="shared" si="12"/>
        <v>287</v>
      </c>
      <c r="B291" s="10" t="s">
        <v>560</v>
      </c>
      <c r="C291" s="16" t="s">
        <v>573</v>
      </c>
      <c r="D291" s="11" t="s">
        <v>574</v>
      </c>
      <c r="E291" s="12">
        <v>35070.980000000003</v>
      </c>
      <c r="F291" s="12">
        <v>0</v>
      </c>
      <c r="G291" s="12">
        <v>0</v>
      </c>
      <c r="I291" s="13">
        <f t="shared" si="13"/>
        <v>35070.980000000003</v>
      </c>
      <c r="K291" s="10"/>
      <c r="M291" s="14"/>
    </row>
    <row r="292" spans="1:13" outlineLevel="2">
      <c r="A292" s="10">
        <f t="shared" si="12"/>
        <v>288</v>
      </c>
      <c r="B292" s="10" t="s">
        <v>560</v>
      </c>
      <c r="C292" s="16" t="s">
        <v>575</v>
      </c>
      <c r="D292" s="11" t="s">
        <v>576</v>
      </c>
      <c r="E292" s="12">
        <v>163694.91</v>
      </c>
      <c r="F292" s="12">
        <v>0</v>
      </c>
      <c r="G292" s="12">
        <v>0</v>
      </c>
      <c r="I292" s="13">
        <f t="shared" si="13"/>
        <v>163694.91</v>
      </c>
      <c r="K292" s="10"/>
      <c r="M292" s="14"/>
    </row>
    <row r="293" spans="1:13" outlineLevel="2">
      <c r="A293" s="10">
        <f t="shared" si="12"/>
        <v>289</v>
      </c>
      <c r="B293" s="10" t="s">
        <v>560</v>
      </c>
      <c r="C293" s="16" t="s">
        <v>577</v>
      </c>
      <c r="D293" s="11" t="s">
        <v>578</v>
      </c>
      <c r="E293" s="12">
        <v>19074.86</v>
      </c>
      <c r="F293" s="12">
        <v>0</v>
      </c>
      <c r="G293" s="12">
        <v>0</v>
      </c>
      <c r="I293" s="13">
        <f t="shared" si="13"/>
        <v>19074.86</v>
      </c>
      <c r="K293" s="10"/>
      <c r="M293" s="14"/>
    </row>
    <row r="294" spans="1:13" outlineLevel="2">
      <c r="A294" s="10">
        <f t="shared" si="12"/>
        <v>290</v>
      </c>
      <c r="B294" s="10" t="s">
        <v>560</v>
      </c>
      <c r="C294" s="16" t="s">
        <v>579</v>
      </c>
      <c r="D294" s="11" t="s">
        <v>580</v>
      </c>
      <c r="E294" s="12">
        <v>127143.62</v>
      </c>
      <c r="F294" s="12">
        <v>0</v>
      </c>
      <c r="G294" s="12">
        <v>0</v>
      </c>
      <c r="I294" s="13">
        <f t="shared" si="13"/>
        <v>127143.62</v>
      </c>
      <c r="K294" s="10"/>
      <c r="M294" s="14"/>
    </row>
    <row r="295" spans="1:13" outlineLevel="2">
      <c r="A295" s="10">
        <f t="shared" si="12"/>
        <v>291</v>
      </c>
      <c r="B295" s="10" t="s">
        <v>560</v>
      </c>
      <c r="C295" s="16" t="s">
        <v>581</v>
      </c>
      <c r="D295" s="11" t="s">
        <v>582</v>
      </c>
      <c r="E295" s="12">
        <v>404166.08</v>
      </c>
      <c r="F295" s="12">
        <v>0</v>
      </c>
      <c r="G295" s="12">
        <v>0</v>
      </c>
      <c r="I295" s="13">
        <f t="shared" si="13"/>
        <v>404166.08</v>
      </c>
      <c r="K295" s="10"/>
      <c r="M295" s="14"/>
    </row>
    <row r="296" spans="1:13" outlineLevel="2">
      <c r="A296" s="10">
        <f t="shared" si="12"/>
        <v>292</v>
      </c>
      <c r="B296" s="10" t="s">
        <v>560</v>
      </c>
      <c r="C296" s="16" t="s">
        <v>583</v>
      </c>
      <c r="D296" s="11" t="s">
        <v>584</v>
      </c>
      <c r="E296" s="12">
        <v>192498.02</v>
      </c>
      <c r="F296" s="12">
        <v>-192498</v>
      </c>
      <c r="G296" s="12">
        <v>0</v>
      </c>
      <c r="I296" s="13">
        <f t="shared" si="13"/>
        <v>1.9999999989522621E-2</v>
      </c>
      <c r="K296" s="10"/>
      <c r="M296" s="14"/>
    </row>
    <row r="297" spans="1:13" outlineLevel="2">
      <c r="A297" s="10">
        <f t="shared" si="12"/>
        <v>293</v>
      </c>
      <c r="B297" s="10" t="s">
        <v>560</v>
      </c>
      <c r="C297" s="16" t="s">
        <v>585</v>
      </c>
      <c r="D297" s="11" t="s">
        <v>586</v>
      </c>
      <c r="E297" s="12">
        <v>71118</v>
      </c>
      <c r="F297" s="12">
        <v>0</v>
      </c>
      <c r="G297" s="12">
        <v>0</v>
      </c>
      <c r="I297" s="13">
        <f t="shared" si="13"/>
        <v>71118</v>
      </c>
      <c r="K297" s="10"/>
      <c r="M297" s="14"/>
    </row>
    <row r="298" spans="1:13" outlineLevel="2">
      <c r="A298" s="10">
        <f t="shared" si="12"/>
        <v>294</v>
      </c>
      <c r="B298" s="10" t="s">
        <v>560</v>
      </c>
      <c r="C298" s="16" t="s">
        <v>587</v>
      </c>
      <c r="D298" s="11" t="s">
        <v>588</v>
      </c>
      <c r="E298" s="12">
        <v>179327.81</v>
      </c>
      <c r="F298" s="12">
        <v>0</v>
      </c>
      <c r="G298" s="12">
        <v>0</v>
      </c>
      <c r="I298" s="13">
        <f t="shared" si="13"/>
        <v>179327.81</v>
      </c>
      <c r="K298" s="10"/>
      <c r="M298" s="14"/>
    </row>
    <row r="299" spans="1:13" s="6" customFormat="1" ht="14.4" outlineLevel="1" thickBot="1">
      <c r="A299" s="10">
        <f t="shared" si="12"/>
        <v>295</v>
      </c>
      <c r="B299" s="18" t="s">
        <v>589</v>
      </c>
      <c r="C299" s="19"/>
      <c r="D299" s="20" t="s">
        <v>590</v>
      </c>
      <c r="E299" s="21">
        <f>SUBTOTAL(9,E285:E298)</f>
        <v>3203666.89</v>
      </c>
      <c r="F299" s="21">
        <f>SUBTOTAL(9,F285:F298)</f>
        <v>-192498</v>
      </c>
      <c r="G299" s="21">
        <f>SUBTOTAL(9,G285:G298)</f>
        <v>0</v>
      </c>
      <c r="H299" s="21"/>
      <c r="I299" s="22">
        <f>SUBTOTAL(9,I285:I298)</f>
        <v>3011168.89</v>
      </c>
      <c r="J299" s="23"/>
      <c r="K299" s="3"/>
      <c r="L299" s="3"/>
      <c r="M299" s="7"/>
    </row>
    <row r="300" spans="1:13" ht="14.4" outlineLevel="2" thickTop="1">
      <c r="A300" s="10">
        <f t="shared" si="12"/>
        <v>296</v>
      </c>
      <c r="B300" s="10" t="s">
        <v>591</v>
      </c>
      <c r="C300" s="16" t="s">
        <v>592</v>
      </c>
      <c r="D300" s="11" t="s">
        <v>593</v>
      </c>
      <c r="E300" s="12">
        <v>81944</v>
      </c>
      <c r="F300" s="12">
        <v>0</v>
      </c>
      <c r="G300" s="12">
        <v>-81944</v>
      </c>
      <c r="I300" s="13">
        <f>SUM(E300:G300)</f>
        <v>0</v>
      </c>
      <c r="J300" s="11"/>
      <c r="K300" s="10"/>
      <c r="M300" s="14"/>
    </row>
    <row r="301" spans="1:13" outlineLevel="2">
      <c r="A301" s="10">
        <f t="shared" si="12"/>
        <v>297</v>
      </c>
      <c r="B301" s="10" t="s">
        <v>591</v>
      </c>
      <c r="C301" s="16" t="s">
        <v>594</v>
      </c>
      <c r="D301" s="11" t="s">
        <v>595</v>
      </c>
      <c r="E301" s="12">
        <v>64611.39</v>
      </c>
      <c r="F301" s="12">
        <v>0</v>
      </c>
      <c r="G301" s="12">
        <v>-64611</v>
      </c>
      <c r="I301" s="13">
        <f>SUM(E301:G301)</f>
        <v>0.38999999999941792</v>
      </c>
      <c r="K301" s="10"/>
      <c r="M301" s="14"/>
    </row>
    <row r="302" spans="1:13" outlineLevel="2">
      <c r="A302" s="10">
        <f t="shared" si="12"/>
        <v>298</v>
      </c>
      <c r="B302" s="10" t="s">
        <v>591</v>
      </c>
      <c r="C302" s="16" t="s">
        <v>596</v>
      </c>
      <c r="D302" s="11" t="s">
        <v>597</v>
      </c>
      <c r="E302" s="12">
        <v>922163.82</v>
      </c>
      <c r="F302" s="12">
        <v>0</v>
      </c>
      <c r="G302" s="12">
        <v>0</v>
      </c>
      <c r="I302" s="13">
        <f>SUM(E302:G302)</f>
        <v>922163.82</v>
      </c>
      <c r="K302" s="10"/>
      <c r="M302" s="14"/>
    </row>
    <row r="303" spans="1:13" outlineLevel="2">
      <c r="A303" s="10">
        <f t="shared" si="12"/>
        <v>299</v>
      </c>
      <c r="B303" s="10" t="s">
        <v>591</v>
      </c>
      <c r="C303" s="16" t="s">
        <v>598</v>
      </c>
      <c r="D303" s="11" t="s">
        <v>599</v>
      </c>
      <c r="E303" s="12">
        <v>690735.13</v>
      </c>
      <c r="F303" s="12">
        <v>0</v>
      </c>
      <c r="G303" s="12">
        <v>0</v>
      </c>
      <c r="I303" s="13">
        <f>SUM(E303:G303)</f>
        <v>690735.13</v>
      </c>
      <c r="K303" s="10"/>
      <c r="M303" s="14"/>
    </row>
    <row r="304" spans="1:13" s="6" customFormat="1" ht="14.4" outlineLevel="1" thickBot="1">
      <c r="A304" s="10">
        <f t="shared" si="12"/>
        <v>300</v>
      </c>
      <c r="B304" s="18" t="s">
        <v>600</v>
      </c>
      <c r="C304" s="19"/>
      <c r="D304" s="20" t="s">
        <v>601</v>
      </c>
      <c r="E304" s="21">
        <f>SUBTOTAL(9,E300:E303)</f>
        <v>1759454.3399999999</v>
      </c>
      <c r="F304" s="21">
        <f>SUBTOTAL(9,F300:F303)</f>
        <v>0</v>
      </c>
      <c r="G304" s="21">
        <f>SUBTOTAL(9,G300:G303)</f>
        <v>-146555</v>
      </c>
      <c r="H304" s="21"/>
      <c r="I304" s="22">
        <f>SUBTOTAL(9,I300:I303)</f>
        <v>1612899.3399999999</v>
      </c>
      <c r="J304" s="23"/>
      <c r="K304" s="3"/>
      <c r="L304" s="3"/>
      <c r="M304" s="7"/>
    </row>
    <row r="305" spans="1:13" ht="14.4" outlineLevel="2" thickTop="1">
      <c r="A305" s="10">
        <f t="shared" si="12"/>
        <v>301</v>
      </c>
      <c r="B305" s="10" t="s">
        <v>602</v>
      </c>
      <c r="C305" s="16" t="s">
        <v>603</v>
      </c>
      <c r="D305" s="11" t="s">
        <v>604</v>
      </c>
      <c r="E305" s="12">
        <v>17199.41</v>
      </c>
      <c r="F305" s="12">
        <v>0</v>
      </c>
      <c r="G305" s="12">
        <f>-(E305*$J$308)</f>
        <v>-5452.2129699999996</v>
      </c>
      <c r="I305" s="13">
        <f t="shared" ref="I305:I372" si="14">SUM(E305:G305)</f>
        <v>11747.197029999999</v>
      </c>
      <c r="J305" s="773" t="s">
        <v>2249</v>
      </c>
      <c r="K305" s="10"/>
    </row>
    <row r="306" spans="1:13" outlineLevel="2">
      <c r="A306" s="10">
        <f t="shared" si="12"/>
        <v>302</v>
      </c>
      <c r="B306" s="10" t="s">
        <v>602</v>
      </c>
      <c r="C306" s="16" t="s">
        <v>605</v>
      </c>
      <c r="D306" s="11" t="s">
        <v>606</v>
      </c>
      <c r="E306" s="12">
        <v>246174.69</v>
      </c>
      <c r="F306" s="12">
        <v>0</v>
      </c>
      <c r="G306" s="12">
        <f t="shared" ref="G306:G374" si="15">-(E306*$J$308)</f>
        <v>-78037.376730000004</v>
      </c>
      <c r="I306" s="13">
        <f t="shared" si="14"/>
        <v>168137.31326999998</v>
      </c>
      <c r="J306" s="774"/>
      <c r="K306" s="10"/>
    </row>
    <row r="307" spans="1:13" outlineLevel="2">
      <c r="A307" s="10">
        <f t="shared" si="12"/>
        <v>303</v>
      </c>
      <c r="B307" s="10" t="s">
        <v>602</v>
      </c>
      <c r="C307" s="16" t="s">
        <v>607</v>
      </c>
      <c r="D307" s="11" t="s">
        <v>608</v>
      </c>
      <c r="E307" s="12">
        <v>421019.06</v>
      </c>
      <c r="F307" s="12">
        <v>0</v>
      </c>
      <c r="G307" s="12">
        <f t="shared" si="15"/>
        <v>-133463.04201999999</v>
      </c>
      <c r="I307" s="13">
        <f t="shared" si="14"/>
        <v>287556.01798</v>
      </c>
      <c r="J307" s="774"/>
      <c r="K307" s="10"/>
    </row>
    <row r="308" spans="1:13" outlineLevel="2">
      <c r="A308" s="10">
        <f t="shared" si="12"/>
        <v>304</v>
      </c>
      <c r="B308" s="10" t="s">
        <v>602</v>
      </c>
      <c r="C308" s="16" t="s">
        <v>609</v>
      </c>
      <c r="D308" s="11" t="s">
        <v>610</v>
      </c>
      <c r="E308" s="12">
        <v>99834.58</v>
      </c>
      <c r="F308" s="12">
        <v>0</v>
      </c>
      <c r="G308" s="12">
        <f t="shared" si="15"/>
        <v>-31647.561860000002</v>
      </c>
      <c r="I308" s="13">
        <f t="shared" si="14"/>
        <v>68187.01814</v>
      </c>
      <c r="J308" s="27">
        <v>0.317</v>
      </c>
      <c r="K308" s="10"/>
      <c r="M308" s="14"/>
    </row>
    <row r="309" spans="1:13" outlineLevel="2">
      <c r="A309" s="10">
        <f t="shared" si="12"/>
        <v>305</v>
      </c>
      <c r="B309" s="10" t="s">
        <v>602</v>
      </c>
      <c r="C309" s="16" t="s">
        <v>611</v>
      </c>
      <c r="D309" s="11" t="s">
        <v>612</v>
      </c>
      <c r="E309" s="12">
        <v>324151.14</v>
      </c>
      <c r="F309" s="12">
        <v>0</v>
      </c>
      <c r="G309" s="12">
        <f t="shared" si="15"/>
        <v>-102755.91138000001</v>
      </c>
      <c r="I309" s="13">
        <f t="shared" si="14"/>
        <v>221395.22862000001</v>
      </c>
      <c r="K309" s="10"/>
      <c r="M309" s="14"/>
    </row>
    <row r="310" spans="1:13" outlineLevel="2">
      <c r="A310" s="10">
        <f t="shared" si="12"/>
        <v>306</v>
      </c>
      <c r="B310" s="10" t="s">
        <v>602</v>
      </c>
      <c r="C310" s="16" t="s">
        <v>613</v>
      </c>
      <c r="D310" s="11" t="s">
        <v>614</v>
      </c>
      <c r="E310" s="12">
        <v>255497.96</v>
      </c>
      <c r="F310" s="12">
        <v>0</v>
      </c>
      <c r="G310" s="12">
        <f t="shared" si="15"/>
        <v>-80992.853319999995</v>
      </c>
      <c r="I310" s="13">
        <f t="shared" si="14"/>
        <v>174505.10668</v>
      </c>
      <c r="K310" s="10"/>
      <c r="M310" s="14"/>
    </row>
    <row r="311" spans="1:13" outlineLevel="2">
      <c r="A311" s="10">
        <f t="shared" si="12"/>
        <v>307</v>
      </c>
      <c r="B311" s="10" t="s">
        <v>602</v>
      </c>
      <c r="C311" s="16" t="s">
        <v>615</v>
      </c>
      <c r="D311" s="11" t="s">
        <v>616</v>
      </c>
      <c r="E311" s="12">
        <v>196601.21</v>
      </c>
      <c r="F311" s="12">
        <v>0</v>
      </c>
      <c r="G311" s="12">
        <f t="shared" si="15"/>
        <v>-62322.583569999995</v>
      </c>
      <c r="I311" s="13">
        <f t="shared" si="14"/>
        <v>134278.62643</v>
      </c>
      <c r="K311" s="10"/>
      <c r="M311" s="14"/>
    </row>
    <row r="312" spans="1:13" outlineLevel="2">
      <c r="A312" s="10">
        <f t="shared" si="12"/>
        <v>308</v>
      </c>
      <c r="B312" s="10" t="s">
        <v>602</v>
      </c>
      <c r="C312" s="16" t="s">
        <v>617</v>
      </c>
      <c r="D312" s="11" t="s">
        <v>618</v>
      </c>
      <c r="E312" s="12">
        <v>10678.65</v>
      </c>
      <c r="F312" s="12">
        <v>0</v>
      </c>
      <c r="G312" s="12">
        <f t="shared" si="15"/>
        <v>-3385.1320499999997</v>
      </c>
      <c r="I312" s="13">
        <f t="shared" si="14"/>
        <v>7293.5179499999995</v>
      </c>
      <c r="K312" s="10"/>
      <c r="M312" s="14"/>
    </row>
    <row r="313" spans="1:13" outlineLevel="2">
      <c r="A313" s="10">
        <f t="shared" si="12"/>
        <v>309</v>
      </c>
      <c r="B313" s="10" t="s">
        <v>602</v>
      </c>
      <c r="C313" s="16" t="s">
        <v>619</v>
      </c>
      <c r="D313" s="11" t="s">
        <v>620</v>
      </c>
      <c r="E313" s="12">
        <v>113361.84</v>
      </c>
      <c r="F313" s="12">
        <v>0</v>
      </c>
      <c r="G313" s="12">
        <f t="shared" si="15"/>
        <v>-35935.703280000002</v>
      </c>
      <c r="I313" s="13">
        <f t="shared" si="14"/>
        <v>77426.136719999995</v>
      </c>
      <c r="K313" s="10"/>
      <c r="M313" s="14"/>
    </row>
    <row r="314" spans="1:13" outlineLevel="2">
      <c r="A314" s="10">
        <f t="shared" si="12"/>
        <v>310</v>
      </c>
      <c r="B314" s="10" t="s">
        <v>602</v>
      </c>
      <c r="C314" s="16" t="s">
        <v>621</v>
      </c>
      <c r="D314" s="11" t="s">
        <v>622</v>
      </c>
      <c r="E314" s="12">
        <v>568561.56000000006</v>
      </c>
      <c r="F314" s="12">
        <v>0</v>
      </c>
      <c r="G314" s="12">
        <f t="shared" si="15"/>
        <v>-180234.01452000003</v>
      </c>
      <c r="I314" s="13">
        <f t="shared" si="14"/>
        <v>388327.54548000003</v>
      </c>
      <c r="K314" s="10"/>
      <c r="M314" s="14"/>
    </row>
    <row r="315" spans="1:13" outlineLevel="2">
      <c r="A315" s="10">
        <f t="shared" si="12"/>
        <v>311</v>
      </c>
      <c r="B315" s="10" t="s">
        <v>602</v>
      </c>
      <c r="C315" s="16" t="s">
        <v>2279</v>
      </c>
      <c r="D315" s="11" t="s">
        <v>2280</v>
      </c>
      <c r="E315" s="12">
        <v>158945.60000000001</v>
      </c>
      <c r="G315" s="12">
        <v>-136495</v>
      </c>
      <c r="I315" s="13">
        <f t="shared" si="14"/>
        <v>22450.600000000006</v>
      </c>
      <c r="K315" s="10"/>
      <c r="M315" s="14"/>
    </row>
    <row r="316" spans="1:13" outlineLevel="2">
      <c r="A316" s="10">
        <f t="shared" si="12"/>
        <v>312</v>
      </c>
      <c r="B316" s="10" t="s">
        <v>602</v>
      </c>
      <c r="C316" s="16" t="s">
        <v>623</v>
      </c>
      <c r="D316" s="11" t="s">
        <v>624</v>
      </c>
      <c r="E316" s="12">
        <f>248434.53+148239.05</f>
        <v>396673.57999999996</v>
      </c>
      <c r="F316" s="12">
        <v>0</v>
      </c>
      <c r="G316" s="12">
        <f t="shared" si="15"/>
        <v>-125745.52485999999</v>
      </c>
      <c r="I316" s="13">
        <f t="shared" si="14"/>
        <v>270928.05513999995</v>
      </c>
      <c r="K316" s="10"/>
      <c r="M316" s="14"/>
    </row>
    <row r="317" spans="1:13" outlineLevel="2">
      <c r="A317" s="10">
        <f t="shared" si="12"/>
        <v>313</v>
      </c>
      <c r="B317" s="10" t="s">
        <v>602</v>
      </c>
      <c r="C317" s="16" t="s">
        <v>625</v>
      </c>
      <c r="D317" s="11" t="s">
        <v>626</v>
      </c>
      <c r="E317" s="12">
        <v>227955.26</v>
      </c>
      <c r="F317" s="12">
        <v>0</v>
      </c>
      <c r="G317" s="12">
        <f t="shared" si="15"/>
        <v>-72261.817420000007</v>
      </c>
      <c r="I317" s="13">
        <f t="shared" si="14"/>
        <v>155693.44258</v>
      </c>
      <c r="K317" s="10"/>
      <c r="M317" s="14"/>
    </row>
    <row r="318" spans="1:13" outlineLevel="2">
      <c r="A318" s="10">
        <f t="shared" si="12"/>
        <v>314</v>
      </c>
      <c r="B318" s="10" t="s">
        <v>602</v>
      </c>
      <c r="C318" s="16" t="s">
        <v>627</v>
      </c>
      <c r="D318" s="11" t="s">
        <v>628</v>
      </c>
      <c r="E318" s="12">
        <v>149227.87</v>
      </c>
      <c r="F318" s="12">
        <v>0</v>
      </c>
      <c r="G318" s="12">
        <f t="shared" si="15"/>
        <v>-47305.234790000002</v>
      </c>
      <c r="I318" s="13">
        <f t="shared" si="14"/>
        <v>101922.63520999999</v>
      </c>
      <c r="K318" s="10"/>
      <c r="M318" s="14"/>
    </row>
    <row r="319" spans="1:13" outlineLevel="2">
      <c r="A319" s="10">
        <f t="shared" si="12"/>
        <v>315</v>
      </c>
      <c r="B319" s="10" t="s">
        <v>602</v>
      </c>
      <c r="C319" s="16" t="s">
        <v>629</v>
      </c>
      <c r="D319" s="11" t="s">
        <v>630</v>
      </c>
      <c r="E319" s="12">
        <v>147129.10999999999</v>
      </c>
      <c r="F319" s="12">
        <v>0</v>
      </c>
      <c r="G319" s="12">
        <f t="shared" si="15"/>
        <v>-46639.92787</v>
      </c>
      <c r="I319" s="13">
        <f t="shared" si="14"/>
        <v>100489.18212999999</v>
      </c>
      <c r="K319" s="10"/>
      <c r="M319" s="14"/>
    </row>
    <row r="320" spans="1:13" outlineLevel="2">
      <c r="A320" s="10">
        <f t="shared" si="12"/>
        <v>316</v>
      </c>
      <c r="B320" s="10" t="s">
        <v>602</v>
      </c>
      <c r="C320" s="16" t="s">
        <v>631</v>
      </c>
      <c r="D320" s="11" t="s">
        <v>632</v>
      </c>
      <c r="E320" s="12">
        <v>11441.22</v>
      </c>
      <c r="F320" s="12">
        <v>0</v>
      </c>
      <c r="G320" s="12">
        <f t="shared" si="15"/>
        <v>-3626.8667399999999</v>
      </c>
      <c r="I320" s="13">
        <f t="shared" si="14"/>
        <v>7814.3532599999999</v>
      </c>
      <c r="K320" s="10"/>
      <c r="M320" s="14"/>
    </row>
    <row r="321" spans="1:13" outlineLevel="2">
      <c r="A321" s="10">
        <f t="shared" si="12"/>
        <v>317</v>
      </c>
      <c r="B321" s="10" t="s">
        <v>602</v>
      </c>
      <c r="C321" s="16" t="s">
        <v>633</v>
      </c>
      <c r="D321" s="11" t="s">
        <v>634</v>
      </c>
      <c r="E321" s="12">
        <v>92595.35</v>
      </c>
      <c r="F321" s="12">
        <v>0</v>
      </c>
      <c r="G321" s="12">
        <f t="shared" si="15"/>
        <v>-29352.725950000004</v>
      </c>
      <c r="I321" s="13">
        <f t="shared" si="14"/>
        <v>63242.624049999999</v>
      </c>
      <c r="K321" s="10"/>
      <c r="M321" s="14"/>
    </row>
    <row r="322" spans="1:13" outlineLevel="2">
      <c r="A322" s="10">
        <f t="shared" si="12"/>
        <v>318</v>
      </c>
      <c r="B322" s="10" t="s">
        <v>602</v>
      </c>
      <c r="C322" s="16" t="s">
        <v>635</v>
      </c>
      <c r="D322" s="11" t="s">
        <v>636</v>
      </c>
      <c r="E322" s="12">
        <v>107342.37</v>
      </c>
      <c r="F322" s="12">
        <v>0</v>
      </c>
      <c r="G322" s="12">
        <f>-(E322*$J$308)</f>
        <v>-34027.531289999999</v>
      </c>
      <c r="I322" s="13">
        <f t="shared" si="14"/>
        <v>73314.838709999996</v>
      </c>
      <c r="K322" s="10"/>
      <c r="M322" s="14"/>
    </row>
    <row r="323" spans="1:13" outlineLevel="2">
      <c r="A323" s="10">
        <f t="shared" si="12"/>
        <v>319</v>
      </c>
      <c r="B323" s="10" t="s">
        <v>602</v>
      </c>
      <c r="C323" s="16" t="s">
        <v>637</v>
      </c>
      <c r="D323" s="11" t="s">
        <v>638</v>
      </c>
      <c r="E323" s="12">
        <v>194708.81</v>
      </c>
      <c r="F323" s="12">
        <v>0</v>
      </c>
      <c r="G323" s="12">
        <f t="shared" si="15"/>
        <v>-61722.692770000001</v>
      </c>
      <c r="I323" s="13">
        <f t="shared" si="14"/>
        <v>132986.11723</v>
      </c>
      <c r="K323" s="10"/>
      <c r="M323" s="14"/>
    </row>
    <row r="324" spans="1:13" outlineLevel="2">
      <c r="A324" s="10">
        <f t="shared" si="12"/>
        <v>320</v>
      </c>
      <c r="B324" s="10" t="s">
        <v>602</v>
      </c>
      <c r="C324" s="16" t="s">
        <v>639</v>
      </c>
      <c r="D324" s="11" t="s">
        <v>640</v>
      </c>
      <c r="E324" s="12">
        <v>693235.96</v>
      </c>
      <c r="F324" s="12">
        <v>0</v>
      </c>
      <c r="G324" s="12">
        <f t="shared" si="15"/>
        <v>-219755.79931999999</v>
      </c>
      <c r="I324" s="13">
        <f t="shared" si="14"/>
        <v>473480.16067999997</v>
      </c>
      <c r="K324" s="10"/>
      <c r="M324" s="14"/>
    </row>
    <row r="325" spans="1:13" ht="13.5" customHeight="1" outlineLevel="2">
      <c r="A325" s="10">
        <f t="shared" si="12"/>
        <v>321</v>
      </c>
      <c r="B325" s="10" t="s">
        <v>602</v>
      </c>
      <c r="C325" s="16" t="s">
        <v>641</v>
      </c>
      <c r="D325" s="11" t="s">
        <v>642</v>
      </c>
      <c r="E325" s="12">
        <v>15666.79</v>
      </c>
      <c r="F325" s="12">
        <v>0</v>
      </c>
      <c r="G325" s="12">
        <f t="shared" si="15"/>
        <v>-4966.3724300000003</v>
      </c>
      <c r="I325" s="13">
        <f t="shared" si="14"/>
        <v>10700.417570000001</v>
      </c>
      <c r="K325" s="10"/>
      <c r="M325" s="14"/>
    </row>
    <row r="326" spans="1:13" outlineLevel="2">
      <c r="A326" s="10">
        <f t="shared" si="12"/>
        <v>322</v>
      </c>
      <c r="B326" s="10" t="s">
        <v>602</v>
      </c>
      <c r="C326" s="16" t="s">
        <v>2260</v>
      </c>
      <c r="D326" s="11" t="s">
        <v>643</v>
      </c>
      <c r="E326" s="12">
        <v>284048.28000000003</v>
      </c>
      <c r="F326" s="12">
        <v>0</v>
      </c>
      <c r="G326" s="12">
        <f t="shared" si="15"/>
        <v>-90043.304760000014</v>
      </c>
      <c r="I326" s="13">
        <f t="shared" si="14"/>
        <v>194004.97524</v>
      </c>
      <c r="K326" s="10"/>
      <c r="M326" s="14"/>
    </row>
    <row r="327" spans="1:13" outlineLevel="2">
      <c r="A327" s="10">
        <f t="shared" si="12"/>
        <v>323</v>
      </c>
      <c r="B327" s="10" t="s">
        <v>602</v>
      </c>
      <c r="C327" s="16" t="s">
        <v>644</v>
      </c>
      <c r="D327" s="11" t="s">
        <v>645</v>
      </c>
      <c r="E327" s="12">
        <v>15293.08</v>
      </c>
      <c r="F327" s="12">
        <v>0</v>
      </c>
      <c r="G327" s="12">
        <f t="shared" si="15"/>
        <v>-4847.9063599999999</v>
      </c>
      <c r="I327" s="13">
        <f t="shared" si="14"/>
        <v>10445.173640000001</v>
      </c>
      <c r="K327" s="10"/>
      <c r="M327" s="14"/>
    </row>
    <row r="328" spans="1:13" outlineLevel="2">
      <c r="A328" s="10">
        <f t="shared" si="12"/>
        <v>324</v>
      </c>
      <c r="B328" s="10" t="s">
        <v>602</v>
      </c>
      <c r="C328" s="16" t="s">
        <v>646</v>
      </c>
      <c r="D328" s="11" t="s">
        <v>647</v>
      </c>
      <c r="E328" s="12">
        <v>735399.34</v>
      </c>
      <c r="F328" s="12">
        <v>0</v>
      </c>
      <c r="G328" s="12">
        <f t="shared" si="15"/>
        <v>-233121.59078</v>
      </c>
      <c r="I328" s="13">
        <f t="shared" si="14"/>
        <v>502277.74922</v>
      </c>
      <c r="K328" s="10"/>
      <c r="M328" s="14"/>
    </row>
    <row r="329" spans="1:13" outlineLevel="2">
      <c r="A329" s="10">
        <f t="shared" si="12"/>
        <v>325</v>
      </c>
      <c r="B329" s="10" t="s">
        <v>602</v>
      </c>
      <c r="C329" s="16" t="s">
        <v>648</v>
      </c>
      <c r="D329" s="11" t="s">
        <v>649</v>
      </c>
      <c r="E329" s="12">
        <v>66872.3</v>
      </c>
      <c r="F329" s="12">
        <v>0</v>
      </c>
      <c r="G329" s="12">
        <f t="shared" si="15"/>
        <v>-21198.519100000001</v>
      </c>
      <c r="I329" s="13">
        <f t="shared" si="14"/>
        <v>45673.780899999998</v>
      </c>
      <c r="K329" s="10"/>
      <c r="M329" s="14"/>
    </row>
    <row r="330" spans="1:13" outlineLevel="2">
      <c r="A330" s="10">
        <f t="shared" si="12"/>
        <v>326</v>
      </c>
      <c r="B330" s="10" t="s">
        <v>602</v>
      </c>
      <c r="C330" s="16" t="s">
        <v>650</v>
      </c>
      <c r="D330" s="11" t="s">
        <v>651</v>
      </c>
      <c r="E330" s="12">
        <v>105280.95</v>
      </c>
      <c r="F330" s="12">
        <v>0</v>
      </c>
      <c r="G330" s="12">
        <f t="shared" si="15"/>
        <v>-33374.061150000001</v>
      </c>
      <c r="I330" s="13">
        <f t="shared" si="14"/>
        <v>71906.888849999988</v>
      </c>
      <c r="K330" s="10"/>
      <c r="M330" s="14"/>
    </row>
    <row r="331" spans="1:13" outlineLevel="2">
      <c r="A331" s="10">
        <f t="shared" si="12"/>
        <v>327</v>
      </c>
      <c r="B331" s="10" t="s">
        <v>602</v>
      </c>
      <c r="C331" s="16" t="s">
        <v>652</v>
      </c>
      <c r="D331" s="11" t="s">
        <v>653</v>
      </c>
      <c r="E331" s="12">
        <v>293101.19</v>
      </c>
      <c r="F331" s="12">
        <v>0</v>
      </c>
      <c r="G331" s="12">
        <f t="shared" si="15"/>
        <v>-92913.077229999995</v>
      </c>
      <c r="I331" s="13">
        <f t="shared" si="14"/>
        <v>200188.11277000001</v>
      </c>
      <c r="K331" s="10"/>
      <c r="M331" s="14"/>
    </row>
    <row r="332" spans="1:13" outlineLevel="2">
      <c r="A332" s="10">
        <f t="shared" ref="A332:A399" si="16">A331+1</f>
        <v>328</v>
      </c>
      <c r="B332" s="10" t="s">
        <v>602</v>
      </c>
      <c r="C332" s="16" t="s">
        <v>654</v>
      </c>
      <c r="D332" s="11" t="s">
        <v>655</v>
      </c>
      <c r="E332" s="12">
        <v>1159069.74</v>
      </c>
      <c r="F332" s="12">
        <v>0</v>
      </c>
      <c r="G332" s="12">
        <f t="shared" si="15"/>
        <v>-367425.10758000001</v>
      </c>
      <c r="I332" s="13">
        <f t="shared" si="14"/>
        <v>791644.63241999992</v>
      </c>
      <c r="K332" s="10"/>
      <c r="M332" s="14"/>
    </row>
    <row r="333" spans="1:13" outlineLevel="2">
      <c r="A333" s="10">
        <f t="shared" si="16"/>
        <v>329</v>
      </c>
      <c r="B333" s="10" t="s">
        <v>602</v>
      </c>
      <c r="C333" s="16" t="s">
        <v>656</v>
      </c>
      <c r="D333" s="11" t="s">
        <v>657</v>
      </c>
      <c r="E333" s="12">
        <v>1399.06</v>
      </c>
      <c r="F333" s="12">
        <v>0</v>
      </c>
      <c r="G333" s="12">
        <f t="shared" si="15"/>
        <v>-443.50202000000002</v>
      </c>
      <c r="I333" s="13">
        <f t="shared" si="14"/>
        <v>955.55797999999993</v>
      </c>
      <c r="K333" s="10"/>
    </row>
    <row r="334" spans="1:13" outlineLevel="2">
      <c r="A334" s="10">
        <f t="shared" si="16"/>
        <v>330</v>
      </c>
      <c r="B334" s="10" t="s">
        <v>602</v>
      </c>
      <c r="C334" s="16" t="s">
        <v>658</v>
      </c>
      <c r="D334" s="11" t="s">
        <v>659</v>
      </c>
      <c r="E334" s="12">
        <v>11106.51</v>
      </c>
      <c r="F334" s="12">
        <v>0</v>
      </c>
      <c r="G334" s="12">
        <f t="shared" si="15"/>
        <v>-3520.7636700000003</v>
      </c>
      <c r="I334" s="13">
        <f t="shared" si="14"/>
        <v>7585.7463299999999</v>
      </c>
      <c r="K334" s="10"/>
      <c r="M334" s="14"/>
    </row>
    <row r="335" spans="1:13" outlineLevel="2">
      <c r="A335" s="10">
        <f t="shared" si="16"/>
        <v>331</v>
      </c>
      <c r="B335" s="10" t="s">
        <v>602</v>
      </c>
      <c r="C335" s="16" t="s">
        <v>660</v>
      </c>
      <c r="D335" s="11" t="s">
        <v>661</v>
      </c>
      <c r="E335" s="12">
        <v>251028.92</v>
      </c>
      <c r="F335" s="12">
        <v>0</v>
      </c>
      <c r="G335" s="12">
        <f>-(E335*$J$308)</f>
        <v>-79576.16764</v>
      </c>
      <c r="I335" s="13">
        <f t="shared" si="14"/>
        <v>171452.75236000001</v>
      </c>
      <c r="K335" s="10"/>
      <c r="M335" s="14"/>
    </row>
    <row r="336" spans="1:13" outlineLevel="2">
      <c r="A336" s="10">
        <f t="shared" si="16"/>
        <v>332</v>
      </c>
      <c r="B336" s="10" t="s">
        <v>602</v>
      </c>
      <c r="C336" s="16" t="s">
        <v>662</v>
      </c>
      <c r="D336" s="11" t="s">
        <v>663</v>
      </c>
      <c r="E336" s="12">
        <v>52564.95</v>
      </c>
      <c r="F336" s="12">
        <v>0</v>
      </c>
      <c r="G336" s="12">
        <f t="shared" si="15"/>
        <v>-16663.08915</v>
      </c>
      <c r="I336" s="13">
        <f t="shared" si="14"/>
        <v>35901.860849999997</v>
      </c>
      <c r="K336" s="10"/>
      <c r="M336" s="14"/>
    </row>
    <row r="337" spans="1:13" outlineLevel="2">
      <c r="A337" s="10">
        <f t="shared" si="16"/>
        <v>333</v>
      </c>
      <c r="B337" s="10" t="s">
        <v>602</v>
      </c>
      <c r="C337" s="16" t="s">
        <v>664</v>
      </c>
      <c r="D337" s="11" t="s">
        <v>665</v>
      </c>
      <c r="E337" s="12">
        <v>1926</v>
      </c>
      <c r="F337" s="12">
        <v>0</v>
      </c>
      <c r="G337" s="12">
        <f t="shared" si="15"/>
        <v>-610.54200000000003</v>
      </c>
      <c r="I337" s="13">
        <f t="shared" si="14"/>
        <v>1315.4580000000001</v>
      </c>
      <c r="K337" s="10"/>
      <c r="M337" s="14"/>
    </row>
    <row r="338" spans="1:13" outlineLevel="2">
      <c r="A338" s="10">
        <f t="shared" si="16"/>
        <v>334</v>
      </c>
      <c r="B338" s="10" t="s">
        <v>602</v>
      </c>
      <c r="C338" s="16" t="s">
        <v>666</v>
      </c>
      <c r="D338" s="11" t="s">
        <v>667</v>
      </c>
      <c r="E338" s="12">
        <v>80620.039999999994</v>
      </c>
      <c r="F338" s="12">
        <v>0</v>
      </c>
      <c r="G338" s="12">
        <f t="shared" si="15"/>
        <v>-25556.552679999997</v>
      </c>
      <c r="I338" s="13">
        <f t="shared" si="14"/>
        <v>55063.48732</v>
      </c>
      <c r="K338" s="10"/>
      <c r="M338" s="14"/>
    </row>
    <row r="339" spans="1:13" outlineLevel="2">
      <c r="A339" s="10">
        <f t="shared" si="16"/>
        <v>335</v>
      </c>
      <c r="B339" s="10" t="s">
        <v>602</v>
      </c>
      <c r="C339" s="16" t="s">
        <v>668</v>
      </c>
      <c r="D339" s="11" t="s">
        <v>669</v>
      </c>
      <c r="E339" s="12">
        <v>63659.87</v>
      </c>
      <c r="F339" s="12">
        <v>0</v>
      </c>
      <c r="G339" s="12">
        <f t="shared" si="15"/>
        <v>-20180.178790000002</v>
      </c>
      <c r="I339" s="13">
        <f t="shared" si="14"/>
        <v>43479.691210000005</v>
      </c>
      <c r="K339" s="10"/>
      <c r="M339" s="14"/>
    </row>
    <row r="340" spans="1:13" outlineLevel="2">
      <c r="A340" s="10">
        <f t="shared" si="16"/>
        <v>336</v>
      </c>
      <c r="B340" s="10" t="s">
        <v>602</v>
      </c>
      <c r="C340" s="16" t="s">
        <v>670</v>
      </c>
      <c r="D340" s="11" t="s">
        <v>671</v>
      </c>
      <c r="E340" s="12">
        <v>273047.09999999998</v>
      </c>
      <c r="F340" s="12">
        <v>0</v>
      </c>
      <c r="G340" s="12">
        <f t="shared" si="15"/>
        <v>-86555.930699999997</v>
      </c>
      <c r="I340" s="13">
        <f t="shared" si="14"/>
        <v>186491.16929999998</v>
      </c>
      <c r="K340" s="10"/>
      <c r="M340" s="14"/>
    </row>
    <row r="341" spans="1:13" outlineLevel="2">
      <c r="A341" s="10">
        <f t="shared" si="16"/>
        <v>337</v>
      </c>
      <c r="B341" s="10" t="s">
        <v>602</v>
      </c>
      <c r="C341" s="16" t="s">
        <v>672</v>
      </c>
      <c r="D341" s="11" t="s">
        <v>673</v>
      </c>
      <c r="E341" s="12">
        <v>518897.76</v>
      </c>
      <c r="F341" s="12">
        <v>0</v>
      </c>
      <c r="G341" s="12">
        <f t="shared" si="15"/>
        <v>-164490.58992</v>
      </c>
      <c r="I341" s="13">
        <f t="shared" si="14"/>
        <v>354407.17008000001</v>
      </c>
      <c r="K341" s="10"/>
      <c r="M341" s="14"/>
    </row>
    <row r="342" spans="1:13" outlineLevel="2">
      <c r="A342" s="10">
        <f t="shared" si="16"/>
        <v>338</v>
      </c>
      <c r="B342" s="10" t="s">
        <v>602</v>
      </c>
      <c r="C342" s="16" t="s">
        <v>674</v>
      </c>
      <c r="D342" s="11" t="s">
        <v>675</v>
      </c>
      <c r="E342" s="12">
        <v>882795.2</v>
      </c>
      <c r="F342" s="12">
        <v>0</v>
      </c>
      <c r="G342" s="12">
        <f t="shared" si="15"/>
        <v>-279846.0784</v>
      </c>
      <c r="I342" s="13">
        <f t="shared" si="14"/>
        <v>602949.12159999995</v>
      </c>
      <c r="K342" s="10"/>
      <c r="M342" s="14"/>
    </row>
    <row r="343" spans="1:13" outlineLevel="2">
      <c r="A343" s="10">
        <f t="shared" si="16"/>
        <v>339</v>
      </c>
      <c r="B343" s="10" t="s">
        <v>602</v>
      </c>
      <c r="C343" s="16" t="s">
        <v>676</v>
      </c>
      <c r="D343" s="11" t="s">
        <v>677</v>
      </c>
      <c r="E343" s="12">
        <v>399366.77</v>
      </c>
      <c r="F343" s="12">
        <v>0</v>
      </c>
      <c r="G343" s="12">
        <f t="shared" si="15"/>
        <v>-126599.26609</v>
      </c>
      <c r="I343" s="13">
        <f t="shared" si="14"/>
        <v>272767.50391000003</v>
      </c>
      <c r="K343" s="10"/>
      <c r="M343" s="14"/>
    </row>
    <row r="344" spans="1:13" outlineLevel="2">
      <c r="A344" s="10">
        <f t="shared" si="16"/>
        <v>340</v>
      </c>
      <c r="B344" s="10" t="s">
        <v>602</v>
      </c>
      <c r="C344" s="16" t="s">
        <v>678</v>
      </c>
      <c r="D344" s="11" t="s">
        <v>679</v>
      </c>
      <c r="E344" s="12">
        <v>79113.22</v>
      </c>
      <c r="F344" s="12">
        <v>0</v>
      </c>
      <c r="G344" s="12">
        <f t="shared" si="15"/>
        <v>-25078.890739999999</v>
      </c>
      <c r="I344" s="13">
        <f t="shared" si="14"/>
        <v>54034.329259999999</v>
      </c>
      <c r="K344" s="10"/>
      <c r="M344" s="14"/>
    </row>
    <row r="345" spans="1:13" outlineLevel="2">
      <c r="A345" s="10">
        <f t="shared" si="16"/>
        <v>341</v>
      </c>
      <c r="B345" s="10" t="s">
        <v>602</v>
      </c>
      <c r="C345" s="16" t="s">
        <v>680</v>
      </c>
      <c r="D345" s="11" t="s">
        <v>681</v>
      </c>
      <c r="E345" s="12">
        <v>1821.43</v>
      </c>
      <c r="F345" s="12">
        <v>0</v>
      </c>
      <c r="G345" s="12">
        <f t="shared" si="15"/>
        <v>-577.39331000000004</v>
      </c>
      <c r="I345" s="13">
        <f t="shared" si="14"/>
        <v>1244.0366899999999</v>
      </c>
      <c r="K345" s="10"/>
      <c r="M345" s="14"/>
    </row>
    <row r="346" spans="1:13" outlineLevel="2">
      <c r="A346" s="10">
        <f t="shared" si="16"/>
        <v>342</v>
      </c>
      <c r="B346" s="10" t="s">
        <v>602</v>
      </c>
      <c r="C346" s="16" t="s">
        <v>682</v>
      </c>
      <c r="D346" s="11" t="s">
        <v>683</v>
      </c>
      <c r="E346" s="12">
        <v>75189.87</v>
      </c>
      <c r="F346" s="12">
        <v>0</v>
      </c>
      <c r="G346" s="12">
        <f t="shared" si="15"/>
        <v>-23835.18879</v>
      </c>
      <c r="I346" s="13">
        <f t="shared" si="14"/>
        <v>51354.681209999995</v>
      </c>
      <c r="K346" s="10"/>
      <c r="M346" s="14"/>
    </row>
    <row r="347" spans="1:13" outlineLevel="2">
      <c r="A347" s="10">
        <f t="shared" si="16"/>
        <v>343</v>
      </c>
      <c r="B347" s="10" t="s">
        <v>602</v>
      </c>
      <c r="C347" s="16" t="s">
        <v>684</v>
      </c>
      <c r="D347" s="11" t="s">
        <v>685</v>
      </c>
      <c r="E347" s="12">
        <v>147040.89000000001</v>
      </c>
      <c r="F347" s="12">
        <v>0</v>
      </c>
      <c r="G347" s="12">
        <f t="shared" si="15"/>
        <v>-46611.962130000007</v>
      </c>
      <c r="I347" s="13">
        <f t="shared" si="14"/>
        <v>100428.92787000001</v>
      </c>
      <c r="K347" s="10"/>
      <c r="M347" s="14"/>
    </row>
    <row r="348" spans="1:13" outlineLevel="2">
      <c r="A348" s="10">
        <f t="shared" si="16"/>
        <v>344</v>
      </c>
      <c r="B348" s="10" t="s">
        <v>602</v>
      </c>
      <c r="C348" s="16" t="s">
        <v>686</v>
      </c>
      <c r="D348" s="11" t="s">
        <v>687</v>
      </c>
      <c r="E348" s="12">
        <v>231893.37</v>
      </c>
      <c r="F348" s="12">
        <v>0</v>
      </c>
      <c r="G348" s="12">
        <f>-(E348*$J$308)</f>
        <v>-73510.19829</v>
      </c>
      <c r="I348" s="13">
        <f t="shared" si="14"/>
        <v>158383.17171</v>
      </c>
      <c r="K348" s="10"/>
      <c r="M348" s="14"/>
    </row>
    <row r="349" spans="1:13" outlineLevel="2">
      <c r="A349" s="10">
        <f t="shared" si="16"/>
        <v>345</v>
      </c>
      <c r="B349" s="10" t="s">
        <v>602</v>
      </c>
      <c r="C349" s="16" t="s">
        <v>688</v>
      </c>
      <c r="D349" s="11" t="s">
        <v>689</v>
      </c>
      <c r="E349" s="12">
        <v>165480.70000000001</v>
      </c>
      <c r="F349" s="12">
        <v>0</v>
      </c>
      <c r="G349" s="12">
        <f t="shared" si="15"/>
        <v>-52457.381900000008</v>
      </c>
      <c r="I349" s="13">
        <f t="shared" si="14"/>
        <v>113023.3181</v>
      </c>
      <c r="K349" s="10"/>
      <c r="M349" s="14"/>
    </row>
    <row r="350" spans="1:13" outlineLevel="2">
      <c r="A350" s="10">
        <f t="shared" si="16"/>
        <v>346</v>
      </c>
      <c r="B350" s="10" t="s">
        <v>602</v>
      </c>
      <c r="C350" s="16" t="s">
        <v>690</v>
      </c>
      <c r="D350" s="11" t="s">
        <v>691</v>
      </c>
      <c r="E350" s="12">
        <v>962213.42</v>
      </c>
      <c r="F350" s="12">
        <v>0</v>
      </c>
      <c r="G350" s="12">
        <f t="shared" si="15"/>
        <v>-305021.65414</v>
      </c>
      <c r="I350" s="13">
        <f t="shared" si="14"/>
        <v>657191.76586000004</v>
      </c>
      <c r="K350" s="10"/>
      <c r="M350" s="14"/>
    </row>
    <row r="351" spans="1:13" outlineLevel="2">
      <c r="A351" s="10">
        <f t="shared" si="16"/>
        <v>347</v>
      </c>
      <c r="B351" s="10" t="s">
        <v>602</v>
      </c>
      <c r="C351" s="16" t="s">
        <v>692</v>
      </c>
      <c r="D351" s="11" t="s">
        <v>693</v>
      </c>
      <c r="E351" s="12">
        <v>204548</v>
      </c>
      <c r="F351" s="12">
        <v>0</v>
      </c>
      <c r="G351" s="12">
        <f t="shared" si="15"/>
        <v>-64841.716</v>
      </c>
      <c r="I351" s="13">
        <f t="shared" si="14"/>
        <v>139706.28399999999</v>
      </c>
      <c r="K351" s="10"/>
      <c r="M351" s="14"/>
    </row>
    <row r="352" spans="1:13" outlineLevel="2">
      <c r="A352" s="10">
        <f t="shared" si="16"/>
        <v>348</v>
      </c>
      <c r="B352" s="10" t="s">
        <v>602</v>
      </c>
      <c r="C352" s="16" t="s">
        <v>694</v>
      </c>
      <c r="D352" s="11" t="s">
        <v>695</v>
      </c>
      <c r="E352" s="12">
        <v>99569.22</v>
      </c>
      <c r="F352" s="12">
        <v>0</v>
      </c>
      <c r="G352" s="12">
        <f t="shared" si="15"/>
        <v>-31563.442740000002</v>
      </c>
      <c r="I352" s="13">
        <f t="shared" si="14"/>
        <v>68005.777260000003</v>
      </c>
      <c r="K352" s="10"/>
      <c r="M352" s="14"/>
    </row>
    <row r="353" spans="1:13" outlineLevel="2">
      <c r="A353" s="10">
        <f t="shared" si="16"/>
        <v>349</v>
      </c>
      <c r="B353" s="10" t="s">
        <v>602</v>
      </c>
      <c r="C353" s="16" t="s">
        <v>696</v>
      </c>
      <c r="D353" s="11" t="s">
        <v>697</v>
      </c>
      <c r="E353" s="12">
        <v>2527</v>
      </c>
      <c r="F353" s="12">
        <v>0</v>
      </c>
      <c r="G353" s="12">
        <f t="shared" si="15"/>
        <v>-801.05899999999997</v>
      </c>
      <c r="I353" s="13">
        <f t="shared" si="14"/>
        <v>1725.941</v>
      </c>
      <c r="K353" s="10"/>
      <c r="M353" s="14"/>
    </row>
    <row r="354" spans="1:13" outlineLevel="2">
      <c r="A354" s="10">
        <f t="shared" si="16"/>
        <v>350</v>
      </c>
      <c r="B354" s="10" t="s">
        <v>602</v>
      </c>
      <c r="C354" s="16" t="s">
        <v>698</v>
      </c>
      <c r="D354" s="11" t="s">
        <v>699</v>
      </c>
      <c r="E354" s="12">
        <v>76407.48</v>
      </c>
      <c r="F354" s="12">
        <v>0</v>
      </c>
      <c r="G354" s="12">
        <f t="shared" si="15"/>
        <v>-24221.171159999998</v>
      </c>
      <c r="I354" s="13">
        <f t="shared" si="14"/>
        <v>52186.308839999998</v>
      </c>
      <c r="K354" s="10"/>
      <c r="M354" s="14"/>
    </row>
    <row r="355" spans="1:13" outlineLevel="2">
      <c r="A355" s="10">
        <f t="shared" si="16"/>
        <v>351</v>
      </c>
      <c r="B355" s="10" t="s">
        <v>602</v>
      </c>
      <c r="C355" s="16" t="s">
        <v>700</v>
      </c>
      <c r="D355" s="11" t="s">
        <v>701</v>
      </c>
      <c r="E355" s="12">
        <v>206549.66</v>
      </c>
      <c r="F355" s="12">
        <v>0</v>
      </c>
      <c r="G355" s="12">
        <f t="shared" si="15"/>
        <v>-65476.24222</v>
      </c>
      <c r="I355" s="13">
        <f t="shared" si="14"/>
        <v>141073.41778000002</v>
      </c>
      <c r="K355" s="10"/>
      <c r="M355" s="14"/>
    </row>
    <row r="356" spans="1:13" outlineLevel="2">
      <c r="A356" s="10">
        <f t="shared" si="16"/>
        <v>352</v>
      </c>
      <c r="B356" s="10" t="s">
        <v>602</v>
      </c>
      <c r="C356" s="16" t="s">
        <v>702</v>
      </c>
      <c r="D356" s="11" t="s">
        <v>703</v>
      </c>
      <c r="E356" s="12">
        <v>212943.86</v>
      </c>
      <c r="F356" s="12">
        <v>0</v>
      </c>
      <c r="G356" s="12">
        <f t="shared" si="15"/>
        <v>-67503.20362</v>
      </c>
      <c r="I356" s="13">
        <f t="shared" si="14"/>
        <v>145440.65638</v>
      </c>
      <c r="K356" s="10"/>
      <c r="M356" s="14"/>
    </row>
    <row r="357" spans="1:13" outlineLevel="2">
      <c r="A357" s="10">
        <f t="shared" si="16"/>
        <v>353</v>
      </c>
      <c r="B357" s="10" t="s">
        <v>602</v>
      </c>
      <c r="C357" s="16" t="s">
        <v>2372</v>
      </c>
      <c r="D357" s="11" t="s">
        <v>2373</v>
      </c>
      <c r="E357" s="12">
        <v>21003.3</v>
      </c>
      <c r="G357" s="12">
        <f t="shared" si="15"/>
        <v>-6658.0460999999996</v>
      </c>
      <c r="I357" s="13">
        <f t="shared" si="14"/>
        <v>14345.2539</v>
      </c>
      <c r="K357" s="10"/>
      <c r="M357" s="14"/>
    </row>
    <row r="358" spans="1:13" outlineLevel="2">
      <c r="A358" s="10">
        <f t="shared" si="16"/>
        <v>354</v>
      </c>
      <c r="B358" s="10" t="s">
        <v>602</v>
      </c>
      <c r="C358" s="16" t="s">
        <v>704</v>
      </c>
      <c r="D358" s="11" t="s">
        <v>705</v>
      </c>
      <c r="E358" s="12">
        <v>507269.59</v>
      </c>
      <c r="F358" s="12">
        <v>0</v>
      </c>
      <c r="G358" s="12">
        <f>-(E358*$J$308)</f>
        <v>-160804.46003000002</v>
      </c>
      <c r="I358" s="13">
        <f t="shared" si="14"/>
        <v>346465.12997000001</v>
      </c>
      <c r="K358" s="10"/>
      <c r="M358" s="14"/>
    </row>
    <row r="359" spans="1:13" outlineLevel="2">
      <c r="A359" s="10">
        <f t="shared" si="16"/>
        <v>355</v>
      </c>
      <c r="B359" s="10" t="s">
        <v>602</v>
      </c>
      <c r="C359" s="16" t="s">
        <v>706</v>
      </c>
      <c r="D359" s="11" t="s">
        <v>707</v>
      </c>
      <c r="E359" s="12">
        <v>68763.06</v>
      </c>
      <c r="F359" s="12">
        <v>0</v>
      </c>
      <c r="G359" s="12">
        <f t="shared" si="15"/>
        <v>-21797.890019999999</v>
      </c>
      <c r="I359" s="13">
        <f t="shared" si="14"/>
        <v>46965.169979999999</v>
      </c>
      <c r="K359" s="10"/>
      <c r="M359" s="14"/>
    </row>
    <row r="360" spans="1:13" outlineLevel="2">
      <c r="A360" s="10">
        <f t="shared" si="16"/>
        <v>356</v>
      </c>
      <c r="B360" s="10" t="s">
        <v>602</v>
      </c>
      <c r="C360" s="16" t="s">
        <v>708</v>
      </c>
      <c r="D360" s="11" t="s">
        <v>709</v>
      </c>
      <c r="E360" s="12">
        <v>114124.35</v>
      </c>
      <c r="F360" s="12">
        <v>0</v>
      </c>
      <c r="G360" s="12">
        <f t="shared" si="15"/>
        <v>-36177.418949999999</v>
      </c>
      <c r="I360" s="13">
        <f t="shared" si="14"/>
        <v>77946.931050000014</v>
      </c>
      <c r="K360" s="10"/>
      <c r="M360" s="14"/>
    </row>
    <row r="361" spans="1:13" outlineLevel="2">
      <c r="A361" s="10">
        <f t="shared" si="16"/>
        <v>357</v>
      </c>
      <c r="B361" s="10" t="s">
        <v>602</v>
      </c>
      <c r="C361" s="16" t="s">
        <v>477</v>
      </c>
      <c r="D361" s="11" t="s">
        <v>478</v>
      </c>
      <c r="E361" s="12">
        <v>130348.08</v>
      </c>
      <c r="F361" s="12">
        <v>0</v>
      </c>
      <c r="G361" s="12">
        <f t="shared" si="15"/>
        <v>-41320.341359999999</v>
      </c>
      <c r="I361" s="13">
        <f t="shared" si="14"/>
        <v>89027.738639999996</v>
      </c>
      <c r="K361" s="10"/>
      <c r="M361" s="14"/>
    </row>
    <row r="362" spans="1:13" outlineLevel="2">
      <c r="A362" s="10">
        <f t="shared" si="16"/>
        <v>358</v>
      </c>
      <c r="B362" s="10" t="s">
        <v>602</v>
      </c>
      <c r="C362" s="16" t="s">
        <v>710</v>
      </c>
      <c r="D362" s="11" t="s">
        <v>711</v>
      </c>
      <c r="E362" s="12">
        <v>326153.21000000002</v>
      </c>
      <c r="F362" s="12">
        <v>0</v>
      </c>
      <c r="G362" s="12">
        <f t="shared" si="15"/>
        <v>-103390.56757000001</v>
      </c>
      <c r="I362" s="13">
        <f t="shared" si="14"/>
        <v>222762.64243000001</v>
      </c>
      <c r="K362" s="10"/>
      <c r="M362" s="14"/>
    </row>
    <row r="363" spans="1:13" outlineLevel="2">
      <c r="A363" s="10">
        <f t="shared" si="16"/>
        <v>359</v>
      </c>
      <c r="B363" s="10" t="s">
        <v>602</v>
      </c>
      <c r="C363" s="16" t="s">
        <v>712</v>
      </c>
      <c r="D363" s="11" t="s">
        <v>713</v>
      </c>
      <c r="E363" s="12">
        <v>380212.21</v>
      </c>
      <c r="F363" s="12">
        <v>0</v>
      </c>
      <c r="G363" s="12">
        <f t="shared" si="15"/>
        <v>-120527.27057000001</v>
      </c>
      <c r="I363" s="13">
        <f t="shared" si="14"/>
        <v>259684.93943000003</v>
      </c>
      <c r="K363" s="10"/>
      <c r="M363" s="14"/>
    </row>
    <row r="364" spans="1:13" outlineLevel="2">
      <c r="A364" s="10">
        <f t="shared" si="16"/>
        <v>360</v>
      </c>
      <c r="B364" s="10" t="s">
        <v>602</v>
      </c>
      <c r="C364" s="16" t="s">
        <v>714</v>
      </c>
      <c r="D364" s="11" t="s">
        <v>715</v>
      </c>
      <c r="E364" s="12">
        <v>109068.74</v>
      </c>
      <c r="F364" s="12">
        <v>0</v>
      </c>
      <c r="G364" s="12">
        <f t="shared" si="15"/>
        <v>-34574.790580000001</v>
      </c>
      <c r="I364" s="13">
        <f t="shared" si="14"/>
        <v>74493.949420000004</v>
      </c>
      <c r="K364" s="10"/>
      <c r="M364" s="14"/>
    </row>
    <row r="365" spans="1:13" outlineLevel="2">
      <c r="A365" s="10">
        <f t="shared" si="16"/>
        <v>361</v>
      </c>
      <c r="B365" s="10" t="s">
        <v>602</v>
      </c>
      <c r="C365" s="16" t="s">
        <v>2374</v>
      </c>
      <c r="D365" s="11" t="s">
        <v>2375</v>
      </c>
      <c r="E365" s="12">
        <v>785698.39</v>
      </c>
      <c r="G365" s="12">
        <f t="shared" si="15"/>
        <v>-249066.38963000002</v>
      </c>
      <c r="I365" s="13">
        <f t="shared" si="14"/>
        <v>536632.00037000002</v>
      </c>
      <c r="K365" s="10"/>
      <c r="M365" s="14"/>
    </row>
    <row r="366" spans="1:13" outlineLevel="2">
      <c r="A366" s="10">
        <f t="shared" si="16"/>
        <v>362</v>
      </c>
      <c r="B366" s="10" t="s">
        <v>602</v>
      </c>
      <c r="C366" s="16" t="s">
        <v>716</v>
      </c>
      <c r="D366" s="11" t="s">
        <v>717</v>
      </c>
      <c r="E366" s="12">
        <v>99222.88</v>
      </c>
      <c r="F366" s="12">
        <v>0</v>
      </c>
      <c r="G366" s="12">
        <f t="shared" si="15"/>
        <v>-31453.652960000003</v>
      </c>
      <c r="I366" s="13">
        <f t="shared" si="14"/>
        <v>67769.227039999998</v>
      </c>
      <c r="K366" s="10"/>
      <c r="M366" s="14"/>
    </row>
    <row r="367" spans="1:13" outlineLevel="2">
      <c r="A367" s="10">
        <f t="shared" si="16"/>
        <v>363</v>
      </c>
      <c r="B367" s="10" t="s">
        <v>602</v>
      </c>
      <c r="C367" s="16" t="s">
        <v>718</v>
      </c>
      <c r="D367" s="11" t="s">
        <v>719</v>
      </c>
      <c r="E367" s="12">
        <v>301613.96999999997</v>
      </c>
      <c r="F367" s="12">
        <v>0</v>
      </c>
      <c r="G367" s="12">
        <f t="shared" si="15"/>
        <v>-95611.628489999988</v>
      </c>
      <c r="I367" s="13">
        <f t="shared" si="14"/>
        <v>206002.34151</v>
      </c>
      <c r="K367" s="10"/>
      <c r="M367" s="14"/>
    </row>
    <row r="368" spans="1:13" outlineLevel="2">
      <c r="A368" s="10">
        <f t="shared" si="16"/>
        <v>364</v>
      </c>
      <c r="B368" s="10" t="s">
        <v>602</v>
      </c>
      <c r="C368" s="16" t="s">
        <v>720</v>
      </c>
      <c r="D368" s="11" t="s">
        <v>721</v>
      </c>
      <c r="E368" s="12">
        <v>423094</v>
      </c>
      <c r="F368" s="12">
        <v>0</v>
      </c>
      <c r="G368" s="12">
        <f t="shared" si="15"/>
        <v>-134120.79800000001</v>
      </c>
      <c r="I368" s="13">
        <f t="shared" si="14"/>
        <v>288973.20199999999</v>
      </c>
      <c r="K368" s="10"/>
      <c r="M368" s="14"/>
    </row>
    <row r="369" spans="1:13" outlineLevel="2">
      <c r="A369" s="10">
        <f t="shared" si="16"/>
        <v>365</v>
      </c>
      <c r="B369" s="10" t="s">
        <v>602</v>
      </c>
      <c r="C369" s="16" t="s">
        <v>722</v>
      </c>
      <c r="D369" s="11" t="s">
        <v>723</v>
      </c>
      <c r="E369" s="12">
        <v>61203.72</v>
      </c>
      <c r="F369" s="12">
        <v>0</v>
      </c>
      <c r="G369" s="12">
        <f t="shared" si="15"/>
        <v>-19401.579239999999</v>
      </c>
      <c r="I369" s="13">
        <f t="shared" si="14"/>
        <v>41802.140760000002</v>
      </c>
      <c r="K369" s="10"/>
      <c r="M369" s="14"/>
    </row>
    <row r="370" spans="1:13" outlineLevel="2">
      <c r="A370" s="10">
        <f t="shared" si="16"/>
        <v>366</v>
      </c>
      <c r="B370" s="10" t="s">
        <v>602</v>
      </c>
      <c r="C370" s="16" t="s">
        <v>724</v>
      </c>
      <c r="D370" s="11" t="s">
        <v>725</v>
      </c>
      <c r="E370" s="12">
        <v>303953.87</v>
      </c>
      <c r="F370" s="12">
        <v>0</v>
      </c>
      <c r="G370" s="12">
        <f t="shared" si="15"/>
        <v>-96353.376789999995</v>
      </c>
      <c r="I370" s="13">
        <f t="shared" si="14"/>
        <v>207600.49320999999</v>
      </c>
      <c r="K370" s="10"/>
      <c r="M370" s="14"/>
    </row>
    <row r="371" spans="1:13" outlineLevel="2">
      <c r="A371" s="10">
        <f t="shared" si="16"/>
        <v>367</v>
      </c>
      <c r="B371" s="10" t="s">
        <v>602</v>
      </c>
      <c r="C371" s="16" t="s">
        <v>726</v>
      </c>
      <c r="D371" s="11" t="s">
        <v>727</v>
      </c>
      <c r="E371" s="12">
        <v>80798.66</v>
      </c>
      <c r="F371" s="12">
        <v>0</v>
      </c>
      <c r="G371" s="12">
        <f>-(E371*$J$308)</f>
        <v>-25613.175220000001</v>
      </c>
      <c r="I371" s="13">
        <f t="shared" si="14"/>
        <v>55185.484779999999</v>
      </c>
      <c r="K371" s="10"/>
      <c r="M371" s="14"/>
    </row>
    <row r="372" spans="1:13" outlineLevel="2">
      <c r="A372" s="10">
        <f t="shared" si="16"/>
        <v>368</v>
      </c>
      <c r="B372" s="10" t="s">
        <v>602</v>
      </c>
      <c r="C372" s="16" t="s">
        <v>728</v>
      </c>
      <c r="D372" s="11" t="s">
        <v>729</v>
      </c>
      <c r="E372" s="12">
        <v>148752.31</v>
      </c>
      <c r="F372" s="12">
        <v>0</v>
      </c>
      <c r="G372" s="12">
        <f t="shared" si="15"/>
        <v>-47154.48227</v>
      </c>
      <c r="I372" s="13">
        <f t="shared" si="14"/>
        <v>101597.82772999999</v>
      </c>
      <c r="K372" s="10"/>
      <c r="M372" s="14"/>
    </row>
    <row r="373" spans="1:13" outlineLevel="2">
      <c r="A373" s="10">
        <f t="shared" si="16"/>
        <v>369</v>
      </c>
      <c r="B373" s="10" t="s">
        <v>602</v>
      </c>
      <c r="C373" s="16" t="s">
        <v>730</v>
      </c>
      <c r="D373" s="11" t="s">
        <v>731</v>
      </c>
      <c r="E373" s="12">
        <v>315049.13</v>
      </c>
      <c r="F373" s="12">
        <v>0</v>
      </c>
      <c r="G373" s="12">
        <f t="shared" si="15"/>
        <v>-99870.574210000006</v>
      </c>
      <c r="I373" s="13">
        <f t="shared" ref="I373:I437" si="17">SUM(E373:G373)</f>
        <v>215178.55579000001</v>
      </c>
      <c r="K373" s="10"/>
      <c r="M373" s="14"/>
    </row>
    <row r="374" spans="1:13" outlineLevel="2">
      <c r="A374" s="10">
        <f t="shared" si="16"/>
        <v>370</v>
      </c>
      <c r="B374" s="10" t="s">
        <v>602</v>
      </c>
      <c r="C374" s="16" t="s">
        <v>732</v>
      </c>
      <c r="D374" s="11" t="s">
        <v>733</v>
      </c>
      <c r="E374" s="12">
        <v>368770.93</v>
      </c>
      <c r="F374" s="12">
        <v>0</v>
      </c>
      <c r="G374" s="12">
        <f t="shared" si="15"/>
        <v>-116900.38481</v>
      </c>
      <c r="I374" s="13">
        <f t="shared" si="17"/>
        <v>251870.54518999998</v>
      </c>
      <c r="K374" s="10"/>
      <c r="M374" s="14"/>
    </row>
    <row r="375" spans="1:13" outlineLevel="2">
      <c r="A375" s="10">
        <f t="shared" si="16"/>
        <v>371</v>
      </c>
      <c r="B375" s="10" t="s">
        <v>602</v>
      </c>
      <c r="C375" s="16" t="s">
        <v>734</v>
      </c>
      <c r="D375" s="11" t="s">
        <v>735</v>
      </c>
      <c r="E375" s="12">
        <v>272857.44</v>
      </c>
      <c r="F375" s="12">
        <v>0</v>
      </c>
      <c r="G375" s="12">
        <f t="shared" ref="G375:G397" si="18">-(E375*$J$308)</f>
        <v>-86495.808480000007</v>
      </c>
      <c r="I375" s="13">
        <f t="shared" si="17"/>
        <v>186361.63152</v>
      </c>
      <c r="K375" s="10"/>
      <c r="M375" s="14"/>
    </row>
    <row r="376" spans="1:13" outlineLevel="2">
      <c r="A376" s="10">
        <f t="shared" si="16"/>
        <v>372</v>
      </c>
      <c r="B376" s="10" t="s">
        <v>602</v>
      </c>
      <c r="C376" s="16" t="s">
        <v>736</v>
      </c>
      <c r="D376" s="11" t="s">
        <v>737</v>
      </c>
      <c r="E376" s="12">
        <v>23846.98</v>
      </c>
      <c r="F376" s="12">
        <v>0</v>
      </c>
      <c r="G376" s="12">
        <f t="shared" si="18"/>
        <v>-7559.4926599999999</v>
      </c>
      <c r="I376" s="13">
        <f t="shared" si="17"/>
        <v>16287.48734</v>
      </c>
      <c r="K376" s="10"/>
      <c r="M376" s="14"/>
    </row>
    <row r="377" spans="1:13" outlineLevel="2">
      <c r="A377" s="10">
        <f t="shared" si="16"/>
        <v>373</v>
      </c>
      <c r="B377" s="10" t="s">
        <v>602</v>
      </c>
      <c r="C377" s="16" t="s">
        <v>2274</v>
      </c>
      <c r="D377" s="11" t="s">
        <v>2273</v>
      </c>
      <c r="E377" s="12">
        <v>736184.44</v>
      </c>
      <c r="G377" s="12">
        <f t="shared" si="18"/>
        <v>-233370.46747999999</v>
      </c>
      <c r="I377" s="13">
        <f t="shared" si="17"/>
        <v>502813.97251999995</v>
      </c>
      <c r="K377" s="10"/>
      <c r="M377" s="14"/>
    </row>
    <row r="378" spans="1:13" outlineLevel="2">
      <c r="A378" s="10">
        <f t="shared" si="16"/>
        <v>374</v>
      </c>
      <c r="B378" s="10" t="s">
        <v>602</v>
      </c>
      <c r="C378" s="16" t="s">
        <v>738</v>
      </c>
      <c r="D378" s="11" t="s">
        <v>739</v>
      </c>
      <c r="E378" s="12">
        <v>74835.460000000006</v>
      </c>
      <c r="F378" s="12">
        <v>0</v>
      </c>
      <c r="G378" s="12">
        <f t="shared" si="18"/>
        <v>-23722.840820000001</v>
      </c>
      <c r="I378" s="13">
        <f t="shared" si="17"/>
        <v>51112.619180000009</v>
      </c>
      <c r="K378" s="10"/>
      <c r="M378" s="14"/>
    </row>
    <row r="379" spans="1:13" outlineLevel="2">
      <c r="A379" s="10">
        <f t="shared" si="16"/>
        <v>375</v>
      </c>
      <c r="B379" s="10" t="s">
        <v>602</v>
      </c>
      <c r="C379" s="16" t="s">
        <v>740</v>
      </c>
      <c r="D379" s="11" t="s">
        <v>741</v>
      </c>
      <c r="E379" s="12">
        <v>109706.08</v>
      </c>
      <c r="F379" s="12">
        <v>0</v>
      </c>
      <c r="G379" s="12">
        <f t="shared" si="18"/>
        <v>-34776.827360000003</v>
      </c>
      <c r="I379" s="13">
        <f t="shared" si="17"/>
        <v>74929.252639999992</v>
      </c>
      <c r="K379" s="10"/>
      <c r="M379" s="14"/>
    </row>
    <row r="380" spans="1:13" outlineLevel="2">
      <c r="A380" s="10">
        <f t="shared" si="16"/>
        <v>376</v>
      </c>
      <c r="B380" s="10" t="s">
        <v>602</v>
      </c>
      <c r="C380" s="16" t="s">
        <v>742</v>
      </c>
      <c r="D380" s="11" t="s">
        <v>743</v>
      </c>
      <c r="E380" s="12">
        <v>882588.11</v>
      </c>
      <c r="F380" s="12">
        <v>0</v>
      </c>
      <c r="G380" s="12">
        <f t="shared" si="18"/>
        <v>-279780.43086999998</v>
      </c>
      <c r="I380" s="13">
        <f t="shared" si="17"/>
        <v>602807.67913000006</v>
      </c>
      <c r="K380" s="10"/>
      <c r="M380" s="14"/>
    </row>
    <row r="381" spans="1:13" outlineLevel="2">
      <c r="A381" s="10">
        <f t="shared" si="16"/>
        <v>377</v>
      </c>
      <c r="B381" s="10" t="s">
        <v>602</v>
      </c>
      <c r="C381" s="16" t="s">
        <v>744</v>
      </c>
      <c r="D381" s="11" t="s">
        <v>745</v>
      </c>
      <c r="E381" s="12">
        <v>68891.070000000007</v>
      </c>
      <c r="F381" s="12">
        <v>0</v>
      </c>
      <c r="G381" s="12">
        <f t="shared" si="18"/>
        <v>-21838.469190000003</v>
      </c>
      <c r="I381" s="13">
        <f t="shared" si="17"/>
        <v>47052.600810000004</v>
      </c>
      <c r="K381" s="10"/>
      <c r="M381" s="14"/>
    </row>
    <row r="382" spans="1:13" outlineLevel="2">
      <c r="A382" s="10">
        <f t="shared" si="16"/>
        <v>378</v>
      </c>
      <c r="B382" s="10" t="s">
        <v>602</v>
      </c>
      <c r="C382" s="16" t="s">
        <v>746</v>
      </c>
      <c r="D382" s="11" t="s">
        <v>747</v>
      </c>
      <c r="E382" s="12">
        <v>302700.90999999997</v>
      </c>
      <c r="F382" s="12">
        <v>0</v>
      </c>
      <c r="G382" s="12">
        <f t="shared" si="18"/>
        <v>-95956.188469999994</v>
      </c>
      <c r="I382" s="13">
        <f t="shared" si="17"/>
        <v>206744.72152999998</v>
      </c>
      <c r="K382" s="10"/>
      <c r="M382" s="14"/>
    </row>
    <row r="383" spans="1:13" outlineLevel="2">
      <c r="A383" s="10">
        <f t="shared" si="16"/>
        <v>379</v>
      </c>
      <c r="B383" s="10" t="s">
        <v>602</v>
      </c>
      <c r="C383" s="16" t="s">
        <v>748</v>
      </c>
      <c r="D383" s="11" t="s">
        <v>749</v>
      </c>
      <c r="E383" s="12">
        <v>22883.759999999998</v>
      </c>
      <c r="F383" s="12">
        <v>0</v>
      </c>
      <c r="G383" s="12">
        <f t="shared" si="18"/>
        <v>-7254.1519199999993</v>
      </c>
      <c r="I383" s="13">
        <f t="shared" si="17"/>
        <v>15629.608079999998</v>
      </c>
      <c r="K383" s="10"/>
      <c r="M383" s="14"/>
    </row>
    <row r="384" spans="1:13" outlineLevel="2">
      <c r="A384" s="10">
        <f t="shared" si="16"/>
        <v>380</v>
      </c>
      <c r="B384" s="10" t="s">
        <v>602</v>
      </c>
      <c r="C384" s="16" t="s">
        <v>750</v>
      </c>
      <c r="D384" s="11" t="s">
        <v>751</v>
      </c>
      <c r="E384" s="12">
        <v>145723.24</v>
      </c>
      <c r="F384" s="12">
        <v>0</v>
      </c>
      <c r="G384" s="12">
        <f t="shared" si="18"/>
        <v>-46194.267079999998</v>
      </c>
      <c r="I384" s="13">
        <f t="shared" si="17"/>
        <v>99528.97292</v>
      </c>
      <c r="K384" s="10"/>
      <c r="M384" s="14"/>
    </row>
    <row r="385" spans="1:13" outlineLevel="2">
      <c r="A385" s="10">
        <f t="shared" si="16"/>
        <v>381</v>
      </c>
      <c r="B385" s="10" t="s">
        <v>602</v>
      </c>
      <c r="C385" s="16" t="s">
        <v>752</v>
      </c>
      <c r="D385" s="11" t="s">
        <v>753</v>
      </c>
      <c r="E385" s="12">
        <v>22896.21</v>
      </c>
      <c r="F385" s="12">
        <v>0</v>
      </c>
      <c r="G385" s="12">
        <f t="shared" si="18"/>
        <v>-7258.0985700000001</v>
      </c>
      <c r="I385" s="13">
        <f t="shared" si="17"/>
        <v>15638.111429999999</v>
      </c>
      <c r="K385" s="10"/>
      <c r="M385" s="14"/>
    </row>
    <row r="386" spans="1:13" outlineLevel="2">
      <c r="A386" s="10">
        <f t="shared" si="16"/>
        <v>382</v>
      </c>
      <c r="B386" s="10" t="s">
        <v>602</v>
      </c>
      <c r="C386" s="16" t="s">
        <v>754</v>
      </c>
      <c r="D386" s="11" t="s">
        <v>755</v>
      </c>
      <c r="E386" s="12">
        <v>201837.42</v>
      </c>
      <c r="F386" s="12">
        <v>0</v>
      </c>
      <c r="G386" s="12">
        <f t="shared" si="18"/>
        <v>-63982.462140000003</v>
      </c>
      <c r="I386" s="13">
        <f t="shared" si="17"/>
        <v>137854.95786000002</v>
      </c>
      <c r="K386" s="10"/>
      <c r="M386" s="14"/>
    </row>
    <row r="387" spans="1:13" outlineLevel="2">
      <c r="A387" s="10">
        <f t="shared" si="16"/>
        <v>383</v>
      </c>
      <c r="B387" s="10" t="s">
        <v>602</v>
      </c>
      <c r="C387" s="16" t="s">
        <v>756</v>
      </c>
      <c r="D387" s="11" t="s">
        <v>757</v>
      </c>
      <c r="E387" s="12">
        <v>66494.63</v>
      </c>
      <c r="F387" s="12">
        <v>0</v>
      </c>
      <c r="G387" s="12">
        <f t="shared" si="18"/>
        <v>-21078.797710000003</v>
      </c>
      <c r="I387" s="13">
        <f t="shared" si="17"/>
        <v>45415.832290000006</v>
      </c>
      <c r="K387" s="10"/>
      <c r="M387" s="14"/>
    </row>
    <row r="388" spans="1:13" outlineLevel="2">
      <c r="A388" s="10">
        <f t="shared" si="16"/>
        <v>384</v>
      </c>
      <c r="B388" s="10" t="s">
        <v>602</v>
      </c>
      <c r="C388" s="16" t="s">
        <v>758</v>
      </c>
      <c r="D388" s="11" t="s">
        <v>759</v>
      </c>
      <c r="E388" s="12">
        <v>231172.47</v>
      </c>
      <c r="F388" s="12">
        <v>0</v>
      </c>
      <c r="G388" s="12">
        <f t="shared" si="18"/>
        <v>-73281.672990000006</v>
      </c>
      <c r="I388" s="13">
        <f t="shared" si="17"/>
        <v>157890.79700999998</v>
      </c>
      <c r="K388" s="10"/>
      <c r="M388" s="14"/>
    </row>
    <row r="389" spans="1:13" outlineLevel="2">
      <c r="A389" s="10">
        <f t="shared" si="16"/>
        <v>385</v>
      </c>
      <c r="B389" s="10" t="s">
        <v>602</v>
      </c>
      <c r="C389" s="16" t="s">
        <v>760</v>
      </c>
      <c r="D389" s="11" t="s">
        <v>761</v>
      </c>
      <c r="E389" s="12">
        <v>210227.06</v>
      </c>
      <c r="F389" s="12">
        <v>0</v>
      </c>
      <c r="G389" s="12">
        <f t="shared" si="18"/>
        <v>-66641.978019999995</v>
      </c>
      <c r="I389" s="13">
        <f t="shared" si="17"/>
        <v>143585.08198000002</v>
      </c>
      <c r="K389" s="10"/>
      <c r="M389" s="14"/>
    </row>
    <row r="390" spans="1:13" outlineLevel="2">
      <c r="A390" s="10">
        <f t="shared" si="16"/>
        <v>386</v>
      </c>
      <c r="B390" s="10" t="s">
        <v>602</v>
      </c>
      <c r="C390" s="16" t="s">
        <v>762</v>
      </c>
      <c r="D390" s="11" t="s">
        <v>763</v>
      </c>
      <c r="E390" s="12">
        <v>768138.58</v>
      </c>
      <c r="F390" s="12">
        <v>0</v>
      </c>
      <c r="G390" s="12">
        <f t="shared" si="18"/>
        <v>-243499.92986</v>
      </c>
      <c r="I390" s="13">
        <f t="shared" si="17"/>
        <v>524638.65013999993</v>
      </c>
      <c r="K390" s="10"/>
      <c r="M390" s="14"/>
    </row>
    <row r="391" spans="1:13" outlineLevel="2">
      <c r="A391" s="10">
        <f t="shared" si="16"/>
        <v>387</v>
      </c>
      <c r="B391" s="10" t="s">
        <v>602</v>
      </c>
      <c r="C391" s="16" t="s">
        <v>764</v>
      </c>
      <c r="D391" s="11" t="s">
        <v>765</v>
      </c>
      <c r="E391" s="12">
        <v>90226.7</v>
      </c>
      <c r="F391" s="12">
        <v>0</v>
      </c>
      <c r="G391" s="12">
        <f t="shared" si="18"/>
        <v>-28601.8639</v>
      </c>
      <c r="I391" s="13">
        <f t="shared" si="17"/>
        <v>61624.8361</v>
      </c>
      <c r="K391" s="10"/>
      <c r="M391" s="14"/>
    </row>
    <row r="392" spans="1:13" outlineLevel="2">
      <c r="A392" s="10">
        <f t="shared" si="16"/>
        <v>388</v>
      </c>
      <c r="B392" s="10" t="s">
        <v>602</v>
      </c>
      <c r="C392" s="16" t="s">
        <v>766</v>
      </c>
      <c r="D392" s="11" t="s">
        <v>767</v>
      </c>
      <c r="E392" s="12">
        <v>46981.39</v>
      </c>
      <c r="F392" s="12">
        <v>0</v>
      </c>
      <c r="G392" s="12">
        <f t="shared" si="18"/>
        <v>-14893.100630000001</v>
      </c>
      <c r="I392" s="13">
        <f t="shared" si="17"/>
        <v>32088.289369999999</v>
      </c>
      <c r="K392" s="10"/>
      <c r="M392" s="14"/>
    </row>
    <row r="393" spans="1:13" outlineLevel="2">
      <c r="A393" s="10">
        <f t="shared" si="16"/>
        <v>389</v>
      </c>
      <c r="B393" s="10" t="s">
        <v>602</v>
      </c>
      <c r="C393" s="16" t="s">
        <v>768</v>
      </c>
      <c r="D393" s="11" t="s">
        <v>769</v>
      </c>
      <c r="E393" s="12">
        <v>267394.71999999997</v>
      </c>
      <c r="F393" s="12">
        <v>0</v>
      </c>
      <c r="G393" s="12">
        <f t="shared" si="18"/>
        <v>-84764.126239999998</v>
      </c>
      <c r="I393" s="13">
        <f t="shared" si="17"/>
        <v>182630.59375999996</v>
      </c>
      <c r="K393" s="10"/>
      <c r="M393" s="14"/>
    </row>
    <row r="394" spans="1:13" outlineLevel="2">
      <c r="A394" s="10">
        <f t="shared" si="16"/>
        <v>390</v>
      </c>
      <c r="B394" s="10" t="s">
        <v>602</v>
      </c>
      <c r="C394" s="16" t="s">
        <v>770</v>
      </c>
      <c r="D394" s="11" t="s">
        <v>771</v>
      </c>
      <c r="E394" s="12">
        <v>202225.56</v>
      </c>
      <c r="F394" s="12">
        <v>0</v>
      </c>
      <c r="G394" s="12">
        <f t="shared" si="18"/>
        <v>-64105.502520000002</v>
      </c>
      <c r="I394" s="13">
        <f t="shared" si="17"/>
        <v>138120.05747999999</v>
      </c>
      <c r="K394" s="10"/>
      <c r="M394" s="14"/>
    </row>
    <row r="395" spans="1:13" outlineLevel="2">
      <c r="A395" s="10">
        <f t="shared" si="16"/>
        <v>391</v>
      </c>
      <c r="B395" s="10" t="s">
        <v>602</v>
      </c>
      <c r="C395" s="16" t="s">
        <v>772</v>
      </c>
      <c r="D395" s="11" t="s">
        <v>773</v>
      </c>
      <c r="E395" s="12">
        <v>536504.47</v>
      </c>
      <c r="F395" s="12">
        <v>0</v>
      </c>
      <c r="G395" s="12">
        <f t="shared" si="18"/>
        <v>-170071.91699</v>
      </c>
      <c r="I395" s="13">
        <f t="shared" si="17"/>
        <v>366432.55300999997</v>
      </c>
      <c r="K395" s="10"/>
      <c r="M395" s="14"/>
    </row>
    <row r="396" spans="1:13" outlineLevel="2">
      <c r="A396" s="10">
        <f t="shared" si="16"/>
        <v>392</v>
      </c>
      <c r="B396" s="10" t="s">
        <v>602</v>
      </c>
      <c r="C396" s="16" t="s">
        <v>774</v>
      </c>
      <c r="D396" s="11" t="s">
        <v>775</v>
      </c>
      <c r="E396" s="12">
        <v>1051554.3700000001</v>
      </c>
      <c r="F396" s="12">
        <v>0</v>
      </c>
      <c r="G396" s="12">
        <f t="shared" si="18"/>
        <v>-333342.73529000004</v>
      </c>
      <c r="I396" s="13">
        <f t="shared" si="17"/>
        <v>718211.63471000013</v>
      </c>
      <c r="K396" s="10"/>
      <c r="M396" s="14"/>
    </row>
    <row r="397" spans="1:13" outlineLevel="2">
      <c r="A397" s="10">
        <f t="shared" si="16"/>
        <v>393</v>
      </c>
      <c r="B397" s="10" t="s">
        <v>602</v>
      </c>
      <c r="C397" s="16" t="s">
        <v>776</v>
      </c>
      <c r="D397" s="11" t="s">
        <v>777</v>
      </c>
      <c r="E397" s="12">
        <v>751512.5</v>
      </c>
      <c r="F397" s="12">
        <v>0</v>
      </c>
      <c r="G397" s="12">
        <f t="shared" si="18"/>
        <v>-238229.46249999999</v>
      </c>
      <c r="I397" s="13">
        <f t="shared" si="17"/>
        <v>513283.03749999998</v>
      </c>
      <c r="K397" s="10"/>
      <c r="M397" s="14"/>
    </row>
    <row r="398" spans="1:13" outlineLevel="2">
      <c r="A398" s="10">
        <f t="shared" si="16"/>
        <v>394</v>
      </c>
      <c r="B398" s="10" t="s">
        <v>602</v>
      </c>
      <c r="C398" s="16" t="s">
        <v>778</v>
      </c>
      <c r="D398" s="11" t="s">
        <v>779</v>
      </c>
      <c r="E398" s="12">
        <v>723452.46</v>
      </c>
      <c r="F398" s="12">
        <v>0</v>
      </c>
      <c r="G398" s="12">
        <f>-(E398*$J$308)</f>
        <v>-229334.42981999999</v>
      </c>
      <c r="I398" s="13">
        <f t="shared" si="17"/>
        <v>494118.03018</v>
      </c>
      <c r="K398" s="10"/>
      <c r="M398" s="14"/>
    </row>
    <row r="399" spans="1:13" outlineLevel="2">
      <c r="A399" s="10">
        <f t="shared" si="16"/>
        <v>395</v>
      </c>
      <c r="B399" s="10" t="s">
        <v>602</v>
      </c>
      <c r="C399" s="16" t="s">
        <v>780</v>
      </c>
      <c r="D399" s="11" t="s">
        <v>781</v>
      </c>
      <c r="E399" s="12">
        <v>48470.16</v>
      </c>
      <c r="F399" s="12">
        <v>0</v>
      </c>
      <c r="G399" s="12">
        <f t="shared" ref="G399:G413" si="19">-(E399*$J$308)</f>
        <v>-15365.040720000001</v>
      </c>
      <c r="I399" s="13">
        <f t="shared" si="17"/>
        <v>33105.119279999999</v>
      </c>
      <c r="K399" s="10"/>
      <c r="M399" s="14"/>
    </row>
    <row r="400" spans="1:13" outlineLevel="2">
      <c r="A400" s="10">
        <f t="shared" ref="A400:A463" si="20">A399+1</f>
        <v>396</v>
      </c>
      <c r="B400" s="10" t="s">
        <v>602</v>
      </c>
      <c r="C400" s="16" t="s">
        <v>782</v>
      </c>
      <c r="D400" s="11" t="s">
        <v>783</v>
      </c>
      <c r="E400" s="12">
        <v>79073.789999999994</v>
      </c>
      <c r="F400" s="12">
        <v>0</v>
      </c>
      <c r="G400" s="12">
        <f t="shared" si="19"/>
        <v>-25066.39143</v>
      </c>
      <c r="I400" s="13">
        <f t="shared" si="17"/>
        <v>54007.39856999999</v>
      </c>
      <c r="K400" s="10"/>
      <c r="M400" s="14"/>
    </row>
    <row r="401" spans="1:13" outlineLevel="2">
      <c r="A401" s="10">
        <f t="shared" si="20"/>
        <v>397</v>
      </c>
      <c r="B401" s="10" t="s">
        <v>602</v>
      </c>
      <c r="C401" s="16" t="s">
        <v>2238</v>
      </c>
      <c r="D401" s="11" t="s">
        <v>784</v>
      </c>
      <c r="E401" s="12">
        <v>330604.18</v>
      </c>
      <c r="G401" s="12">
        <f t="shared" si="19"/>
        <v>-104801.52506</v>
      </c>
      <c r="I401" s="13">
        <f t="shared" si="17"/>
        <v>225802.65493999998</v>
      </c>
      <c r="K401" s="10"/>
      <c r="M401" s="14"/>
    </row>
    <row r="402" spans="1:13" outlineLevel="2">
      <c r="A402" s="10">
        <f t="shared" si="20"/>
        <v>398</v>
      </c>
      <c r="B402" s="10" t="s">
        <v>602</v>
      </c>
      <c r="C402" s="16" t="s">
        <v>785</v>
      </c>
      <c r="D402" s="11" t="s">
        <v>786</v>
      </c>
      <c r="E402" s="12">
        <v>54516.4</v>
      </c>
      <c r="F402" s="12">
        <v>0</v>
      </c>
      <c r="G402" s="12">
        <f t="shared" si="19"/>
        <v>-17281.698800000002</v>
      </c>
      <c r="I402" s="13">
        <f t="shared" si="17"/>
        <v>37234.701199999996</v>
      </c>
      <c r="K402" s="10"/>
      <c r="M402" s="14"/>
    </row>
    <row r="403" spans="1:13" outlineLevel="2">
      <c r="A403" s="10">
        <f t="shared" si="20"/>
        <v>399</v>
      </c>
      <c r="B403" s="10" t="s">
        <v>602</v>
      </c>
      <c r="C403" s="16" t="s">
        <v>787</v>
      </c>
      <c r="D403" s="11" t="s">
        <v>788</v>
      </c>
      <c r="E403" s="12">
        <v>32444.86</v>
      </c>
      <c r="F403" s="12">
        <v>0</v>
      </c>
      <c r="G403" s="12">
        <f t="shared" si="19"/>
        <v>-10285.020620000001</v>
      </c>
      <c r="I403" s="13">
        <f t="shared" si="17"/>
        <v>22159.839379999998</v>
      </c>
      <c r="K403" s="10"/>
      <c r="M403" s="14"/>
    </row>
    <row r="404" spans="1:13" outlineLevel="2">
      <c r="A404" s="10">
        <f t="shared" si="20"/>
        <v>400</v>
      </c>
      <c r="B404" s="10" t="s">
        <v>602</v>
      </c>
      <c r="C404" s="16" t="s">
        <v>789</v>
      </c>
      <c r="D404" s="11" t="s">
        <v>790</v>
      </c>
      <c r="E404" s="12">
        <v>793844.24</v>
      </c>
      <c r="F404" s="12">
        <v>0</v>
      </c>
      <c r="G404" s="12">
        <f t="shared" si="19"/>
        <v>-251648.62408000001</v>
      </c>
      <c r="I404" s="13">
        <f t="shared" si="17"/>
        <v>542195.61592000001</v>
      </c>
      <c r="K404" s="10"/>
      <c r="M404" s="14"/>
    </row>
    <row r="405" spans="1:13" outlineLevel="2">
      <c r="A405" s="10">
        <f t="shared" si="20"/>
        <v>401</v>
      </c>
      <c r="B405" s="10" t="s">
        <v>602</v>
      </c>
      <c r="C405" s="16" t="s">
        <v>791</v>
      </c>
      <c r="D405" s="11" t="s">
        <v>792</v>
      </c>
      <c r="E405" s="12">
        <v>69987.59</v>
      </c>
      <c r="F405" s="12">
        <v>0</v>
      </c>
      <c r="G405" s="12">
        <f t="shared" si="19"/>
        <v>-22186.066029999998</v>
      </c>
      <c r="I405" s="13">
        <f t="shared" si="17"/>
        <v>47801.523969999995</v>
      </c>
      <c r="K405" s="10"/>
      <c r="M405" s="14"/>
    </row>
    <row r="406" spans="1:13" outlineLevel="2">
      <c r="A406" s="10">
        <f t="shared" si="20"/>
        <v>402</v>
      </c>
      <c r="B406" s="10" t="s">
        <v>602</v>
      </c>
      <c r="C406" s="16" t="s">
        <v>793</v>
      </c>
      <c r="D406" s="11" t="s">
        <v>794</v>
      </c>
      <c r="E406" s="12">
        <v>172792.24</v>
      </c>
      <c r="F406" s="12">
        <v>0</v>
      </c>
      <c r="G406" s="12">
        <f t="shared" si="19"/>
        <v>-54775.140079999997</v>
      </c>
      <c r="I406" s="13">
        <f t="shared" si="17"/>
        <v>118017.09991999999</v>
      </c>
      <c r="K406" s="10"/>
      <c r="M406" s="14"/>
    </row>
    <row r="407" spans="1:13" outlineLevel="2">
      <c r="A407" s="10">
        <f t="shared" si="20"/>
        <v>403</v>
      </c>
      <c r="B407" s="10" t="s">
        <v>602</v>
      </c>
      <c r="C407" s="16" t="s">
        <v>795</v>
      </c>
      <c r="D407" s="11" t="s">
        <v>796</v>
      </c>
      <c r="E407" s="12">
        <v>300728.23</v>
      </c>
      <c r="F407" s="12">
        <v>0</v>
      </c>
      <c r="G407" s="12">
        <f t="shared" si="19"/>
        <v>-95330.848910000001</v>
      </c>
      <c r="I407" s="13">
        <f t="shared" si="17"/>
        <v>205397.38108999998</v>
      </c>
      <c r="K407" s="10"/>
      <c r="M407" s="14"/>
    </row>
    <row r="408" spans="1:13" outlineLevel="2">
      <c r="A408" s="10">
        <f t="shared" si="20"/>
        <v>404</v>
      </c>
      <c r="B408" s="10" t="s">
        <v>602</v>
      </c>
      <c r="C408" s="16" t="s">
        <v>797</v>
      </c>
      <c r="D408" s="11" t="s">
        <v>798</v>
      </c>
      <c r="E408" s="12">
        <v>196623.63</v>
      </c>
      <c r="F408" s="12">
        <v>0</v>
      </c>
      <c r="G408" s="12">
        <f t="shared" si="19"/>
        <v>-62329.690710000003</v>
      </c>
      <c r="I408" s="13">
        <f t="shared" si="17"/>
        <v>134293.93929000001</v>
      </c>
      <c r="K408" s="10"/>
      <c r="M408" s="14"/>
    </row>
    <row r="409" spans="1:13" outlineLevel="2">
      <c r="A409" s="10">
        <f t="shared" si="20"/>
        <v>405</v>
      </c>
      <c r="B409" s="10" t="s">
        <v>602</v>
      </c>
      <c r="C409" s="16" t="s">
        <v>799</v>
      </c>
      <c r="D409" s="11" t="s">
        <v>800</v>
      </c>
      <c r="E409" s="12">
        <v>516514.5</v>
      </c>
      <c r="F409" s="12">
        <v>0</v>
      </c>
      <c r="G409" s="12">
        <f t="shared" si="19"/>
        <v>-163735.09650000001</v>
      </c>
      <c r="I409" s="13">
        <f t="shared" si="17"/>
        <v>352779.40350000001</v>
      </c>
      <c r="K409" s="10"/>
      <c r="M409" s="14"/>
    </row>
    <row r="410" spans="1:13" outlineLevel="2">
      <c r="A410" s="10">
        <f t="shared" si="20"/>
        <v>406</v>
      </c>
      <c r="B410" s="10" t="s">
        <v>602</v>
      </c>
      <c r="C410" s="16" t="s">
        <v>801</v>
      </c>
      <c r="D410" s="11" t="s">
        <v>802</v>
      </c>
      <c r="E410" s="12">
        <v>15011.61</v>
      </c>
      <c r="F410" s="12">
        <v>0</v>
      </c>
      <c r="G410" s="12">
        <f t="shared" si="19"/>
        <v>-4758.68037</v>
      </c>
      <c r="I410" s="13">
        <f t="shared" si="17"/>
        <v>10252.929630000001</v>
      </c>
      <c r="K410" s="10"/>
      <c r="M410" s="14"/>
    </row>
    <row r="411" spans="1:13" outlineLevel="2">
      <c r="A411" s="10">
        <f t="shared" si="20"/>
        <v>407</v>
      </c>
      <c r="B411" s="10" t="s">
        <v>602</v>
      </c>
      <c r="C411" s="16" t="s">
        <v>803</v>
      </c>
      <c r="D411" s="11" t="s">
        <v>804</v>
      </c>
      <c r="E411" s="12">
        <v>125057.06</v>
      </c>
      <c r="F411" s="12">
        <v>0</v>
      </c>
      <c r="G411" s="12">
        <f t="shared" si="19"/>
        <v>-39643.088020000003</v>
      </c>
      <c r="I411" s="13">
        <f t="shared" si="17"/>
        <v>85413.971980000002</v>
      </c>
      <c r="K411" s="10"/>
      <c r="M411" s="14"/>
    </row>
    <row r="412" spans="1:13" outlineLevel="2">
      <c r="A412" s="10">
        <f t="shared" si="20"/>
        <v>408</v>
      </c>
      <c r="B412" s="10" t="s">
        <v>602</v>
      </c>
      <c r="C412" s="16" t="s">
        <v>805</v>
      </c>
      <c r="D412" s="11" t="s">
        <v>806</v>
      </c>
      <c r="E412" s="12">
        <v>128241.53</v>
      </c>
      <c r="F412" s="12">
        <v>0</v>
      </c>
      <c r="G412" s="12">
        <f t="shared" si="19"/>
        <v>-40652.565009999998</v>
      </c>
      <c r="I412" s="13">
        <f t="shared" si="17"/>
        <v>87588.964990000008</v>
      </c>
      <c r="K412" s="10"/>
      <c r="M412" s="14"/>
    </row>
    <row r="413" spans="1:13" outlineLevel="2">
      <c r="A413" s="10">
        <f t="shared" si="20"/>
        <v>409</v>
      </c>
      <c r="B413" s="10" t="s">
        <v>602</v>
      </c>
      <c r="C413" s="16" t="s">
        <v>807</v>
      </c>
      <c r="D413" s="11" t="s">
        <v>808</v>
      </c>
      <c r="E413" s="12">
        <v>216330.02</v>
      </c>
      <c r="F413" s="12">
        <v>0</v>
      </c>
      <c r="G413" s="12">
        <f t="shared" si="19"/>
        <v>-68576.616339999993</v>
      </c>
      <c r="I413" s="13">
        <f t="shared" si="17"/>
        <v>147753.40366000001</v>
      </c>
      <c r="K413" s="10"/>
      <c r="M413" s="14"/>
    </row>
    <row r="414" spans="1:13" outlineLevel="2">
      <c r="A414" s="10">
        <f t="shared" si="20"/>
        <v>410</v>
      </c>
      <c r="B414" s="10" t="s">
        <v>602</v>
      </c>
      <c r="C414" s="16" t="s">
        <v>809</v>
      </c>
      <c r="D414" s="11" t="s">
        <v>810</v>
      </c>
      <c r="E414" s="12">
        <v>577873.56000000006</v>
      </c>
      <c r="F414" s="12">
        <v>0</v>
      </c>
      <c r="G414" s="12">
        <f>-(E414*$J$308)</f>
        <v>-183185.91852000001</v>
      </c>
      <c r="I414" s="13">
        <f t="shared" si="17"/>
        <v>394687.64148000005</v>
      </c>
      <c r="K414" s="10"/>
      <c r="M414" s="14"/>
    </row>
    <row r="415" spans="1:13" outlineLevel="2">
      <c r="A415" s="10">
        <f t="shared" si="20"/>
        <v>411</v>
      </c>
      <c r="B415" s="10" t="s">
        <v>602</v>
      </c>
      <c r="C415" s="16" t="s">
        <v>811</v>
      </c>
      <c r="D415" s="11" t="s">
        <v>812</v>
      </c>
      <c r="E415" s="12">
        <v>367629.89</v>
      </c>
      <c r="F415" s="12">
        <v>0</v>
      </c>
      <c r="G415" s="12">
        <f t="shared" ref="G415:G430" si="21">-(E415*$J$308)</f>
        <v>-116538.67513</v>
      </c>
      <c r="I415" s="13">
        <f t="shared" si="17"/>
        <v>251091.21487000003</v>
      </c>
      <c r="K415" s="10"/>
      <c r="M415" s="14"/>
    </row>
    <row r="416" spans="1:13" outlineLevel="2">
      <c r="A416" s="10">
        <f t="shared" si="20"/>
        <v>412</v>
      </c>
      <c r="B416" s="10" t="s">
        <v>602</v>
      </c>
      <c r="C416" s="16" t="s">
        <v>813</v>
      </c>
      <c r="D416" s="11" t="s">
        <v>814</v>
      </c>
      <c r="E416" s="12">
        <v>578065.68000000005</v>
      </c>
      <c r="F416" s="12">
        <v>0</v>
      </c>
      <c r="G416" s="12">
        <f t="shared" si="21"/>
        <v>-183246.82056000002</v>
      </c>
      <c r="I416" s="13">
        <f t="shared" si="17"/>
        <v>394818.85944000003</v>
      </c>
      <c r="K416" s="10"/>
      <c r="M416" s="14"/>
    </row>
    <row r="417" spans="1:13" outlineLevel="2">
      <c r="A417" s="10">
        <f t="shared" si="20"/>
        <v>413</v>
      </c>
      <c r="B417" s="10" t="s">
        <v>602</v>
      </c>
      <c r="C417" s="16" t="s">
        <v>815</v>
      </c>
      <c r="D417" s="11" t="s">
        <v>816</v>
      </c>
      <c r="E417" s="12">
        <v>16445.21</v>
      </c>
      <c r="F417" s="12">
        <v>0</v>
      </c>
      <c r="G417" s="12">
        <f t="shared" si="21"/>
        <v>-5213.1315699999996</v>
      </c>
      <c r="I417" s="13">
        <f t="shared" si="17"/>
        <v>11232.07843</v>
      </c>
      <c r="K417" s="10"/>
      <c r="M417" s="14"/>
    </row>
    <row r="418" spans="1:13" outlineLevel="2">
      <c r="A418" s="10">
        <f t="shared" si="20"/>
        <v>414</v>
      </c>
      <c r="B418" s="10" t="s">
        <v>602</v>
      </c>
      <c r="C418" s="16" t="s">
        <v>817</v>
      </c>
      <c r="D418" s="11" t="s">
        <v>818</v>
      </c>
      <c r="E418" s="12">
        <v>7684.53</v>
      </c>
      <c r="F418" s="12">
        <v>0</v>
      </c>
      <c r="G418" s="12">
        <f t="shared" si="21"/>
        <v>-2435.9960099999998</v>
      </c>
      <c r="I418" s="13">
        <f t="shared" si="17"/>
        <v>5248.5339899999999</v>
      </c>
      <c r="K418" s="10"/>
      <c r="M418" s="14"/>
    </row>
    <row r="419" spans="1:13" outlineLevel="2">
      <c r="A419" s="10">
        <f t="shared" si="20"/>
        <v>415</v>
      </c>
      <c r="B419" s="10" t="s">
        <v>602</v>
      </c>
      <c r="C419" s="16" t="s">
        <v>819</v>
      </c>
      <c r="D419" s="11" t="s">
        <v>820</v>
      </c>
      <c r="E419" s="12">
        <v>1646</v>
      </c>
      <c r="F419" s="12">
        <v>0</v>
      </c>
      <c r="G419" s="12">
        <f t="shared" si="21"/>
        <v>-521.78200000000004</v>
      </c>
      <c r="I419" s="13">
        <f t="shared" si="17"/>
        <v>1124.2179999999998</v>
      </c>
      <c r="K419" s="10"/>
      <c r="M419" s="14"/>
    </row>
    <row r="420" spans="1:13" outlineLevel="2">
      <c r="A420" s="10">
        <f t="shared" si="20"/>
        <v>416</v>
      </c>
      <c r="B420" s="10" t="s">
        <v>602</v>
      </c>
      <c r="C420" s="16" t="s">
        <v>821</v>
      </c>
      <c r="D420" s="11" t="s">
        <v>822</v>
      </c>
      <c r="E420" s="12">
        <v>107002.99</v>
      </c>
      <c r="F420" s="12">
        <v>0</v>
      </c>
      <c r="G420" s="12">
        <f t="shared" si="21"/>
        <v>-33919.947830000005</v>
      </c>
      <c r="I420" s="13">
        <f t="shared" si="17"/>
        <v>73083.042170000001</v>
      </c>
      <c r="K420" s="10"/>
      <c r="M420" s="14"/>
    </row>
    <row r="421" spans="1:13" outlineLevel="2">
      <c r="A421" s="10">
        <f t="shared" si="20"/>
        <v>417</v>
      </c>
      <c r="B421" s="10" t="s">
        <v>602</v>
      </c>
      <c r="C421" s="16" t="s">
        <v>823</v>
      </c>
      <c r="D421" s="11" t="s">
        <v>824</v>
      </c>
      <c r="E421" s="12">
        <v>83843.78</v>
      </c>
      <c r="F421" s="12">
        <v>0</v>
      </c>
      <c r="G421" s="12">
        <f t="shared" si="21"/>
        <v>-26578.47826</v>
      </c>
      <c r="I421" s="13">
        <f t="shared" si="17"/>
        <v>57265.301739999995</v>
      </c>
      <c r="K421" s="10"/>
      <c r="M421" s="14"/>
    </row>
    <row r="422" spans="1:13" outlineLevel="2">
      <c r="A422" s="10">
        <f t="shared" si="20"/>
        <v>418</v>
      </c>
      <c r="B422" s="10" t="s">
        <v>602</v>
      </c>
      <c r="C422" s="16" t="s">
        <v>825</v>
      </c>
      <c r="D422" s="11" t="s">
        <v>826</v>
      </c>
      <c r="E422" s="12">
        <v>530458.91</v>
      </c>
      <c r="F422" s="12">
        <v>0</v>
      </c>
      <c r="G422" s="12">
        <f t="shared" si="21"/>
        <v>-168155.47447000002</v>
      </c>
      <c r="I422" s="13">
        <f t="shared" si="17"/>
        <v>362303.43553000002</v>
      </c>
      <c r="K422" s="10"/>
      <c r="M422" s="14"/>
    </row>
    <row r="423" spans="1:13" outlineLevel="2">
      <c r="A423" s="10">
        <f t="shared" si="20"/>
        <v>419</v>
      </c>
      <c r="B423" s="10" t="s">
        <v>602</v>
      </c>
      <c r="C423" s="16" t="s">
        <v>827</v>
      </c>
      <c r="D423" s="11" t="s">
        <v>828</v>
      </c>
      <c r="E423" s="12">
        <v>186734.58</v>
      </c>
      <c r="F423" s="12">
        <v>0</v>
      </c>
      <c r="G423" s="12">
        <f t="shared" si="21"/>
        <v>-59194.861859999997</v>
      </c>
      <c r="I423" s="13">
        <f t="shared" si="17"/>
        <v>127539.71813999998</v>
      </c>
      <c r="K423" s="10"/>
      <c r="M423" s="14"/>
    </row>
    <row r="424" spans="1:13" outlineLevel="2">
      <c r="A424" s="10">
        <f t="shared" si="20"/>
        <v>420</v>
      </c>
      <c r="B424" s="10" t="s">
        <v>602</v>
      </c>
      <c r="C424" s="16" t="s">
        <v>829</v>
      </c>
      <c r="D424" s="11" t="s">
        <v>830</v>
      </c>
      <c r="E424" s="12">
        <v>3758.31</v>
      </c>
      <c r="F424" s="12">
        <v>0</v>
      </c>
      <c r="G424" s="12">
        <f t="shared" si="21"/>
        <v>-1191.38427</v>
      </c>
      <c r="I424" s="13">
        <f t="shared" si="17"/>
        <v>2566.9257299999999</v>
      </c>
      <c r="K424" s="10"/>
      <c r="M424" s="14"/>
    </row>
    <row r="425" spans="1:13" outlineLevel="2">
      <c r="A425" s="10">
        <f t="shared" si="20"/>
        <v>421</v>
      </c>
      <c r="B425" s="10" t="s">
        <v>602</v>
      </c>
      <c r="C425" s="16" t="s">
        <v>831</v>
      </c>
      <c r="D425" s="11" t="s">
        <v>832</v>
      </c>
      <c r="E425" s="12">
        <v>27264.31</v>
      </c>
      <c r="F425" s="12">
        <v>0</v>
      </c>
      <c r="G425" s="12">
        <f t="shared" si="21"/>
        <v>-8642.7862700000005</v>
      </c>
      <c r="I425" s="13">
        <f t="shared" si="17"/>
        <v>18621.523730000001</v>
      </c>
      <c r="K425" s="10"/>
      <c r="M425" s="14"/>
    </row>
    <row r="426" spans="1:13" outlineLevel="2">
      <c r="A426" s="10">
        <f t="shared" si="20"/>
        <v>422</v>
      </c>
      <c r="B426" s="10" t="s">
        <v>602</v>
      </c>
      <c r="C426" s="16" t="s">
        <v>833</v>
      </c>
      <c r="D426" s="11" t="s">
        <v>834</v>
      </c>
      <c r="E426" s="12">
        <v>4771.8900000000003</v>
      </c>
      <c r="F426" s="12">
        <v>0</v>
      </c>
      <c r="G426" s="12">
        <f t="shared" si="21"/>
        <v>-1512.6891300000002</v>
      </c>
      <c r="I426" s="13">
        <f t="shared" si="17"/>
        <v>3259.2008700000001</v>
      </c>
      <c r="K426" s="10"/>
      <c r="M426" s="14"/>
    </row>
    <row r="427" spans="1:13" outlineLevel="2">
      <c r="A427" s="10">
        <f t="shared" si="20"/>
        <v>423</v>
      </c>
      <c r="B427" s="10" t="s">
        <v>602</v>
      </c>
      <c r="C427" s="16" t="s">
        <v>835</v>
      </c>
      <c r="D427" s="11" t="s">
        <v>836</v>
      </c>
      <c r="E427" s="12">
        <v>340932.16</v>
      </c>
      <c r="F427" s="12">
        <v>0</v>
      </c>
      <c r="G427" s="12">
        <f t="shared" si="21"/>
        <v>-108075.49471999999</v>
      </c>
      <c r="I427" s="13">
        <f t="shared" si="17"/>
        <v>232856.66527999999</v>
      </c>
      <c r="K427" s="10"/>
      <c r="M427" s="14"/>
    </row>
    <row r="428" spans="1:13" outlineLevel="2">
      <c r="A428" s="10">
        <f t="shared" si="20"/>
        <v>424</v>
      </c>
      <c r="B428" s="10" t="s">
        <v>602</v>
      </c>
      <c r="C428" s="16" t="s">
        <v>837</v>
      </c>
      <c r="D428" s="11" t="s">
        <v>838</v>
      </c>
      <c r="E428" s="12">
        <v>161748.41</v>
      </c>
      <c r="F428" s="12">
        <v>0</v>
      </c>
      <c r="G428" s="12">
        <f t="shared" si="21"/>
        <v>-51274.245970000004</v>
      </c>
      <c r="I428" s="13">
        <f t="shared" si="17"/>
        <v>110474.16403</v>
      </c>
      <c r="K428" s="10"/>
      <c r="M428" s="14"/>
    </row>
    <row r="429" spans="1:13" outlineLevel="2">
      <c r="A429" s="10">
        <f t="shared" si="20"/>
        <v>425</v>
      </c>
      <c r="B429" s="10" t="s">
        <v>602</v>
      </c>
      <c r="C429" s="16" t="s">
        <v>839</v>
      </c>
      <c r="D429" s="11" t="s">
        <v>840</v>
      </c>
      <c r="E429" s="12">
        <v>166315.1</v>
      </c>
      <c r="F429" s="12">
        <v>0</v>
      </c>
      <c r="G429" s="12">
        <f t="shared" si="21"/>
        <v>-52721.886700000003</v>
      </c>
      <c r="I429" s="13">
        <f t="shared" si="17"/>
        <v>113593.2133</v>
      </c>
      <c r="K429" s="10"/>
      <c r="M429" s="14"/>
    </row>
    <row r="430" spans="1:13" outlineLevel="2">
      <c r="A430" s="10">
        <f t="shared" si="20"/>
        <v>426</v>
      </c>
      <c r="B430" s="10" t="s">
        <v>602</v>
      </c>
      <c r="C430" s="16" t="s">
        <v>841</v>
      </c>
      <c r="D430" s="11" t="s">
        <v>842</v>
      </c>
      <c r="E430" s="12">
        <v>267563.39</v>
      </c>
      <c r="F430" s="12">
        <v>0</v>
      </c>
      <c r="G430" s="12">
        <f t="shared" si="21"/>
        <v>-84817.594630000007</v>
      </c>
      <c r="I430" s="13">
        <f t="shared" si="17"/>
        <v>182745.79537000001</v>
      </c>
      <c r="K430" s="10"/>
      <c r="M430" s="14"/>
    </row>
    <row r="431" spans="1:13" outlineLevel="2">
      <c r="A431" s="10">
        <f t="shared" si="20"/>
        <v>427</v>
      </c>
      <c r="B431" s="10" t="s">
        <v>602</v>
      </c>
      <c r="C431" s="16" t="s">
        <v>843</v>
      </c>
      <c r="D431" s="11" t="s">
        <v>844</v>
      </c>
      <c r="E431" s="12">
        <v>226933.71</v>
      </c>
      <c r="F431" s="12">
        <v>0</v>
      </c>
      <c r="G431" s="12">
        <f>-(E431*$J$308)</f>
        <v>-71937.986069999999</v>
      </c>
      <c r="I431" s="13">
        <f t="shared" si="17"/>
        <v>154995.72392999998</v>
      </c>
      <c r="K431" s="10"/>
      <c r="M431" s="14"/>
    </row>
    <row r="432" spans="1:13" outlineLevel="2">
      <c r="A432" s="10">
        <f t="shared" si="20"/>
        <v>428</v>
      </c>
      <c r="B432" s="10" t="s">
        <v>602</v>
      </c>
      <c r="C432" s="16" t="s">
        <v>845</v>
      </c>
      <c r="D432" s="11" t="s">
        <v>846</v>
      </c>
      <c r="E432" s="12">
        <v>172921.71</v>
      </c>
      <c r="F432" s="12">
        <v>0</v>
      </c>
      <c r="G432" s="12">
        <f>-(E432*$J$308)</f>
        <v>-54816.182069999995</v>
      </c>
      <c r="I432" s="13">
        <f t="shared" si="17"/>
        <v>118105.52793</v>
      </c>
      <c r="K432" s="10"/>
      <c r="M432" s="14"/>
    </row>
    <row r="433" spans="1:13" outlineLevel="2">
      <c r="A433" s="10">
        <f t="shared" si="20"/>
        <v>429</v>
      </c>
      <c r="B433" s="10" t="s">
        <v>602</v>
      </c>
      <c r="C433" s="16" t="s">
        <v>847</v>
      </c>
      <c r="D433" s="11" t="s">
        <v>848</v>
      </c>
      <c r="E433" s="12">
        <v>396722.21</v>
      </c>
      <c r="F433" s="12">
        <v>0</v>
      </c>
      <c r="G433" s="12">
        <f t="shared" ref="G433:G443" si="22">-(E433*$J$308)</f>
        <v>-125760.94057000001</v>
      </c>
      <c r="I433" s="13">
        <f t="shared" si="17"/>
        <v>270961.26942999999</v>
      </c>
      <c r="K433" s="10"/>
      <c r="M433" s="14"/>
    </row>
    <row r="434" spans="1:13" outlineLevel="2">
      <c r="A434" s="10">
        <f t="shared" si="20"/>
        <v>430</v>
      </c>
      <c r="B434" s="10" t="s">
        <v>602</v>
      </c>
      <c r="C434" s="16" t="s">
        <v>849</v>
      </c>
      <c r="D434" s="11" t="s">
        <v>850</v>
      </c>
      <c r="E434" s="12">
        <v>1164374.43</v>
      </c>
      <c r="F434" s="12">
        <v>0</v>
      </c>
      <c r="G434" s="12">
        <f t="shared" si="22"/>
        <v>-369106.69430999999</v>
      </c>
      <c r="I434" s="13">
        <f t="shared" si="17"/>
        <v>795267.73569</v>
      </c>
      <c r="K434" s="10"/>
      <c r="M434" s="14"/>
    </row>
    <row r="435" spans="1:13" outlineLevel="2">
      <c r="A435" s="10">
        <f t="shared" si="20"/>
        <v>431</v>
      </c>
      <c r="B435" s="10" t="s">
        <v>602</v>
      </c>
      <c r="C435" s="16" t="s">
        <v>851</v>
      </c>
      <c r="D435" s="11" t="s">
        <v>852</v>
      </c>
      <c r="E435" s="12">
        <v>1237</v>
      </c>
      <c r="F435" s="12">
        <v>0</v>
      </c>
      <c r="G435" s="12">
        <f t="shared" si="22"/>
        <v>-392.12900000000002</v>
      </c>
      <c r="I435" s="13">
        <f t="shared" si="17"/>
        <v>844.87099999999998</v>
      </c>
      <c r="K435" s="10"/>
      <c r="M435" s="14"/>
    </row>
    <row r="436" spans="1:13" outlineLevel="2">
      <c r="A436" s="10">
        <f t="shared" si="20"/>
        <v>432</v>
      </c>
      <c r="B436" s="10" t="s">
        <v>602</v>
      </c>
      <c r="C436" s="16" t="s">
        <v>853</v>
      </c>
      <c r="D436" s="11" t="s">
        <v>854</v>
      </c>
      <c r="E436" s="12">
        <v>87666.99</v>
      </c>
      <c r="F436" s="12">
        <v>0</v>
      </c>
      <c r="G436" s="12">
        <f t="shared" si="22"/>
        <v>-27790.435830000002</v>
      </c>
      <c r="I436" s="13">
        <f t="shared" si="17"/>
        <v>59876.554170000003</v>
      </c>
      <c r="K436" s="10"/>
      <c r="M436" s="14"/>
    </row>
    <row r="437" spans="1:13" outlineLevel="2">
      <c r="A437" s="10">
        <f t="shared" si="20"/>
        <v>433</v>
      </c>
      <c r="B437" s="10" t="s">
        <v>602</v>
      </c>
      <c r="C437" s="16" t="s">
        <v>855</v>
      </c>
      <c r="D437" s="11" t="s">
        <v>856</v>
      </c>
      <c r="E437" s="12">
        <v>1052565.6299999999</v>
      </c>
      <c r="F437" s="12">
        <v>0</v>
      </c>
      <c r="G437" s="12">
        <f t="shared" si="22"/>
        <v>-333663.30471</v>
      </c>
      <c r="I437" s="13">
        <f t="shared" si="17"/>
        <v>718902.32528999983</v>
      </c>
      <c r="K437" s="10"/>
      <c r="M437" s="14"/>
    </row>
    <row r="438" spans="1:13" outlineLevel="2">
      <c r="A438" s="10">
        <f t="shared" si="20"/>
        <v>434</v>
      </c>
      <c r="B438" s="10" t="s">
        <v>602</v>
      </c>
      <c r="C438" s="16" t="s">
        <v>857</v>
      </c>
      <c r="D438" s="11" t="s">
        <v>858</v>
      </c>
      <c r="E438" s="12">
        <v>427162.42</v>
      </c>
      <c r="F438" s="12">
        <v>0</v>
      </c>
      <c r="G438" s="12">
        <f t="shared" si="22"/>
        <v>-135410.48713999998</v>
      </c>
      <c r="I438" s="13">
        <f t="shared" ref="I438:I463" si="23">SUM(E438:G438)</f>
        <v>291751.93286</v>
      </c>
      <c r="K438" s="10"/>
      <c r="M438" s="14"/>
    </row>
    <row r="439" spans="1:13" outlineLevel="2">
      <c r="A439" s="10">
        <f t="shared" si="20"/>
        <v>435</v>
      </c>
      <c r="B439" s="10" t="s">
        <v>602</v>
      </c>
      <c r="C439" s="16" t="s">
        <v>859</v>
      </c>
      <c r="D439" s="11" t="s">
        <v>860</v>
      </c>
      <c r="E439" s="12">
        <v>330717.93</v>
      </c>
      <c r="F439" s="12">
        <v>0</v>
      </c>
      <c r="G439" s="12">
        <f t="shared" si="22"/>
        <v>-104837.58381</v>
      </c>
      <c r="I439" s="13">
        <f t="shared" si="23"/>
        <v>225880.34619000001</v>
      </c>
      <c r="J439" s="28"/>
      <c r="K439" s="10"/>
      <c r="M439" s="14"/>
    </row>
    <row r="440" spans="1:13" outlineLevel="2">
      <c r="A440" s="10">
        <f t="shared" si="20"/>
        <v>436</v>
      </c>
      <c r="B440" s="10" t="s">
        <v>602</v>
      </c>
      <c r="C440" s="16" t="s">
        <v>861</v>
      </c>
      <c r="D440" s="11" t="s">
        <v>862</v>
      </c>
      <c r="E440" s="12">
        <v>1366</v>
      </c>
      <c r="F440" s="12">
        <v>0</v>
      </c>
      <c r="G440" s="12">
        <f t="shared" si="22"/>
        <v>-433.02199999999999</v>
      </c>
      <c r="I440" s="13">
        <f t="shared" si="23"/>
        <v>932.97800000000007</v>
      </c>
      <c r="J440" s="28"/>
      <c r="K440" s="10"/>
      <c r="M440" s="14"/>
    </row>
    <row r="441" spans="1:13" outlineLevel="2">
      <c r="A441" s="10">
        <f t="shared" si="20"/>
        <v>437</v>
      </c>
      <c r="B441" s="10" t="s">
        <v>602</v>
      </c>
      <c r="C441" s="16" t="s">
        <v>863</v>
      </c>
      <c r="D441" s="11" t="s">
        <v>864</v>
      </c>
      <c r="E441" s="12">
        <v>532434.87</v>
      </c>
      <c r="F441" s="12">
        <v>0</v>
      </c>
      <c r="G441" s="12">
        <f t="shared" si="22"/>
        <v>-168781.85378999999</v>
      </c>
      <c r="I441" s="13">
        <f t="shared" si="23"/>
        <v>363653.01621000003</v>
      </c>
      <c r="J441" s="28"/>
      <c r="K441" s="10"/>
      <c r="M441" s="14"/>
    </row>
    <row r="442" spans="1:13" outlineLevel="2">
      <c r="A442" s="10">
        <f t="shared" si="20"/>
        <v>438</v>
      </c>
      <c r="B442" s="10" t="s">
        <v>602</v>
      </c>
      <c r="C442" s="16" t="s">
        <v>865</v>
      </c>
      <c r="D442" s="11" t="s">
        <v>866</v>
      </c>
      <c r="E442" s="12">
        <v>549514.41</v>
      </c>
      <c r="F442" s="12">
        <v>0</v>
      </c>
      <c r="G442" s="12">
        <f t="shared" si="22"/>
        <v>-174196.06797</v>
      </c>
      <c r="I442" s="13">
        <f t="shared" si="23"/>
        <v>375318.34203000006</v>
      </c>
      <c r="J442" s="28"/>
      <c r="K442" s="10"/>
      <c r="M442" s="14"/>
    </row>
    <row r="443" spans="1:13" outlineLevel="2">
      <c r="A443" s="10">
        <f t="shared" si="20"/>
        <v>439</v>
      </c>
      <c r="B443" s="10" t="s">
        <v>602</v>
      </c>
      <c r="C443" s="16" t="s">
        <v>867</v>
      </c>
      <c r="D443" s="11" t="s">
        <v>868</v>
      </c>
      <c r="E443" s="12">
        <v>295982.49</v>
      </c>
      <c r="F443" s="12">
        <v>0</v>
      </c>
      <c r="G443" s="12">
        <f t="shared" si="22"/>
        <v>-93826.449330000003</v>
      </c>
      <c r="I443" s="13">
        <f t="shared" si="23"/>
        <v>202156.04066999999</v>
      </c>
      <c r="J443" s="28"/>
      <c r="K443" s="10"/>
      <c r="M443" s="14"/>
    </row>
    <row r="444" spans="1:13" outlineLevel="2">
      <c r="A444" s="10">
        <f t="shared" si="20"/>
        <v>440</v>
      </c>
      <c r="B444" s="10" t="s">
        <v>602</v>
      </c>
      <c r="C444" s="16" t="s">
        <v>869</v>
      </c>
      <c r="D444" s="11" t="s">
        <v>870</v>
      </c>
      <c r="E444" s="12">
        <v>1853</v>
      </c>
      <c r="F444" s="12">
        <v>0</v>
      </c>
      <c r="G444" s="12">
        <f>-(E444*$J$308)</f>
        <v>-587.40099999999995</v>
      </c>
      <c r="I444" s="13">
        <f t="shared" si="23"/>
        <v>1265.5990000000002</v>
      </c>
      <c r="J444" s="28"/>
      <c r="K444" s="10"/>
      <c r="M444" s="14"/>
    </row>
    <row r="445" spans="1:13" outlineLevel="2">
      <c r="A445" s="10">
        <f t="shared" si="20"/>
        <v>441</v>
      </c>
      <c r="B445" s="10" t="s">
        <v>602</v>
      </c>
      <c r="C445" s="16" t="s">
        <v>871</v>
      </c>
      <c r="D445" s="11" t="s">
        <v>872</v>
      </c>
      <c r="E445" s="12">
        <v>50053.17</v>
      </c>
      <c r="F445" s="12">
        <v>0</v>
      </c>
      <c r="G445" s="12">
        <f t="shared" ref="G445:G463" si="24">-(E445*$J$308)</f>
        <v>-15866.854890000001</v>
      </c>
      <c r="I445" s="13">
        <f t="shared" si="23"/>
        <v>34186.315109999996</v>
      </c>
      <c r="J445" s="28"/>
      <c r="K445" s="10"/>
      <c r="M445" s="14"/>
    </row>
    <row r="446" spans="1:13" outlineLevel="2">
      <c r="A446" s="10">
        <f t="shared" si="20"/>
        <v>442</v>
      </c>
      <c r="B446" s="10" t="s">
        <v>602</v>
      </c>
      <c r="C446" s="16" t="s">
        <v>873</v>
      </c>
      <c r="D446" s="11" t="s">
        <v>874</v>
      </c>
      <c r="E446" s="12">
        <v>469050.13</v>
      </c>
      <c r="F446" s="12">
        <v>0</v>
      </c>
      <c r="G446" s="12">
        <f t="shared" si="24"/>
        <v>-148688.89121</v>
      </c>
      <c r="I446" s="13">
        <f t="shared" si="23"/>
        <v>320361.23878999997</v>
      </c>
      <c r="J446" s="28"/>
      <c r="K446" s="10"/>
      <c r="M446" s="14"/>
    </row>
    <row r="447" spans="1:13" outlineLevel="2">
      <c r="A447" s="10">
        <f t="shared" si="20"/>
        <v>443</v>
      </c>
      <c r="B447" s="10" t="s">
        <v>602</v>
      </c>
      <c r="C447" s="16" t="s">
        <v>875</v>
      </c>
      <c r="D447" s="11" t="s">
        <v>876</v>
      </c>
      <c r="E447" s="12">
        <v>459861.27</v>
      </c>
      <c r="F447" s="12">
        <v>0</v>
      </c>
      <c r="G447" s="12">
        <f t="shared" si="24"/>
        <v>-145776.02259000001</v>
      </c>
      <c r="I447" s="13">
        <f t="shared" si="23"/>
        <v>314085.24741000001</v>
      </c>
      <c r="J447" s="28"/>
      <c r="K447" s="10"/>
      <c r="M447" s="14"/>
    </row>
    <row r="448" spans="1:13" outlineLevel="2">
      <c r="A448" s="10">
        <f t="shared" si="20"/>
        <v>444</v>
      </c>
      <c r="B448" s="10" t="s">
        <v>602</v>
      </c>
      <c r="C448" s="16" t="s">
        <v>877</v>
      </c>
      <c r="D448" s="11" t="s">
        <v>878</v>
      </c>
      <c r="E448" s="12">
        <v>8781.5400000000009</v>
      </c>
      <c r="F448" s="12">
        <v>0</v>
      </c>
      <c r="G448" s="12">
        <f t="shared" si="24"/>
        <v>-2783.7481800000005</v>
      </c>
      <c r="I448" s="13">
        <f t="shared" si="23"/>
        <v>5997.7918200000004</v>
      </c>
      <c r="J448" s="28"/>
      <c r="K448" s="10"/>
      <c r="M448" s="14"/>
    </row>
    <row r="449" spans="1:13" outlineLevel="2">
      <c r="A449" s="10">
        <f t="shared" si="20"/>
        <v>445</v>
      </c>
      <c r="B449" s="10" t="s">
        <v>602</v>
      </c>
      <c r="C449" s="16" t="s">
        <v>879</v>
      </c>
      <c r="D449" s="11" t="s">
        <v>880</v>
      </c>
      <c r="E449" s="12">
        <v>106095.81</v>
      </c>
      <c r="F449" s="12">
        <v>0</v>
      </c>
      <c r="G449" s="12">
        <f t="shared" si="24"/>
        <v>-33632.371769999998</v>
      </c>
      <c r="I449" s="13">
        <f t="shared" si="23"/>
        <v>72463.43823</v>
      </c>
      <c r="J449" s="28"/>
      <c r="K449" s="10"/>
      <c r="M449" s="14"/>
    </row>
    <row r="450" spans="1:13" outlineLevel="2">
      <c r="A450" s="10">
        <f t="shared" si="20"/>
        <v>446</v>
      </c>
      <c r="B450" s="10" t="s">
        <v>602</v>
      </c>
      <c r="C450" s="16" t="s">
        <v>881</v>
      </c>
      <c r="D450" s="11" t="s">
        <v>882</v>
      </c>
      <c r="E450" s="12">
        <v>216887.19</v>
      </c>
      <c r="F450" s="12">
        <v>0</v>
      </c>
      <c r="G450" s="12">
        <f t="shared" si="24"/>
        <v>-68753.239230000007</v>
      </c>
      <c r="I450" s="13">
        <f t="shared" si="23"/>
        <v>148133.95077</v>
      </c>
      <c r="J450" s="28"/>
      <c r="K450" s="10"/>
      <c r="M450" s="14"/>
    </row>
    <row r="451" spans="1:13" outlineLevel="2">
      <c r="A451" s="10">
        <f t="shared" si="20"/>
        <v>447</v>
      </c>
      <c r="B451" s="10" t="s">
        <v>602</v>
      </c>
      <c r="C451" s="16" t="s">
        <v>883</v>
      </c>
      <c r="D451" s="11" t="s">
        <v>884</v>
      </c>
      <c r="E451" s="12">
        <v>588189.96</v>
      </c>
      <c r="F451" s="12">
        <v>0</v>
      </c>
      <c r="G451" s="12">
        <f t="shared" si="24"/>
        <v>-186456.21732</v>
      </c>
      <c r="I451" s="13">
        <f t="shared" si="23"/>
        <v>401733.74267999997</v>
      </c>
      <c r="J451" s="28"/>
      <c r="K451" s="10"/>
      <c r="M451" s="14"/>
    </row>
    <row r="452" spans="1:13" outlineLevel="2">
      <c r="A452" s="10">
        <f t="shared" si="20"/>
        <v>448</v>
      </c>
      <c r="B452" s="10" t="s">
        <v>602</v>
      </c>
      <c r="C452" s="16" t="s">
        <v>885</v>
      </c>
      <c r="D452" s="11" t="s">
        <v>886</v>
      </c>
      <c r="E452" s="12">
        <v>1239694.3500000001</v>
      </c>
      <c r="F452" s="12">
        <v>0</v>
      </c>
      <c r="G452" s="12">
        <f t="shared" si="24"/>
        <v>-392983.10895000002</v>
      </c>
      <c r="I452" s="13">
        <f t="shared" si="23"/>
        <v>846711.24105000007</v>
      </c>
      <c r="J452" s="28"/>
      <c r="K452" s="10"/>
      <c r="M452" s="14"/>
    </row>
    <row r="453" spans="1:13" outlineLevel="2">
      <c r="A453" s="10">
        <f t="shared" si="20"/>
        <v>449</v>
      </c>
      <c r="B453" s="10" t="s">
        <v>602</v>
      </c>
      <c r="C453" s="16" t="s">
        <v>887</v>
      </c>
      <c r="D453" s="11" t="s">
        <v>888</v>
      </c>
      <c r="E453" s="12">
        <v>145955.72</v>
      </c>
      <c r="F453" s="12">
        <v>0</v>
      </c>
      <c r="G453" s="12">
        <f t="shared" si="24"/>
        <v>-46267.963239999997</v>
      </c>
      <c r="I453" s="13">
        <f t="shared" si="23"/>
        <v>99687.756760000004</v>
      </c>
      <c r="J453" s="28"/>
      <c r="K453" s="10"/>
      <c r="M453" s="14"/>
    </row>
    <row r="454" spans="1:13" outlineLevel="2">
      <c r="A454" s="10">
        <f t="shared" si="20"/>
        <v>450</v>
      </c>
      <c r="B454" s="10" t="s">
        <v>602</v>
      </c>
      <c r="C454" s="16" t="s">
        <v>889</v>
      </c>
      <c r="D454" s="11" t="s">
        <v>890</v>
      </c>
      <c r="E454" s="12">
        <v>98596.95</v>
      </c>
      <c r="F454" s="12">
        <v>0</v>
      </c>
      <c r="G454" s="12">
        <f t="shared" si="24"/>
        <v>-31255.23315</v>
      </c>
      <c r="I454" s="13">
        <f t="shared" si="23"/>
        <v>67341.716849999997</v>
      </c>
      <c r="J454" s="28"/>
      <c r="K454" s="10"/>
      <c r="M454" s="14"/>
    </row>
    <row r="455" spans="1:13" outlineLevel="2">
      <c r="A455" s="10">
        <f t="shared" si="20"/>
        <v>451</v>
      </c>
      <c r="B455" s="10" t="s">
        <v>602</v>
      </c>
      <c r="C455" s="16" t="s">
        <v>891</v>
      </c>
      <c r="D455" s="11" t="s">
        <v>892</v>
      </c>
      <c r="E455" s="12">
        <v>479342.66</v>
      </c>
      <c r="F455" s="12">
        <v>0</v>
      </c>
      <c r="G455" s="12">
        <f t="shared" si="24"/>
        <v>-151951.62321999998</v>
      </c>
      <c r="I455" s="13">
        <f t="shared" si="23"/>
        <v>327391.03677999997</v>
      </c>
      <c r="J455" s="28"/>
      <c r="K455" s="10"/>
      <c r="M455" s="14"/>
    </row>
    <row r="456" spans="1:13" outlineLevel="2">
      <c r="A456" s="10">
        <f t="shared" si="20"/>
        <v>452</v>
      </c>
      <c r="B456" s="10" t="s">
        <v>602</v>
      </c>
      <c r="C456" s="16" t="s">
        <v>893</v>
      </c>
      <c r="D456" s="11" t="s">
        <v>894</v>
      </c>
      <c r="E456" s="12">
        <v>721884.45</v>
      </c>
      <c r="F456" s="12">
        <v>0</v>
      </c>
      <c r="G456" s="12">
        <f t="shared" si="24"/>
        <v>-228837.37065</v>
      </c>
      <c r="I456" s="13">
        <f t="shared" si="23"/>
        <v>493047.07934999996</v>
      </c>
      <c r="J456" s="28"/>
      <c r="K456" s="10"/>
      <c r="M456" s="14"/>
    </row>
    <row r="457" spans="1:13" outlineLevel="2">
      <c r="A457" s="10">
        <f t="shared" si="20"/>
        <v>453</v>
      </c>
      <c r="B457" s="10" t="s">
        <v>602</v>
      </c>
      <c r="C457" s="16" t="s">
        <v>895</v>
      </c>
      <c r="D457" s="11" t="s">
        <v>896</v>
      </c>
      <c r="E457" s="12">
        <v>17781.11</v>
      </c>
      <c r="F457" s="12">
        <v>0</v>
      </c>
      <c r="G457" s="12">
        <f t="shared" si="24"/>
        <v>-5636.6118700000006</v>
      </c>
      <c r="I457" s="13">
        <f t="shared" si="23"/>
        <v>12144.49813</v>
      </c>
      <c r="K457" s="10"/>
      <c r="M457" s="14"/>
    </row>
    <row r="458" spans="1:13" outlineLevel="2">
      <c r="A458" s="10">
        <f t="shared" si="20"/>
        <v>454</v>
      </c>
      <c r="B458" s="10" t="s">
        <v>602</v>
      </c>
      <c r="C458" s="16" t="s">
        <v>897</v>
      </c>
      <c r="D458" s="11" t="s">
        <v>898</v>
      </c>
      <c r="E458" s="12">
        <v>682468.71</v>
      </c>
      <c r="F458" s="12">
        <v>0</v>
      </c>
      <c r="G458" s="12">
        <f t="shared" si="24"/>
        <v>-216342.58106999999</v>
      </c>
      <c r="I458" s="13">
        <f t="shared" si="23"/>
        <v>466126.12893000001</v>
      </c>
      <c r="K458" s="10"/>
      <c r="M458" s="14"/>
    </row>
    <row r="459" spans="1:13" outlineLevel="2">
      <c r="A459" s="10">
        <f t="shared" si="20"/>
        <v>455</v>
      </c>
      <c r="B459" s="10" t="s">
        <v>602</v>
      </c>
      <c r="C459" s="16" t="s">
        <v>899</v>
      </c>
      <c r="D459" s="11" t="s">
        <v>900</v>
      </c>
      <c r="E459" s="12">
        <v>19002.97</v>
      </c>
      <c r="F459" s="12">
        <v>0</v>
      </c>
      <c r="G459" s="12">
        <f t="shared" si="24"/>
        <v>-6023.9414900000002</v>
      </c>
      <c r="I459" s="13">
        <f t="shared" si="23"/>
        <v>12979.02851</v>
      </c>
      <c r="K459" s="10"/>
      <c r="M459" s="14"/>
    </row>
    <row r="460" spans="1:13" outlineLevel="2">
      <c r="A460" s="10">
        <f t="shared" si="20"/>
        <v>456</v>
      </c>
      <c r="B460" s="10" t="s">
        <v>602</v>
      </c>
      <c r="C460" s="16" t="s">
        <v>901</v>
      </c>
      <c r="D460" s="11" t="s">
        <v>902</v>
      </c>
      <c r="E460" s="12">
        <v>91987.25</v>
      </c>
      <c r="F460" s="12">
        <v>0</v>
      </c>
      <c r="G460" s="12">
        <f>-(E460*$J$308)</f>
        <v>-29159.95825</v>
      </c>
      <c r="I460" s="13">
        <f t="shared" si="23"/>
        <v>62827.291750000004</v>
      </c>
      <c r="J460" s="13"/>
      <c r="K460" s="10"/>
      <c r="L460" s="13"/>
      <c r="M460" s="13"/>
    </row>
    <row r="461" spans="1:13" outlineLevel="2">
      <c r="A461" s="10">
        <f t="shared" si="20"/>
        <v>457</v>
      </c>
      <c r="B461" s="10" t="s">
        <v>602</v>
      </c>
      <c r="C461" s="16" t="s">
        <v>2261</v>
      </c>
      <c r="D461" s="11" t="s">
        <v>903</v>
      </c>
      <c r="E461" s="12">
        <v>165594.23999999999</v>
      </c>
      <c r="F461" s="12">
        <v>0</v>
      </c>
      <c r="G461" s="12">
        <f t="shared" si="24"/>
        <v>-52493.374079999994</v>
      </c>
      <c r="I461" s="13">
        <f t="shared" si="23"/>
        <v>113100.86592</v>
      </c>
      <c r="J461" s="11"/>
      <c r="K461" s="10"/>
      <c r="M461" s="14"/>
    </row>
    <row r="462" spans="1:13" outlineLevel="2">
      <c r="A462" s="10">
        <f t="shared" si="20"/>
        <v>458</v>
      </c>
      <c r="B462" s="10" t="s">
        <v>602</v>
      </c>
      <c r="C462" s="16" t="s">
        <v>904</v>
      </c>
      <c r="D462" s="11" t="s">
        <v>905</v>
      </c>
      <c r="E462" s="12">
        <v>28279.89</v>
      </c>
      <c r="F462" s="12">
        <v>0</v>
      </c>
      <c r="G462" s="12">
        <f t="shared" si="24"/>
        <v>-8964.7251300000007</v>
      </c>
      <c r="I462" s="13">
        <f t="shared" si="23"/>
        <v>19315.164870000001</v>
      </c>
      <c r="J462" s="11"/>
      <c r="K462" s="10"/>
    </row>
    <row r="463" spans="1:13" outlineLevel="2">
      <c r="A463" s="10">
        <f t="shared" si="20"/>
        <v>459</v>
      </c>
      <c r="B463" s="10" t="s">
        <v>602</v>
      </c>
      <c r="C463" s="11" t="s">
        <v>2262</v>
      </c>
      <c r="D463" s="11" t="s">
        <v>906</v>
      </c>
      <c r="E463" s="12">
        <f>72507.65+150859.01</f>
        <v>223366.66</v>
      </c>
      <c r="F463" s="12">
        <v>0</v>
      </c>
      <c r="G463" s="12">
        <f t="shared" si="24"/>
        <v>-70807.231220000001</v>
      </c>
      <c r="I463" s="13">
        <f t="shared" si="23"/>
        <v>152559.42878000002</v>
      </c>
      <c r="J463" s="11"/>
      <c r="K463" s="10"/>
      <c r="M463" s="14"/>
    </row>
    <row r="464" spans="1:13" s="6" customFormat="1" ht="14.4" outlineLevel="1" thickBot="1">
      <c r="A464" s="10">
        <f t="shared" ref="A464:A506" si="25">A463+1</f>
        <v>460</v>
      </c>
      <c r="B464" s="18" t="s">
        <v>907</v>
      </c>
      <c r="C464" s="20"/>
      <c r="D464" s="20" t="s">
        <v>908</v>
      </c>
      <c r="E464" s="21">
        <f>SUBTOTAL(9,E305:E463)</f>
        <v>42029019.200000003</v>
      </c>
      <c r="F464" s="21">
        <f>SUBTOTAL(9,F305:F463)</f>
        <v>0</v>
      </c>
      <c r="G464" s="21">
        <f>SUBTOTAL(9,G305:G463)</f>
        <v>-13409308.331200005</v>
      </c>
      <c r="H464" s="21"/>
      <c r="I464" s="22">
        <f>SUBTOTAL(9,I305:I463)</f>
        <v>28619710.868800007</v>
      </c>
      <c r="K464" s="3"/>
      <c r="L464" s="3"/>
      <c r="M464" s="7"/>
    </row>
    <row r="465" spans="1:13" ht="14.4" outlineLevel="2" thickTop="1">
      <c r="A465" s="10">
        <f t="shared" si="25"/>
        <v>461</v>
      </c>
      <c r="B465" s="10" t="s">
        <v>909</v>
      </c>
      <c r="C465" s="16" t="s">
        <v>910</v>
      </c>
      <c r="D465" s="11" t="s">
        <v>911</v>
      </c>
      <c r="E465" s="12">
        <v>19890751.77</v>
      </c>
      <c r="F465" s="12">
        <v>0</v>
      </c>
      <c r="G465" s="12">
        <v>0</v>
      </c>
      <c r="I465" s="13">
        <f>SUM(E465:G465)</f>
        <v>19890751.77</v>
      </c>
      <c r="J465" s="11"/>
      <c r="K465" s="10"/>
      <c r="M465" s="14"/>
    </row>
    <row r="466" spans="1:13" outlineLevel="2">
      <c r="A466" s="10">
        <f t="shared" si="25"/>
        <v>462</v>
      </c>
      <c r="B466" s="10" t="s">
        <v>909</v>
      </c>
      <c r="C466" s="529" t="s">
        <v>910</v>
      </c>
      <c r="D466" s="11" t="s">
        <v>912</v>
      </c>
      <c r="E466" s="12">
        <v>3680368.76</v>
      </c>
      <c r="F466" s="12">
        <v>0</v>
      </c>
      <c r="G466" s="12">
        <v>0</v>
      </c>
      <c r="I466" s="13">
        <f>SUM(E466:G466)</f>
        <v>3680368.76</v>
      </c>
      <c r="J466" s="11"/>
      <c r="K466" s="10"/>
      <c r="M466" s="14"/>
    </row>
    <row r="467" spans="1:13" s="6" customFormat="1" ht="14.4" outlineLevel="1" thickBot="1">
      <c r="A467" s="10">
        <f t="shared" si="25"/>
        <v>463</v>
      </c>
      <c r="B467" s="18" t="s">
        <v>913</v>
      </c>
      <c r="C467" s="29"/>
      <c r="D467" s="20" t="s">
        <v>914</v>
      </c>
      <c r="E467" s="21">
        <f>SUBTOTAL(9,E465:E466)</f>
        <v>23571120.530000001</v>
      </c>
      <c r="F467" s="21">
        <f>SUBTOTAL(9,F465:F466)</f>
        <v>0</v>
      </c>
      <c r="G467" s="21">
        <f>SUBTOTAL(9,G465:G466)</f>
        <v>0</v>
      </c>
      <c r="H467" s="21"/>
      <c r="I467" s="22">
        <f>SUBTOTAL(9,I465:I466)</f>
        <v>23571120.530000001</v>
      </c>
      <c r="K467" s="3"/>
      <c r="L467" s="3"/>
      <c r="M467" s="7"/>
    </row>
    <row r="468" spans="1:13" ht="14.4" outlineLevel="2" thickTop="1">
      <c r="A468" s="10">
        <f t="shared" si="25"/>
        <v>464</v>
      </c>
      <c r="B468" s="10" t="s">
        <v>915</v>
      </c>
      <c r="C468" s="16" t="s">
        <v>916</v>
      </c>
      <c r="D468" s="11" t="s">
        <v>917</v>
      </c>
      <c r="E468" s="12">
        <v>650000.85</v>
      </c>
      <c r="F468" s="12">
        <v>-650001</v>
      </c>
      <c r="G468" s="12">
        <v>0</v>
      </c>
      <c r="I468" s="13">
        <f t="shared" ref="I468:I484" si="26">SUM(E468:G468)</f>
        <v>-0.15000000002328306</v>
      </c>
      <c r="J468" s="773"/>
      <c r="K468" s="10"/>
      <c r="M468" s="14"/>
    </row>
    <row r="469" spans="1:13" outlineLevel="2">
      <c r="A469" s="10">
        <f t="shared" si="25"/>
        <v>465</v>
      </c>
      <c r="B469" s="10" t="s">
        <v>915</v>
      </c>
      <c r="C469" s="16" t="s">
        <v>918</v>
      </c>
      <c r="D469" s="11" t="s">
        <v>919</v>
      </c>
      <c r="E469" s="12">
        <v>184827.19</v>
      </c>
      <c r="F469" s="12">
        <v>-184827</v>
      </c>
      <c r="G469" s="12">
        <v>0</v>
      </c>
      <c r="I469" s="13">
        <f t="shared" si="26"/>
        <v>0.19000000000232831</v>
      </c>
      <c r="J469" s="774"/>
      <c r="K469" s="10"/>
      <c r="M469" s="14"/>
    </row>
    <row r="470" spans="1:13" outlineLevel="2">
      <c r="A470" s="10">
        <f t="shared" si="25"/>
        <v>466</v>
      </c>
      <c r="B470" s="10" t="s">
        <v>915</v>
      </c>
      <c r="C470" s="16" t="s">
        <v>920</v>
      </c>
      <c r="D470" s="11" t="s">
        <v>921</v>
      </c>
      <c r="E470" s="12">
        <v>223594.2</v>
      </c>
      <c r="F470" s="12">
        <v>-223594</v>
      </c>
      <c r="G470" s="12">
        <v>0</v>
      </c>
      <c r="I470" s="13">
        <f t="shared" si="26"/>
        <v>0.20000000001164153</v>
      </c>
      <c r="J470" s="774"/>
      <c r="K470" s="10"/>
      <c r="M470" s="14"/>
    </row>
    <row r="471" spans="1:13" outlineLevel="2">
      <c r="A471" s="10">
        <f t="shared" si="25"/>
        <v>467</v>
      </c>
      <c r="B471" s="10" t="s">
        <v>915</v>
      </c>
      <c r="C471" s="16" t="s">
        <v>922</v>
      </c>
      <c r="D471" s="11" t="s">
        <v>923</v>
      </c>
      <c r="E471" s="12">
        <v>171256.71</v>
      </c>
      <c r="F471" s="12">
        <v>-171257</v>
      </c>
      <c r="G471" s="12">
        <v>0</v>
      </c>
      <c r="I471" s="13">
        <f t="shared" si="26"/>
        <v>-0.29000000000814907</v>
      </c>
      <c r="K471" s="10"/>
      <c r="M471" s="14"/>
    </row>
    <row r="472" spans="1:13" outlineLevel="2">
      <c r="A472" s="10">
        <f t="shared" si="25"/>
        <v>468</v>
      </c>
      <c r="B472" s="10" t="s">
        <v>915</v>
      </c>
      <c r="C472" s="16" t="s">
        <v>924</v>
      </c>
      <c r="D472" s="11" t="s">
        <v>925</v>
      </c>
      <c r="E472" s="12">
        <v>25505.599999999999</v>
      </c>
      <c r="F472" s="12">
        <v>-25506</v>
      </c>
      <c r="G472" s="12">
        <v>0</v>
      </c>
      <c r="I472" s="13">
        <f t="shared" si="26"/>
        <v>-0.40000000000145519</v>
      </c>
      <c r="K472" s="10"/>
      <c r="M472" s="14"/>
    </row>
    <row r="473" spans="1:13" outlineLevel="2">
      <c r="A473" s="10">
        <f t="shared" si="25"/>
        <v>469</v>
      </c>
      <c r="B473" s="10" t="s">
        <v>915</v>
      </c>
      <c r="C473" s="16" t="s">
        <v>926</v>
      </c>
      <c r="D473" s="11" t="s">
        <v>927</v>
      </c>
      <c r="E473" s="12">
        <v>297423</v>
      </c>
      <c r="F473" s="12">
        <v>-297423</v>
      </c>
      <c r="G473" s="12">
        <v>0</v>
      </c>
      <c r="I473" s="13">
        <f t="shared" si="26"/>
        <v>0</v>
      </c>
      <c r="K473" s="10"/>
      <c r="M473" s="14"/>
    </row>
    <row r="474" spans="1:13" outlineLevel="2">
      <c r="A474" s="10">
        <f t="shared" si="25"/>
        <v>470</v>
      </c>
      <c r="B474" s="10" t="s">
        <v>915</v>
      </c>
      <c r="C474" s="16" t="s">
        <v>928</v>
      </c>
      <c r="D474" s="11" t="s">
        <v>929</v>
      </c>
      <c r="E474" s="12">
        <v>253597.44</v>
      </c>
      <c r="F474" s="12">
        <v>-253597</v>
      </c>
      <c r="G474" s="12">
        <v>0</v>
      </c>
      <c r="I474" s="13">
        <f t="shared" si="26"/>
        <v>0.44000000000232831</v>
      </c>
      <c r="K474" s="10"/>
      <c r="M474" s="14"/>
    </row>
    <row r="475" spans="1:13" outlineLevel="2">
      <c r="A475" s="10">
        <f t="shared" si="25"/>
        <v>471</v>
      </c>
      <c r="B475" s="10" t="s">
        <v>915</v>
      </c>
      <c r="C475" s="16" t="s">
        <v>930</v>
      </c>
      <c r="D475" s="11" t="s">
        <v>931</v>
      </c>
      <c r="E475" s="12">
        <v>1079091.51</v>
      </c>
      <c r="F475" s="12">
        <v>-1079092</v>
      </c>
      <c r="G475" s="12">
        <v>0</v>
      </c>
      <c r="I475" s="13">
        <f t="shared" si="26"/>
        <v>-0.48999999999068677</v>
      </c>
      <c r="K475" s="10"/>
      <c r="M475" s="14"/>
    </row>
    <row r="476" spans="1:13" outlineLevel="2">
      <c r="A476" s="10">
        <f t="shared" si="25"/>
        <v>472</v>
      </c>
      <c r="B476" s="10" t="s">
        <v>915</v>
      </c>
      <c r="C476" s="16" t="s">
        <v>932</v>
      </c>
      <c r="D476" s="11" t="s">
        <v>933</v>
      </c>
      <c r="E476" s="12">
        <v>425706.26</v>
      </c>
      <c r="F476" s="12">
        <v>-425706</v>
      </c>
      <c r="G476" s="12">
        <v>0</v>
      </c>
      <c r="I476" s="13">
        <f t="shared" si="26"/>
        <v>0.26000000000931323</v>
      </c>
      <c r="K476" s="10"/>
      <c r="M476" s="14"/>
    </row>
    <row r="477" spans="1:13" outlineLevel="2">
      <c r="A477" s="10">
        <f t="shared" si="25"/>
        <v>473</v>
      </c>
      <c r="B477" s="10" t="s">
        <v>915</v>
      </c>
      <c r="C477" s="16" t="s">
        <v>934</v>
      </c>
      <c r="D477" s="11" t="s">
        <v>935</v>
      </c>
      <c r="E477" s="12">
        <v>108040.31</v>
      </c>
      <c r="F477" s="12">
        <v>-108040</v>
      </c>
      <c r="G477" s="12">
        <v>0</v>
      </c>
      <c r="I477" s="13">
        <f t="shared" si="26"/>
        <v>0.30999999999767169</v>
      </c>
      <c r="K477" s="10"/>
      <c r="M477" s="14"/>
    </row>
    <row r="478" spans="1:13" outlineLevel="2">
      <c r="A478" s="10">
        <f t="shared" si="25"/>
        <v>474</v>
      </c>
      <c r="B478" s="10" t="s">
        <v>915</v>
      </c>
      <c r="C478" s="16" t="s">
        <v>936</v>
      </c>
      <c r="D478" s="11" t="s">
        <v>937</v>
      </c>
      <c r="E478" s="12">
        <v>6494</v>
      </c>
      <c r="F478" s="12">
        <v>-6494</v>
      </c>
      <c r="G478" s="12">
        <v>0</v>
      </c>
      <c r="I478" s="13">
        <f t="shared" si="26"/>
        <v>0</v>
      </c>
      <c r="K478" s="10"/>
      <c r="M478" s="14"/>
    </row>
    <row r="479" spans="1:13" outlineLevel="2">
      <c r="A479" s="10">
        <f t="shared" si="25"/>
        <v>475</v>
      </c>
      <c r="B479" s="10" t="s">
        <v>915</v>
      </c>
      <c r="C479" s="16" t="s">
        <v>938</v>
      </c>
      <c r="D479" s="11" t="s">
        <v>939</v>
      </c>
      <c r="E479" s="12">
        <v>102282.9</v>
      </c>
      <c r="F479" s="12">
        <v>-102283</v>
      </c>
      <c r="G479" s="12">
        <v>0</v>
      </c>
      <c r="I479" s="13">
        <f t="shared" si="26"/>
        <v>-0.10000000000582077</v>
      </c>
      <c r="K479" s="10"/>
      <c r="M479" s="14"/>
    </row>
    <row r="480" spans="1:13" outlineLevel="2">
      <c r="A480" s="10">
        <f t="shared" si="25"/>
        <v>476</v>
      </c>
      <c r="B480" s="10" t="s">
        <v>915</v>
      </c>
      <c r="C480" s="16" t="s">
        <v>940</v>
      </c>
      <c r="D480" s="11" t="s">
        <v>941</v>
      </c>
      <c r="E480" s="12">
        <v>1237730.0900000001</v>
      </c>
      <c r="F480" s="12">
        <v>-1237730</v>
      </c>
      <c r="G480" s="12">
        <v>0</v>
      </c>
      <c r="I480" s="13">
        <f t="shared" si="26"/>
        <v>9.0000000083819032E-2</v>
      </c>
      <c r="K480" s="10"/>
      <c r="M480" s="14"/>
    </row>
    <row r="481" spans="1:13" outlineLevel="2">
      <c r="A481" s="10">
        <f t="shared" si="25"/>
        <v>477</v>
      </c>
      <c r="B481" s="10" t="s">
        <v>915</v>
      </c>
      <c r="C481" s="16" t="s">
        <v>942</v>
      </c>
      <c r="D481" s="11" t="s">
        <v>2243</v>
      </c>
      <c r="E481" s="12">
        <v>920941.25</v>
      </c>
      <c r="F481" s="12">
        <v>-920941</v>
      </c>
      <c r="G481" s="12">
        <v>0</v>
      </c>
      <c r="I481" s="13">
        <f t="shared" si="26"/>
        <v>0.25</v>
      </c>
      <c r="K481" s="10"/>
      <c r="M481" s="14"/>
    </row>
    <row r="482" spans="1:13" ht="12.75" customHeight="1" outlineLevel="2">
      <c r="A482" s="10">
        <f t="shared" si="25"/>
        <v>478</v>
      </c>
      <c r="B482" s="10" t="s">
        <v>915</v>
      </c>
      <c r="C482" s="16" t="s">
        <v>943</v>
      </c>
      <c r="D482" s="11" t="s">
        <v>2244</v>
      </c>
      <c r="E482" s="12">
        <v>474403.84000000003</v>
      </c>
      <c r="F482" s="12">
        <v>-474404</v>
      </c>
      <c r="G482" s="12">
        <v>0</v>
      </c>
      <c r="I482" s="13">
        <f t="shared" si="26"/>
        <v>-0.15999999997438863</v>
      </c>
      <c r="J482" s="11"/>
      <c r="K482" s="10"/>
      <c r="M482" s="14"/>
    </row>
    <row r="483" spans="1:13" outlineLevel="2">
      <c r="A483" s="10">
        <f t="shared" si="25"/>
        <v>479</v>
      </c>
      <c r="B483" s="10" t="s">
        <v>915</v>
      </c>
      <c r="C483" s="16" t="s">
        <v>944</v>
      </c>
      <c r="D483" s="11" t="s">
        <v>945</v>
      </c>
      <c r="E483" s="12">
        <v>318567.84999999998</v>
      </c>
      <c r="F483" s="12">
        <v>-318568</v>
      </c>
      <c r="G483" s="12">
        <v>0</v>
      </c>
      <c r="I483" s="13">
        <f t="shared" si="26"/>
        <v>-0.15000000002328306</v>
      </c>
      <c r="J483" s="17"/>
      <c r="K483" s="10"/>
      <c r="M483" s="14"/>
    </row>
    <row r="484" spans="1:13" outlineLevel="2">
      <c r="A484" s="10">
        <f t="shared" si="25"/>
        <v>480</v>
      </c>
      <c r="B484" s="10" t="s">
        <v>915</v>
      </c>
      <c r="C484" s="11" t="s">
        <v>946</v>
      </c>
      <c r="D484" s="11" t="s">
        <v>947</v>
      </c>
      <c r="E484" s="12">
        <v>216162.68</v>
      </c>
      <c r="F484" s="12">
        <v>-216163</v>
      </c>
      <c r="G484" s="12">
        <v>0</v>
      </c>
      <c r="I484" s="13">
        <f t="shared" si="26"/>
        <v>-0.32000000000698492</v>
      </c>
      <c r="K484" s="10"/>
      <c r="M484" s="14"/>
    </row>
    <row r="485" spans="1:13" s="6" customFormat="1" ht="14.4" outlineLevel="1" thickBot="1">
      <c r="A485" s="10">
        <f t="shared" si="25"/>
        <v>481</v>
      </c>
      <c r="B485" s="18" t="s">
        <v>948</v>
      </c>
      <c r="C485" s="20"/>
      <c r="D485" s="20" t="s">
        <v>949</v>
      </c>
      <c r="E485" s="21">
        <f>SUBTOTAL(9,E468:E484)</f>
        <v>6695625.6799999988</v>
      </c>
      <c r="F485" s="21">
        <f>SUBTOTAL(9,F468:F484)</f>
        <v>-6695626</v>
      </c>
      <c r="G485" s="21">
        <f>SUBTOTAL(9,G468:G484)</f>
        <v>0</v>
      </c>
      <c r="H485" s="21"/>
      <c r="I485" s="22">
        <f>SUBTOTAL(9,I468:I484)</f>
        <v>-0.31999999992694939</v>
      </c>
      <c r="J485" s="23"/>
      <c r="K485" s="3"/>
      <c r="L485" s="3"/>
      <c r="M485" s="7"/>
    </row>
    <row r="486" spans="1:13" ht="13.5" customHeight="1" outlineLevel="2" thickTop="1">
      <c r="A486" s="10">
        <f t="shared" si="25"/>
        <v>482</v>
      </c>
      <c r="B486" s="10" t="s">
        <v>950</v>
      </c>
      <c r="C486" s="16" t="s">
        <v>2263</v>
      </c>
      <c r="D486" s="1" t="s">
        <v>951</v>
      </c>
      <c r="E486" s="12">
        <v>287835</v>
      </c>
      <c r="F486" s="12">
        <v>0</v>
      </c>
      <c r="G486" s="12">
        <v>0</v>
      </c>
      <c r="I486" s="13">
        <f t="shared" ref="I486:I493" si="27">SUM(E486:G486)</f>
        <v>287835</v>
      </c>
      <c r="J486" s="775"/>
      <c r="K486" s="10"/>
      <c r="M486" s="14"/>
    </row>
    <row r="487" spans="1:13" s="10" customFormat="1" ht="13.5" customHeight="1" outlineLevel="2">
      <c r="A487" s="10">
        <f t="shared" si="25"/>
        <v>483</v>
      </c>
      <c r="B487" s="10" t="s">
        <v>950</v>
      </c>
      <c r="C487" s="413" t="s">
        <v>2264</v>
      </c>
      <c r="D487" s="11" t="s">
        <v>952</v>
      </c>
      <c r="E487" s="12">
        <v>11422173.960000001</v>
      </c>
      <c r="F487" s="12">
        <v>-8728156</v>
      </c>
      <c r="G487" s="12">
        <v>0</v>
      </c>
      <c r="H487" s="12"/>
      <c r="I487" s="13">
        <f t="shared" si="27"/>
        <v>2694017.9600000009</v>
      </c>
      <c r="J487" s="776"/>
      <c r="M487" s="14"/>
    </row>
    <row r="488" spans="1:13" s="10" customFormat="1" outlineLevel="2">
      <c r="A488" s="10">
        <f t="shared" si="25"/>
        <v>484</v>
      </c>
      <c r="B488" s="10" t="s">
        <v>950</v>
      </c>
      <c r="C488" s="413" t="s">
        <v>2265</v>
      </c>
      <c r="D488" s="11" t="s">
        <v>953</v>
      </c>
      <c r="E488" s="12">
        <v>2978205</v>
      </c>
      <c r="F488" s="12">
        <v>0</v>
      </c>
      <c r="G488" s="12">
        <v>0</v>
      </c>
      <c r="H488" s="12"/>
      <c r="I488" s="13">
        <f t="shared" si="27"/>
        <v>2978205</v>
      </c>
      <c r="J488" s="776"/>
      <c r="M488" s="14"/>
    </row>
    <row r="489" spans="1:13" s="10" customFormat="1" outlineLevel="2">
      <c r="A489" s="10">
        <f t="shared" si="25"/>
        <v>485</v>
      </c>
      <c r="B489" s="10" t="s">
        <v>950</v>
      </c>
      <c r="C489" s="413" t="s">
        <v>2266</v>
      </c>
      <c r="D489" s="11" t="s">
        <v>896</v>
      </c>
      <c r="E489" s="12">
        <v>237295.95</v>
      </c>
      <c r="F489" s="12"/>
      <c r="G489" s="12"/>
      <c r="H489" s="12"/>
      <c r="I489" s="13">
        <f t="shared" si="27"/>
        <v>237295.95</v>
      </c>
      <c r="J489" s="776"/>
      <c r="M489" s="14"/>
    </row>
    <row r="490" spans="1:13" s="10" customFormat="1" outlineLevel="2">
      <c r="A490" s="10">
        <f t="shared" si="25"/>
        <v>486</v>
      </c>
      <c r="B490" s="10" t="s">
        <v>950</v>
      </c>
      <c r="C490" s="413" t="s">
        <v>2267</v>
      </c>
      <c r="D490" s="11" t="s">
        <v>2252</v>
      </c>
      <c r="E490" s="12">
        <v>121494.9</v>
      </c>
      <c r="F490" s="12">
        <f>-(E490*0.75)</f>
        <v>-91121.174999999988</v>
      </c>
      <c r="G490" s="12"/>
      <c r="H490" s="12"/>
      <c r="I490" s="13">
        <f t="shared" si="27"/>
        <v>30373.725000000006</v>
      </c>
      <c r="J490" s="776"/>
      <c r="M490" s="14"/>
    </row>
    <row r="491" spans="1:13" s="10" customFormat="1" outlineLevel="2">
      <c r="A491" s="10">
        <f t="shared" si="25"/>
        <v>487</v>
      </c>
      <c r="B491" s="10" t="s">
        <v>950</v>
      </c>
      <c r="C491" s="413" t="s">
        <v>2268</v>
      </c>
      <c r="D491" s="11" t="s">
        <v>2253</v>
      </c>
      <c r="E491" s="12">
        <f>475783.06+216551.65</f>
        <v>692334.71</v>
      </c>
      <c r="F491" s="12">
        <f>-(E491*0.75)</f>
        <v>-519251.03249999997</v>
      </c>
      <c r="G491" s="12"/>
      <c r="H491" s="12"/>
      <c r="I491" s="13">
        <f t="shared" si="27"/>
        <v>173083.67749999999</v>
      </c>
      <c r="J491" s="776"/>
      <c r="M491" s="14"/>
    </row>
    <row r="492" spans="1:13" s="10" customFormat="1" outlineLevel="2">
      <c r="A492" s="10">
        <f t="shared" si="25"/>
        <v>488</v>
      </c>
      <c r="B492" s="10" t="s">
        <v>950</v>
      </c>
      <c r="C492" s="413" t="s">
        <v>2269</v>
      </c>
      <c r="D492" s="11" t="s">
        <v>954</v>
      </c>
      <c r="E492" s="12">
        <v>12752527.140000001</v>
      </c>
      <c r="F492" s="12">
        <f>-(E492*0.75)</f>
        <v>-9564395.3550000004</v>
      </c>
      <c r="G492" s="12">
        <v>0</v>
      </c>
      <c r="H492" s="12"/>
      <c r="I492" s="13">
        <f t="shared" si="27"/>
        <v>3188131.7850000001</v>
      </c>
      <c r="J492" s="776"/>
      <c r="M492" s="14"/>
    </row>
    <row r="493" spans="1:13" s="10" customFormat="1" outlineLevel="2">
      <c r="A493" s="10">
        <f t="shared" si="25"/>
        <v>489</v>
      </c>
      <c r="B493" s="10" t="s">
        <v>950</v>
      </c>
      <c r="C493" s="413" t="s">
        <v>2016</v>
      </c>
      <c r="D493" s="11" t="s">
        <v>2254</v>
      </c>
      <c r="E493" s="12">
        <v>445483.49</v>
      </c>
      <c r="F493" s="12"/>
      <c r="G493" s="12"/>
      <c r="H493" s="12"/>
      <c r="I493" s="13">
        <f t="shared" si="27"/>
        <v>445483.49</v>
      </c>
      <c r="J493" s="406"/>
      <c r="M493" s="14"/>
    </row>
    <row r="494" spans="1:13" s="3" customFormat="1" ht="14.4" outlineLevel="1" thickBot="1">
      <c r="A494" s="10">
        <f t="shared" si="25"/>
        <v>490</v>
      </c>
      <c r="B494" s="18" t="s">
        <v>955</v>
      </c>
      <c r="C494" s="30"/>
      <c r="D494" s="20" t="s">
        <v>956</v>
      </c>
      <c r="E494" s="21">
        <f>SUBTOTAL(9,E486:E493)</f>
        <v>28937350.149999999</v>
      </c>
      <c r="F494" s="21">
        <f>SUBTOTAL(9,F486:F492)</f>
        <v>-18902923.5625</v>
      </c>
      <c r="G494" s="21">
        <f>SUBTOTAL(9,G486:G492)</f>
        <v>0</v>
      </c>
      <c r="H494" s="21"/>
      <c r="I494" s="22">
        <f>SUBTOTAL(9,I486:I493)</f>
        <v>10034426.5875</v>
      </c>
      <c r="J494" s="31"/>
      <c r="M494" s="7"/>
    </row>
    <row r="495" spans="1:13" s="10" customFormat="1" ht="14.4" outlineLevel="2" thickTop="1">
      <c r="A495" s="10">
        <f t="shared" si="25"/>
        <v>491</v>
      </c>
      <c r="B495" s="10" t="s">
        <v>957</v>
      </c>
      <c r="C495" s="14"/>
      <c r="D495" s="11" t="s">
        <v>620</v>
      </c>
      <c r="E495" s="12">
        <v>2370872.7999999998</v>
      </c>
      <c r="F495" s="12">
        <v>-1772523.45</v>
      </c>
      <c r="G495" s="12"/>
      <c r="H495" s="12"/>
      <c r="I495" s="13">
        <f t="shared" ref="I495:I500" si="28">SUM(E495:G495)</f>
        <v>598349.34999999986</v>
      </c>
      <c r="M495" s="14"/>
    </row>
    <row r="496" spans="1:13" s="10" customFormat="1" outlineLevel="2">
      <c r="A496" s="10">
        <f t="shared" si="25"/>
        <v>492</v>
      </c>
      <c r="B496" s="10" t="s">
        <v>957</v>
      </c>
      <c r="C496" s="14"/>
      <c r="D496" s="11" t="s">
        <v>2380</v>
      </c>
      <c r="E496" s="12">
        <v>6186445.3200000003</v>
      </c>
      <c r="F496" s="12">
        <v>-933622.63</v>
      </c>
      <c r="G496" s="12"/>
      <c r="H496" s="12"/>
      <c r="I496" s="13">
        <f t="shared" si="28"/>
        <v>5252822.6900000004</v>
      </c>
      <c r="M496" s="14"/>
    </row>
    <row r="497" spans="1:16" s="10" customFormat="1" outlineLevel="2">
      <c r="A497" s="10">
        <f t="shared" si="25"/>
        <v>493</v>
      </c>
      <c r="B497" s="10" t="s">
        <v>957</v>
      </c>
      <c r="C497" s="14"/>
      <c r="D497" s="11" t="s">
        <v>314</v>
      </c>
      <c r="E497" s="12">
        <v>10953005.529999999</v>
      </c>
      <c r="F497" s="12">
        <v>-2565236.12</v>
      </c>
      <c r="G497" s="12"/>
      <c r="H497" s="12"/>
      <c r="I497" s="13">
        <f t="shared" si="28"/>
        <v>8387769.4099999992</v>
      </c>
      <c r="M497" s="14"/>
    </row>
    <row r="498" spans="1:16" s="10" customFormat="1" outlineLevel="2">
      <c r="A498" s="10">
        <f t="shared" si="25"/>
        <v>494</v>
      </c>
      <c r="B498" s="10" t="s">
        <v>957</v>
      </c>
      <c r="C498" s="14"/>
      <c r="D498" s="11" t="s">
        <v>725</v>
      </c>
      <c r="E498" s="12">
        <v>85427859</v>
      </c>
      <c r="F498" s="12">
        <v>-42372683</v>
      </c>
      <c r="G498" s="12"/>
      <c r="H498" s="12"/>
      <c r="I498" s="13">
        <f t="shared" si="28"/>
        <v>43055176</v>
      </c>
      <c r="M498" s="14"/>
    </row>
    <row r="499" spans="1:16" s="10" customFormat="1" outlineLevel="2">
      <c r="A499" s="10">
        <f t="shared" si="25"/>
        <v>495</v>
      </c>
      <c r="B499" s="10" t="s">
        <v>957</v>
      </c>
      <c r="C499" s="14"/>
      <c r="D499" s="11" t="s">
        <v>2381</v>
      </c>
      <c r="E499" s="12">
        <v>10079122.77</v>
      </c>
      <c r="F499" s="12">
        <v>-7015929.1699999999</v>
      </c>
      <c r="G499" s="12"/>
      <c r="H499" s="12"/>
      <c r="I499" s="13">
        <f t="shared" si="28"/>
        <v>3063193.5999999996</v>
      </c>
      <c r="M499" s="14"/>
    </row>
    <row r="500" spans="1:16" s="10" customFormat="1" outlineLevel="2">
      <c r="A500" s="10">
        <f t="shared" si="25"/>
        <v>496</v>
      </c>
      <c r="B500" s="10" t="s">
        <v>957</v>
      </c>
      <c r="C500" s="14"/>
      <c r="D500" s="11" t="s">
        <v>810</v>
      </c>
      <c r="E500" s="12">
        <v>10234030.529999999</v>
      </c>
      <c r="F500" s="12">
        <v>-3344088.32</v>
      </c>
      <c r="G500" s="12"/>
      <c r="H500" s="12"/>
      <c r="I500" s="13">
        <f t="shared" si="28"/>
        <v>6889942.209999999</v>
      </c>
      <c r="M500" s="14"/>
    </row>
    <row r="501" spans="1:16" s="3" customFormat="1" ht="14.4" outlineLevel="1" thickBot="1">
      <c r="A501" s="10">
        <f t="shared" si="25"/>
        <v>497</v>
      </c>
      <c r="B501" s="18" t="s">
        <v>958</v>
      </c>
      <c r="C501" s="20"/>
      <c r="D501" s="20" t="s">
        <v>959</v>
      </c>
      <c r="E501" s="32">
        <f>SUM(E495:E500)</f>
        <v>125251335.95</v>
      </c>
      <c r="F501" s="32">
        <f>SUM(F495:F500)</f>
        <v>-58004082.690000005</v>
      </c>
      <c r="G501" s="32">
        <f>SUM(G495:G500)</f>
        <v>0</v>
      </c>
      <c r="H501" s="32"/>
      <c r="I501" s="32">
        <f>SUM(I495:I500)</f>
        <v>67247253.260000005</v>
      </c>
      <c r="J501" s="7"/>
    </row>
    <row r="502" spans="1:16" s="3" customFormat="1" ht="15" thickTop="1" thickBot="1">
      <c r="A502" s="10">
        <f t="shared" si="25"/>
        <v>498</v>
      </c>
      <c r="B502" s="502" t="s">
        <v>960</v>
      </c>
      <c r="C502" s="503"/>
      <c r="D502" s="503" t="s">
        <v>2610</v>
      </c>
      <c r="E502" s="504">
        <f>SUBTOTAL(9,E5:E500)</f>
        <v>1572665857.9700003</v>
      </c>
      <c r="F502" s="504">
        <f>SUBTOTAL(9,F5:F500)</f>
        <v>-124391893.19249998</v>
      </c>
      <c r="G502" s="504">
        <f>SUBTOTAL(9,G5:G500)</f>
        <v>-13555863.331200004</v>
      </c>
      <c r="H502" s="504">
        <f>SUBTOTAL(9,H5:H500)</f>
        <v>-6076147.1145939985</v>
      </c>
      <c r="I502" s="505">
        <f>SUBTOTAL(9,I5:I500)</f>
        <v>1428641954.3317072</v>
      </c>
      <c r="J502" s="7"/>
    </row>
    <row r="503" spans="1:16" s="10" customFormat="1" ht="14.4" thickTop="1">
      <c r="A503" s="10">
        <f t="shared" si="25"/>
        <v>499</v>
      </c>
      <c r="C503" s="14"/>
      <c r="D503" s="1" t="s">
        <v>962</v>
      </c>
      <c r="E503" s="33">
        <f>E502-E501-E494</f>
        <v>1418477171.8700001</v>
      </c>
      <c r="F503" s="33">
        <f>F502-F501-F494</f>
        <v>-47484886.939999975</v>
      </c>
      <c r="G503" s="34">
        <f>(G502-G501)*-1</f>
        <v>13555863.331200004</v>
      </c>
      <c r="H503" s="34">
        <f>(H502-H501)*-1</f>
        <v>6076147.1145939985</v>
      </c>
      <c r="I503" s="13">
        <f>I502-I494-I501</f>
        <v>1351360274.4842072</v>
      </c>
      <c r="J503" s="11"/>
      <c r="N503" s="11"/>
      <c r="O503" s="11"/>
      <c r="P503" s="11"/>
    </row>
    <row r="504" spans="1:16" s="10" customFormat="1">
      <c r="A504" s="10">
        <f t="shared" si="25"/>
        <v>500</v>
      </c>
      <c r="C504" s="14"/>
      <c r="D504" s="1" t="s">
        <v>2258</v>
      </c>
      <c r="E504" s="33"/>
      <c r="F504" s="33"/>
      <c r="G504" s="34"/>
      <c r="H504" s="34"/>
      <c r="I504" s="13"/>
      <c r="J504" s="11"/>
      <c r="N504" s="11"/>
      <c r="O504" s="11"/>
      <c r="P504" s="11"/>
    </row>
    <row r="505" spans="1:16" s="10" customFormat="1">
      <c r="A505" s="10">
        <f t="shared" si="25"/>
        <v>501</v>
      </c>
      <c r="C505" s="14"/>
      <c r="D505" s="1" t="s">
        <v>2341</v>
      </c>
      <c r="E505" s="33"/>
      <c r="F505" s="33"/>
      <c r="G505" s="34"/>
      <c r="H505" s="34"/>
      <c r="I505" s="13"/>
      <c r="J505" s="11"/>
      <c r="N505" s="11"/>
      <c r="O505" s="11"/>
      <c r="P505" s="11"/>
    </row>
    <row r="506" spans="1:16" s="10" customFormat="1">
      <c r="A506" s="10">
        <f t="shared" si="25"/>
        <v>502</v>
      </c>
      <c r="C506" s="14"/>
      <c r="D506" s="1" t="s">
        <v>949</v>
      </c>
      <c r="E506" s="33"/>
      <c r="F506" s="33">
        <f>-(F503+F501)</f>
        <v>105488969.62999998</v>
      </c>
      <c r="G506" s="33"/>
      <c r="H506" s="33"/>
      <c r="I506" s="13">
        <f>I503+I501+I486+I487+I488</f>
        <v>1424567585.7042072</v>
      </c>
      <c r="J506" s="11"/>
      <c r="N506" s="11"/>
      <c r="O506" s="11"/>
      <c r="P506" s="11"/>
    </row>
    <row r="507" spans="1:16" s="10" customFormat="1">
      <c r="C507" s="14"/>
      <c r="D507" s="1"/>
      <c r="E507" s="34"/>
      <c r="F507" s="33"/>
      <c r="G507" s="33"/>
      <c r="H507" s="33"/>
      <c r="I507" s="13"/>
      <c r="J507" s="11"/>
      <c r="N507" s="11"/>
      <c r="O507" s="11"/>
      <c r="P507" s="11"/>
    </row>
    <row r="508" spans="1:16">
      <c r="C508" s="11"/>
      <c r="D508" s="1"/>
      <c r="E508" s="506">
        <f>11966651.04+6841033.8+4765825.66+253719.57</f>
        <v>23827230.07</v>
      </c>
      <c r="F508" s="33"/>
      <c r="J508" s="11"/>
      <c r="K508" s="33"/>
    </row>
    <row r="509" spans="1:16">
      <c r="C509" s="11"/>
      <c r="D509" s="1"/>
      <c r="E509" s="506">
        <f>E503+E508</f>
        <v>1442304401.9400001</v>
      </c>
      <c r="F509" s="506"/>
      <c r="G509" s="506"/>
      <c r="H509" s="506"/>
      <c r="I509" s="11"/>
      <c r="J509" s="11"/>
      <c r="K509" s="33"/>
    </row>
    <row r="510" spans="1:16">
      <c r="C510" s="11"/>
      <c r="D510" s="1"/>
      <c r="E510" s="506">
        <f>1442304402.56</f>
        <v>1442304402.5599999</v>
      </c>
      <c r="F510" s="506"/>
      <c r="G510" s="506"/>
      <c r="H510" s="506"/>
      <c r="I510" s="506"/>
      <c r="J510" s="11"/>
      <c r="K510" s="33"/>
    </row>
    <row r="511" spans="1:16">
      <c r="C511" s="11"/>
      <c r="E511" s="13">
        <f>E509-E510</f>
        <v>-0.61999988555908203</v>
      </c>
      <c r="F511" s="13"/>
      <c r="G511" s="13"/>
      <c r="H511" s="13"/>
      <c r="J511" s="11"/>
      <c r="K511" s="10"/>
    </row>
    <row r="512" spans="1:16">
      <c r="C512" s="11"/>
      <c r="E512" s="13"/>
      <c r="F512" s="13"/>
      <c r="G512" s="13"/>
      <c r="H512" s="13"/>
      <c r="J512" s="409"/>
      <c r="K512" s="10"/>
    </row>
    <row r="513" spans="3:17">
      <c r="C513" s="11"/>
      <c r="E513" s="13"/>
      <c r="F513" s="13"/>
      <c r="G513" s="13"/>
      <c r="H513" s="13"/>
      <c r="J513" s="11"/>
      <c r="K513" s="10"/>
    </row>
    <row r="514" spans="3:17">
      <c r="C514" s="11"/>
      <c r="E514" s="13"/>
      <c r="F514" s="13"/>
      <c r="G514" s="13"/>
      <c r="H514" s="13"/>
      <c r="J514" s="13"/>
      <c r="K514" s="10"/>
    </row>
    <row r="515" spans="3:17">
      <c r="C515" s="11"/>
      <c r="E515" s="13"/>
      <c r="F515" s="13"/>
      <c r="G515" s="13"/>
      <c r="H515" s="13"/>
      <c r="J515" s="13"/>
      <c r="K515" s="10"/>
    </row>
    <row r="516" spans="3:17" s="10" customFormat="1">
      <c r="C516" s="11"/>
      <c r="D516" s="11"/>
      <c r="E516" s="13"/>
      <c r="F516" s="13"/>
      <c r="G516" s="13"/>
      <c r="H516" s="13"/>
      <c r="I516" s="13"/>
      <c r="J516" s="13"/>
      <c r="N516" s="11"/>
      <c r="O516" s="11"/>
      <c r="P516" s="11"/>
      <c r="Q516" s="11"/>
    </row>
    <row r="517" spans="3:17" s="10" customFormat="1">
      <c r="C517" s="11"/>
      <c r="D517" s="11"/>
      <c r="E517" s="13"/>
      <c r="F517" s="13"/>
      <c r="G517" s="13"/>
      <c r="H517" s="13"/>
      <c r="I517" s="13"/>
      <c r="J517" s="13"/>
      <c r="N517" s="11"/>
      <c r="O517" s="11"/>
      <c r="P517" s="11"/>
      <c r="Q517" s="11"/>
    </row>
    <row r="518" spans="3:17" s="10" customFormat="1">
      <c r="C518" s="11"/>
      <c r="D518" s="11"/>
      <c r="E518" s="13"/>
      <c r="F518" s="13"/>
      <c r="G518" s="13"/>
      <c r="H518" s="13"/>
      <c r="I518" s="13"/>
      <c r="J518" s="13"/>
      <c r="K518" s="33"/>
      <c r="N518" s="11"/>
      <c r="O518" s="11"/>
      <c r="P518" s="11"/>
      <c r="Q518" s="11"/>
    </row>
    <row r="519" spans="3:17" s="10" customFormat="1">
      <c r="C519" s="11"/>
      <c r="D519" s="11"/>
      <c r="E519" s="13"/>
      <c r="F519" s="13"/>
      <c r="G519" s="13"/>
      <c r="H519" s="13"/>
      <c r="I519" s="13"/>
      <c r="J519" s="13"/>
      <c r="N519" s="11"/>
      <c r="O519" s="11"/>
      <c r="P519" s="11"/>
      <c r="Q519" s="11"/>
    </row>
    <row r="520" spans="3:17" s="10" customFormat="1">
      <c r="C520" s="11"/>
      <c r="D520" s="11"/>
      <c r="E520" s="13"/>
      <c r="F520" s="13"/>
      <c r="G520" s="13"/>
      <c r="H520" s="13"/>
      <c r="I520" s="13"/>
      <c r="J520" s="11"/>
      <c r="N520" s="11"/>
      <c r="O520" s="11"/>
      <c r="P520" s="11"/>
      <c r="Q520" s="11"/>
    </row>
    <row r="521" spans="3:17" s="10" customFormat="1">
      <c r="C521" s="11"/>
      <c r="D521" s="11"/>
      <c r="E521" s="13"/>
      <c r="F521" s="13"/>
      <c r="G521" s="13"/>
      <c r="H521" s="13"/>
      <c r="I521" s="13"/>
      <c r="J521" s="11"/>
      <c r="N521" s="11"/>
      <c r="O521" s="11"/>
      <c r="P521" s="11"/>
      <c r="Q521" s="11"/>
    </row>
    <row r="522" spans="3:17" s="10" customFormat="1">
      <c r="C522" s="11"/>
      <c r="D522" s="11"/>
      <c r="E522" s="12"/>
      <c r="F522" s="12"/>
      <c r="G522" s="12"/>
      <c r="H522" s="12"/>
      <c r="I522" s="13"/>
      <c r="J522" s="11"/>
      <c r="N522" s="11"/>
      <c r="O522" s="11"/>
      <c r="P522" s="11"/>
      <c r="Q522" s="11"/>
    </row>
    <row r="523" spans="3:17" s="10" customFormat="1">
      <c r="C523" s="11"/>
      <c r="D523" s="11"/>
      <c r="E523" s="12"/>
      <c r="F523" s="12"/>
      <c r="G523" s="12"/>
      <c r="H523" s="12"/>
      <c r="I523" s="13"/>
      <c r="J523" s="11"/>
      <c r="N523" s="11"/>
      <c r="O523" s="11"/>
      <c r="P523" s="11"/>
      <c r="Q523" s="11"/>
    </row>
    <row r="524" spans="3:17" s="10" customFormat="1">
      <c r="C524" s="11"/>
      <c r="D524" s="11"/>
      <c r="E524" s="12"/>
      <c r="F524" s="12"/>
      <c r="G524" s="12"/>
      <c r="H524" s="12"/>
      <c r="I524" s="13"/>
      <c r="J524" s="11"/>
      <c r="N524" s="11"/>
      <c r="O524" s="11"/>
      <c r="P524" s="11"/>
      <c r="Q524" s="11"/>
    </row>
    <row r="525" spans="3:17" s="10" customFormat="1">
      <c r="C525" s="11"/>
      <c r="D525" s="11"/>
      <c r="E525" s="12"/>
      <c r="F525" s="12"/>
      <c r="G525" s="12"/>
      <c r="H525" s="12"/>
      <c r="I525" s="13"/>
      <c r="J525" s="11"/>
      <c r="N525" s="11"/>
      <c r="O525" s="11"/>
      <c r="P525" s="11"/>
      <c r="Q525" s="11"/>
    </row>
    <row r="526" spans="3:17" s="10" customFormat="1">
      <c r="C526" s="11"/>
      <c r="D526" s="11"/>
      <c r="E526" s="12"/>
      <c r="F526" s="12"/>
      <c r="G526" s="12"/>
      <c r="H526" s="12"/>
      <c r="I526" s="13"/>
      <c r="J526" s="11"/>
      <c r="N526" s="11"/>
      <c r="O526" s="11"/>
      <c r="P526" s="11"/>
      <c r="Q526" s="11"/>
    </row>
    <row r="527" spans="3:17" s="10" customFormat="1">
      <c r="C527" s="11"/>
      <c r="D527" s="11"/>
      <c r="E527" s="12"/>
      <c r="F527" s="12"/>
      <c r="G527" s="12"/>
      <c r="H527" s="12"/>
      <c r="I527" s="13"/>
      <c r="J527" s="11"/>
      <c r="N527" s="11"/>
      <c r="O527" s="11"/>
      <c r="P527" s="11"/>
      <c r="Q527" s="11"/>
    </row>
    <row r="528" spans="3:17" s="10" customFormat="1">
      <c r="C528" s="11"/>
      <c r="D528" s="11"/>
      <c r="E528" s="12"/>
      <c r="F528" s="12"/>
      <c r="G528" s="12"/>
      <c r="H528" s="12"/>
      <c r="I528" s="13"/>
      <c r="J528" s="11"/>
      <c r="N528" s="11"/>
      <c r="O528" s="11"/>
      <c r="P528" s="11"/>
      <c r="Q528" s="11"/>
    </row>
    <row r="529" spans="3:17" s="10" customFormat="1">
      <c r="C529" s="11"/>
      <c r="D529" s="11"/>
      <c r="E529" s="12"/>
      <c r="F529" s="12"/>
      <c r="G529" s="12"/>
      <c r="H529" s="12"/>
      <c r="I529" s="13"/>
      <c r="J529" s="11"/>
      <c r="N529" s="11"/>
      <c r="O529" s="11"/>
      <c r="P529" s="11"/>
      <c r="Q529" s="11"/>
    </row>
    <row r="530" spans="3:17" s="10" customFormat="1">
      <c r="C530" s="11"/>
      <c r="D530" s="11"/>
      <c r="E530" s="12"/>
      <c r="F530" s="12"/>
      <c r="G530" s="12"/>
      <c r="H530" s="12"/>
      <c r="I530" s="13"/>
      <c r="J530" s="11"/>
      <c r="N530" s="11"/>
      <c r="O530" s="11"/>
      <c r="P530" s="11"/>
      <c r="Q530" s="11"/>
    </row>
    <row r="531" spans="3:17" s="10" customFormat="1">
      <c r="C531" s="11"/>
      <c r="D531" s="11"/>
      <c r="E531" s="12"/>
      <c r="F531" s="12"/>
      <c r="G531" s="12"/>
      <c r="H531" s="12"/>
      <c r="I531" s="13"/>
      <c r="J531" s="11"/>
      <c r="N531" s="11"/>
      <c r="O531" s="11"/>
      <c r="P531" s="11"/>
      <c r="Q531" s="11"/>
    </row>
    <row r="532" spans="3:17" s="10" customFormat="1">
      <c r="C532" s="11"/>
      <c r="D532" s="11"/>
      <c r="E532" s="12"/>
      <c r="F532" s="12"/>
      <c r="G532" s="12"/>
      <c r="H532" s="12"/>
      <c r="I532" s="13"/>
      <c r="J532" s="11"/>
      <c r="N532" s="11"/>
      <c r="O532" s="11"/>
      <c r="P532" s="11"/>
      <c r="Q532" s="11"/>
    </row>
    <row r="533" spans="3:17" s="10" customFormat="1">
      <c r="C533" s="11"/>
      <c r="D533" s="11"/>
      <c r="E533" s="12"/>
      <c r="F533" s="12"/>
      <c r="G533" s="12"/>
      <c r="H533" s="12"/>
      <c r="I533" s="13"/>
      <c r="J533" s="11"/>
      <c r="N533" s="11"/>
      <c r="O533" s="11"/>
      <c r="P533" s="11"/>
      <c r="Q533" s="11"/>
    </row>
    <row r="534" spans="3:17" s="10" customFormat="1">
      <c r="C534" s="11"/>
      <c r="D534" s="11"/>
      <c r="E534" s="12"/>
      <c r="F534" s="12"/>
      <c r="G534" s="12"/>
      <c r="H534" s="12"/>
      <c r="I534" s="13"/>
      <c r="J534" s="11"/>
      <c r="N534" s="11"/>
      <c r="O534" s="11"/>
      <c r="P534" s="11"/>
      <c r="Q534" s="11"/>
    </row>
    <row r="535" spans="3:17" s="10" customFormat="1">
      <c r="C535" s="11"/>
      <c r="D535" s="11"/>
      <c r="E535" s="12"/>
      <c r="F535" s="12"/>
      <c r="G535" s="12"/>
      <c r="H535" s="12"/>
      <c r="I535" s="13"/>
      <c r="J535" s="11"/>
      <c r="N535" s="11"/>
      <c r="O535" s="11"/>
      <c r="P535" s="11"/>
      <c r="Q535" s="11"/>
    </row>
    <row r="536" spans="3:17" s="10" customFormat="1">
      <c r="C536" s="11"/>
      <c r="D536" s="11"/>
      <c r="E536" s="12"/>
      <c r="F536" s="12"/>
      <c r="G536" s="12"/>
      <c r="H536" s="12"/>
      <c r="I536" s="13"/>
      <c r="J536" s="11"/>
      <c r="N536" s="11"/>
      <c r="O536" s="11"/>
      <c r="P536" s="11"/>
      <c r="Q536" s="11"/>
    </row>
    <row r="537" spans="3:17" s="10" customFormat="1">
      <c r="C537" s="11"/>
      <c r="D537" s="11"/>
      <c r="E537" s="12"/>
      <c r="F537" s="12"/>
      <c r="G537" s="12"/>
      <c r="H537" s="12"/>
      <c r="I537" s="13"/>
      <c r="J537" s="11"/>
      <c r="N537" s="11"/>
      <c r="O537" s="11"/>
      <c r="P537" s="11"/>
      <c r="Q537" s="11"/>
    </row>
    <row r="538" spans="3:17" s="10" customFormat="1">
      <c r="C538" s="11"/>
      <c r="D538" s="11"/>
      <c r="E538" s="12"/>
      <c r="F538" s="12"/>
      <c r="G538" s="12"/>
      <c r="H538" s="12"/>
      <c r="I538" s="13"/>
      <c r="J538" s="11"/>
      <c r="N538" s="11"/>
      <c r="O538" s="11"/>
      <c r="P538" s="11"/>
      <c r="Q538" s="11"/>
    </row>
    <row r="539" spans="3:17" s="10" customFormat="1">
      <c r="C539" s="11"/>
      <c r="D539" s="11"/>
      <c r="E539" s="12"/>
      <c r="F539" s="12"/>
      <c r="G539" s="12"/>
      <c r="H539" s="12"/>
      <c r="I539" s="13"/>
      <c r="J539" s="11"/>
      <c r="N539" s="11"/>
      <c r="O539" s="11"/>
      <c r="P539" s="11"/>
      <c r="Q539" s="11"/>
    </row>
    <row r="540" spans="3:17" s="10" customFormat="1">
      <c r="C540" s="11"/>
      <c r="D540" s="11"/>
      <c r="E540" s="12"/>
      <c r="F540" s="12"/>
      <c r="G540" s="12"/>
      <c r="H540" s="12"/>
      <c r="I540" s="13"/>
      <c r="J540" s="11"/>
      <c r="N540" s="11"/>
      <c r="O540" s="11"/>
      <c r="P540" s="11"/>
      <c r="Q540" s="11"/>
    </row>
    <row r="541" spans="3:17" s="10" customFormat="1">
      <c r="C541" s="11"/>
      <c r="D541" s="11"/>
      <c r="E541" s="12"/>
      <c r="F541" s="12"/>
      <c r="G541" s="12"/>
      <c r="H541" s="12"/>
      <c r="I541" s="13"/>
      <c r="J541" s="11"/>
      <c r="N541" s="11"/>
      <c r="O541" s="11"/>
      <c r="P541" s="11"/>
      <c r="Q541" s="11"/>
    </row>
    <row r="542" spans="3:17" s="10" customFormat="1">
      <c r="C542" s="11"/>
      <c r="D542" s="11"/>
      <c r="E542" s="12"/>
      <c r="F542" s="12"/>
      <c r="G542" s="12"/>
      <c r="H542" s="12"/>
      <c r="I542" s="13"/>
      <c r="J542" s="11"/>
      <c r="N542" s="11"/>
      <c r="O542" s="11"/>
      <c r="P542" s="11"/>
      <c r="Q542" s="11"/>
    </row>
    <row r="543" spans="3:17" s="10" customFormat="1">
      <c r="C543" s="11"/>
      <c r="D543" s="11"/>
      <c r="E543" s="12"/>
      <c r="F543" s="12"/>
      <c r="G543" s="12"/>
      <c r="H543" s="12"/>
      <c r="I543" s="13"/>
      <c r="J543" s="11"/>
      <c r="N543" s="11"/>
      <c r="O543" s="11"/>
      <c r="P543" s="11"/>
      <c r="Q543" s="11"/>
    </row>
    <row r="544" spans="3:17" s="10" customFormat="1">
      <c r="C544" s="11"/>
      <c r="D544" s="11"/>
      <c r="E544" s="12"/>
      <c r="F544" s="12"/>
      <c r="G544" s="12"/>
      <c r="H544" s="12"/>
      <c r="I544" s="13"/>
      <c r="J544" s="11"/>
      <c r="N544" s="11"/>
      <c r="O544" s="11"/>
      <c r="P544" s="11"/>
      <c r="Q544" s="11"/>
    </row>
    <row r="545" spans="3:17" s="10" customFormat="1">
      <c r="C545" s="11"/>
      <c r="D545" s="11"/>
      <c r="E545" s="12"/>
      <c r="F545" s="12"/>
      <c r="G545" s="12"/>
      <c r="H545" s="12"/>
      <c r="I545" s="13"/>
      <c r="J545" s="11"/>
      <c r="N545" s="11"/>
      <c r="O545" s="11"/>
      <c r="P545" s="11"/>
      <c r="Q545" s="11"/>
    </row>
    <row r="546" spans="3:17" s="10" customFormat="1">
      <c r="C546" s="11"/>
      <c r="D546" s="11"/>
      <c r="E546" s="12"/>
      <c r="F546" s="12"/>
      <c r="G546" s="12"/>
      <c r="H546" s="12"/>
      <c r="I546" s="13"/>
      <c r="J546" s="11"/>
      <c r="N546" s="11"/>
      <c r="O546" s="11"/>
      <c r="P546" s="11"/>
      <c r="Q546" s="11"/>
    </row>
    <row r="547" spans="3:17" s="10" customFormat="1">
      <c r="C547" s="11"/>
      <c r="D547" s="11"/>
      <c r="E547" s="12"/>
      <c r="F547" s="12"/>
      <c r="G547" s="12"/>
      <c r="H547" s="12"/>
      <c r="I547" s="13"/>
      <c r="J547" s="11"/>
      <c r="N547" s="11"/>
      <c r="O547" s="11"/>
      <c r="P547" s="11"/>
      <c r="Q547" s="11"/>
    </row>
    <row r="548" spans="3:17" s="10" customFormat="1">
      <c r="C548" s="11"/>
      <c r="D548" s="11"/>
      <c r="E548" s="12"/>
      <c r="F548" s="12"/>
      <c r="G548" s="12"/>
      <c r="H548" s="12"/>
      <c r="I548" s="13"/>
      <c r="J548" s="11"/>
      <c r="N548" s="11"/>
      <c r="O548" s="11"/>
      <c r="P548" s="11"/>
      <c r="Q548" s="11"/>
    </row>
    <row r="549" spans="3:17" s="10" customFormat="1">
      <c r="C549" s="11"/>
      <c r="D549" s="11"/>
      <c r="E549" s="12"/>
      <c r="F549" s="12"/>
      <c r="G549" s="12"/>
      <c r="H549" s="12"/>
      <c r="I549" s="13"/>
      <c r="J549" s="11"/>
      <c r="N549" s="11"/>
      <c r="O549" s="11"/>
      <c r="P549" s="11"/>
      <c r="Q549" s="11"/>
    </row>
    <row r="550" spans="3:17" s="10" customFormat="1">
      <c r="C550" s="11"/>
      <c r="D550" s="11"/>
      <c r="E550" s="12"/>
      <c r="F550" s="12"/>
      <c r="G550" s="12"/>
      <c r="H550" s="12"/>
      <c r="I550" s="13"/>
      <c r="J550" s="11"/>
      <c r="N550" s="11"/>
      <c r="O550" s="11"/>
      <c r="P550" s="11"/>
      <c r="Q550" s="11"/>
    </row>
    <row r="551" spans="3:17" s="10" customFormat="1">
      <c r="C551" s="11"/>
      <c r="D551" s="11"/>
      <c r="E551" s="12"/>
      <c r="F551" s="12"/>
      <c r="G551" s="12"/>
      <c r="H551" s="12"/>
      <c r="I551" s="13"/>
      <c r="J551" s="11"/>
      <c r="N551" s="11"/>
      <c r="O551" s="11"/>
      <c r="P551" s="11"/>
      <c r="Q551" s="11"/>
    </row>
    <row r="552" spans="3:17" s="10" customFormat="1">
      <c r="C552" s="11"/>
      <c r="D552" s="11"/>
      <c r="E552" s="12"/>
      <c r="F552" s="12"/>
      <c r="G552" s="12"/>
      <c r="H552" s="12"/>
      <c r="I552" s="13"/>
      <c r="J552" s="11"/>
      <c r="N552" s="11"/>
      <c r="O552" s="11"/>
      <c r="P552" s="11"/>
      <c r="Q552" s="11"/>
    </row>
    <row r="553" spans="3:17" s="10" customFormat="1">
      <c r="C553" s="11"/>
      <c r="D553" s="11"/>
      <c r="E553" s="12"/>
      <c r="F553" s="12"/>
      <c r="G553" s="12"/>
      <c r="H553" s="12"/>
      <c r="I553" s="13"/>
      <c r="J553" s="11"/>
      <c r="N553" s="11"/>
      <c r="O553" s="11"/>
      <c r="P553" s="11"/>
      <c r="Q553" s="11"/>
    </row>
    <row r="554" spans="3:17" s="10" customFormat="1">
      <c r="C554" s="11"/>
      <c r="D554" s="11"/>
      <c r="E554" s="12"/>
      <c r="F554" s="12"/>
      <c r="G554" s="12"/>
      <c r="H554" s="12"/>
      <c r="I554" s="13"/>
      <c r="J554" s="11"/>
      <c r="N554" s="11"/>
      <c r="O554" s="11"/>
      <c r="P554" s="11"/>
      <c r="Q554" s="11"/>
    </row>
    <row r="555" spans="3:17" s="10" customFormat="1">
      <c r="C555" s="11"/>
      <c r="D555" s="11"/>
      <c r="E555" s="12"/>
      <c r="F555" s="12"/>
      <c r="G555" s="12"/>
      <c r="H555" s="12"/>
      <c r="I555" s="13"/>
      <c r="J555" s="11"/>
      <c r="N555" s="11"/>
      <c r="O555" s="11"/>
      <c r="P555" s="11"/>
      <c r="Q555" s="11"/>
    </row>
    <row r="556" spans="3:17" s="10" customFormat="1">
      <c r="C556" s="11"/>
      <c r="D556" s="11"/>
      <c r="E556" s="12"/>
      <c r="F556" s="12"/>
      <c r="G556" s="12"/>
      <c r="H556" s="12"/>
      <c r="I556" s="13"/>
      <c r="J556" s="11"/>
      <c r="N556" s="11"/>
      <c r="O556" s="11"/>
      <c r="P556" s="11"/>
      <c r="Q556" s="11"/>
    </row>
    <row r="557" spans="3:17" s="10" customFormat="1">
      <c r="C557" s="11"/>
      <c r="D557" s="11"/>
      <c r="E557" s="12"/>
      <c r="F557" s="12"/>
      <c r="G557" s="12"/>
      <c r="H557" s="12"/>
      <c r="I557" s="13"/>
      <c r="J557" s="11"/>
      <c r="N557" s="11"/>
      <c r="O557" s="11"/>
      <c r="P557" s="11"/>
      <c r="Q557" s="11"/>
    </row>
    <row r="558" spans="3:17" s="10" customFormat="1">
      <c r="C558" s="11"/>
      <c r="D558" s="11"/>
      <c r="E558" s="12"/>
      <c r="F558" s="12"/>
      <c r="G558" s="12"/>
      <c r="H558" s="12"/>
      <c r="I558" s="13"/>
      <c r="J558" s="11"/>
      <c r="N558" s="11"/>
      <c r="O558" s="11"/>
      <c r="P558" s="11"/>
      <c r="Q558" s="11"/>
    </row>
    <row r="559" spans="3:17" s="10" customFormat="1">
      <c r="C559" s="11"/>
      <c r="D559" s="11"/>
      <c r="E559" s="12"/>
      <c r="F559" s="12"/>
      <c r="G559" s="12"/>
      <c r="H559" s="12"/>
      <c r="I559" s="13"/>
      <c r="J559" s="11"/>
      <c r="N559" s="11"/>
      <c r="O559" s="11"/>
      <c r="P559" s="11"/>
      <c r="Q559" s="11"/>
    </row>
    <row r="560" spans="3:17" s="10" customFormat="1">
      <c r="C560" s="11"/>
      <c r="D560" s="11"/>
      <c r="E560" s="12"/>
      <c r="F560" s="12"/>
      <c r="G560" s="12"/>
      <c r="H560" s="12"/>
      <c r="I560" s="13"/>
      <c r="J560" s="11"/>
      <c r="N560" s="11"/>
      <c r="O560" s="11"/>
      <c r="P560" s="11"/>
      <c r="Q560" s="11"/>
    </row>
    <row r="561" spans="3:17" s="10" customFormat="1">
      <c r="C561" s="11"/>
      <c r="D561" s="11"/>
      <c r="E561" s="12"/>
      <c r="F561" s="12"/>
      <c r="G561" s="12"/>
      <c r="H561" s="12"/>
      <c r="I561" s="13"/>
      <c r="J561" s="11"/>
      <c r="N561" s="11"/>
      <c r="O561" s="11"/>
      <c r="P561" s="11"/>
      <c r="Q561" s="11"/>
    </row>
    <row r="562" spans="3:17" s="10" customFormat="1">
      <c r="C562" s="11"/>
      <c r="D562" s="11"/>
      <c r="E562" s="12"/>
      <c r="F562" s="12"/>
      <c r="G562" s="12"/>
      <c r="H562" s="12"/>
      <c r="I562" s="13"/>
      <c r="J562" s="11"/>
      <c r="N562" s="11"/>
      <c r="O562" s="11"/>
      <c r="P562" s="11"/>
      <c r="Q562" s="11"/>
    </row>
    <row r="563" spans="3:17" s="10" customFormat="1">
      <c r="C563" s="11"/>
      <c r="D563" s="11"/>
      <c r="E563" s="12"/>
      <c r="F563" s="12"/>
      <c r="G563" s="12"/>
      <c r="H563" s="12"/>
      <c r="I563" s="13"/>
      <c r="J563" s="11"/>
      <c r="N563" s="11"/>
      <c r="O563" s="11"/>
      <c r="P563" s="11"/>
      <c r="Q563" s="11"/>
    </row>
    <row r="564" spans="3:17" s="10" customFormat="1">
      <c r="C564" s="11"/>
      <c r="D564" s="11"/>
      <c r="E564" s="12"/>
      <c r="F564" s="12"/>
      <c r="G564" s="12"/>
      <c r="H564" s="12"/>
      <c r="I564" s="13"/>
      <c r="J564" s="11"/>
      <c r="N564" s="11"/>
      <c r="O564" s="11"/>
      <c r="P564" s="11"/>
      <c r="Q564" s="11"/>
    </row>
    <row r="565" spans="3:17" s="10" customFormat="1">
      <c r="C565" s="11"/>
      <c r="D565" s="11"/>
      <c r="E565" s="12"/>
      <c r="F565" s="12"/>
      <c r="G565" s="12"/>
      <c r="H565" s="12"/>
      <c r="I565" s="13"/>
      <c r="J565" s="11"/>
      <c r="N565" s="11"/>
      <c r="O565" s="11"/>
      <c r="P565" s="11"/>
      <c r="Q565" s="11"/>
    </row>
    <row r="566" spans="3:17" s="10" customFormat="1">
      <c r="C566" s="11"/>
      <c r="D566" s="11"/>
      <c r="E566" s="12"/>
      <c r="F566" s="12"/>
      <c r="G566" s="12"/>
      <c r="H566" s="12"/>
      <c r="I566" s="13"/>
      <c r="J566" s="11"/>
      <c r="N566" s="11"/>
      <c r="O566" s="11"/>
      <c r="P566" s="11"/>
      <c r="Q566" s="11"/>
    </row>
    <row r="567" spans="3:17" s="10" customFormat="1">
      <c r="C567" s="11"/>
      <c r="D567" s="11"/>
      <c r="E567" s="12"/>
      <c r="F567" s="12"/>
      <c r="G567" s="12"/>
      <c r="H567" s="12"/>
      <c r="I567" s="13"/>
      <c r="J567" s="11"/>
      <c r="N567" s="11"/>
      <c r="O567" s="11"/>
      <c r="P567" s="11"/>
      <c r="Q567" s="11"/>
    </row>
    <row r="568" spans="3:17" s="10" customFormat="1">
      <c r="C568" s="11"/>
      <c r="D568" s="11"/>
      <c r="E568" s="12"/>
      <c r="F568" s="12"/>
      <c r="G568" s="12"/>
      <c r="H568" s="12"/>
      <c r="I568" s="13"/>
      <c r="J568" s="11"/>
      <c r="N568" s="11"/>
      <c r="O568" s="11"/>
      <c r="P568" s="11"/>
      <c r="Q568" s="11"/>
    </row>
    <row r="569" spans="3:17" s="10" customFormat="1">
      <c r="C569" s="11"/>
      <c r="D569" s="11"/>
      <c r="E569" s="12"/>
      <c r="F569" s="12"/>
      <c r="G569" s="12"/>
      <c r="H569" s="12"/>
      <c r="I569" s="13"/>
      <c r="J569" s="11"/>
      <c r="N569" s="11"/>
      <c r="O569" s="11"/>
      <c r="P569" s="11"/>
      <c r="Q569" s="11"/>
    </row>
    <row r="570" spans="3:17" s="10" customFormat="1">
      <c r="C570" s="11"/>
      <c r="D570" s="11"/>
      <c r="E570" s="12"/>
      <c r="F570" s="12"/>
      <c r="G570" s="12"/>
      <c r="H570" s="12"/>
      <c r="I570" s="13"/>
      <c r="J570" s="11"/>
      <c r="N570" s="11"/>
      <c r="O570" s="11"/>
      <c r="P570" s="11"/>
      <c r="Q570" s="11"/>
    </row>
    <row r="571" spans="3:17" s="10" customFormat="1">
      <c r="C571" s="11"/>
      <c r="D571" s="11"/>
      <c r="E571" s="12"/>
      <c r="F571" s="12"/>
      <c r="G571" s="12"/>
      <c r="H571" s="12"/>
      <c r="I571" s="13"/>
      <c r="J571" s="11"/>
      <c r="N571" s="11"/>
      <c r="O571" s="11"/>
      <c r="P571" s="11"/>
      <c r="Q571" s="11"/>
    </row>
    <row r="572" spans="3:17" s="10" customFormat="1">
      <c r="C572" s="11"/>
      <c r="D572" s="11"/>
      <c r="E572" s="12"/>
      <c r="F572" s="12"/>
      <c r="G572" s="12"/>
      <c r="H572" s="12"/>
      <c r="I572" s="13"/>
      <c r="J572" s="11"/>
      <c r="N572" s="11"/>
      <c r="O572" s="11"/>
      <c r="P572" s="11"/>
      <c r="Q572" s="11"/>
    </row>
    <row r="573" spans="3:17" s="10" customFormat="1">
      <c r="C573" s="11"/>
      <c r="D573" s="11"/>
      <c r="E573" s="12"/>
      <c r="F573" s="12"/>
      <c r="G573" s="12"/>
      <c r="H573" s="12"/>
      <c r="I573" s="13"/>
      <c r="J573" s="11"/>
      <c r="N573" s="11"/>
      <c r="O573" s="11"/>
      <c r="P573" s="11"/>
      <c r="Q573" s="11"/>
    </row>
    <row r="574" spans="3:17" s="10" customFormat="1">
      <c r="C574" s="11"/>
      <c r="D574" s="11"/>
      <c r="E574" s="12"/>
      <c r="F574" s="12"/>
      <c r="G574" s="12"/>
      <c r="H574" s="12"/>
      <c r="I574" s="13"/>
      <c r="J574" s="11"/>
      <c r="N574" s="11"/>
      <c r="O574" s="11"/>
      <c r="P574" s="11"/>
      <c r="Q574" s="11"/>
    </row>
    <row r="575" spans="3:17" s="10" customFormat="1">
      <c r="C575" s="11"/>
      <c r="D575" s="11"/>
      <c r="E575" s="12"/>
      <c r="F575" s="12"/>
      <c r="G575" s="12"/>
      <c r="H575" s="12"/>
      <c r="I575" s="13"/>
      <c r="J575" s="11"/>
      <c r="N575" s="11"/>
      <c r="O575" s="11"/>
      <c r="P575" s="11"/>
      <c r="Q575" s="11"/>
    </row>
    <row r="576" spans="3:17" s="10" customFormat="1">
      <c r="C576" s="11"/>
      <c r="D576" s="11"/>
      <c r="E576" s="12"/>
      <c r="F576" s="12"/>
      <c r="G576" s="12"/>
      <c r="H576" s="12"/>
      <c r="I576" s="13"/>
      <c r="J576" s="11"/>
      <c r="N576" s="11"/>
      <c r="O576" s="11"/>
      <c r="P576" s="11"/>
      <c r="Q576" s="11"/>
    </row>
    <row r="577" spans="3:17" s="10" customFormat="1">
      <c r="C577" s="11"/>
      <c r="D577" s="11"/>
      <c r="E577" s="12"/>
      <c r="F577" s="12"/>
      <c r="G577" s="12"/>
      <c r="H577" s="12"/>
      <c r="I577" s="13"/>
      <c r="J577" s="11"/>
      <c r="N577" s="11"/>
      <c r="O577" s="11"/>
      <c r="P577" s="11"/>
      <c r="Q577" s="11"/>
    </row>
    <row r="578" spans="3:17" s="10" customFormat="1">
      <c r="C578" s="11"/>
      <c r="D578" s="11"/>
      <c r="E578" s="12"/>
      <c r="F578" s="12"/>
      <c r="G578" s="12"/>
      <c r="H578" s="12"/>
      <c r="I578" s="13"/>
      <c r="J578" s="11"/>
      <c r="N578" s="11"/>
      <c r="O578" s="11"/>
      <c r="P578" s="11"/>
      <c r="Q578" s="11"/>
    </row>
    <row r="579" spans="3:17" s="10" customFormat="1">
      <c r="C579" s="11"/>
      <c r="D579" s="11"/>
      <c r="E579" s="12"/>
      <c r="F579" s="12"/>
      <c r="G579" s="12"/>
      <c r="H579" s="12"/>
      <c r="I579" s="13"/>
      <c r="J579" s="16"/>
      <c r="N579" s="11"/>
      <c r="O579" s="11"/>
      <c r="P579" s="11"/>
      <c r="Q579" s="11"/>
    </row>
    <row r="580" spans="3:17" s="10" customFormat="1">
      <c r="C580" s="11"/>
      <c r="D580" s="11"/>
      <c r="E580" s="12"/>
      <c r="F580" s="12"/>
      <c r="G580" s="12"/>
      <c r="H580" s="12"/>
      <c r="I580" s="13"/>
      <c r="J580" s="16"/>
      <c r="N580" s="11"/>
      <c r="O580" s="11"/>
      <c r="P580" s="11"/>
      <c r="Q580" s="11"/>
    </row>
    <row r="581" spans="3:17" s="10" customFormat="1">
      <c r="C581" s="11"/>
      <c r="D581" s="11"/>
      <c r="E581" s="12"/>
      <c r="F581" s="12"/>
      <c r="G581" s="12"/>
      <c r="H581" s="12"/>
      <c r="I581" s="13"/>
      <c r="J581" s="16"/>
      <c r="N581" s="11"/>
      <c r="O581" s="11"/>
      <c r="P581" s="11"/>
      <c r="Q581" s="11"/>
    </row>
    <row r="582" spans="3:17" s="10" customFormat="1">
      <c r="C582" s="11"/>
      <c r="D582" s="11"/>
      <c r="E582" s="12"/>
      <c r="F582" s="12"/>
      <c r="G582" s="12"/>
      <c r="H582" s="12"/>
      <c r="I582" s="13"/>
      <c r="J582" s="16"/>
      <c r="N582" s="11"/>
      <c r="O582" s="11"/>
      <c r="P582" s="11"/>
      <c r="Q582" s="11"/>
    </row>
    <row r="583" spans="3:17" s="10" customFormat="1">
      <c r="C583" s="16"/>
      <c r="D583" s="11"/>
      <c r="E583" s="12"/>
      <c r="F583" s="12"/>
      <c r="G583" s="12"/>
      <c r="H583" s="12"/>
      <c r="I583" s="13"/>
      <c r="J583" s="16"/>
      <c r="N583" s="11"/>
      <c r="O583" s="11"/>
      <c r="P583" s="11"/>
      <c r="Q583" s="11"/>
    </row>
  </sheetData>
  <mergeCells count="4">
    <mergeCell ref="J281:J283"/>
    <mergeCell ref="J305:J307"/>
    <mergeCell ref="J468:J470"/>
    <mergeCell ref="J486:J492"/>
  </mergeCells>
  <hyperlinks>
    <hyperlink ref="E1" location="'Cover Sheets'!A18" display="(Back to Worksheet Links)" xr:uid="{00000000-0004-0000-0900-000000000000}"/>
  </hyperlinks>
  <printOptions horizontalCentered="1"/>
  <pageMargins left="0.75" right="0.75" top="0.75" bottom="0.75" header="0.5" footer="0.5"/>
  <pageSetup scale="77" fitToHeight="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800"/>
  <sheetViews>
    <sheetView view="pageBreakPreview" zoomScaleNormal="80" zoomScaleSheetLayoutView="100" workbookViewId="0"/>
  </sheetViews>
  <sheetFormatPr defaultColWidth="8.6640625" defaultRowHeight="14.4"/>
  <cols>
    <col min="1" max="2" width="6.88671875" style="449" customWidth="1"/>
    <col min="3" max="3" width="25.88671875" style="462" customWidth="1"/>
    <col min="4" max="4" width="63.6640625" style="450" customWidth="1"/>
    <col min="5" max="5" width="9.6640625" style="464" hidden="1" customWidth="1"/>
    <col min="6" max="6" width="19.109375" style="470" hidden="1" customWidth="1"/>
    <col min="7" max="13" width="4.44140625" style="450" customWidth="1"/>
    <col min="14" max="14" width="69.33203125" style="450" customWidth="1"/>
    <col min="15" max="16384" width="8.6640625" style="450"/>
  </cols>
  <sheetData>
    <row r="1" spans="1:14">
      <c r="A1" s="713" t="s">
        <v>2486</v>
      </c>
      <c r="B1" s="689"/>
      <c r="C1" s="714"/>
      <c r="D1" s="660" t="s">
        <v>2543</v>
      </c>
      <c r="E1" s="690"/>
      <c r="F1" s="691"/>
      <c r="G1" s="692"/>
      <c r="H1" s="692"/>
      <c r="I1" s="692"/>
      <c r="J1" s="692"/>
      <c r="K1" s="692"/>
      <c r="L1" s="692"/>
      <c r="M1" s="692"/>
      <c r="N1" s="693"/>
    </row>
    <row r="2" spans="1:14">
      <c r="A2" s="715" t="s">
        <v>2512</v>
      </c>
      <c r="B2" s="694"/>
      <c r="C2" s="682"/>
      <c r="D2" s="573"/>
      <c r="E2" s="683"/>
      <c r="F2" s="687"/>
      <c r="G2" s="573"/>
      <c r="H2" s="573"/>
      <c r="I2" s="573"/>
      <c r="J2" s="573"/>
      <c r="K2" s="573"/>
      <c r="L2" s="573"/>
      <c r="M2" s="573"/>
      <c r="N2" s="399"/>
    </row>
    <row r="3" spans="1:14">
      <c r="A3" s="715" t="str">
        <f>'Summary-TrueUp'!A3</f>
        <v>12 Months Ending 09/30/2018 True-up</v>
      </c>
      <c r="B3" s="694"/>
      <c r="C3" s="682"/>
      <c r="D3" s="573"/>
      <c r="E3" s="683"/>
      <c r="F3" s="687"/>
      <c r="G3" s="573"/>
      <c r="H3" s="573"/>
      <c r="I3" s="573"/>
      <c r="J3" s="573"/>
      <c r="K3" s="573"/>
      <c r="L3" s="573"/>
      <c r="M3" s="573"/>
      <c r="N3" s="399"/>
    </row>
    <row r="4" spans="1:14">
      <c r="A4" s="706"/>
      <c r="B4" s="707"/>
      <c r="C4" s="708"/>
      <c r="D4" s="709"/>
      <c r="E4" s="710"/>
      <c r="F4" s="711"/>
      <c r="G4" s="777" t="s">
        <v>1443</v>
      </c>
      <c r="H4" s="777"/>
      <c r="I4" s="777"/>
      <c r="J4" s="777"/>
      <c r="K4" s="777"/>
      <c r="L4" s="777"/>
      <c r="M4" s="777"/>
      <c r="N4" s="712"/>
    </row>
    <row r="5" spans="1:14" s="452" customFormat="1" ht="28.8">
      <c r="A5" s="701" t="s">
        <v>0</v>
      </c>
      <c r="B5" s="695" t="s">
        <v>1</v>
      </c>
      <c r="C5" s="696" t="s">
        <v>1444</v>
      </c>
      <c r="D5" s="695" t="s">
        <v>1445</v>
      </c>
      <c r="E5" s="695" t="s">
        <v>1446</v>
      </c>
      <c r="F5" s="697" t="s">
        <v>1447</v>
      </c>
      <c r="G5" s="698" t="s">
        <v>1448</v>
      </c>
      <c r="H5" s="698" t="s">
        <v>1449</v>
      </c>
      <c r="I5" s="698" t="s">
        <v>1450</v>
      </c>
      <c r="J5" s="698" t="s">
        <v>1451</v>
      </c>
      <c r="K5" s="698" t="s">
        <v>1452</v>
      </c>
      <c r="L5" s="698" t="s">
        <v>1453</v>
      </c>
      <c r="M5" s="698" t="s">
        <v>1454</v>
      </c>
      <c r="N5" s="699" t="s">
        <v>1455</v>
      </c>
    </row>
    <row r="6" spans="1:14" s="461" customFormat="1">
      <c r="A6" s="702"/>
      <c r="B6" s="680"/>
      <c r="C6" s="453" t="s">
        <v>1456</v>
      </c>
      <c r="D6" s="454"/>
      <c r="E6" s="455"/>
      <c r="F6" s="456"/>
      <c r="G6" s="457"/>
      <c r="H6" s="457"/>
      <c r="I6" s="458"/>
      <c r="J6" s="458"/>
      <c r="K6" s="459"/>
      <c r="L6" s="458"/>
      <c r="M6" s="458"/>
      <c r="N6" s="460"/>
    </row>
    <row r="7" spans="1:14">
      <c r="A7" s="451">
        <v>1</v>
      </c>
      <c r="B7" s="680" t="s">
        <v>236</v>
      </c>
      <c r="C7" s="462" t="s">
        <v>1457</v>
      </c>
      <c r="D7" s="463" t="s">
        <v>1458</v>
      </c>
      <c r="E7" s="464" t="s">
        <v>11</v>
      </c>
      <c r="F7" s="465">
        <v>5878984</v>
      </c>
      <c r="G7" s="466" t="s">
        <v>1459</v>
      </c>
      <c r="H7" s="467"/>
      <c r="I7" s="467"/>
      <c r="J7" s="467"/>
      <c r="K7" s="468"/>
      <c r="L7" s="467"/>
      <c r="M7" s="467"/>
      <c r="N7" s="469"/>
    </row>
    <row r="8" spans="1:14">
      <c r="A8" s="451">
        <f t="shared" ref="A8:A19" si="0">A7+1</f>
        <v>2</v>
      </c>
      <c r="B8" s="680"/>
      <c r="D8" s="463" t="s">
        <v>1460</v>
      </c>
      <c r="E8" s="464" t="s">
        <v>11</v>
      </c>
      <c r="G8" s="466" t="s">
        <v>1459</v>
      </c>
      <c r="H8" s="467"/>
      <c r="I8" s="467"/>
      <c r="J8" s="467"/>
      <c r="K8" s="468"/>
      <c r="L8" s="467"/>
      <c r="M8" s="467"/>
      <c r="N8" s="469"/>
    </row>
    <row r="9" spans="1:14">
      <c r="A9" s="451">
        <f t="shared" si="0"/>
        <v>3</v>
      </c>
      <c r="B9" s="680" t="s">
        <v>238</v>
      </c>
      <c r="C9" s="462" t="s">
        <v>1461</v>
      </c>
      <c r="D9" s="463" t="s">
        <v>1462</v>
      </c>
      <c r="E9" s="464" t="s">
        <v>11</v>
      </c>
      <c r="F9" s="470">
        <v>1117933</v>
      </c>
      <c r="G9" s="467" t="s">
        <v>1459</v>
      </c>
      <c r="H9" s="467"/>
      <c r="I9" s="467"/>
      <c r="J9" s="467"/>
      <c r="K9" s="468"/>
      <c r="L9" s="467"/>
      <c r="M9" s="467"/>
      <c r="N9" s="469"/>
    </row>
    <row r="10" spans="1:14">
      <c r="A10" s="451">
        <f t="shared" si="0"/>
        <v>4</v>
      </c>
      <c r="B10" s="680"/>
      <c r="D10" s="463" t="s">
        <v>1463</v>
      </c>
      <c r="E10" s="464" t="s">
        <v>11</v>
      </c>
      <c r="G10" s="467" t="s">
        <v>1459</v>
      </c>
      <c r="H10" s="467"/>
      <c r="I10" s="467"/>
      <c r="J10" s="467"/>
      <c r="K10" s="468"/>
      <c r="L10" s="467"/>
      <c r="M10" s="467"/>
      <c r="N10" s="469" t="s">
        <v>1464</v>
      </c>
    </row>
    <row r="11" spans="1:14">
      <c r="A11" s="451">
        <f t="shared" si="0"/>
        <v>5</v>
      </c>
      <c r="B11" s="680"/>
      <c r="D11" s="463" t="s">
        <v>1465</v>
      </c>
      <c r="E11" s="464" t="s">
        <v>11</v>
      </c>
      <c r="G11" s="467" t="s">
        <v>1459</v>
      </c>
      <c r="H11" s="467"/>
      <c r="I11" s="467"/>
      <c r="J11" s="467"/>
      <c r="K11" s="468"/>
      <c r="L11" s="467"/>
      <c r="M11" s="467"/>
      <c r="N11" s="469"/>
    </row>
    <row r="12" spans="1:14" ht="28.8">
      <c r="A12" s="451">
        <f t="shared" si="0"/>
        <v>6</v>
      </c>
      <c r="B12" s="680"/>
      <c r="D12" s="463" t="s">
        <v>1466</v>
      </c>
      <c r="E12" s="464" t="s">
        <v>11</v>
      </c>
      <c r="G12" s="467"/>
      <c r="H12" s="467" t="s">
        <v>1459</v>
      </c>
      <c r="I12" s="467"/>
      <c r="J12" s="467"/>
      <c r="K12" s="468"/>
      <c r="L12" s="467"/>
      <c r="M12" s="467"/>
      <c r="N12" s="471" t="s">
        <v>1467</v>
      </c>
    </row>
    <row r="13" spans="1:14" ht="19.5" customHeight="1">
      <c r="A13" s="451">
        <f t="shared" si="0"/>
        <v>7</v>
      </c>
      <c r="B13" s="680"/>
      <c r="D13" s="463" t="s">
        <v>1468</v>
      </c>
      <c r="E13" s="464" t="s">
        <v>11</v>
      </c>
      <c r="G13" s="467"/>
      <c r="H13" s="467" t="s">
        <v>1459</v>
      </c>
      <c r="I13" s="467"/>
      <c r="J13" s="467"/>
      <c r="K13" s="468"/>
      <c r="L13" s="467"/>
      <c r="M13" s="467"/>
      <c r="N13" s="471" t="s">
        <v>1469</v>
      </c>
    </row>
    <row r="14" spans="1:14">
      <c r="A14" s="451">
        <f t="shared" si="0"/>
        <v>8</v>
      </c>
      <c r="B14" s="680" t="s">
        <v>1470</v>
      </c>
      <c r="C14" s="462" t="s">
        <v>1471</v>
      </c>
      <c r="D14" s="463" t="s">
        <v>1472</v>
      </c>
      <c r="E14" s="464" t="s">
        <v>11</v>
      </c>
      <c r="F14" s="470">
        <v>63325</v>
      </c>
      <c r="G14" s="466" t="s">
        <v>1459</v>
      </c>
      <c r="H14" s="466"/>
      <c r="I14" s="467"/>
      <c r="J14" s="467"/>
      <c r="K14" s="468"/>
      <c r="L14" s="467"/>
      <c r="M14" s="467"/>
      <c r="N14" s="469"/>
    </row>
    <row r="15" spans="1:14">
      <c r="A15" s="451">
        <f t="shared" si="0"/>
        <v>9</v>
      </c>
      <c r="B15" s="680" t="s">
        <v>243</v>
      </c>
      <c r="C15" s="462" t="s">
        <v>1473</v>
      </c>
      <c r="D15" s="463" t="s">
        <v>2342</v>
      </c>
      <c r="E15" s="464" t="s">
        <v>11</v>
      </c>
      <c r="F15" s="470">
        <v>2775537</v>
      </c>
      <c r="G15" s="467" t="s">
        <v>1459</v>
      </c>
      <c r="H15" s="467"/>
      <c r="I15" s="467"/>
      <c r="J15" s="467"/>
      <c r="K15" s="468"/>
      <c r="L15" s="467"/>
      <c r="M15" s="467"/>
      <c r="N15" s="469"/>
    </row>
    <row r="16" spans="1:14">
      <c r="A16" s="451">
        <f t="shared" si="0"/>
        <v>10</v>
      </c>
      <c r="B16" s="680"/>
      <c r="D16" s="463" t="s">
        <v>1474</v>
      </c>
      <c r="E16" s="464" t="s">
        <v>11</v>
      </c>
      <c r="G16" s="467" t="s">
        <v>1459</v>
      </c>
      <c r="H16" s="467"/>
      <c r="I16" s="467"/>
      <c r="J16" s="467"/>
      <c r="K16" s="468"/>
      <c r="L16" s="467"/>
      <c r="M16" s="467"/>
      <c r="N16" s="469"/>
    </row>
    <row r="17" spans="1:14">
      <c r="A17" s="451">
        <f t="shared" si="0"/>
        <v>11</v>
      </c>
      <c r="B17" s="680"/>
      <c r="D17" s="463" t="s">
        <v>1475</v>
      </c>
      <c r="E17" s="464" t="s">
        <v>11</v>
      </c>
      <c r="G17" s="467" t="s">
        <v>1459</v>
      </c>
      <c r="H17" s="467"/>
      <c r="I17" s="467"/>
      <c r="J17" s="467"/>
      <c r="K17" s="468"/>
      <c r="L17" s="467"/>
      <c r="M17" s="467"/>
      <c r="N17" s="469"/>
    </row>
    <row r="18" spans="1:14">
      <c r="A18" s="451">
        <f t="shared" si="0"/>
        <v>12</v>
      </c>
      <c r="B18" s="680" t="s">
        <v>245</v>
      </c>
      <c r="C18" s="462" t="s">
        <v>1476</v>
      </c>
      <c r="D18" s="463" t="s">
        <v>1477</v>
      </c>
      <c r="E18" s="464" t="s">
        <v>11</v>
      </c>
      <c r="F18" s="470">
        <v>164986</v>
      </c>
      <c r="G18" s="467" t="s">
        <v>1459</v>
      </c>
      <c r="H18" s="467"/>
      <c r="I18" s="467"/>
      <c r="J18" s="467"/>
      <c r="K18" s="468"/>
      <c r="L18" s="467"/>
      <c r="M18" s="467"/>
      <c r="N18" s="469"/>
    </row>
    <row r="19" spans="1:14">
      <c r="A19" s="451">
        <f t="shared" si="0"/>
        <v>13</v>
      </c>
      <c r="B19" s="680" t="s">
        <v>247</v>
      </c>
      <c r="C19" s="462" t="s">
        <v>1478</v>
      </c>
      <c r="D19" s="463" t="s">
        <v>1479</v>
      </c>
      <c r="E19" s="464" t="s">
        <v>11</v>
      </c>
      <c r="F19" s="470">
        <v>13937668</v>
      </c>
      <c r="G19" s="467" t="s">
        <v>1459</v>
      </c>
      <c r="H19" s="467"/>
      <c r="I19" s="467"/>
      <c r="J19" s="467"/>
      <c r="K19" s="468"/>
      <c r="L19" s="467"/>
      <c r="M19" s="467"/>
      <c r="N19" s="469"/>
    </row>
    <row r="20" spans="1:14">
      <c r="A20" s="451">
        <f t="shared" ref="A20:A83" si="1">A19+1</f>
        <v>14</v>
      </c>
      <c r="B20" s="680"/>
      <c r="D20" s="463" t="s">
        <v>1480</v>
      </c>
      <c r="E20" s="464" t="s">
        <v>11</v>
      </c>
      <c r="G20" s="467" t="s">
        <v>1459</v>
      </c>
      <c r="H20" s="467"/>
      <c r="I20" s="467"/>
      <c r="J20" s="467"/>
      <c r="K20" s="468"/>
      <c r="L20" s="467"/>
      <c r="M20" s="467"/>
      <c r="N20" s="469"/>
    </row>
    <row r="21" spans="1:14">
      <c r="A21" s="451">
        <f t="shared" si="1"/>
        <v>15</v>
      </c>
      <c r="B21" s="680"/>
      <c r="D21" s="463" t="s">
        <v>1481</v>
      </c>
      <c r="E21" s="464" t="s">
        <v>11</v>
      </c>
      <c r="G21" s="467" t="s">
        <v>1459</v>
      </c>
      <c r="H21" s="467"/>
      <c r="I21" s="467"/>
      <c r="J21" s="467"/>
      <c r="K21" s="468"/>
      <c r="L21" s="467"/>
      <c r="M21" s="467"/>
      <c r="N21" s="469"/>
    </row>
    <row r="22" spans="1:14">
      <c r="A22" s="451">
        <f t="shared" si="1"/>
        <v>16</v>
      </c>
      <c r="B22" s="680"/>
      <c r="D22" s="463" t="s">
        <v>1482</v>
      </c>
      <c r="E22" s="464" t="s">
        <v>11</v>
      </c>
      <c r="G22" s="467" t="s">
        <v>1459</v>
      </c>
      <c r="H22" s="467"/>
      <c r="I22" s="467"/>
      <c r="J22" s="467"/>
      <c r="K22" s="467"/>
      <c r="L22" s="467"/>
      <c r="M22" s="467"/>
      <c r="N22" s="469"/>
    </row>
    <row r="23" spans="1:14">
      <c r="A23" s="451">
        <f t="shared" si="1"/>
        <v>17</v>
      </c>
      <c r="B23" s="680"/>
      <c r="D23" s="463" t="s">
        <v>1483</v>
      </c>
      <c r="E23" s="464" t="s">
        <v>11</v>
      </c>
      <c r="G23" s="467" t="s">
        <v>1459</v>
      </c>
      <c r="H23" s="467"/>
      <c r="I23" s="467"/>
      <c r="J23" s="467"/>
      <c r="K23" s="467"/>
      <c r="L23" s="467"/>
      <c r="M23" s="467"/>
      <c r="N23" s="469"/>
    </row>
    <row r="24" spans="1:14">
      <c r="A24" s="451">
        <f t="shared" si="1"/>
        <v>18</v>
      </c>
      <c r="B24" s="680" t="s">
        <v>247</v>
      </c>
      <c r="C24" s="462" t="s">
        <v>1485</v>
      </c>
      <c r="D24" s="463" t="s">
        <v>1486</v>
      </c>
      <c r="E24" s="464" t="s">
        <v>11</v>
      </c>
      <c r="F24" s="470">
        <v>3901175</v>
      </c>
      <c r="G24" s="467" t="s">
        <v>1459</v>
      </c>
      <c r="H24" s="467"/>
      <c r="I24" s="467"/>
      <c r="J24" s="467"/>
      <c r="K24" s="467"/>
      <c r="L24" s="467"/>
      <c r="M24" s="467"/>
      <c r="N24" s="469"/>
    </row>
    <row r="25" spans="1:14">
      <c r="A25" s="451">
        <f t="shared" si="1"/>
        <v>19</v>
      </c>
      <c r="B25" s="680"/>
      <c r="D25" s="463" t="s">
        <v>1487</v>
      </c>
      <c r="E25" s="464" t="s">
        <v>11</v>
      </c>
      <c r="G25" s="467" t="s">
        <v>1459</v>
      </c>
      <c r="H25" s="467"/>
      <c r="I25" s="467"/>
      <c r="J25" s="467"/>
      <c r="K25" s="467"/>
      <c r="L25" s="467"/>
      <c r="M25" s="467"/>
      <c r="N25" s="469"/>
    </row>
    <row r="26" spans="1:14">
      <c r="A26" s="451">
        <f t="shared" si="1"/>
        <v>20</v>
      </c>
      <c r="B26" s="680"/>
      <c r="D26" s="463" t="s">
        <v>1488</v>
      </c>
      <c r="E26" s="464" t="s">
        <v>11</v>
      </c>
      <c r="G26" s="467" t="s">
        <v>1459</v>
      </c>
      <c r="H26" s="467"/>
      <c r="I26" s="467"/>
      <c r="J26" s="467"/>
      <c r="K26" s="467"/>
      <c r="L26" s="467"/>
      <c r="M26" s="467"/>
      <c r="N26" s="469"/>
    </row>
    <row r="27" spans="1:14">
      <c r="A27" s="451">
        <f t="shared" si="1"/>
        <v>21</v>
      </c>
      <c r="B27" s="680"/>
      <c r="D27" s="463" t="s">
        <v>1489</v>
      </c>
      <c r="E27" s="464" t="s">
        <v>11</v>
      </c>
      <c r="G27" s="467"/>
      <c r="H27" s="467" t="s">
        <v>1459</v>
      </c>
      <c r="I27" s="467"/>
      <c r="J27" s="467"/>
      <c r="K27" s="467"/>
      <c r="L27" s="467"/>
      <c r="M27" s="467"/>
      <c r="N27" s="471" t="s">
        <v>1490</v>
      </c>
    </row>
    <row r="28" spans="1:14">
      <c r="A28" s="451">
        <f t="shared" si="1"/>
        <v>22</v>
      </c>
      <c r="B28" s="680"/>
      <c r="D28" s="463" t="s">
        <v>1491</v>
      </c>
      <c r="E28" s="464" t="s">
        <v>11</v>
      </c>
      <c r="G28" s="467"/>
      <c r="H28" s="467" t="s">
        <v>1459</v>
      </c>
      <c r="I28" s="467"/>
      <c r="J28" s="467"/>
      <c r="K28" s="467"/>
      <c r="L28" s="467"/>
      <c r="M28" s="467"/>
      <c r="N28" s="469" t="s">
        <v>1492</v>
      </c>
    </row>
    <row r="29" spans="1:14">
      <c r="A29" s="451">
        <f t="shared" si="1"/>
        <v>23</v>
      </c>
      <c r="B29" s="680" t="s">
        <v>251</v>
      </c>
      <c r="C29" s="462" t="s">
        <v>1493</v>
      </c>
      <c r="D29" s="463" t="s">
        <v>1494</v>
      </c>
      <c r="E29" s="464" t="s">
        <v>11</v>
      </c>
      <c r="F29" s="470">
        <v>56597</v>
      </c>
      <c r="G29" s="467" t="s">
        <v>1459</v>
      </c>
      <c r="H29" s="467"/>
      <c r="I29" s="467"/>
      <c r="J29" s="467"/>
      <c r="K29" s="467"/>
      <c r="L29" s="467"/>
      <c r="M29" s="467"/>
      <c r="N29" s="469"/>
    </row>
    <row r="30" spans="1:14" ht="28.8">
      <c r="A30" s="451">
        <f t="shared" si="1"/>
        <v>24</v>
      </c>
      <c r="B30" s="680" t="s">
        <v>253</v>
      </c>
      <c r="C30" s="462" t="s">
        <v>1495</v>
      </c>
      <c r="D30" s="463" t="s">
        <v>1496</v>
      </c>
      <c r="E30" s="464" t="s">
        <v>11</v>
      </c>
      <c r="F30" s="470">
        <v>15065318</v>
      </c>
      <c r="G30" s="467" t="s">
        <v>1459</v>
      </c>
      <c r="H30" s="467"/>
      <c r="I30" s="467"/>
      <c r="J30" s="467"/>
      <c r="K30" s="467"/>
      <c r="L30" s="467"/>
      <c r="M30" s="467"/>
      <c r="N30" s="469"/>
    </row>
    <row r="31" spans="1:14">
      <c r="A31" s="451">
        <f t="shared" si="1"/>
        <v>25</v>
      </c>
      <c r="B31" s="680"/>
      <c r="D31" s="463" t="s">
        <v>1497</v>
      </c>
      <c r="E31" s="464" t="s">
        <v>11</v>
      </c>
      <c r="G31" s="467" t="s">
        <v>1459</v>
      </c>
      <c r="H31" s="467"/>
      <c r="I31" s="467"/>
      <c r="J31" s="467"/>
      <c r="K31" s="467"/>
      <c r="L31" s="467"/>
      <c r="M31" s="467"/>
      <c r="N31" s="469"/>
    </row>
    <row r="32" spans="1:14">
      <c r="A32" s="451">
        <f t="shared" si="1"/>
        <v>26</v>
      </c>
      <c r="B32" s="680"/>
      <c r="D32" s="472" t="s">
        <v>1498</v>
      </c>
      <c r="E32" s="464" t="s">
        <v>11</v>
      </c>
      <c r="F32" s="473"/>
      <c r="G32" s="467" t="s">
        <v>1459</v>
      </c>
      <c r="H32" s="467"/>
      <c r="I32" s="467"/>
      <c r="J32" s="467"/>
      <c r="K32" s="467"/>
      <c r="L32" s="467"/>
      <c r="M32" s="467"/>
      <c r="N32" s="469"/>
    </row>
    <row r="33" spans="1:15">
      <c r="A33" s="451">
        <f t="shared" si="1"/>
        <v>27</v>
      </c>
      <c r="B33" s="680"/>
      <c r="D33" s="463" t="s">
        <v>1499</v>
      </c>
      <c r="E33" s="464" t="s">
        <v>11</v>
      </c>
      <c r="G33" s="467" t="s">
        <v>1459</v>
      </c>
      <c r="H33" s="467"/>
      <c r="I33" s="467"/>
      <c r="J33" s="467"/>
      <c r="K33" s="467"/>
      <c r="L33" s="467"/>
      <c r="M33" s="467"/>
      <c r="N33" s="469"/>
    </row>
    <row r="34" spans="1:15">
      <c r="A34" s="451">
        <f t="shared" si="1"/>
        <v>28</v>
      </c>
      <c r="B34" s="680"/>
      <c r="D34" s="463" t="s">
        <v>1500</v>
      </c>
      <c r="E34" s="464" t="s">
        <v>11</v>
      </c>
      <c r="G34" s="467" t="s">
        <v>1459</v>
      </c>
      <c r="H34" s="467"/>
      <c r="I34" s="467"/>
      <c r="J34" s="467"/>
      <c r="K34" s="467"/>
      <c r="L34" s="467"/>
      <c r="M34" s="467"/>
      <c r="N34" s="469" t="s">
        <v>1501</v>
      </c>
    </row>
    <row r="35" spans="1:15">
      <c r="A35" s="451">
        <f t="shared" si="1"/>
        <v>29</v>
      </c>
      <c r="B35" s="680" t="s">
        <v>257</v>
      </c>
      <c r="C35" s="462" t="s">
        <v>1502</v>
      </c>
      <c r="D35" s="463" t="s">
        <v>1503</v>
      </c>
      <c r="E35" s="464" t="s">
        <v>36</v>
      </c>
      <c r="F35" s="470">
        <v>2316776</v>
      </c>
      <c r="G35" s="467" t="s">
        <v>1459</v>
      </c>
      <c r="H35" s="467"/>
      <c r="I35" s="467"/>
      <c r="J35" s="467"/>
      <c r="K35" s="467"/>
      <c r="L35" s="467"/>
      <c r="M35" s="467"/>
      <c r="N35" s="469"/>
    </row>
    <row r="36" spans="1:15">
      <c r="A36" s="451">
        <f t="shared" si="1"/>
        <v>30</v>
      </c>
      <c r="B36" s="680"/>
      <c r="D36" s="463" t="s">
        <v>1504</v>
      </c>
      <c r="E36" s="464" t="s">
        <v>36</v>
      </c>
      <c r="G36" s="467" t="s">
        <v>1459</v>
      </c>
      <c r="H36" s="467"/>
      <c r="I36" s="467"/>
      <c r="J36" s="467"/>
      <c r="K36" s="467"/>
      <c r="L36" s="467"/>
      <c r="M36" s="467"/>
      <c r="N36" s="469"/>
    </row>
    <row r="37" spans="1:15">
      <c r="A37" s="451">
        <f t="shared" si="1"/>
        <v>31</v>
      </c>
      <c r="B37" s="680"/>
      <c r="D37" s="463" t="s">
        <v>1505</v>
      </c>
      <c r="E37" s="464" t="s">
        <v>36</v>
      </c>
      <c r="G37" s="467" t="s">
        <v>1459</v>
      </c>
      <c r="H37" s="467"/>
      <c r="I37" s="467"/>
      <c r="J37" s="467"/>
      <c r="K37" s="467"/>
      <c r="L37" s="467"/>
      <c r="M37" s="467"/>
      <c r="N37" s="469"/>
    </row>
    <row r="38" spans="1:15">
      <c r="A38" s="451">
        <f t="shared" si="1"/>
        <v>32</v>
      </c>
      <c r="B38" s="680"/>
      <c r="D38" s="463" t="s">
        <v>1506</v>
      </c>
      <c r="E38" s="464" t="s">
        <v>36</v>
      </c>
      <c r="G38" s="467" t="s">
        <v>1459</v>
      </c>
      <c r="H38" s="467"/>
      <c r="I38" s="467"/>
      <c r="J38" s="467"/>
      <c r="K38" s="467"/>
      <c r="L38" s="467"/>
      <c r="M38" s="467"/>
      <c r="N38" s="469"/>
    </row>
    <row r="39" spans="1:15">
      <c r="A39" s="451">
        <f t="shared" si="1"/>
        <v>33</v>
      </c>
      <c r="B39" s="680"/>
      <c r="D39" s="463" t="s">
        <v>1507</v>
      </c>
      <c r="E39" s="464" t="s">
        <v>36</v>
      </c>
      <c r="G39" s="467"/>
      <c r="H39" s="467" t="s">
        <v>1459</v>
      </c>
      <c r="I39" s="467"/>
      <c r="J39" s="467"/>
      <c r="K39" s="467"/>
      <c r="L39" s="467"/>
      <c r="M39" s="467"/>
      <c r="N39" s="469" t="s">
        <v>1508</v>
      </c>
    </row>
    <row r="40" spans="1:15">
      <c r="A40" s="451">
        <f t="shared" si="1"/>
        <v>34</v>
      </c>
      <c r="B40" s="680" t="s">
        <v>259</v>
      </c>
      <c r="C40" s="462" t="s">
        <v>1510</v>
      </c>
      <c r="D40" s="463" t="s">
        <v>1511</v>
      </c>
      <c r="E40" s="464" t="s">
        <v>11</v>
      </c>
      <c r="F40" s="470">
        <v>2216942</v>
      </c>
      <c r="G40" s="467" t="s">
        <v>1459</v>
      </c>
      <c r="H40" s="467"/>
      <c r="I40" s="467"/>
      <c r="J40" s="467"/>
      <c r="K40" s="467"/>
      <c r="L40" s="467"/>
      <c r="M40" s="467"/>
      <c r="N40" s="469"/>
    </row>
    <row r="41" spans="1:15">
      <c r="A41" s="451">
        <f t="shared" si="1"/>
        <v>35</v>
      </c>
      <c r="B41" s="680"/>
      <c r="D41" s="463" t="s">
        <v>1512</v>
      </c>
      <c r="E41" s="464" t="s">
        <v>11</v>
      </c>
      <c r="G41" s="467" t="s">
        <v>1459</v>
      </c>
      <c r="H41" s="467"/>
      <c r="I41" s="467"/>
      <c r="J41" s="467"/>
      <c r="K41" s="467"/>
      <c r="L41" s="467"/>
      <c r="M41" s="467"/>
      <c r="N41" s="469"/>
      <c r="O41" s="474"/>
    </row>
    <row r="42" spans="1:15">
      <c r="A42" s="451">
        <f t="shared" si="1"/>
        <v>36</v>
      </c>
      <c r="B42" s="680"/>
      <c r="D42" s="463" t="s">
        <v>1513</v>
      </c>
      <c r="E42" s="464" t="s">
        <v>11</v>
      </c>
      <c r="G42" s="467" t="s">
        <v>1459</v>
      </c>
      <c r="H42" s="467"/>
      <c r="I42" s="467"/>
      <c r="J42" s="467"/>
      <c r="K42" s="467"/>
      <c r="L42" s="467"/>
      <c r="M42" s="467"/>
      <c r="N42" s="469"/>
    </row>
    <row r="43" spans="1:15">
      <c r="A43" s="451">
        <f t="shared" si="1"/>
        <v>37</v>
      </c>
      <c r="B43" s="680"/>
      <c r="D43" s="463" t="s">
        <v>1514</v>
      </c>
      <c r="E43" s="464" t="s">
        <v>11</v>
      </c>
      <c r="G43" s="467" t="s">
        <v>1459</v>
      </c>
      <c r="H43" s="467"/>
      <c r="I43" s="467"/>
      <c r="J43" s="467"/>
      <c r="K43" s="467"/>
      <c r="L43" s="467"/>
      <c r="M43" s="467"/>
      <c r="N43" s="469"/>
    </row>
    <row r="44" spans="1:15" ht="28.8">
      <c r="A44" s="451">
        <f t="shared" si="1"/>
        <v>38</v>
      </c>
      <c r="B44" s="680" t="s">
        <v>261</v>
      </c>
      <c r="C44" s="462" t="s">
        <v>1515</v>
      </c>
      <c r="D44" s="463" t="s">
        <v>2382</v>
      </c>
      <c r="E44" s="464" t="s">
        <v>11</v>
      </c>
      <c r="F44" s="470">
        <v>3573151</v>
      </c>
      <c r="G44" s="467" t="s">
        <v>1459</v>
      </c>
      <c r="H44" s="467"/>
      <c r="I44" s="467"/>
      <c r="J44" s="467"/>
      <c r="K44" s="467"/>
      <c r="L44" s="467"/>
      <c r="M44" s="467"/>
      <c r="N44" s="469"/>
    </row>
    <row r="45" spans="1:15">
      <c r="A45" s="451">
        <f t="shared" si="1"/>
        <v>39</v>
      </c>
      <c r="B45" s="680"/>
      <c r="D45" s="463" t="s">
        <v>2383</v>
      </c>
      <c r="E45" s="464" t="s">
        <v>11</v>
      </c>
      <c r="G45" s="467" t="s">
        <v>1459</v>
      </c>
      <c r="H45" s="467"/>
      <c r="I45" s="467"/>
      <c r="J45" s="467"/>
      <c r="K45" s="467"/>
      <c r="L45" s="467"/>
      <c r="M45" s="467"/>
      <c r="N45" s="469"/>
    </row>
    <row r="46" spans="1:15">
      <c r="A46" s="451">
        <f t="shared" si="1"/>
        <v>40</v>
      </c>
      <c r="B46" s="680"/>
      <c r="D46" s="463" t="s">
        <v>2281</v>
      </c>
      <c r="E46" s="464" t="s">
        <v>11</v>
      </c>
      <c r="G46" s="467" t="s">
        <v>1459</v>
      </c>
      <c r="H46" s="467"/>
      <c r="I46" s="467"/>
      <c r="J46" s="467"/>
      <c r="K46" s="467"/>
      <c r="L46" s="467"/>
      <c r="M46" s="467"/>
      <c r="N46" s="469"/>
    </row>
    <row r="47" spans="1:15" ht="28.8">
      <c r="A47" s="451">
        <f t="shared" si="1"/>
        <v>41</v>
      </c>
      <c r="B47" s="680"/>
      <c r="D47" s="463" t="s">
        <v>1489</v>
      </c>
      <c r="E47" s="464" t="s">
        <v>11</v>
      </c>
      <c r="G47" s="467"/>
      <c r="H47" s="467" t="s">
        <v>1459</v>
      </c>
      <c r="I47" s="467"/>
      <c r="J47" s="467"/>
      <c r="K47" s="467"/>
      <c r="L47" s="467"/>
      <c r="M47" s="467"/>
      <c r="N47" s="469" t="s">
        <v>1516</v>
      </c>
    </row>
    <row r="48" spans="1:15" ht="28.8">
      <c r="A48" s="451">
        <f t="shared" si="1"/>
        <v>42</v>
      </c>
      <c r="B48" s="680"/>
      <c r="D48" s="463" t="s">
        <v>1517</v>
      </c>
      <c r="E48" s="464" t="s">
        <v>11</v>
      </c>
      <c r="G48" s="467"/>
      <c r="H48" s="467" t="s">
        <v>1459</v>
      </c>
      <c r="I48" s="467"/>
      <c r="J48" s="467"/>
      <c r="K48" s="467"/>
      <c r="L48" s="467"/>
      <c r="M48" s="467"/>
      <c r="N48" s="469" t="s">
        <v>1516</v>
      </c>
    </row>
    <row r="49" spans="1:14" ht="28.8">
      <c r="A49" s="451">
        <f t="shared" si="1"/>
        <v>43</v>
      </c>
      <c r="B49" s="680"/>
      <c r="D49" s="463" t="s">
        <v>1518</v>
      </c>
      <c r="E49" s="464" t="s">
        <v>11</v>
      </c>
      <c r="G49" s="467"/>
      <c r="H49" s="467" t="s">
        <v>1459</v>
      </c>
      <c r="I49" s="467"/>
      <c r="J49" s="467"/>
      <c r="K49" s="467"/>
      <c r="L49" s="467"/>
      <c r="M49" s="467"/>
      <c r="N49" s="469" t="s">
        <v>1519</v>
      </c>
    </row>
    <row r="50" spans="1:14">
      <c r="A50" s="451">
        <f t="shared" si="1"/>
        <v>44</v>
      </c>
      <c r="B50" s="680"/>
      <c r="C50" s="462" t="s">
        <v>2282</v>
      </c>
      <c r="D50" s="463" t="s">
        <v>2283</v>
      </c>
      <c r="G50" s="467" t="s">
        <v>1459</v>
      </c>
      <c r="H50" s="467"/>
      <c r="I50" s="467"/>
      <c r="J50" s="467"/>
      <c r="K50" s="467"/>
      <c r="L50" s="467"/>
      <c r="M50" s="467"/>
      <c r="N50" s="469"/>
    </row>
    <row r="51" spans="1:14">
      <c r="A51" s="451">
        <f t="shared" si="1"/>
        <v>45</v>
      </c>
      <c r="B51" s="680" t="s">
        <v>1520</v>
      </c>
      <c r="C51" s="462" t="s">
        <v>1521</v>
      </c>
      <c r="D51" s="463" t="s">
        <v>1522</v>
      </c>
      <c r="E51" s="464" t="s">
        <v>11</v>
      </c>
      <c r="F51" s="470">
        <v>0</v>
      </c>
      <c r="G51" s="467" t="s">
        <v>1459</v>
      </c>
      <c r="H51" s="467"/>
      <c r="I51" s="467"/>
      <c r="J51" s="467"/>
      <c r="K51" s="467"/>
      <c r="L51" s="467"/>
      <c r="M51" s="467"/>
      <c r="N51" s="469"/>
    </row>
    <row r="52" spans="1:14">
      <c r="A52" s="451">
        <f t="shared" si="1"/>
        <v>46</v>
      </c>
      <c r="B52" s="680" t="s">
        <v>465</v>
      </c>
      <c r="C52" s="462" t="s">
        <v>1523</v>
      </c>
      <c r="D52" s="463" t="s">
        <v>1524</v>
      </c>
      <c r="G52" s="467" t="s">
        <v>1459</v>
      </c>
      <c r="H52" s="467"/>
      <c r="I52" s="467"/>
      <c r="J52" s="467"/>
      <c r="K52" s="467"/>
      <c r="L52" s="467"/>
      <c r="M52" s="467"/>
      <c r="N52" s="469"/>
    </row>
    <row r="53" spans="1:14">
      <c r="A53" s="451">
        <f t="shared" si="1"/>
        <v>47</v>
      </c>
      <c r="B53" s="680" t="s">
        <v>263</v>
      </c>
      <c r="C53" s="462" t="s">
        <v>1525</v>
      </c>
      <c r="D53" s="463" t="s">
        <v>1526</v>
      </c>
      <c r="E53" s="464" t="s">
        <v>11</v>
      </c>
      <c r="F53" s="470">
        <v>2463312</v>
      </c>
      <c r="G53" s="467" t="s">
        <v>1459</v>
      </c>
      <c r="H53" s="467" t="s">
        <v>1459</v>
      </c>
      <c r="I53" s="467"/>
      <c r="J53" s="467"/>
      <c r="K53" s="467"/>
      <c r="L53" s="467"/>
      <c r="M53" s="467"/>
      <c r="N53" s="469" t="s">
        <v>1527</v>
      </c>
    </row>
    <row r="54" spans="1:14">
      <c r="A54" s="451">
        <f t="shared" si="1"/>
        <v>48</v>
      </c>
      <c r="B54" s="680"/>
      <c r="D54" s="463" t="s">
        <v>1528</v>
      </c>
      <c r="E54" s="464" t="s">
        <v>11</v>
      </c>
      <c r="G54" s="467" t="s">
        <v>1459</v>
      </c>
      <c r="H54" s="467"/>
      <c r="I54" s="467"/>
      <c r="J54" s="467"/>
      <c r="K54" s="467"/>
      <c r="L54" s="467"/>
      <c r="M54" s="467"/>
      <c r="N54" s="469"/>
    </row>
    <row r="55" spans="1:14">
      <c r="A55" s="451">
        <f t="shared" si="1"/>
        <v>49</v>
      </c>
      <c r="B55" s="680" t="s">
        <v>1529</v>
      </c>
      <c r="C55" s="462" t="s">
        <v>1530</v>
      </c>
      <c r="D55" s="463" t="s">
        <v>1531</v>
      </c>
      <c r="E55" s="464" t="s">
        <v>11</v>
      </c>
      <c r="F55" s="470">
        <v>3157165</v>
      </c>
      <c r="G55" s="467" t="s">
        <v>1459</v>
      </c>
      <c r="H55" s="467"/>
      <c r="I55" s="467"/>
      <c r="J55" s="467"/>
      <c r="K55" s="467"/>
      <c r="L55" s="467"/>
      <c r="M55" s="467"/>
      <c r="N55" s="469"/>
    </row>
    <row r="56" spans="1:14">
      <c r="A56" s="451">
        <f t="shared" si="1"/>
        <v>50</v>
      </c>
      <c r="B56" s="680"/>
      <c r="D56" s="463" t="s">
        <v>1532</v>
      </c>
      <c r="E56" s="464" t="s">
        <v>11</v>
      </c>
      <c r="G56" s="467" t="s">
        <v>1459</v>
      </c>
      <c r="H56" s="467"/>
      <c r="I56" s="467"/>
      <c r="J56" s="467"/>
      <c r="K56" s="467"/>
      <c r="L56" s="467"/>
      <c r="M56" s="467"/>
      <c r="N56" s="469"/>
    </row>
    <row r="57" spans="1:14">
      <c r="A57" s="451">
        <f t="shared" si="1"/>
        <v>51</v>
      </c>
      <c r="B57" s="680"/>
      <c r="D57" s="463" t="s">
        <v>1533</v>
      </c>
      <c r="E57" s="464" t="s">
        <v>11</v>
      </c>
      <c r="G57" s="467" t="s">
        <v>1459</v>
      </c>
      <c r="H57" s="467"/>
      <c r="I57" s="467"/>
      <c r="J57" s="467"/>
      <c r="K57" s="467"/>
      <c r="L57" s="467"/>
      <c r="M57" s="467"/>
      <c r="N57" s="469"/>
    </row>
    <row r="58" spans="1:14">
      <c r="A58" s="451">
        <f t="shared" si="1"/>
        <v>52</v>
      </c>
      <c r="B58" s="680"/>
      <c r="C58" s="462" t="s">
        <v>1965</v>
      </c>
      <c r="D58" s="463" t="s">
        <v>1966</v>
      </c>
      <c r="E58" s="464" t="s">
        <v>11</v>
      </c>
      <c r="F58" s="470">
        <v>1286118</v>
      </c>
      <c r="G58" s="467" t="s">
        <v>1459</v>
      </c>
      <c r="H58" s="467"/>
      <c r="I58" s="467"/>
      <c r="J58" s="467"/>
      <c r="K58" s="467"/>
      <c r="L58" s="467"/>
      <c r="M58" s="467"/>
      <c r="N58" s="469"/>
    </row>
    <row r="59" spans="1:14">
      <c r="A59" s="451">
        <f t="shared" si="1"/>
        <v>53</v>
      </c>
      <c r="B59" s="680" t="s">
        <v>2632</v>
      </c>
      <c r="C59" s="462" t="s">
        <v>1534</v>
      </c>
      <c r="D59" s="463" t="s">
        <v>1535</v>
      </c>
      <c r="E59" s="464" t="s">
        <v>11</v>
      </c>
      <c r="F59" s="475">
        <v>7760738</v>
      </c>
      <c r="G59" s="467" t="s">
        <v>1459</v>
      </c>
      <c r="H59" s="467"/>
      <c r="I59" s="467"/>
      <c r="J59" s="467"/>
      <c r="K59" s="467"/>
      <c r="L59" s="467"/>
      <c r="M59" s="467"/>
      <c r="N59" s="469"/>
    </row>
    <row r="60" spans="1:14">
      <c r="A60" s="451">
        <f t="shared" si="1"/>
        <v>54</v>
      </c>
      <c r="B60" s="680"/>
      <c r="D60" s="463" t="s">
        <v>1536</v>
      </c>
      <c r="E60" s="464" t="s">
        <v>11</v>
      </c>
      <c r="G60" s="467" t="s">
        <v>1459</v>
      </c>
      <c r="H60" s="467"/>
      <c r="I60" s="467"/>
      <c r="J60" s="467"/>
      <c r="K60" s="467"/>
      <c r="L60" s="467"/>
      <c r="M60" s="467"/>
      <c r="N60" s="469"/>
    </row>
    <row r="61" spans="1:14">
      <c r="A61" s="451">
        <f t="shared" si="1"/>
        <v>55</v>
      </c>
      <c r="B61" s="680"/>
      <c r="D61" s="463" t="s">
        <v>1537</v>
      </c>
      <c r="E61" s="464" t="s">
        <v>11</v>
      </c>
      <c r="G61" s="467" t="s">
        <v>1459</v>
      </c>
      <c r="H61" s="467"/>
      <c r="I61" s="467"/>
      <c r="J61" s="467"/>
      <c r="K61" s="467"/>
      <c r="L61" s="467"/>
      <c r="M61" s="467"/>
      <c r="N61" s="469"/>
    </row>
    <row r="62" spans="1:14">
      <c r="A62" s="451">
        <f t="shared" si="1"/>
        <v>56</v>
      </c>
      <c r="B62" s="680"/>
      <c r="D62" s="463" t="s">
        <v>1538</v>
      </c>
      <c r="E62" s="464" t="s">
        <v>11</v>
      </c>
      <c r="G62" s="467" t="s">
        <v>1459</v>
      </c>
      <c r="H62" s="467"/>
      <c r="I62" s="467"/>
      <c r="J62" s="467"/>
      <c r="K62" s="467"/>
      <c r="L62" s="467"/>
      <c r="M62" s="467"/>
      <c r="N62" s="469"/>
    </row>
    <row r="63" spans="1:14">
      <c r="A63" s="451">
        <f t="shared" si="1"/>
        <v>57</v>
      </c>
      <c r="B63" s="680" t="s">
        <v>269</v>
      </c>
      <c r="C63" s="462" t="s">
        <v>1539</v>
      </c>
      <c r="D63" s="463" t="s">
        <v>1540</v>
      </c>
      <c r="E63" s="464" t="s">
        <v>36</v>
      </c>
      <c r="F63" s="470">
        <v>5320569</v>
      </c>
      <c r="G63" s="467" t="s">
        <v>1459</v>
      </c>
      <c r="H63" s="467"/>
      <c r="I63" s="467"/>
      <c r="J63" s="467"/>
      <c r="K63" s="467"/>
      <c r="L63" s="467"/>
      <c r="M63" s="467"/>
      <c r="N63" s="469"/>
    </row>
    <row r="64" spans="1:14">
      <c r="A64" s="451">
        <f t="shared" si="1"/>
        <v>58</v>
      </c>
      <c r="B64" s="680"/>
      <c r="D64" s="463" t="s">
        <v>1541</v>
      </c>
      <c r="E64" s="464" t="s">
        <v>36</v>
      </c>
      <c r="G64" s="467" t="s">
        <v>1459</v>
      </c>
      <c r="H64" s="467"/>
      <c r="I64" s="467"/>
      <c r="J64" s="467"/>
      <c r="K64" s="467"/>
      <c r="L64" s="467"/>
      <c r="M64" s="467"/>
      <c r="N64" s="469"/>
    </row>
    <row r="65" spans="1:14">
      <c r="A65" s="451">
        <f t="shared" si="1"/>
        <v>59</v>
      </c>
      <c r="B65" s="680"/>
      <c r="D65" s="463" t="s">
        <v>1542</v>
      </c>
      <c r="E65" s="464" t="s">
        <v>36</v>
      </c>
      <c r="G65" s="467" t="s">
        <v>1459</v>
      </c>
      <c r="H65" s="467"/>
      <c r="I65" s="467"/>
      <c r="J65" s="467"/>
      <c r="K65" s="467"/>
      <c r="L65" s="467"/>
      <c r="M65" s="467"/>
      <c r="N65" s="469"/>
    </row>
    <row r="66" spans="1:14" ht="28.8">
      <c r="A66" s="451">
        <f t="shared" si="1"/>
        <v>60</v>
      </c>
      <c r="B66" s="680"/>
      <c r="D66" s="463" t="s">
        <v>1543</v>
      </c>
      <c r="E66" s="464" t="s">
        <v>36</v>
      </c>
      <c r="G66" s="467" t="s">
        <v>1459</v>
      </c>
      <c r="H66" s="467"/>
      <c r="I66" s="467"/>
      <c r="J66" s="467"/>
      <c r="K66" s="467"/>
      <c r="L66" s="467"/>
      <c r="M66" s="467"/>
      <c r="N66" s="469"/>
    </row>
    <row r="67" spans="1:14">
      <c r="A67" s="451">
        <f t="shared" si="1"/>
        <v>61</v>
      </c>
      <c r="B67" s="680"/>
      <c r="D67" s="463" t="s">
        <v>1544</v>
      </c>
      <c r="E67" s="464" t="s">
        <v>36</v>
      </c>
      <c r="G67" s="467" t="s">
        <v>1459</v>
      </c>
      <c r="H67" s="467"/>
      <c r="I67" s="467"/>
      <c r="J67" s="467"/>
      <c r="K67" s="467"/>
      <c r="L67" s="467"/>
      <c r="M67" s="467"/>
      <c r="N67" s="469"/>
    </row>
    <row r="68" spans="1:14" ht="28.8">
      <c r="A68" s="451">
        <f t="shared" si="1"/>
        <v>62</v>
      </c>
      <c r="B68" s="680" t="s">
        <v>271</v>
      </c>
      <c r="C68" s="462" t="s">
        <v>1545</v>
      </c>
      <c r="D68" s="463" t="s">
        <v>1546</v>
      </c>
      <c r="E68" s="464" t="s">
        <v>11</v>
      </c>
      <c r="F68" s="470">
        <v>8549123</v>
      </c>
      <c r="G68" s="467" t="s">
        <v>1459</v>
      </c>
      <c r="H68" s="467"/>
      <c r="I68" s="467"/>
      <c r="J68" s="467"/>
      <c r="K68" s="467"/>
      <c r="L68" s="467"/>
      <c r="M68" s="467"/>
      <c r="N68" s="469"/>
    </row>
    <row r="69" spans="1:14">
      <c r="A69" s="451">
        <f t="shared" si="1"/>
        <v>63</v>
      </c>
      <c r="B69" s="680"/>
      <c r="D69" s="463" t="s">
        <v>1547</v>
      </c>
      <c r="E69" s="464" t="s">
        <v>11</v>
      </c>
      <c r="G69" s="467" t="s">
        <v>1459</v>
      </c>
      <c r="H69" s="467"/>
      <c r="I69" s="467"/>
      <c r="J69" s="467"/>
      <c r="K69" s="467"/>
      <c r="L69" s="467"/>
      <c r="M69" s="467"/>
      <c r="N69" s="469"/>
    </row>
    <row r="70" spans="1:14">
      <c r="A70" s="451">
        <f t="shared" si="1"/>
        <v>64</v>
      </c>
      <c r="B70" s="680"/>
      <c r="D70" s="463" t="s">
        <v>1548</v>
      </c>
      <c r="E70" s="464" t="s">
        <v>11</v>
      </c>
      <c r="G70" s="467" t="s">
        <v>1459</v>
      </c>
      <c r="H70" s="467"/>
      <c r="I70" s="467"/>
      <c r="J70" s="467"/>
      <c r="K70" s="467"/>
      <c r="L70" s="467"/>
      <c r="M70" s="467"/>
      <c r="N70" s="469"/>
    </row>
    <row r="71" spans="1:14">
      <c r="A71" s="451">
        <f t="shared" si="1"/>
        <v>65</v>
      </c>
      <c r="B71" s="680"/>
      <c r="D71" s="463" t="s">
        <v>1549</v>
      </c>
      <c r="E71" s="464" t="s">
        <v>11</v>
      </c>
      <c r="G71" s="467" t="s">
        <v>1459</v>
      </c>
      <c r="H71" s="467"/>
      <c r="I71" s="467"/>
      <c r="J71" s="467"/>
      <c r="K71" s="467"/>
      <c r="L71" s="467"/>
      <c r="M71" s="467"/>
      <c r="N71" s="469"/>
    </row>
    <row r="72" spans="1:14">
      <c r="A72" s="451">
        <f t="shared" si="1"/>
        <v>66</v>
      </c>
      <c r="B72" s="680"/>
      <c r="D72" s="463" t="s">
        <v>1550</v>
      </c>
      <c r="E72" s="464" t="s">
        <v>11</v>
      </c>
      <c r="G72" s="467" t="s">
        <v>1459</v>
      </c>
      <c r="H72" s="467"/>
      <c r="I72" s="467"/>
      <c r="J72" s="467"/>
      <c r="K72" s="467"/>
      <c r="L72" s="467"/>
      <c r="M72" s="467"/>
      <c r="N72" s="469"/>
    </row>
    <row r="73" spans="1:14">
      <c r="A73" s="451">
        <f t="shared" si="1"/>
        <v>67</v>
      </c>
      <c r="B73" s="680" t="s">
        <v>273</v>
      </c>
      <c r="C73" s="462" t="s">
        <v>1551</v>
      </c>
      <c r="D73" s="463" t="s">
        <v>1552</v>
      </c>
      <c r="E73" s="464" t="s">
        <v>36</v>
      </c>
      <c r="F73" s="470">
        <v>11177951</v>
      </c>
      <c r="G73" s="467"/>
      <c r="H73" s="467"/>
      <c r="I73" s="467" t="s">
        <v>1459</v>
      </c>
      <c r="J73" s="467"/>
      <c r="K73" s="467"/>
      <c r="L73" s="467"/>
      <c r="M73" s="467"/>
      <c r="N73" s="469" t="s">
        <v>1553</v>
      </c>
    </row>
    <row r="74" spans="1:14">
      <c r="A74" s="451">
        <f t="shared" si="1"/>
        <v>68</v>
      </c>
      <c r="B74" s="680"/>
      <c r="D74" s="463" t="s">
        <v>1554</v>
      </c>
      <c r="E74" s="464" t="s">
        <v>36</v>
      </c>
      <c r="G74" s="467" t="s">
        <v>1459</v>
      </c>
      <c r="H74" s="467"/>
      <c r="I74" s="467"/>
      <c r="J74" s="467"/>
      <c r="K74" s="467"/>
      <c r="L74" s="467"/>
      <c r="M74" s="467"/>
      <c r="N74" s="469"/>
    </row>
    <row r="75" spans="1:14">
      <c r="A75" s="451">
        <f t="shared" si="1"/>
        <v>69</v>
      </c>
      <c r="B75" s="680"/>
      <c r="D75" s="463" t="s">
        <v>1555</v>
      </c>
      <c r="E75" s="464" t="s">
        <v>36</v>
      </c>
      <c r="G75" s="467" t="s">
        <v>1459</v>
      </c>
      <c r="H75" s="467"/>
      <c r="I75" s="467"/>
      <c r="J75" s="467"/>
      <c r="K75" s="467"/>
      <c r="L75" s="467"/>
      <c r="M75" s="467"/>
      <c r="N75" s="469"/>
    </row>
    <row r="76" spans="1:14">
      <c r="A76" s="451">
        <f t="shared" si="1"/>
        <v>70</v>
      </c>
      <c r="B76" s="680" t="s">
        <v>275</v>
      </c>
      <c r="C76" s="462" t="s">
        <v>1556</v>
      </c>
      <c r="D76" s="463" t="s">
        <v>1557</v>
      </c>
      <c r="E76" s="464" t="s">
        <v>11</v>
      </c>
      <c r="F76" s="470">
        <v>2390851</v>
      </c>
      <c r="G76" s="467" t="s">
        <v>1459</v>
      </c>
      <c r="H76" s="467" t="s">
        <v>1459</v>
      </c>
      <c r="I76" s="467"/>
      <c r="J76" s="467"/>
      <c r="K76" s="467"/>
      <c r="L76" s="467"/>
      <c r="M76" s="467"/>
      <c r="N76" s="469" t="s">
        <v>1558</v>
      </c>
    </row>
    <row r="77" spans="1:14">
      <c r="A77" s="451">
        <f t="shared" si="1"/>
        <v>71</v>
      </c>
      <c r="B77" s="680" t="s">
        <v>277</v>
      </c>
      <c r="C77" s="462" t="s">
        <v>1559</v>
      </c>
      <c r="D77" s="463" t="s">
        <v>1540</v>
      </c>
      <c r="E77" s="464" t="s">
        <v>36</v>
      </c>
      <c r="F77" s="470">
        <v>2575384</v>
      </c>
      <c r="G77" s="467" t="s">
        <v>1459</v>
      </c>
      <c r="H77" s="467"/>
      <c r="I77" s="467"/>
      <c r="J77" s="467"/>
      <c r="K77" s="467"/>
      <c r="L77" s="467"/>
      <c r="M77" s="467"/>
      <c r="N77" s="469"/>
    </row>
    <row r="78" spans="1:14">
      <c r="A78" s="451">
        <f t="shared" si="1"/>
        <v>72</v>
      </c>
      <c r="B78" s="680"/>
      <c r="D78" s="463" t="s">
        <v>1560</v>
      </c>
      <c r="E78" s="464" t="s">
        <v>36</v>
      </c>
      <c r="G78" s="467" t="s">
        <v>1459</v>
      </c>
      <c r="H78" s="467"/>
      <c r="I78" s="467"/>
      <c r="J78" s="467"/>
      <c r="K78" s="467"/>
      <c r="L78" s="467"/>
      <c r="M78" s="467"/>
      <c r="N78" s="469"/>
    </row>
    <row r="79" spans="1:14">
      <c r="A79" s="451">
        <f t="shared" si="1"/>
        <v>73</v>
      </c>
      <c r="B79" s="680"/>
      <c r="D79" s="463" t="s">
        <v>1561</v>
      </c>
      <c r="E79" s="464" t="s">
        <v>36</v>
      </c>
      <c r="G79" s="467" t="s">
        <v>1459</v>
      </c>
      <c r="H79" s="467"/>
      <c r="I79" s="467"/>
      <c r="J79" s="467"/>
      <c r="K79" s="467"/>
      <c r="L79" s="467"/>
      <c r="M79" s="467"/>
      <c r="N79" s="469"/>
    </row>
    <row r="80" spans="1:14">
      <c r="A80" s="451">
        <f t="shared" si="1"/>
        <v>74</v>
      </c>
      <c r="B80" s="680"/>
      <c r="D80" s="463" t="s">
        <v>1562</v>
      </c>
      <c r="E80" s="464" t="s">
        <v>36</v>
      </c>
      <c r="G80" s="467" t="s">
        <v>1459</v>
      </c>
      <c r="H80" s="467"/>
      <c r="I80" s="467"/>
      <c r="J80" s="467"/>
      <c r="K80" s="467"/>
      <c r="L80" s="467"/>
      <c r="M80" s="467"/>
      <c r="N80" s="469"/>
    </row>
    <row r="81" spans="1:14">
      <c r="A81" s="451">
        <f t="shared" si="1"/>
        <v>75</v>
      </c>
      <c r="B81" s="680"/>
      <c r="D81" s="463" t="s">
        <v>1563</v>
      </c>
      <c r="E81" s="464" t="s">
        <v>36</v>
      </c>
      <c r="G81" s="467" t="s">
        <v>1459</v>
      </c>
      <c r="H81" s="467"/>
      <c r="I81" s="467"/>
      <c r="J81" s="467"/>
      <c r="K81" s="467"/>
      <c r="L81" s="467"/>
      <c r="M81" s="467"/>
      <c r="N81" s="469"/>
    </row>
    <row r="82" spans="1:14">
      <c r="A82" s="451">
        <f t="shared" si="1"/>
        <v>76</v>
      </c>
      <c r="B82" s="680" t="s">
        <v>281</v>
      </c>
      <c r="C82" s="462" t="s">
        <v>1564</v>
      </c>
      <c r="D82" s="463" t="s">
        <v>1565</v>
      </c>
      <c r="E82" s="464" t="s">
        <v>11</v>
      </c>
      <c r="F82" s="470">
        <v>10656664</v>
      </c>
      <c r="G82" s="467" t="s">
        <v>1459</v>
      </c>
      <c r="H82" s="467"/>
      <c r="I82" s="467"/>
      <c r="J82" s="467"/>
      <c r="K82" s="467"/>
      <c r="L82" s="467"/>
      <c r="M82" s="467"/>
      <c r="N82" s="469"/>
    </row>
    <row r="83" spans="1:14">
      <c r="A83" s="451">
        <f t="shared" si="1"/>
        <v>77</v>
      </c>
      <c r="B83" s="680"/>
      <c r="D83" s="463" t="s">
        <v>1566</v>
      </c>
      <c r="E83" s="464" t="s">
        <v>11</v>
      </c>
      <c r="G83" s="467" t="s">
        <v>1459</v>
      </c>
      <c r="H83" s="467"/>
      <c r="I83" s="467"/>
      <c r="J83" s="467"/>
      <c r="K83" s="467"/>
      <c r="L83" s="467"/>
      <c r="M83" s="467"/>
      <c r="N83" s="469"/>
    </row>
    <row r="84" spans="1:14">
      <c r="A84" s="451">
        <f t="shared" ref="A84:A147" si="2">A83+1</f>
        <v>78</v>
      </c>
      <c r="B84" s="680"/>
      <c r="D84" s="463" t="s">
        <v>1567</v>
      </c>
      <c r="E84" s="464" t="s">
        <v>11</v>
      </c>
      <c r="G84" s="467" t="s">
        <v>1459</v>
      </c>
      <c r="H84" s="467"/>
      <c r="I84" s="467"/>
      <c r="J84" s="467"/>
      <c r="K84" s="467"/>
      <c r="L84" s="467"/>
      <c r="M84" s="467"/>
      <c r="N84" s="469"/>
    </row>
    <row r="85" spans="1:14">
      <c r="A85" s="451">
        <f t="shared" si="2"/>
        <v>79</v>
      </c>
      <c r="B85" s="680"/>
      <c r="D85" s="463" t="s">
        <v>1487</v>
      </c>
      <c r="E85" s="464" t="s">
        <v>11</v>
      </c>
      <c r="G85" s="467" t="s">
        <v>1459</v>
      </c>
      <c r="H85" s="467"/>
      <c r="I85" s="467"/>
      <c r="J85" s="467"/>
      <c r="K85" s="467"/>
      <c r="L85" s="467"/>
      <c r="M85" s="467"/>
      <c r="N85" s="469"/>
    </row>
    <row r="86" spans="1:14">
      <c r="A86" s="451">
        <f t="shared" si="2"/>
        <v>80</v>
      </c>
      <c r="B86" s="680"/>
      <c r="D86" s="463" t="s">
        <v>1568</v>
      </c>
      <c r="E86" s="464" t="s">
        <v>11</v>
      </c>
      <c r="G86" s="467" t="s">
        <v>1459</v>
      </c>
      <c r="H86" s="467"/>
      <c r="I86" s="467"/>
      <c r="J86" s="467"/>
      <c r="K86" s="467"/>
      <c r="L86" s="467"/>
      <c r="M86" s="467"/>
      <c r="N86" s="469"/>
    </row>
    <row r="87" spans="1:14">
      <c r="A87" s="451">
        <f t="shared" si="2"/>
        <v>81</v>
      </c>
      <c r="B87" s="680"/>
      <c r="D87" s="463" t="s">
        <v>1569</v>
      </c>
      <c r="E87" s="464" t="s">
        <v>11</v>
      </c>
      <c r="G87" s="467" t="s">
        <v>1459</v>
      </c>
      <c r="H87" s="467"/>
      <c r="I87" s="467"/>
      <c r="J87" s="467"/>
      <c r="K87" s="467"/>
      <c r="L87" s="467"/>
      <c r="M87" s="467"/>
      <c r="N87" s="469"/>
    </row>
    <row r="88" spans="1:14">
      <c r="A88" s="451">
        <f t="shared" si="2"/>
        <v>82</v>
      </c>
      <c r="B88" s="680"/>
      <c r="D88" s="463" t="s">
        <v>1570</v>
      </c>
      <c r="E88" s="464" t="s">
        <v>11</v>
      </c>
      <c r="G88" s="467" t="s">
        <v>1459</v>
      </c>
      <c r="H88" s="467"/>
      <c r="I88" s="467"/>
      <c r="J88" s="467"/>
      <c r="K88" s="467"/>
      <c r="L88" s="467"/>
      <c r="M88" s="467"/>
      <c r="N88" s="469"/>
    </row>
    <row r="89" spans="1:14" ht="28.8">
      <c r="A89" s="451">
        <f t="shared" si="2"/>
        <v>83</v>
      </c>
      <c r="B89" s="680" t="s">
        <v>283</v>
      </c>
      <c r="C89" s="462" t="s">
        <v>1571</v>
      </c>
      <c r="D89" s="463" t="s">
        <v>1572</v>
      </c>
      <c r="E89" s="464" t="s">
        <v>11</v>
      </c>
      <c r="F89" s="470">
        <v>14743978</v>
      </c>
      <c r="G89" s="467" t="s">
        <v>1459</v>
      </c>
      <c r="H89" s="467"/>
      <c r="I89" s="467"/>
      <c r="J89" s="467"/>
      <c r="K89" s="467"/>
      <c r="L89" s="467"/>
      <c r="M89" s="467"/>
      <c r="N89" s="469"/>
    </row>
    <row r="90" spans="1:14">
      <c r="A90" s="451">
        <f t="shared" si="2"/>
        <v>84</v>
      </c>
      <c r="B90" s="680"/>
      <c r="D90" s="463" t="s">
        <v>1573</v>
      </c>
      <c r="E90" s="464" t="s">
        <v>11</v>
      </c>
      <c r="G90" s="467" t="s">
        <v>1459</v>
      </c>
      <c r="H90" s="467"/>
      <c r="I90" s="467"/>
      <c r="J90" s="467"/>
      <c r="K90" s="467"/>
      <c r="L90" s="467"/>
      <c r="M90" s="467"/>
      <c r="N90" s="469"/>
    </row>
    <row r="91" spans="1:14">
      <c r="A91" s="451">
        <f t="shared" si="2"/>
        <v>85</v>
      </c>
      <c r="B91" s="680"/>
      <c r="D91" s="463" t="s">
        <v>1574</v>
      </c>
      <c r="E91" s="464" t="s">
        <v>11</v>
      </c>
      <c r="G91" s="467" t="s">
        <v>1459</v>
      </c>
      <c r="H91" s="467"/>
      <c r="I91" s="467"/>
      <c r="J91" s="467"/>
      <c r="K91" s="467"/>
      <c r="L91" s="467"/>
      <c r="M91" s="467"/>
      <c r="N91" s="469"/>
    </row>
    <row r="92" spans="1:14">
      <c r="A92" s="451">
        <f t="shared" si="2"/>
        <v>86</v>
      </c>
      <c r="B92" s="680"/>
      <c r="D92" s="463" t="s">
        <v>1575</v>
      </c>
      <c r="E92" s="464" t="s">
        <v>11</v>
      </c>
      <c r="G92" s="467" t="s">
        <v>1459</v>
      </c>
      <c r="H92" s="467"/>
      <c r="I92" s="467"/>
      <c r="J92" s="467"/>
      <c r="K92" s="467"/>
      <c r="L92" s="467"/>
      <c r="M92" s="467"/>
      <c r="N92" s="469"/>
    </row>
    <row r="93" spans="1:14">
      <c r="A93" s="451">
        <f t="shared" si="2"/>
        <v>87</v>
      </c>
      <c r="B93" s="680"/>
      <c r="D93" s="463" t="s">
        <v>1576</v>
      </c>
      <c r="E93" s="464" t="s">
        <v>11</v>
      </c>
      <c r="G93" s="467" t="s">
        <v>1459</v>
      </c>
      <c r="H93" s="467"/>
      <c r="I93" s="467"/>
      <c r="J93" s="467"/>
      <c r="K93" s="467"/>
      <c r="L93" s="467"/>
      <c r="M93" s="467"/>
      <c r="N93" s="469"/>
    </row>
    <row r="94" spans="1:14" ht="28.8">
      <c r="A94" s="451">
        <f t="shared" si="2"/>
        <v>88</v>
      </c>
      <c r="B94" s="680"/>
      <c r="D94" s="463" t="s">
        <v>1577</v>
      </c>
      <c r="E94" s="464" t="s">
        <v>11</v>
      </c>
      <c r="G94" s="467" t="s">
        <v>1459</v>
      </c>
      <c r="H94" s="467"/>
      <c r="I94" s="467"/>
      <c r="J94" s="467"/>
      <c r="K94" s="467"/>
      <c r="L94" s="467"/>
      <c r="M94" s="467"/>
      <c r="N94" s="469"/>
    </row>
    <row r="95" spans="1:14">
      <c r="A95" s="451">
        <f t="shared" si="2"/>
        <v>89</v>
      </c>
      <c r="B95" s="680"/>
      <c r="D95" s="463" t="s">
        <v>1578</v>
      </c>
      <c r="E95" s="464" t="s">
        <v>11</v>
      </c>
      <c r="G95" s="467" t="s">
        <v>1459</v>
      </c>
      <c r="H95" s="467"/>
      <c r="I95" s="467"/>
      <c r="J95" s="467"/>
      <c r="K95" s="467"/>
      <c r="L95" s="467"/>
      <c r="M95" s="467"/>
      <c r="N95" s="469"/>
    </row>
    <row r="96" spans="1:14">
      <c r="A96" s="451">
        <f t="shared" si="2"/>
        <v>90</v>
      </c>
      <c r="B96" s="680"/>
      <c r="D96" s="463" t="s">
        <v>1579</v>
      </c>
      <c r="E96" s="464" t="s">
        <v>11</v>
      </c>
      <c r="G96" s="467" t="s">
        <v>1459</v>
      </c>
      <c r="H96" s="467"/>
      <c r="I96" s="467"/>
      <c r="J96" s="467"/>
      <c r="K96" s="467"/>
      <c r="L96" s="467"/>
      <c r="M96" s="467"/>
      <c r="N96" s="469"/>
    </row>
    <row r="97" spans="1:14">
      <c r="A97" s="451">
        <f t="shared" si="2"/>
        <v>91</v>
      </c>
      <c r="B97" s="680"/>
      <c r="D97" s="463" t="s">
        <v>1580</v>
      </c>
      <c r="E97" s="464" t="s">
        <v>11</v>
      </c>
      <c r="G97" s="467" t="s">
        <v>1459</v>
      </c>
      <c r="H97" s="467"/>
      <c r="I97" s="467"/>
      <c r="J97" s="467"/>
      <c r="K97" s="467"/>
      <c r="L97" s="467"/>
      <c r="M97" s="467"/>
      <c r="N97" s="469"/>
    </row>
    <row r="98" spans="1:14">
      <c r="A98" s="451">
        <f t="shared" si="2"/>
        <v>92</v>
      </c>
      <c r="B98" s="680" t="s">
        <v>287</v>
      </c>
      <c r="C98" s="462" t="s">
        <v>1581</v>
      </c>
      <c r="D98" s="463" t="s">
        <v>1582</v>
      </c>
      <c r="E98" s="464" t="s">
        <v>11</v>
      </c>
      <c r="F98" s="470">
        <v>2779274</v>
      </c>
      <c r="G98" s="467" t="s">
        <v>1459</v>
      </c>
      <c r="H98" s="467"/>
      <c r="I98" s="467"/>
      <c r="J98" s="467"/>
      <c r="K98" s="468"/>
      <c r="L98" s="467"/>
      <c r="M98" s="467"/>
      <c r="N98" s="469"/>
    </row>
    <row r="99" spans="1:14">
      <c r="A99" s="451">
        <f t="shared" si="2"/>
        <v>93</v>
      </c>
      <c r="B99" s="680"/>
      <c r="D99" s="463" t="s">
        <v>1583</v>
      </c>
      <c r="E99" s="464" t="s">
        <v>11</v>
      </c>
      <c r="G99" s="467" t="s">
        <v>1459</v>
      </c>
      <c r="H99" s="467"/>
      <c r="I99" s="467"/>
      <c r="J99" s="467"/>
      <c r="K99" s="468"/>
      <c r="L99" s="467"/>
      <c r="M99" s="467"/>
      <c r="N99" s="469"/>
    </row>
    <row r="100" spans="1:14">
      <c r="A100" s="451">
        <f t="shared" si="2"/>
        <v>94</v>
      </c>
      <c r="B100" s="680"/>
      <c r="D100" s="463" t="s">
        <v>1584</v>
      </c>
      <c r="E100" s="464" t="s">
        <v>11</v>
      </c>
      <c r="G100" s="467" t="s">
        <v>1459</v>
      </c>
      <c r="H100" s="467"/>
      <c r="I100" s="467"/>
      <c r="J100" s="467"/>
      <c r="K100" s="468"/>
      <c r="L100" s="467"/>
      <c r="M100" s="467"/>
      <c r="N100" s="469" t="s">
        <v>1585</v>
      </c>
    </row>
    <row r="101" spans="1:14">
      <c r="A101" s="451">
        <f t="shared" si="2"/>
        <v>95</v>
      </c>
      <c r="B101" s="680"/>
      <c r="D101" s="463" t="s">
        <v>1586</v>
      </c>
      <c r="E101" s="464" t="s">
        <v>11</v>
      </c>
      <c r="G101" s="467" t="s">
        <v>1459</v>
      </c>
      <c r="H101" s="467"/>
      <c r="I101" s="467"/>
      <c r="J101" s="467"/>
      <c r="K101" s="468"/>
      <c r="L101" s="467"/>
      <c r="M101" s="467"/>
      <c r="N101" s="469"/>
    </row>
    <row r="102" spans="1:14">
      <c r="A102" s="451">
        <f t="shared" si="2"/>
        <v>96</v>
      </c>
      <c r="B102" s="680"/>
      <c r="D102" s="463" t="s">
        <v>1587</v>
      </c>
      <c r="E102" s="464" t="s">
        <v>11</v>
      </c>
      <c r="G102" s="467" t="s">
        <v>1459</v>
      </c>
      <c r="H102" s="467"/>
      <c r="I102" s="467"/>
      <c r="J102" s="467"/>
      <c r="K102" s="468"/>
      <c r="L102" s="467"/>
      <c r="M102" s="467"/>
      <c r="N102" s="469"/>
    </row>
    <row r="103" spans="1:14">
      <c r="A103" s="451">
        <f t="shared" si="2"/>
        <v>97</v>
      </c>
      <c r="B103" s="680"/>
      <c r="D103" s="463" t="s">
        <v>1588</v>
      </c>
      <c r="E103" s="464" t="s">
        <v>11</v>
      </c>
      <c r="G103" s="467" t="s">
        <v>1459</v>
      </c>
      <c r="H103" s="467"/>
      <c r="I103" s="467"/>
      <c r="J103" s="467"/>
      <c r="K103" s="468"/>
      <c r="L103" s="467"/>
      <c r="M103" s="467"/>
      <c r="N103" s="469"/>
    </row>
    <row r="104" spans="1:14">
      <c r="A104" s="451">
        <f t="shared" si="2"/>
        <v>98</v>
      </c>
      <c r="B104" s="680"/>
      <c r="D104" s="463" t="s">
        <v>1589</v>
      </c>
      <c r="E104" s="464" t="s">
        <v>11</v>
      </c>
      <c r="G104" s="467" t="s">
        <v>1459</v>
      </c>
      <c r="H104" s="467"/>
      <c r="I104" s="467"/>
      <c r="J104" s="467"/>
      <c r="K104" s="468"/>
      <c r="L104" s="467"/>
      <c r="M104" s="467"/>
      <c r="N104" s="469" t="s">
        <v>1590</v>
      </c>
    </row>
    <row r="105" spans="1:14">
      <c r="A105" s="451">
        <f t="shared" si="2"/>
        <v>99</v>
      </c>
      <c r="B105" s="680" t="s">
        <v>289</v>
      </c>
      <c r="C105" s="462" t="s">
        <v>1591</v>
      </c>
      <c r="D105" s="463" t="s">
        <v>1592</v>
      </c>
      <c r="E105" s="464" t="s">
        <v>11</v>
      </c>
      <c r="F105" s="470">
        <v>950210</v>
      </c>
      <c r="G105" s="467" t="s">
        <v>1459</v>
      </c>
      <c r="H105" s="467"/>
      <c r="I105" s="467"/>
      <c r="J105" s="467"/>
      <c r="K105" s="468"/>
      <c r="L105" s="467"/>
      <c r="M105" s="467"/>
      <c r="N105" s="469"/>
    </row>
    <row r="106" spans="1:14">
      <c r="A106" s="451">
        <f t="shared" si="2"/>
        <v>100</v>
      </c>
      <c r="B106" s="680"/>
      <c r="D106" s="463" t="s">
        <v>1593</v>
      </c>
      <c r="G106" s="467" t="s">
        <v>1459</v>
      </c>
      <c r="H106" s="467"/>
      <c r="I106" s="467"/>
      <c r="J106" s="467"/>
      <c r="K106" s="468"/>
      <c r="L106" s="467"/>
      <c r="M106" s="467"/>
      <c r="N106" s="469"/>
    </row>
    <row r="107" spans="1:14">
      <c r="A107" s="451">
        <f t="shared" si="2"/>
        <v>101</v>
      </c>
      <c r="B107" s="680" t="s">
        <v>291</v>
      </c>
      <c r="C107" s="462" t="s">
        <v>1594</v>
      </c>
      <c r="D107" s="463" t="s">
        <v>1595</v>
      </c>
      <c r="E107" s="464" t="s">
        <v>11</v>
      </c>
      <c r="F107" s="470">
        <v>5403827</v>
      </c>
      <c r="G107" s="467" t="s">
        <v>1459</v>
      </c>
      <c r="H107" s="467"/>
      <c r="I107" s="467"/>
      <c r="J107" s="467"/>
      <c r="K107" s="468"/>
      <c r="L107" s="467"/>
      <c r="M107" s="467"/>
      <c r="N107" s="469"/>
    </row>
    <row r="108" spans="1:14">
      <c r="A108" s="451">
        <f t="shared" si="2"/>
        <v>102</v>
      </c>
      <c r="B108" s="680"/>
      <c r="D108" s="463" t="s">
        <v>1596</v>
      </c>
      <c r="E108" s="464" t="s">
        <v>11</v>
      </c>
      <c r="G108" s="467" t="s">
        <v>1459</v>
      </c>
      <c r="H108" s="467"/>
      <c r="I108" s="467"/>
      <c r="J108" s="467"/>
      <c r="K108" s="468"/>
      <c r="L108" s="467"/>
      <c r="M108" s="467"/>
      <c r="N108" s="469"/>
    </row>
    <row r="109" spans="1:14">
      <c r="A109" s="451">
        <f t="shared" si="2"/>
        <v>103</v>
      </c>
      <c r="B109" s="680"/>
      <c r="D109" s="463" t="s">
        <v>1597</v>
      </c>
      <c r="E109" s="464" t="s">
        <v>11</v>
      </c>
      <c r="G109" s="467" t="s">
        <v>1459</v>
      </c>
      <c r="H109" s="467"/>
      <c r="I109" s="467"/>
      <c r="J109" s="467"/>
      <c r="K109" s="468"/>
      <c r="L109" s="467"/>
      <c r="M109" s="467"/>
      <c r="N109" s="469"/>
    </row>
    <row r="110" spans="1:14">
      <c r="A110" s="451">
        <f t="shared" si="2"/>
        <v>104</v>
      </c>
      <c r="B110" s="680"/>
      <c r="D110" s="463" t="s">
        <v>1598</v>
      </c>
      <c r="E110" s="464" t="s">
        <v>11</v>
      </c>
      <c r="G110" s="467" t="s">
        <v>1459</v>
      </c>
      <c r="H110" s="467"/>
      <c r="I110" s="467"/>
      <c r="J110" s="467"/>
      <c r="K110" s="468"/>
      <c r="L110" s="467"/>
      <c r="M110" s="467"/>
      <c r="N110" s="469"/>
    </row>
    <row r="111" spans="1:14">
      <c r="A111" s="451">
        <f t="shared" si="2"/>
        <v>105</v>
      </c>
      <c r="B111" s="680" t="s">
        <v>293</v>
      </c>
      <c r="C111" s="462" t="s">
        <v>1599</v>
      </c>
      <c r="D111" s="463" t="s">
        <v>1600</v>
      </c>
      <c r="E111" s="464" t="s">
        <v>11</v>
      </c>
      <c r="F111" s="470">
        <v>2086660</v>
      </c>
      <c r="G111" s="467" t="s">
        <v>1459</v>
      </c>
      <c r="H111" s="467"/>
      <c r="I111" s="467"/>
      <c r="J111" s="467"/>
      <c r="K111" s="468"/>
      <c r="L111" s="467"/>
      <c r="M111" s="467"/>
      <c r="N111" s="469"/>
    </row>
    <row r="112" spans="1:14">
      <c r="A112" s="451">
        <f t="shared" si="2"/>
        <v>106</v>
      </c>
      <c r="B112" s="680"/>
      <c r="D112" s="463" t="s">
        <v>1601</v>
      </c>
      <c r="E112" s="464" t="s">
        <v>11</v>
      </c>
      <c r="G112" s="467" t="s">
        <v>1459</v>
      </c>
      <c r="H112" s="467"/>
      <c r="I112" s="467"/>
      <c r="J112" s="467"/>
      <c r="K112" s="468"/>
      <c r="L112" s="467"/>
      <c r="M112" s="467"/>
      <c r="N112" s="469"/>
    </row>
    <row r="113" spans="1:14">
      <c r="A113" s="451">
        <f t="shared" si="2"/>
        <v>107</v>
      </c>
      <c r="B113" s="680" t="s">
        <v>297</v>
      </c>
      <c r="C113" s="462" t="s">
        <v>1602</v>
      </c>
      <c r="D113" s="463" t="s">
        <v>1603</v>
      </c>
      <c r="E113" s="464" t="s">
        <v>11</v>
      </c>
      <c r="F113" s="470">
        <v>3121488</v>
      </c>
      <c r="G113" s="467" t="s">
        <v>1459</v>
      </c>
      <c r="H113" s="467"/>
      <c r="I113" s="467"/>
      <c r="J113" s="467"/>
      <c r="K113" s="468"/>
      <c r="L113" s="467"/>
      <c r="M113" s="467"/>
      <c r="N113" s="469"/>
    </row>
    <row r="114" spans="1:14">
      <c r="A114" s="451">
        <f t="shared" si="2"/>
        <v>108</v>
      </c>
      <c r="B114" s="680" t="s">
        <v>299</v>
      </c>
      <c r="C114" s="462" t="s">
        <v>1604</v>
      </c>
      <c r="D114" s="463" t="s">
        <v>1605</v>
      </c>
      <c r="E114" s="464" t="s">
        <v>11</v>
      </c>
      <c r="F114" s="470">
        <v>749768</v>
      </c>
      <c r="G114" s="467" t="s">
        <v>1459</v>
      </c>
      <c r="H114" s="467"/>
      <c r="I114" s="467"/>
      <c r="J114" s="467"/>
      <c r="K114" s="468"/>
      <c r="L114" s="467"/>
      <c r="M114" s="467"/>
      <c r="N114" s="469"/>
    </row>
    <row r="115" spans="1:14">
      <c r="A115" s="451">
        <f t="shared" si="2"/>
        <v>109</v>
      </c>
      <c r="B115" s="680" t="s">
        <v>301</v>
      </c>
      <c r="C115" s="462" t="s">
        <v>1606</v>
      </c>
      <c r="D115" s="463" t="s">
        <v>1607</v>
      </c>
      <c r="E115" s="464" t="s">
        <v>11</v>
      </c>
      <c r="F115" s="470">
        <v>4679262</v>
      </c>
      <c r="G115" s="467" t="s">
        <v>1459</v>
      </c>
      <c r="H115" s="467"/>
      <c r="I115" s="467"/>
      <c r="J115" s="467"/>
      <c r="K115" s="468"/>
      <c r="L115" s="467"/>
      <c r="M115" s="467"/>
      <c r="N115" s="469"/>
    </row>
    <row r="116" spans="1:14">
      <c r="A116" s="451">
        <f t="shared" si="2"/>
        <v>110</v>
      </c>
      <c r="B116" s="680"/>
      <c r="D116" s="463" t="s">
        <v>1608</v>
      </c>
      <c r="E116" s="464" t="s">
        <v>11</v>
      </c>
      <c r="G116" s="467" t="s">
        <v>1459</v>
      </c>
      <c r="H116" s="467"/>
      <c r="I116" s="467"/>
      <c r="J116" s="467"/>
      <c r="K116" s="468"/>
      <c r="L116" s="467"/>
      <c r="M116" s="467"/>
      <c r="N116" s="469"/>
    </row>
    <row r="117" spans="1:14">
      <c r="A117" s="451">
        <f t="shared" si="2"/>
        <v>111</v>
      </c>
      <c r="B117" s="680" t="s">
        <v>303</v>
      </c>
      <c r="C117" s="462" t="s">
        <v>1609</v>
      </c>
      <c r="D117" s="463" t="s">
        <v>1610</v>
      </c>
      <c r="E117" s="464" t="s">
        <v>11</v>
      </c>
      <c r="F117" s="470">
        <v>4296873</v>
      </c>
      <c r="G117" s="467" t="s">
        <v>1459</v>
      </c>
      <c r="H117" s="467"/>
      <c r="I117" s="467"/>
      <c r="J117" s="467"/>
      <c r="K117" s="468"/>
      <c r="L117" s="467"/>
      <c r="M117" s="467"/>
      <c r="N117" s="469"/>
    </row>
    <row r="118" spans="1:14">
      <c r="A118" s="451">
        <f t="shared" si="2"/>
        <v>112</v>
      </c>
      <c r="B118" s="680"/>
      <c r="D118" s="463" t="s">
        <v>1611</v>
      </c>
      <c r="E118" s="464" t="s">
        <v>11</v>
      </c>
      <c r="G118" s="467" t="s">
        <v>1459</v>
      </c>
      <c r="H118" s="467"/>
      <c r="I118" s="467"/>
      <c r="J118" s="467"/>
      <c r="K118" s="468"/>
      <c r="L118" s="467"/>
      <c r="M118" s="467"/>
      <c r="N118" s="469"/>
    </row>
    <row r="119" spans="1:14">
      <c r="A119" s="451">
        <f t="shared" si="2"/>
        <v>113</v>
      </c>
      <c r="B119" s="680" t="s">
        <v>305</v>
      </c>
      <c r="C119" s="462" t="s">
        <v>1612</v>
      </c>
      <c r="D119" s="463" t="s">
        <v>1613</v>
      </c>
      <c r="E119" s="464" t="s">
        <v>11</v>
      </c>
      <c r="F119" s="470">
        <v>757992</v>
      </c>
      <c r="G119" s="467" t="s">
        <v>1459</v>
      </c>
      <c r="H119" s="467"/>
      <c r="I119" s="467"/>
      <c r="J119" s="467"/>
      <c r="K119" s="468"/>
      <c r="L119" s="467"/>
      <c r="M119" s="467"/>
      <c r="N119" s="469"/>
    </row>
    <row r="120" spans="1:14">
      <c r="A120" s="451">
        <f t="shared" si="2"/>
        <v>114</v>
      </c>
      <c r="B120" s="680" t="s">
        <v>307</v>
      </c>
      <c r="C120" s="462" t="s">
        <v>1614</v>
      </c>
      <c r="D120" s="463" t="s">
        <v>1615</v>
      </c>
      <c r="E120" s="464" t="s">
        <v>11</v>
      </c>
      <c r="F120" s="470">
        <v>20373151</v>
      </c>
      <c r="G120" s="467" t="s">
        <v>1459</v>
      </c>
      <c r="H120" s="467"/>
      <c r="I120" s="467"/>
      <c r="J120" s="467"/>
      <c r="K120" s="468"/>
      <c r="L120" s="467"/>
      <c r="M120" s="467"/>
      <c r="N120" s="469"/>
    </row>
    <row r="121" spans="1:14" ht="28.8">
      <c r="A121" s="451">
        <f t="shared" si="2"/>
        <v>115</v>
      </c>
      <c r="B121" s="680"/>
      <c r="D121" s="463" t="s">
        <v>1616</v>
      </c>
      <c r="E121" s="464" t="s">
        <v>11</v>
      </c>
      <c r="G121" s="467" t="s">
        <v>1459</v>
      </c>
      <c r="H121" s="467"/>
      <c r="I121" s="467"/>
      <c r="J121" s="467"/>
      <c r="K121" s="468"/>
      <c r="L121" s="467"/>
      <c r="M121" s="467"/>
      <c r="N121" s="469"/>
    </row>
    <row r="122" spans="1:14">
      <c r="A122" s="451">
        <f t="shared" si="2"/>
        <v>116</v>
      </c>
      <c r="B122" s="680"/>
      <c r="D122" s="463" t="s">
        <v>1617</v>
      </c>
      <c r="E122" s="464" t="s">
        <v>11</v>
      </c>
      <c r="G122" s="467" t="s">
        <v>1459</v>
      </c>
      <c r="H122" s="467"/>
      <c r="I122" s="467"/>
      <c r="J122" s="467"/>
      <c r="K122" s="467"/>
      <c r="L122" s="467"/>
      <c r="M122" s="467"/>
      <c r="N122" s="469"/>
    </row>
    <row r="123" spans="1:14">
      <c r="A123" s="451">
        <f t="shared" si="2"/>
        <v>117</v>
      </c>
      <c r="B123" s="680"/>
      <c r="D123" s="463" t="s">
        <v>1618</v>
      </c>
      <c r="E123" s="464" t="s">
        <v>11</v>
      </c>
      <c r="G123" s="467" t="s">
        <v>1459</v>
      </c>
      <c r="H123" s="467"/>
      <c r="I123" s="467"/>
      <c r="J123" s="467"/>
      <c r="K123" s="467"/>
      <c r="L123" s="467"/>
      <c r="M123" s="467"/>
      <c r="N123" s="469"/>
    </row>
    <row r="124" spans="1:14">
      <c r="A124" s="451">
        <f t="shared" si="2"/>
        <v>118</v>
      </c>
      <c r="B124" s="680"/>
      <c r="D124" s="463" t="s">
        <v>1619</v>
      </c>
      <c r="E124" s="464" t="s">
        <v>11</v>
      </c>
      <c r="G124" s="467" t="s">
        <v>1459</v>
      </c>
      <c r="H124" s="467"/>
      <c r="I124" s="467"/>
      <c r="J124" s="467"/>
      <c r="K124" s="467"/>
      <c r="L124" s="467"/>
      <c r="M124" s="467"/>
      <c r="N124" s="469"/>
    </row>
    <row r="125" spans="1:14">
      <c r="A125" s="451">
        <f t="shared" si="2"/>
        <v>119</v>
      </c>
      <c r="B125" s="680"/>
      <c r="D125" s="463" t="s">
        <v>1620</v>
      </c>
      <c r="E125" s="464" t="s">
        <v>11</v>
      </c>
      <c r="G125" s="467"/>
      <c r="H125" s="467"/>
      <c r="I125" s="467" t="s">
        <v>1459</v>
      </c>
      <c r="J125" s="467"/>
      <c r="K125" s="467"/>
      <c r="L125" s="467"/>
      <c r="M125" s="467"/>
      <c r="N125" s="469" t="s">
        <v>1621</v>
      </c>
    </row>
    <row r="126" spans="1:14">
      <c r="A126" s="451">
        <f t="shared" si="2"/>
        <v>120</v>
      </c>
      <c r="B126" s="680"/>
      <c r="D126" s="463" t="s">
        <v>1622</v>
      </c>
      <c r="E126" s="464" t="s">
        <v>11</v>
      </c>
      <c r="G126" s="467"/>
      <c r="H126" s="467"/>
      <c r="I126" s="467" t="s">
        <v>1459</v>
      </c>
      <c r="J126" s="467"/>
      <c r="K126" s="467"/>
      <c r="L126" s="467"/>
      <c r="M126" s="467"/>
      <c r="N126" s="469" t="s">
        <v>1621</v>
      </c>
    </row>
    <row r="127" spans="1:14">
      <c r="A127" s="451">
        <f t="shared" si="2"/>
        <v>121</v>
      </c>
      <c r="B127" s="680"/>
      <c r="D127" s="463" t="s">
        <v>1623</v>
      </c>
      <c r="E127" s="464" t="s">
        <v>11</v>
      </c>
      <c r="G127" s="467"/>
      <c r="H127" s="467"/>
      <c r="I127" s="467" t="s">
        <v>1459</v>
      </c>
      <c r="J127" s="467"/>
      <c r="K127" s="467"/>
      <c r="L127" s="467"/>
      <c r="M127" s="467"/>
      <c r="N127" s="469" t="s">
        <v>1621</v>
      </c>
    </row>
    <row r="128" spans="1:14">
      <c r="A128" s="451">
        <f t="shared" si="2"/>
        <v>122</v>
      </c>
      <c r="B128" s="680"/>
      <c r="D128" s="463" t="s">
        <v>1624</v>
      </c>
      <c r="E128" s="464" t="s">
        <v>11</v>
      </c>
      <c r="G128" s="467" t="s">
        <v>1459</v>
      </c>
      <c r="H128" s="467"/>
      <c r="I128" s="467"/>
      <c r="J128" s="467"/>
      <c r="K128" s="467"/>
      <c r="L128" s="467"/>
      <c r="M128" s="467"/>
      <c r="N128" s="469"/>
    </row>
    <row r="129" spans="1:14">
      <c r="A129" s="451">
        <f t="shared" si="2"/>
        <v>123</v>
      </c>
      <c r="B129" s="680"/>
      <c r="D129" s="463" t="s">
        <v>1625</v>
      </c>
      <c r="E129" s="464" t="s">
        <v>11</v>
      </c>
      <c r="G129" s="467" t="s">
        <v>1459</v>
      </c>
      <c r="H129" s="467"/>
      <c r="I129" s="467"/>
      <c r="J129" s="467"/>
      <c r="K129" s="467"/>
      <c r="L129" s="467"/>
      <c r="M129" s="467"/>
      <c r="N129" s="469"/>
    </row>
    <row r="130" spans="1:14">
      <c r="A130" s="451">
        <f t="shared" si="2"/>
        <v>124</v>
      </c>
      <c r="B130" s="680"/>
      <c r="D130" s="463" t="s">
        <v>1626</v>
      </c>
      <c r="E130" s="464" t="s">
        <v>11</v>
      </c>
      <c r="G130" s="467" t="s">
        <v>1459</v>
      </c>
      <c r="H130" s="467"/>
      <c r="I130" s="467"/>
      <c r="J130" s="467"/>
      <c r="K130" s="467"/>
      <c r="L130" s="467"/>
      <c r="M130" s="467"/>
      <c r="N130" s="469"/>
    </row>
    <row r="131" spans="1:14">
      <c r="A131" s="451">
        <f t="shared" si="2"/>
        <v>125</v>
      </c>
      <c r="B131" s="680"/>
      <c r="D131" s="463" t="s">
        <v>1627</v>
      </c>
      <c r="E131" s="464" t="s">
        <v>11</v>
      </c>
      <c r="G131" s="467" t="s">
        <v>1459</v>
      </c>
      <c r="H131" s="467"/>
      <c r="I131" s="467"/>
      <c r="J131" s="467"/>
      <c r="K131" s="467"/>
      <c r="L131" s="467"/>
      <c r="M131" s="467"/>
      <c r="N131" s="469"/>
    </row>
    <row r="132" spans="1:14">
      <c r="A132" s="451">
        <f t="shared" si="2"/>
        <v>126</v>
      </c>
      <c r="B132" s="680" t="s">
        <v>309</v>
      </c>
      <c r="C132" s="462" t="s">
        <v>1628</v>
      </c>
      <c r="D132" s="463" t="s">
        <v>1629</v>
      </c>
      <c r="E132" s="464" t="s">
        <v>11</v>
      </c>
      <c r="F132" s="470">
        <v>4222330</v>
      </c>
      <c r="G132" s="467" t="s">
        <v>1459</v>
      </c>
      <c r="H132" s="467"/>
      <c r="I132" s="467"/>
      <c r="J132" s="467"/>
      <c r="K132" s="467"/>
      <c r="L132" s="467"/>
      <c r="M132" s="467"/>
      <c r="N132" s="469"/>
    </row>
    <row r="133" spans="1:14">
      <c r="A133" s="451">
        <f t="shared" si="2"/>
        <v>127</v>
      </c>
      <c r="B133" s="680"/>
      <c r="D133" s="463" t="s">
        <v>1630</v>
      </c>
      <c r="E133" s="464" t="s">
        <v>11</v>
      </c>
      <c r="G133" s="467" t="s">
        <v>1459</v>
      </c>
      <c r="H133" s="467"/>
      <c r="I133" s="467"/>
      <c r="J133" s="467"/>
      <c r="K133" s="467"/>
      <c r="L133" s="467"/>
      <c r="M133" s="467"/>
      <c r="N133" s="469"/>
    </row>
    <row r="134" spans="1:14">
      <c r="A134" s="451">
        <f t="shared" si="2"/>
        <v>128</v>
      </c>
      <c r="B134" s="680"/>
      <c r="D134" s="463" t="s">
        <v>1631</v>
      </c>
      <c r="E134" s="464" t="s">
        <v>11</v>
      </c>
      <c r="G134" s="467" t="s">
        <v>1459</v>
      </c>
      <c r="H134" s="467"/>
      <c r="I134" s="467"/>
      <c r="J134" s="467"/>
      <c r="K134" s="467"/>
      <c r="L134" s="467"/>
      <c r="M134" s="467"/>
      <c r="N134" s="469"/>
    </row>
    <row r="135" spans="1:14" ht="27" customHeight="1">
      <c r="A135" s="451">
        <f t="shared" si="2"/>
        <v>129</v>
      </c>
      <c r="B135" s="680"/>
      <c r="D135" s="463" t="s">
        <v>1632</v>
      </c>
      <c r="E135" s="464" t="s">
        <v>11</v>
      </c>
      <c r="G135" s="467"/>
      <c r="H135" s="467" t="s">
        <v>1459</v>
      </c>
      <c r="I135" s="467"/>
      <c r="J135" s="467"/>
      <c r="K135" s="467"/>
      <c r="L135" s="467"/>
      <c r="M135" s="467"/>
      <c r="N135" s="469" t="s">
        <v>1633</v>
      </c>
    </row>
    <row r="136" spans="1:14" ht="27" customHeight="1">
      <c r="A136" s="451">
        <f t="shared" si="2"/>
        <v>130</v>
      </c>
      <c r="B136" s="680"/>
      <c r="D136" s="463" t="s">
        <v>1634</v>
      </c>
      <c r="E136" s="464" t="s">
        <v>11</v>
      </c>
      <c r="G136" s="467"/>
      <c r="H136" s="467" t="s">
        <v>1459</v>
      </c>
      <c r="I136" s="467"/>
      <c r="J136" s="467"/>
      <c r="K136" s="467"/>
      <c r="L136" s="467"/>
      <c r="M136" s="467"/>
      <c r="N136" s="469" t="s">
        <v>1635</v>
      </c>
    </row>
    <row r="137" spans="1:14">
      <c r="A137" s="451">
        <f t="shared" si="2"/>
        <v>131</v>
      </c>
      <c r="B137" s="680" t="s">
        <v>311</v>
      </c>
      <c r="C137" s="462" t="s">
        <v>1636</v>
      </c>
      <c r="D137" s="472" t="s">
        <v>1637</v>
      </c>
      <c r="E137" s="464" t="s">
        <v>11</v>
      </c>
      <c r="F137" s="470">
        <v>5313905</v>
      </c>
      <c r="G137" s="467" t="s">
        <v>1459</v>
      </c>
      <c r="H137" s="467"/>
      <c r="I137" s="467"/>
      <c r="J137" s="467"/>
      <c r="K137" s="467"/>
      <c r="L137" s="467"/>
      <c r="M137" s="467"/>
      <c r="N137" s="469"/>
    </row>
    <row r="138" spans="1:14">
      <c r="A138" s="451">
        <f t="shared" si="2"/>
        <v>132</v>
      </c>
      <c r="B138" s="680"/>
      <c r="D138" s="463" t="s">
        <v>1638</v>
      </c>
      <c r="E138" s="464" t="s">
        <v>11</v>
      </c>
      <c r="G138" s="467" t="s">
        <v>1459</v>
      </c>
      <c r="H138" s="467"/>
      <c r="I138" s="467"/>
      <c r="J138" s="467"/>
      <c r="K138" s="467"/>
      <c r="L138" s="467"/>
      <c r="M138" s="467"/>
      <c r="N138" s="469"/>
    </row>
    <row r="139" spans="1:14">
      <c r="A139" s="451">
        <f t="shared" si="2"/>
        <v>133</v>
      </c>
      <c r="B139" s="680"/>
      <c r="D139" s="463" t="s">
        <v>1639</v>
      </c>
      <c r="E139" s="464" t="s">
        <v>11</v>
      </c>
      <c r="G139" s="467" t="s">
        <v>1459</v>
      </c>
      <c r="H139" s="467"/>
      <c r="I139" s="467"/>
      <c r="J139" s="467"/>
      <c r="K139" s="467"/>
      <c r="L139" s="467"/>
      <c r="M139" s="467"/>
      <c r="N139" s="469"/>
    </row>
    <row r="140" spans="1:14">
      <c r="A140" s="451">
        <f t="shared" si="2"/>
        <v>134</v>
      </c>
      <c r="B140" s="680"/>
      <c r="D140" s="463" t="s">
        <v>1640</v>
      </c>
      <c r="E140" s="464" t="s">
        <v>11</v>
      </c>
      <c r="G140" s="467" t="s">
        <v>1459</v>
      </c>
      <c r="H140" s="467"/>
      <c r="I140" s="467"/>
      <c r="J140" s="467"/>
      <c r="K140" s="467"/>
      <c r="L140" s="467"/>
      <c r="M140" s="467"/>
      <c r="N140" s="469"/>
    </row>
    <row r="141" spans="1:14">
      <c r="A141" s="451">
        <f t="shared" si="2"/>
        <v>135</v>
      </c>
      <c r="B141" s="680"/>
      <c r="D141" s="463" t="s">
        <v>2284</v>
      </c>
      <c r="E141" s="464" t="s">
        <v>11</v>
      </c>
      <c r="G141" s="467" t="s">
        <v>1459</v>
      </c>
      <c r="H141" s="467"/>
      <c r="I141" s="467"/>
      <c r="J141" s="467"/>
      <c r="K141" s="467"/>
      <c r="L141" s="467"/>
      <c r="M141" s="467"/>
      <c r="N141" s="469"/>
    </row>
    <row r="142" spans="1:14">
      <c r="A142" s="451">
        <f t="shared" si="2"/>
        <v>136</v>
      </c>
      <c r="B142" s="680"/>
      <c r="D142" s="463" t="s">
        <v>1641</v>
      </c>
      <c r="E142" s="464" t="s">
        <v>11</v>
      </c>
      <c r="G142" s="467" t="s">
        <v>1459</v>
      </c>
      <c r="H142" s="467"/>
      <c r="I142" s="467"/>
      <c r="J142" s="467"/>
      <c r="K142" s="467"/>
      <c r="L142" s="467"/>
      <c r="M142" s="467"/>
      <c r="N142" s="469"/>
    </row>
    <row r="143" spans="1:14" ht="43.2">
      <c r="A143" s="451">
        <f t="shared" si="2"/>
        <v>137</v>
      </c>
      <c r="B143" s="680" t="s">
        <v>317</v>
      </c>
      <c r="C143" s="462" t="s">
        <v>1642</v>
      </c>
      <c r="D143" s="463" t="s">
        <v>1643</v>
      </c>
      <c r="E143" s="464" t="s">
        <v>11</v>
      </c>
      <c r="F143" s="470">
        <v>15371304</v>
      </c>
      <c r="G143" s="467" t="s">
        <v>1459</v>
      </c>
      <c r="H143" s="467"/>
      <c r="I143" s="467"/>
      <c r="J143" s="467"/>
      <c r="K143" s="467"/>
      <c r="L143" s="467"/>
      <c r="M143" s="467"/>
      <c r="N143" s="469"/>
    </row>
    <row r="144" spans="1:14">
      <c r="A144" s="451">
        <f t="shared" si="2"/>
        <v>138</v>
      </c>
      <c r="B144" s="680"/>
      <c r="D144" s="463" t="s">
        <v>1644</v>
      </c>
      <c r="E144" s="464" t="s">
        <v>11</v>
      </c>
      <c r="G144" s="467" t="s">
        <v>1459</v>
      </c>
      <c r="H144" s="467"/>
      <c r="I144" s="467"/>
      <c r="J144" s="467"/>
      <c r="K144" s="467"/>
      <c r="L144" s="467"/>
      <c r="M144" s="467"/>
      <c r="N144" s="469"/>
    </row>
    <row r="145" spans="1:14">
      <c r="A145" s="451">
        <f t="shared" si="2"/>
        <v>139</v>
      </c>
      <c r="B145" s="680"/>
      <c r="D145" s="463" t="s">
        <v>1645</v>
      </c>
      <c r="E145" s="464" t="s">
        <v>11</v>
      </c>
      <c r="G145" s="467" t="s">
        <v>1459</v>
      </c>
      <c r="H145" s="467"/>
      <c r="I145" s="467"/>
      <c r="J145" s="467"/>
      <c r="K145" s="467"/>
      <c r="L145" s="467"/>
      <c r="M145" s="467"/>
      <c r="N145" s="469"/>
    </row>
    <row r="146" spans="1:14">
      <c r="A146" s="451">
        <f t="shared" si="2"/>
        <v>140</v>
      </c>
      <c r="B146" s="680"/>
      <c r="D146" s="463" t="s">
        <v>1646</v>
      </c>
      <c r="E146" s="464" t="s">
        <v>11</v>
      </c>
      <c r="G146" s="467" t="s">
        <v>1459</v>
      </c>
      <c r="H146" s="467"/>
      <c r="I146" s="467"/>
      <c r="J146" s="467"/>
      <c r="K146" s="467"/>
      <c r="L146" s="467"/>
      <c r="M146" s="467"/>
      <c r="N146" s="469"/>
    </row>
    <row r="147" spans="1:14">
      <c r="A147" s="451">
        <f t="shared" si="2"/>
        <v>141</v>
      </c>
      <c r="B147" s="680"/>
      <c r="D147" s="463" t="s">
        <v>1647</v>
      </c>
      <c r="E147" s="464" t="s">
        <v>11</v>
      </c>
      <c r="G147" s="467" t="s">
        <v>1459</v>
      </c>
      <c r="H147" s="467"/>
      <c r="I147" s="467"/>
      <c r="J147" s="467"/>
      <c r="K147" s="467"/>
      <c r="L147" s="467"/>
      <c r="M147" s="467"/>
      <c r="N147" s="469"/>
    </row>
    <row r="148" spans="1:14">
      <c r="A148" s="451">
        <f t="shared" ref="A148:A211" si="3">A147+1</f>
        <v>142</v>
      </c>
      <c r="B148" s="680"/>
      <c r="D148" s="463" t="s">
        <v>1648</v>
      </c>
      <c r="E148" s="464" t="s">
        <v>11</v>
      </c>
      <c r="G148" s="467" t="s">
        <v>1459</v>
      </c>
      <c r="H148" s="467"/>
      <c r="I148" s="467"/>
      <c r="J148" s="467"/>
      <c r="K148" s="467"/>
      <c r="L148" s="467"/>
      <c r="M148" s="467"/>
      <c r="N148" s="469"/>
    </row>
    <row r="149" spans="1:14">
      <c r="A149" s="451">
        <f t="shared" si="3"/>
        <v>143</v>
      </c>
      <c r="B149" s="680" t="s">
        <v>315</v>
      </c>
      <c r="C149" s="462" t="s">
        <v>1649</v>
      </c>
      <c r="D149" s="463" t="s">
        <v>1650</v>
      </c>
      <c r="E149" s="464" t="s">
        <v>11</v>
      </c>
      <c r="F149" s="470">
        <v>10761312</v>
      </c>
      <c r="G149" s="467" t="s">
        <v>1459</v>
      </c>
      <c r="H149" s="467"/>
      <c r="I149" s="467"/>
      <c r="J149" s="467"/>
      <c r="K149" s="467"/>
      <c r="L149" s="467"/>
      <c r="M149" s="467"/>
      <c r="N149" s="469"/>
    </row>
    <row r="150" spans="1:14">
      <c r="A150" s="451">
        <f t="shared" si="3"/>
        <v>144</v>
      </c>
      <c r="B150" s="680"/>
      <c r="D150" s="463" t="s">
        <v>1651</v>
      </c>
      <c r="E150" s="464" t="s">
        <v>11</v>
      </c>
      <c r="G150" s="467" t="s">
        <v>1459</v>
      </c>
      <c r="H150" s="467"/>
      <c r="I150" s="467"/>
      <c r="J150" s="467"/>
      <c r="K150" s="467"/>
      <c r="L150" s="467"/>
      <c r="M150" s="467"/>
      <c r="N150" s="469"/>
    </row>
    <row r="151" spans="1:14">
      <c r="A151" s="451">
        <f t="shared" si="3"/>
        <v>145</v>
      </c>
      <c r="B151" s="680"/>
      <c r="D151" s="463" t="s">
        <v>1652</v>
      </c>
      <c r="E151" s="464" t="s">
        <v>11</v>
      </c>
      <c r="G151" s="467" t="s">
        <v>1459</v>
      </c>
      <c r="H151" s="467"/>
      <c r="I151" s="467"/>
      <c r="J151" s="467"/>
      <c r="K151" s="467"/>
      <c r="L151" s="467"/>
      <c r="M151" s="467"/>
      <c r="N151" s="469"/>
    </row>
    <row r="152" spans="1:14">
      <c r="A152" s="451">
        <f t="shared" si="3"/>
        <v>146</v>
      </c>
      <c r="B152" s="680"/>
      <c r="D152" s="463" t="s">
        <v>1653</v>
      </c>
      <c r="E152" s="464" t="s">
        <v>11</v>
      </c>
      <c r="G152" s="467" t="s">
        <v>1459</v>
      </c>
      <c r="H152" s="467"/>
      <c r="I152" s="467"/>
      <c r="J152" s="467"/>
      <c r="K152" s="467"/>
      <c r="L152" s="467"/>
      <c r="M152" s="467"/>
      <c r="N152" s="469"/>
    </row>
    <row r="153" spans="1:14">
      <c r="A153" s="451">
        <f t="shared" si="3"/>
        <v>147</v>
      </c>
      <c r="B153" s="680"/>
      <c r="D153" s="463" t="s">
        <v>1654</v>
      </c>
      <c r="E153" s="464" t="s">
        <v>11</v>
      </c>
      <c r="G153" s="467" t="s">
        <v>1459</v>
      </c>
      <c r="H153" s="467"/>
      <c r="I153" s="467"/>
      <c r="J153" s="467"/>
      <c r="K153" s="467"/>
      <c r="L153" s="467"/>
      <c r="M153" s="467"/>
      <c r="N153" s="469"/>
    </row>
    <row r="154" spans="1:14">
      <c r="A154" s="451">
        <f t="shared" si="3"/>
        <v>148</v>
      </c>
      <c r="B154" s="680"/>
      <c r="D154" s="463" t="s">
        <v>1655</v>
      </c>
      <c r="E154" s="464" t="s">
        <v>11</v>
      </c>
      <c r="G154" s="467" t="s">
        <v>1459</v>
      </c>
      <c r="H154" s="467"/>
      <c r="I154" s="467"/>
      <c r="J154" s="467"/>
      <c r="K154" s="467"/>
      <c r="L154" s="467"/>
      <c r="M154" s="467"/>
      <c r="N154" s="469"/>
    </row>
    <row r="155" spans="1:14">
      <c r="A155" s="451">
        <f t="shared" si="3"/>
        <v>149</v>
      </c>
      <c r="B155" s="680"/>
      <c r="D155" s="463" t="s">
        <v>1656</v>
      </c>
      <c r="E155" s="464" t="s">
        <v>11</v>
      </c>
      <c r="G155" s="467" t="s">
        <v>1459</v>
      </c>
      <c r="H155" s="467"/>
      <c r="I155" s="467"/>
      <c r="J155" s="467"/>
      <c r="K155" s="467"/>
      <c r="L155" s="467"/>
      <c r="M155" s="467"/>
      <c r="N155" s="469"/>
    </row>
    <row r="156" spans="1:14">
      <c r="A156" s="451">
        <f t="shared" si="3"/>
        <v>150</v>
      </c>
      <c r="B156" s="680"/>
      <c r="D156" s="463" t="s">
        <v>1657</v>
      </c>
      <c r="E156" s="464" t="s">
        <v>11</v>
      </c>
      <c r="G156" s="467" t="s">
        <v>1459</v>
      </c>
      <c r="H156" s="467"/>
      <c r="I156" s="467"/>
      <c r="J156" s="467"/>
      <c r="K156" s="467"/>
      <c r="L156" s="467"/>
      <c r="M156" s="467"/>
      <c r="N156" s="469"/>
    </row>
    <row r="157" spans="1:14">
      <c r="A157" s="451">
        <f t="shared" si="3"/>
        <v>151</v>
      </c>
      <c r="B157" s="680" t="s">
        <v>319</v>
      </c>
      <c r="C157" s="462" t="s">
        <v>1658</v>
      </c>
      <c r="D157" s="463" t="s">
        <v>1659</v>
      </c>
      <c r="E157" s="464" t="s">
        <v>11</v>
      </c>
      <c r="F157" s="470">
        <v>1725310</v>
      </c>
      <c r="G157" s="467" t="s">
        <v>1459</v>
      </c>
      <c r="H157" s="467"/>
      <c r="I157" s="467"/>
      <c r="J157" s="467"/>
      <c r="K157" s="467"/>
      <c r="L157" s="467"/>
      <c r="M157" s="467"/>
      <c r="N157" s="469"/>
    </row>
    <row r="158" spans="1:14">
      <c r="A158" s="451">
        <f t="shared" si="3"/>
        <v>152</v>
      </c>
      <c r="B158" s="680"/>
      <c r="D158" s="463" t="s">
        <v>1660</v>
      </c>
      <c r="E158" s="464" t="s">
        <v>11</v>
      </c>
      <c r="G158" s="467"/>
      <c r="H158" s="467" t="s">
        <v>1459</v>
      </c>
      <c r="I158" s="467"/>
      <c r="J158" s="467"/>
      <c r="K158" s="467"/>
      <c r="L158" s="467"/>
      <c r="M158" s="467"/>
      <c r="N158" s="469" t="s">
        <v>1661</v>
      </c>
    </row>
    <row r="159" spans="1:14">
      <c r="A159" s="451">
        <f t="shared" si="3"/>
        <v>153</v>
      </c>
      <c r="B159" s="680"/>
      <c r="D159" s="463" t="s">
        <v>1662</v>
      </c>
      <c r="E159" s="464" t="s">
        <v>11</v>
      </c>
      <c r="G159" s="467"/>
      <c r="H159" s="467" t="s">
        <v>1459</v>
      </c>
      <c r="I159" s="467"/>
      <c r="J159" s="467"/>
      <c r="K159" s="467"/>
      <c r="L159" s="467"/>
      <c r="M159" s="467"/>
      <c r="N159" s="469" t="s">
        <v>1661</v>
      </c>
    </row>
    <row r="160" spans="1:14" ht="28.8">
      <c r="A160" s="451">
        <f t="shared" si="3"/>
        <v>154</v>
      </c>
      <c r="B160" s="680" t="s">
        <v>321</v>
      </c>
      <c r="C160" s="462" t="s">
        <v>1663</v>
      </c>
      <c r="D160" s="463" t="s">
        <v>1664</v>
      </c>
      <c r="E160" s="464" t="s">
        <v>11</v>
      </c>
      <c r="F160" s="470">
        <v>10146043</v>
      </c>
      <c r="G160" s="467" t="s">
        <v>1459</v>
      </c>
      <c r="H160" s="467"/>
      <c r="I160" s="467"/>
      <c r="J160" s="467"/>
      <c r="K160" s="467"/>
      <c r="L160" s="467"/>
      <c r="M160" s="467"/>
      <c r="N160" s="469"/>
    </row>
    <row r="161" spans="1:14">
      <c r="A161" s="451">
        <f t="shared" si="3"/>
        <v>155</v>
      </c>
      <c r="B161" s="680"/>
      <c r="D161" s="463" t="s">
        <v>1541</v>
      </c>
      <c r="E161" s="464" t="s">
        <v>11</v>
      </c>
      <c r="G161" s="467" t="s">
        <v>1459</v>
      </c>
      <c r="H161" s="467"/>
      <c r="I161" s="467"/>
      <c r="J161" s="467"/>
      <c r="K161" s="467"/>
      <c r="L161" s="467"/>
      <c r="M161" s="467"/>
      <c r="N161" s="469"/>
    </row>
    <row r="162" spans="1:14">
      <c r="A162" s="451">
        <f t="shared" si="3"/>
        <v>156</v>
      </c>
      <c r="B162" s="680"/>
      <c r="D162" s="463" t="s">
        <v>1665</v>
      </c>
      <c r="E162" s="464" t="s">
        <v>11</v>
      </c>
      <c r="G162" s="467" t="s">
        <v>1459</v>
      </c>
      <c r="H162" s="467"/>
      <c r="I162" s="467"/>
      <c r="J162" s="467"/>
      <c r="K162" s="467"/>
      <c r="L162" s="467"/>
      <c r="M162" s="467"/>
      <c r="N162" s="469"/>
    </row>
    <row r="163" spans="1:14">
      <c r="A163" s="451">
        <f t="shared" si="3"/>
        <v>157</v>
      </c>
      <c r="B163" s="680"/>
      <c r="D163" s="463" t="s">
        <v>1666</v>
      </c>
      <c r="E163" s="464" t="s">
        <v>11</v>
      </c>
      <c r="G163" s="467" t="s">
        <v>1459</v>
      </c>
      <c r="H163" s="467"/>
      <c r="I163" s="467"/>
      <c r="J163" s="467"/>
      <c r="K163" s="467"/>
      <c r="L163" s="467"/>
      <c r="M163" s="467"/>
      <c r="N163" s="469"/>
    </row>
    <row r="164" spans="1:14">
      <c r="A164" s="451">
        <f t="shared" si="3"/>
        <v>158</v>
      </c>
      <c r="B164" s="680"/>
      <c r="D164" s="463" t="s">
        <v>1667</v>
      </c>
      <c r="E164" s="464" t="s">
        <v>11</v>
      </c>
      <c r="G164" s="467" t="s">
        <v>1459</v>
      </c>
      <c r="H164" s="467"/>
      <c r="I164" s="467"/>
      <c r="J164" s="467"/>
      <c r="K164" s="467"/>
      <c r="L164" s="467"/>
      <c r="M164" s="467"/>
      <c r="N164" s="469"/>
    </row>
    <row r="165" spans="1:14">
      <c r="A165" s="451">
        <f t="shared" si="3"/>
        <v>159</v>
      </c>
      <c r="B165" s="680"/>
      <c r="D165" s="463" t="s">
        <v>1668</v>
      </c>
      <c r="E165" s="464" t="s">
        <v>11</v>
      </c>
      <c r="G165" s="467" t="s">
        <v>1459</v>
      </c>
      <c r="H165" s="467"/>
      <c r="I165" s="467"/>
      <c r="J165" s="467"/>
      <c r="K165" s="467"/>
      <c r="L165" s="467"/>
      <c r="M165" s="467"/>
      <c r="N165" s="469"/>
    </row>
    <row r="166" spans="1:14" ht="28.8">
      <c r="A166" s="451">
        <f t="shared" si="3"/>
        <v>160</v>
      </c>
      <c r="B166" s="680"/>
      <c r="D166" s="463" t="s">
        <v>1669</v>
      </c>
      <c r="E166" s="464" t="s">
        <v>11</v>
      </c>
      <c r="G166" s="467"/>
      <c r="H166" s="467"/>
      <c r="I166" s="467" t="s">
        <v>1459</v>
      </c>
      <c r="J166" s="467"/>
      <c r="K166" s="467"/>
      <c r="L166" s="467"/>
      <c r="M166" s="467"/>
      <c r="N166" s="469" t="s">
        <v>1670</v>
      </c>
    </row>
    <row r="167" spans="1:14">
      <c r="A167" s="451">
        <f t="shared" si="3"/>
        <v>161</v>
      </c>
      <c r="B167" s="680"/>
      <c r="D167" s="463" t="s">
        <v>1671</v>
      </c>
      <c r="E167" s="464" t="s">
        <v>11</v>
      </c>
      <c r="G167" s="467" t="s">
        <v>1459</v>
      </c>
      <c r="H167" s="467"/>
      <c r="I167" s="467"/>
      <c r="J167" s="467"/>
      <c r="K167" s="467"/>
      <c r="L167" s="467"/>
      <c r="M167" s="467"/>
      <c r="N167" s="469"/>
    </row>
    <row r="168" spans="1:14" ht="28.8">
      <c r="A168" s="451">
        <f t="shared" si="3"/>
        <v>162</v>
      </c>
      <c r="B168" s="680" t="s">
        <v>323</v>
      </c>
      <c r="C168" s="462" t="s">
        <v>1672</v>
      </c>
      <c r="D168" s="463" t="s">
        <v>1673</v>
      </c>
      <c r="E168" s="464" t="s">
        <v>11</v>
      </c>
      <c r="F168" s="470">
        <v>12342545</v>
      </c>
      <c r="G168" s="467" t="s">
        <v>1459</v>
      </c>
      <c r="H168" s="467"/>
      <c r="I168" s="467"/>
      <c r="J168" s="467"/>
      <c r="K168" s="467"/>
      <c r="L168" s="467"/>
      <c r="M168" s="467"/>
      <c r="N168" s="469"/>
    </row>
    <row r="169" spans="1:14">
      <c r="A169" s="451">
        <f t="shared" si="3"/>
        <v>163</v>
      </c>
      <c r="B169" s="680"/>
      <c r="D169" s="463" t="s">
        <v>1674</v>
      </c>
      <c r="E169" s="464" t="s">
        <v>11</v>
      </c>
      <c r="G169" s="467" t="s">
        <v>1459</v>
      </c>
      <c r="H169" s="467"/>
      <c r="I169" s="467"/>
      <c r="J169" s="467"/>
      <c r="K169" s="468"/>
      <c r="L169" s="467"/>
      <c r="M169" s="467"/>
      <c r="N169" s="469"/>
    </row>
    <row r="170" spans="1:14">
      <c r="A170" s="451">
        <f t="shared" si="3"/>
        <v>164</v>
      </c>
      <c r="B170" s="680"/>
      <c r="D170" s="463" t="s">
        <v>1675</v>
      </c>
      <c r="E170" s="464" t="s">
        <v>11</v>
      </c>
      <c r="G170" s="467" t="s">
        <v>1459</v>
      </c>
      <c r="H170" s="467"/>
      <c r="I170" s="467"/>
      <c r="J170" s="467"/>
      <c r="K170" s="468"/>
      <c r="L170" s="467"/>
      <c r="M170" s="467"/>
      <c r="N170" s="469"/>
    </row>
    <row r="171" spans="1:14">
      <c r="A171" s="451">
        <f t="shared" si="3"/>
        <v>165</v>
      </c>
      <c r="B171" s="680"/>
      <c r="D171" s="463" t="s">
        <v>1676</v>
      </c>
      <c r="E171" s="464" t="s">
        <v>11</v>
      </c>
      <c r="G171" s="467" t="s">
        <v>1459</v>
      </c>
      <c r="H171" s="467"/>
      <c r="I171" s="467"/>
      <c r="J171" s="467"/>
      <c r="K171" s="468"/>
      <c r="L171" s="467"/>
      <c r="M171" s="467"/>
      <c r="N171" s="469"/>
    </row>
    <row r="172" spans="1:14">
      <c r="A172" s="451">
        <f t="shared" si="3"/>
        <v>166</v>
      </c>
      <c r="B172" s="680"/>
      <c r="D172" s="463" t="s">
        <v>1677</v>
      </c>
      <c r="E172" s="464" t="s">
        <v>11</v>
      </c>
      <c r="G172" s="467" t="s">
        <v>1459</v>
      </c>
      <c r="H172" s="467"/>
      <c r="I172" s="467"/>
      <c r="J172" s="467"/>
      <c r="K172" s="468"/>
      <c r="L172" s="467"/>
      <c r="M172" s="467"/>
      <c r="N172" s="469"/>
    </row>
    <row r="173" spans="1:14">
      <c r="A173" s="451">
        <f t="shared" si="3"/>
        <v>167</v>
      </c>
      <c r="B173" s="680"/>
      <c r="D173" s="463" t="s">
        <v>1678</v>
      </c>
      <c r="E173" s="464" t="s">
        <v>11</v>
      </c>
      <c r="G173" s="467" t="s">
        <v>1459</v>
      </c>
      <c r="H173" s="467"/>
      <c r="I173" s="467"/>
      <c r="J173" s="467"/>
      <c r="K173" s="468"/>
      <c r="L173" s="467"/>
      <c r="M173" s="467"/>
      <c r="N173" s="469"/>
    </row>
    <row r="174" spans="1:14">
      <c r="A174" s="451">
        <f t="shared" si="3"/>
        <v>168</v>
      </c>
      <c r="B174" s="680"/>
      <c r="C174" s="462" t="s">
        <v>2285</v>
      </c>
      <c r="D174" s="463" t="s">
        <v>2286</v>
      </c>
      <c r="G174" s="467" t="s">
        <v>1459</v>
      </c>
      <c r="H174" s="467"/>
      <c r="I174" s="467"/>
      <c r="J174" s="467"/>
      <c r="K174" s="468"/>
      <c r="L174" s="467"/>
      <c r="M174" s="467"/>
      <c r="N174" s="469"/>
    </row>
    <row r="175" spans="1:14">
      <c r="A175" s="451">
        <f t="shared" si="3"/>
        <v>169</v>
      </c>
      <c r="B175" s="680"/>
      <c r="D175" s="463" t="s">
        <v>2287</v>
      </c>
      <c r="G175" s="467" t="s">
        <v>1459</v>
      </c>
      <c r="H175" s="467"/>
      <c r="I175" s="467"/>
      <c r="J175" s="467"/>
      <c r="K175" s="468"/>
      <c r="L175" s="467"/>
      <c r="M175" s="467"/>
      <c r="N175" s="469"/>
    </row>
    <row r="176" spans="1:14" ht="28.8">
      <c r="A176" s="451">
        <f t="shared" si="3"/>
        <v>170</v>
      </c>
      <c r="B176" s="680" t="s">
        <v>325</v>
      </c>
      <c r="C176" s="462" t="s">
        <v>1679</v>
      </c>
      <c r="D176" s="463" t="s">
        <v>1680</v>
      </c>
      <c r="E176" s="464" t="s">
        <v>11</v>
      </c>
      <c r="F176" s="470">
        <v>19532694</v>
      </c>
      <c r="G176" s="467" t="s">
        <v>1459</v>
      </c>
      <c r="H176" s="467"/>
      <c r="I176" s="467"/>
      <c r="J176" s="467"/>
      <c r="K176" s="468"/>
      <c r="L176" s="467"/>
      <c r="M176" s="467"/>
      <c r="N176" s="469"/>
    </row>
    <row r="177" spans="1:14">
      <c r="A177" s="451">
        <f t="shared" si="3"/>
        <v>171</v>
      </c>
      <c r="B177" s="680"/>
      <c r="D177" s="463" t="s">
        <v>1681</v>
      </c>
      <c r="E177" s="464" t="s">
        <v>11</v>
      </c>
      <c r="G177" s="467" t="s">
        <v>1459</v>
      </c>
      <c r="H177" s="467"/>
      <c r="I177" s="467"/>
      <c r="J177" s="467"/>
      <c r="K177" s="468"/>
      <c r="L177" s="467"/>
      <c r="M177" s="467"/>
      <c r="N177" s="469"/>
    </row>
    <row r="178" spans="1:14">
      <c r="A178" s="451">
        <f t="shared" si="3"/>
        <v>172</v>
      </c>
      <c r="B178" s="680"/>
      <c r="D178" s="463" t="s">
        <v>1682</v>
      </c>
      <c r="E178" s="464" t="s">
        <v>11</v>
      </c>
      <c r="G178" s="467" t="s">
        <v>1459</v>
      </c>
      <c r="H178" s="467"/>
      <c r="I178" s="467"/>
      <c r="J178" s="467"/>
      <c r="K178" s="468"/>
      <c r="L178" s="467"/>
      <c r="M178" s="467"/>
      <c r="N178" s="469"/>
    </row>
    <row r="179" spans="1:14">
      <c r="A179" s="451">
        <f t="shared" si="3"/>
        <v>173</v>
      </c>
      <c r="B179" s="680"/>
      <c r="D179" s="463" t="s">
        <v>1497</v>
      </c>
      <c r="E179" s="464" t="s">
        <v>11</v>
      </c>
      <c r="G179" s="467" t="s">
        <v>1459</v>
      </c>
      <c r="H179" s="467"/>
      <c r="I179" s="467"/>
      <c r="J179" s="467"/>
      <c r="K179" s="468"/>
      <c r="L179" s="467"/>
      <c r="M179" s="467"/>
      <c r="N179" s="469"/>
    </row>
    <row r="180" spans="1:14">
      <c r="A180" s="451">
        <f t="shared" si="3"/>
        <v>174</v>
      </c>
      <c r="B180" s="680"/>
      <c r="D180" s="463" t="s">
        <v>1683</v>
      </c>
      <c r="E180" s="464" t="s">
        <v>11</v>
      </c>
      <c r="G180" s="467" t="s">
        <v>1459</v>
      </c>
      <c r="H180" s="467"/>
      <c r="I180" s="467"/>
      <c r="J180" s="467"/>
      <c r="K180" s="468"/>
      <c r="L180" s="467"/>
      <c r="M180" s="467"/>
      <c r="N180" s="469"/>
    </row>
    <row r="181" spans="1:14" ht="28.8">
      <c r="A181" s="451">
        <f t="shared" si="3"/>
        <v>175</v>
      </c>
      <c r="B181" s="680"/>
      <c r="D181" s="463" t="s">
        <v>1684</v>
      </c>
      <c r="E181" s="464" t="s">
        <v>11</v>
      </c>
      <c r="G181" s="467" t="s">
        <v>1459</v>
      </c>
      <c r="H181" s="467"/>
      <c r="I181" s="467"/>
      <c r="J181" s="467"/>
      <c r="K181" s="467"/>
      <c r="L181" s="467"/>
      <c r="M181" s="467"/>
      <c r="N181" s="469"/>
    </row>
    <row r="182" spans="1:14">
      <c r="A182" s="451">
        <f t="shared" si="3"/>
        <v>176</v>
      </c>
      <c r="B182" s="680"/>
      <c r="D182" s="463" t="s">
        <v>1685</v>
      </c>
      <c r="E182" s="464" t="s">
        <v>11</v>
      </c>
      <c r="G182" s="467" t="s">
        <v>1459</v>
      </c>
      <c r="H182" s="467"/>
      <c r="I182" s="467"/>
      <c r="J182" s="467"/>
      <c r="K182" s="467"/>
      <c r="L182" s="467"/>
      <c r="M182" s="467"/>
      <c r="N182" s="469"/>
    </row>
    <row r="183" spans="1:14">
      <c r="A183" s="451">
        <f t="shared" si="3"/>
        <v>177</v>
      </c>
      <c r="B183" s="680"/>
      <c r="D183" s="463" t="s">
        <v>1686</v>
      </c>
      <c r="E183" s="464" t="s">
        <v>11</v>
      </c>
      <c r="G183" s="467" t="s">
        <v>1459</v>
      </c>
      <c r="H183" s="467"/>
      <c r="I183" s="467"/>
      <c r="J183" s="467"/>
      <c r="K183" s="467"/>
      <c r="L183" s="467"/>
      <c r="M183" s="467"/>
      <c r="N183" s="469"/>
    </row>
    <row r="184" spans="1:14">
      <c r="A184" s="451">
        <f t="shared" si="3"/>
        <v>178</v>
      </c>
      <c r="B184" s="680"/>
      <c r="D184" s="463" t="s">
        <v>1687</v>
      </c>
      <c r="E184" s="464" t="s">
        <v>11</v>
      </c>
      <c r="G184" s="467" t="s">
        <v>1459</v>
      </c>
      <c r="H184" s="467"/>
      <c r="I184" s="467"/>
      <c r="J184" s="467"/>
      <c r="K184" s="467"/>
      <c r="L184" s="467"/>
      <c r="M184" s="467"/>
      <c r="N184" s="469"/>
    </row>
    <row r="185" spans="1:14">
      <c r="A185" s="451">
        <f t="shared" si="3"/>
        <v>179</v>
      </c>
      <c r="B185" s="680"/>
      <c r="D185" s="463" t="s">
        <v>1688</v>
      </c>
      <c r="E185" s="464" t="s">
        <v>11</v>
      </c>
      <c r="G185" s="467" t="s">
        <v>1459</v>
      </c>
      <c r="H185" s="467"/>
      <c r="I185" s="467"/>
      <c r="J185" s="467"/>
      <c r="K185" s="467"/>
      <c r="L185" s="467"/>
      <c r="M185" s="467"/>
      <c r="N185" s="469"/>
    </row>
    <row r="186" spans="1:14">
      <c r="A186" s="451">
        <f t="shared" si="3"/>
        <v>180</v>
      </c>
      <c r="B186" s="680"/>
      <c r="D186" s="463" t="s">
        <v>1689</v>
      </c>
      <c r="E186" s="464" t="s">
        <v>11</v>
      </c>
      <c r="G186" s="467" t="s">
        <v>1459</v>
      </c>
      <c r="H186" s="467"/>
      <c r="I186" s="467"/>
      <c r="J186" s="467"/>
      <c r="K186" s="467"/>
      <c r="L186" s="467"/>
      <c r="M186" s="467"/>
      <c r="N186" s="469"/>
    </row>
    <row r="187" spans="1:14">
      <c r="A187" s="451">
        <f t="shared" si="3"/>
        <v>181</v>
      </c>
      <c r="B187" s="680" t="s">
        <v>327</v>
      </c>
      <c r="C187" s="462" t="s">
        <v>1690</v>
      </c>
      <c r="D187" s="463" t="s">
        <v>1691</v>
      </c>
      <c r="E187" s="464" t="s">
        <v>36</v>
      </c>
      <c r="F187" s="470">
        <v>8188497</v>
      </c>
      <c r="G187" s="467"/>
      <c r="H187" s="467"/>
      <c r="I187" s="467" t="s">
        <v>1459</v>
      </c>
      <c r="J187" s="467"/>
      <c r="K187" s="467"/>
      <c r="L187" s="467"/>
      <c r="M187" s="467"/>
      <c r="N187" s="469" t="s">
        <v>1692</v>
      </c>
    </row>
    <row r="188" spans="1:14">
      <c r="A188" s="451">
        <f t="shared" si="3"/>
        <v>182</v>
      </c>
      <c r="B188" s="680"/>
      <c r="D188" s="463" t="s">
        <v>1693</v>
      </c>
      <c r="E188" s="464" t="s">
        <v>36</v>
      </c>
      <c r="G188" s="467"/>
      <c r="H188" s="467"/>
      <c r="I188" s="467" t="s">
        <v>1459</v>
      </c>
      <c r="J188" s="467"/>
      <c r="K188" s="467"/>
      <c r="L188" s="467"/>
      <c r="M188" s="467"/>
      <c r="N188" s="469" t="s">
        <v>1692</v>
      </c>
    </row>
    <row r="189" spans="1:14">
      <c r="A189" s="451">
        <f t="shared" si="3"/>
        <v>183</v>
      </c>
      <c r="B189" s="680"/>
      <c r="D189" s="463" t="s">
        <v>1574</v>
      </c>
      <c r="E189" s="464" t="s">
        <v>36</v>
      </c>
      <c r="G189" s="467" t="s">
        <v>1459</v>
      </c>
      <c r="H189" s="467"/>
      <c r="I189" s="467"/>
      <c r="J189" s="467"/>
      <c r="K189" s="467"/>
      <c r="L189" s="467"/>
      <c r="M189" s="467"/>
      <c r="N189" s="469"/>
    </row>
    <row r="190" spans="1:14">
      <c r="A190" s="451">
        <f t="shared" si="3"/>
        <v>184</v>
      </c>
      <c r="B190" s="680"/>
      <c r="D190" s="463" t="s">
        <v>1694</v>
      </c>
      <c r="E190" s="464" t="s">
        <v>36</v>
      </c>
      <c r="G190" s="467" t="s">
        <v>1459</v>
      </c>
      <c r="H190" s="467"/>
      <c r="I190" s="467"/>
      <c r="J190" s="467"/>
      <c r="K190" s="467"/>
      <c r="L190" s="467"/>
      <c r="M190" s="467"/>
      <c r="N190" s="469"/>
    </row>
    <row r="191" spans="1:14">
      <c r="A191" s="451">
        <f t="shared" si="3"/>
        <v>185</v>
      </c>
      <c r="B191" s="680"/>
      <c r="D191" s="463" t="s">
        <v>1695</v>
      </c>
      <c r="E191" s="464" t="s">
        <v>36</v>
      </c>
      <c r="G191" s="467" t="s">
        <v>1459</v>
      </c>
      <c r="H191" s="467"/>
      <c r="I191" s="467"/>
      <c r="J191" s="467"/>
      <c r="K191" s="467"/>
      <c r="L191" s="467"/>
      <c r="M191" s="467"/>
      <c r="N191" s="469"/>
    </row>
    <row r="192" spans="1:14">
      <c r="A192" s="451">
        <f t="shared" si="3"/>
        <v>186</v>
      </c>
      <c r="B192" s="680" t="s">
        <v>329</v>
      </c>
      <c r="C192" s="462" t="s">
        <v>1696</v>
      </c>
      <c r="D192" s="463" t="s">
        <v>1697</v>
      </c>
      <c r="E192" s="464" t="s">
        <v>11</v>
      </c>
      <c r="F192" s="470">
        <v>1506124</v>
      </c>
      <c r="G192" s="467" t="s">
        <v>1459</v>
      </c>
      <c r="H192" s="467"/>
      <c r="I192" s="467"/>
      <c r="J192" s="467"/>
      <c r="K192" s="467"/>
      <c r="L192" s="467"/>
      <c r="M192" s="467"/>
      <c r="N192" s="469"/>
    </row>
    <row r="193" spans="1:14">
      <c r="A193" s="451">
        <f t="shared" si="3"/>
        <v>187</v>
      </c>
      <c r="B193" s="680" t="s">
        <v>331</v>
      </c>
      <c r="D193" s="463" t="s">
        <v>1698</v>
      </c>
      <c r="E193" s="464" t="s">
        <v>11</v>
      </c>
      <c r="G193" s="467" t="s">
        <v>1459</v>
      </c>
      <c r="H193" s="467"/>
      <c r="I193" s="467"/>
      <c r="J193" s="467"/>
      <c r="K193" s="467"/>
      <c r="L193" s="467"/>
      <c r="M193" s="467"/>
      <c r="N193" s="469"/>
    </row>
    <row r="194" spans="1:14" ht="28.8">
      <c r="A194" s="451">
        <f t="shared" si="3"/>
        <v>188</v>
      </c>
      <c r="B194" s="680"/>
      <c r="C194" s="462" t="s">
        <v>1699</v>
      </c>
      <c r="D194" s="463" t="s">
        <v>1700</v>
      </c>
      <c r="E194" s="464" t="s">
        <v>11</v>
      </c>
      <c r="F194" s="470">
        <v>4239318</v>
      </c>
      <c r="G194" s="467" t="s">
        <v>1459</v>
      </c>
      <c r="H194" s="467"/>
      <c r="I194" s="467"/>
      <c r="J194" s="467"/>
      <c r="K194" s="467"/>
      <c r="L194" s="467"/>
      <c r="M194" s="467"/>
      <c r="N194" s="469" t="s">
        <v>2288</v>
      </c>
    </row>
    <row r="195" spans="1:14">
      <c r="A195" s="451">
        <f t="shared" si="3"/>
        <v>189</v>
      </c>
      <c r="B195" s="680"/>
      <c r="D195" s="463" t="s">
        <v>1701</v>
      </c>
      <c r="E195" s="464" t="s">
        <v>11</v>
      </c>
      <c r="G195" s="467" t="s">
        <v>1459</v>
      </c>
      <c r="H195" s="467"/>
      <c r="I195" s="467"/>
      <c r="J195" s="467"/>
      <c r="K195" s="467"/>
      <c r="L195" s="467"/>
      <c r="M195" s="467"/>
      <c r="N195" s="469"/>
    </row>
    <row r="196" spans="1:14">
      <c r="A196" s="451">
        <f t="shared" si="3"/>
        <v>190</v>
      </c>
      <c r="B196" s="680"/>
      <c r="D196" s="463" t="s">
        <v>1702</v>
      </c>
      <c r="E196" s="464" t="s">
        <v>11</v>
      </c>
      <c r="G196" s="467"/>
      <c r="H196" s="467" t="s">
        <v>1459</v>
      </c>
      <c r="I196" s="467"/>
      <c r="J196" s="467"/>
      <c r="K196" s="467"/>
      <c r="L196" s="467"/>
      <c r="M196" s="467"/>
      <c r="N196" s="469" t="s">
        <v>1703</v>
      </c>
    </row>
    <row r="197" spans="1:14">
      <c r="A197" s="451">
        <f t="shared" si="3"/>
        <v>191</v>
      </c>
      <c r="B197" s="680"/>
      <c r="D197" s="463" t="s">
        <v>1704</v>
      </c>
      <c r="G197" s="467" t="s">
        <v>1459</v>
      </c>
      <c r="H197" s="467"/>
      <c r="I197" s="467"/>
      <c r="J197" s="467"/>
      <c r="K197" s="467"/>
      <c r="L197" s="467"/>
      <c r="M197" s="467"/>
      <c r="N197" s="469"/>
    </row>
    <row r="198" spans="1:14">
      <c r="A198" s="451">
        <f t="shared" si="3"/>
        <v>192</v>
      </c>
      <c r="B198" s="680"/>
      <c r="D198" s="463" t="s">
        <v>1705</v>
      </c>
      <c r="G198" s="467" t="s">
        <v>1459</v>
      </c>
      <c r="H198" s="467"/>
      <c r="I198" s="467"/>
      <c r="J198" s="467"/>
      <c r="K198" s="467"/>
      <c r="L198" s="467"/>
      <c r="M198" s="467"/>
      <c r="N198" s="469" t="s">
        <v>1706</v>
      </c>
    </row>
    <row r="199" spans="1:14">
      <c r="A199" s="451">
        <f t="shared" si="3"/>
        <v>193</v>
      </c>
      <c r="B199" s="680"/>
      <c r="D199" s="463" t="s">
        <v>2289</v>
      </c>
      <c r="G199" s="467" t="s">
        <v>1459</v>
      </c>
      <c r="H199" s="467"/>
      <c r="I199" s="467"/>
      <c r="J199" s="467"/>
      <c r="K199" s="467"/>
      <c r="L199" s="467"/>
      <c r="M199" s="467"/>
      <c r="N199" s="469" t="s">
        <v>2290</v>
      </c>
    </row>
    <row r="200" spans="1:14" ht="28.8">
      <c r="A200" s="451">
        <f t="shared" si="3"/>
        <v>194</v>
      </c>
      <c r="B200" s="680"/>
      <c r="C200" s="462" t="s">
        <v>2291</v>
      </c>
      <c r="D200" s="463" t="s">
        <v>2292</v>
      </c>
      <c r="G200" s="467" t="s">
        <v>1459</v>
      </c>
      <c r="H200" s="467"/>
      <c r="I200" s="467"/>
      <c r="J200" s="467"/>
      <c r="K200" s="467"/>
      <c r="L200" s="467"/>
      <c r="M200" s="467"/>
      <c r="N200" s="469"/>
    </row>
    <row r="201" spans="1:14">
      <c r="A201" s="451">
        <f t="shared" si="3"/>
        <v>195</v>
      </c>
      <c r="B201" s="680" t="s">
        <v>333</v>
      </c>
      <c r="C201" s="462" t="s">
        <v>1707</v>
      </c>
      <c r="D201" s="463" t="s">
        <v>1708</v>
      </c>
      <c r="E201" s="464" t="s">
        <v>36</v>
      </c>
      <c r="F201" s="470">
        <v>10685663</v>
      </c>
      <c r="G201" s="467" t="s">
        <v>1459</v>
      </c>
      <c r="H201" s="467"/>
      <c r="I201" s="467"/>
      <c r="J201" s="467"/>
      <c r="K201" s="467"/>
      <c r="L201" s="467"/>
      <c r="M201" s="467"/>
      <c r="N201" s="469"/>
    </row>
    <row r="202" spans="1:14">
      <c r="A202" s="451">
        <f t="shared" si="3"/>
        <v>196</v>
      </c>
      <c r="B202" s="680"/>
      <c r="D202" s="463" t="s">
        <v>1709</v>
      </c>
      <c r="E202" s="464" t="s">
        <v>36</v>
      </c>
      <c r="G202" s="467"/>
      <c r="H202" s="467" t="s">
        <v>1459</v>
      </c>
      <c r="I202" s="467"/>
      <c r="J202" s="467"/>
      <c r="K202" s="467"/>
      <c r="L202" s="467"/>
      <c r="M202" s="467"/>
      <c r="N202" s="469" t="s">
        <v>1710</v>
      </c>
    </row>
    <row r="203" spans="1:14">
      <c r="A203" s="451">
        <f t="shared" si="3"/>
        <v>197</v>
      </c>
      <c r="B203" s="680"/>
      <c r="D203" s="463" t="s">
        <v>1711</v>
      </c>
      <c r="E203" s="464" t="s">
        <v>36</v>
      </c>
      <c r="G203" s="467" t="s">
        <v>1459</v>
      </c>
      <c r="H203" s="467"/>
      <c r="I203" s="467"/>
      <c r="J203" s="467"/>
      <c r="K203" s="467"/>
      <c r="L203" s="467"/>
      <c r="M203" s="467"/>
      <c r="N203" s="469"/>
    </row>
    <row r="204" spans="1:14">
      <c r="A204" s="451">
        <f t="shared" si="3"/>
        <v>198</v>
      </c>
      <c r="B204" s="680"/>
      <c r="D204" s="463" t="s">
        <v>1712</v>
      </c>
      <c r="E204" s="464" t="s">
        <v>36</v>
      </c>
      <c r="G204" s="467" t="s">
        <v>1459</v>
      </c>
      <c r="H204" s="467"/>
      <c r="I204" s="467"/>
      <c r="J204" s="467"/>
      <c r="K204" s="467"/>
      <c r="L204" s="467"/>
      <c r="M204" s="467"/>
      <c r="N204" s="469"/>
    </row>
    <row r="205" spans="1:14">
      <c r="A205" s="451">
        <f t="shared" si="3"/>
        <v>199</v>
      </c>
      <c r="B205" s="680"/>
      <c r="D205" s="463" t="s">
        <v>1713</v>
      </c>
      <c r="E205" s="464" t="s">
        <v>36</v>
      </c>
      <c r="G205" s="467" t="s">
        <v>1459</v>
      </c>
      <c r="H205" s="467"/>
      <c r="I205" s="467"/>
      <c r="J205" s="467"/>
      <c r="K205" s="467"/>
      <c r="L205" s="467"/>
      <c r="M205" s="467"/>
      <c r="N205" s="469"/>
    </row>
    <row r="206" spans="1:14">
      <c r="A206" s="451">
        <f t="shared" si="3"/>
        <v>200</v>
      </c>
      <c r="B206" s="680"/>
      <c r="D206" s="463" t="s">
        <v>1714</v>
      </c>
      <c r="E206" s="464" t="s">
        <v>36</v>
      </c>
      <c r="G206" s="467" t="s">
        <v>1459</v>
      </c>
      <c r="H206" s="467"/>
      <c r="I206" s="467"/>
      <c r="J206" s="467"/>
      <c r="K206" s="467"/>
      <c r="L206" s="467"/>
      <c r="M206" s="467"/>
      <c r="N206" s="469"/>
    </row>
    <row r="207" spans="1:14">
      <c r="A207" s="451">
        <f t="shared" si="3"/>
        <v>201</v>
      </c>
      <c r="B207" s="680"/>
      <c r="C207" s="462" t="s">
        <v>2293</v>
      </c>
      <c r="D207" s="463" t="s">
        <v>2294</v>
      </c>
      <c r="G207" s="467" t="s">
        <v>1459</v>
      </c>
      <c r="H207" s="467"/>
      <c r="I207" s="467"/>
      <c r="J207" s="467"/>
      <c r="K207" s="467"/>
      <c r="L207" s="467"/>
      <c r="M207" s="467"/>
      <c r="N207" s="469"/>
    </row>
    <row r="208" spans="1:14">
      <c r="A208" s="451">
        <f t="shared" si="3"/>
        <v>202</v>
      </c>
      <c r="B208" s="680" t="s">
        <v>335</v>
      </c>
      <c r="C208" s="462" t="s">
        <v>1715</v>
      </c>
      <c r="D208" s="463" t="s">
        <v>1716</v>
      </c>
      <c r="E208" s="464" t="s">
        <v>11</v>
      </c>
      <c r="F208" s="470">
        <v>3684814</v>
      </c>
      <c r="G208" s="467" t="s">
        <v>1459</v>
      </c>
      <c r="H208" s="467"/>
      <c r="I208" s="467"/>
      <c r="J208" s="467"/>
      <c r="K208" s="467"/>
      <c r="L208" s="467"/>
      <c r="M208" s="467"/>
      <c r="N208" s="476"/>
    </row>
    <row r="209" spans="1:14" ht="28.8">
      <c r="A209" s="451">
        <f t="shared" si="3"/>
        <v>203</v>
      </c>
      <c r="B209" s="680" t="s">
        <v>337</v>
      </c>
      <c r="C209" s="462" t="s">
        <v>1717</v>
      </c>
      <c r="D209" s="463" t="s">
        <v>1718</v>
      </c>
      <c r="E209" s="464" t="s">
        <v>11</v>
      </c>
      <c r="F209" s="470">
        <v>10553364</v>
      </c>
      <c r="G209" s="467" t="s">
        <v>1459</v>
      </c>
      <c r="H209" s="467"/>
      <c r="I209" s="467"/>
      <c r="J209" s="467"/>
      <c r="K209" s="467"/>
      <c r="L209" s="467"/>
      <c r="M209" s="467"/>
      <c r="N209" s="469"/>
    </row>
    <row r="210" spans="1:14">
      <c r="A210" s="451">
        <f t="shared" si="3"/>
        <v>204</v>
      </c>
      <c r="B210" s="680"/>
      <c r="D210" s="463" t="s">
        <v>1719</v>
      </c>
      <c r="E210" s="464" t="s">
        <v>11</v>
      </c>
      <c r="G210" s="467" t="s">
        <v>1459</v>
      </c>
      <c r="H210" s="467"/>
      <c r="I210" s="467"/>
      <c r="J210" s="467"/>
      <c r="K210" s="467"/>
      <c r="L210" s="467"/>
      <c r="M210" s="467"/>
      <c r="N210" s="469"/>
    </row>
    <row r="211" spans="1:14">
      <c r="A211" s="451">
        <f t="shared" si="3"/>
        <v>205</v>
      </c>
      <c r="B211" s="680"/>
      <c r="D211" s="463" t="s">
        <v>1720</v>
      </c>
      <c r="E211" s="464" t="s">
        <v>11</v>
      </c>
      <c r="G211" s="467" t="s">
        <v>1459</v>
      </c>
      <c r="H211" s="467"/>
      <c r="I211" s="467"/>
      <c r="J211" s="467"/>
      <c r="K211" s="467"/>
      <c r="L211" s="467"/>
      <c r="M211" s="467"/>
      <c r="N211" s="469"/>
    </row>
    <row r="212" spans="1:14">
      <c r="A212" s="451">
        <f t="shared" ref="A212:A275" si="4">A211+1</f>
        <v>206</v>
      </c>
      <c r="B212" s="680"/>
      <c r="D212" s="463" t="s">
        <v>1721</v>
      </c>
      <c r="E212" s="464" t="s">
        <v>11</v>
      </c>
      <c r="G212" s="467" t="s">
        <v>1459</v>
      </c>
      <c r="H212" s="467"/>
      <c r="I212" s="467"/>
      <c r="J212" s="467"/>
      <c r="K212" s="467"/>
      <c r="L212" s="467"/>
      <c r="M212" s="467"/>
      <c r="N212" s="469"/>
    </row>
    <row r="213" spans="1:14" ht="28.8">
      <c r="A213" s="451">
        <f t="shared" si="4"/>
        <v>207</v>
      </c>
      <c r="B213" s="680"/>
      <c r="D213" s="463" t="s">
        <v>2295</v>
      </c>
      <c r="E213" s="464" t="s">
        <v>11</v>
      </c>
      <c r="G213" s="467" t="s">
        <v>1459</v>
      </c>
      <c r="H213" s="467"/>
      <c r="I213" s="467"/>
      <c r="J213" s="467"/>
      <c r="K213" s="467"/>
      <c r="L213" s="467"/>
      <c r="M213" s="467"/>
      <c r="N213" s="469"/>
    </row>
    <row r="214" spans="1:14" ht="28.8">
      <c r="A214" s="451">
        <f t="shared" si="4"/>
        <v>208</v>
      </c>
      <c r="B214" s="680" t="s">
        <v>2633</v>
      </c>
      <c r="C214" s="462" t="s">
        <v>1722</v>
      </c>
      <c r="D214" s="463" t="s">
        <v>1723</v>
      </c>
      <c r="E214" s="464" t="s">
        <v>11</v>
      </c>
      <c r="F214" s="470">
        <v>17106123</v>
      </c>
      <c r="G214" s="467" t="s">
        <v>1459</v>
      </c>
      <c r="H214" s="467"/>
      <c r="I214" s="467"/>
      <c r="J214" s="467"/>
      <c r="K214" s="467"/>
      <c r="L214" s="467"/>
      <c r="M214" s="467"/>
      <c r="N214" s="469"/>
    </row>
    <row r="215" spans="1:14" ht="28.8">
      <c r="A215" s="451">
        <f t="shared" si="4"/>
        <v>209</v>
      </c>
      <c r="B215" s="680"/>
      <c r="D215" s="463" t="s">
        <v>1724</v>
      </c>
      <c r="E215" s="464" t="s">
        <v>11</v>
      </c>
      <c r="G215" s="467" t="s">
        <v>1459</v>
      </c>
      <c r="H215" s="467"/>
      <c r="I215" s="467"/>
      <c r="J215" s="467"/>
      <c r="K215" s="467"/>
      <c r="L215" s="467"/>
      <c r="M215" s="467"/>
      <c r="N215" s="469" t="s">
        <v>1725</v>
      </c>
    </row>
    <row r="216" spans="1:14">
      <c r="A216" s="451">
        <f t="shared" si="4"/>
        <v>210</v>
      </c>
      <c r="B216" s="680"/>
      <c r="D216" s="463" t="s">
        <v>1726</v>
      </c>
      <c r="E216" s="464" t="s">
        <v>11</v>
      </c>
      <c r="G216" s="467" t="s">
        <v>1459</v>
      </c>
      <c r="H216" s="467"/>
      <c r="I216" s="467"/>
      <c r="J216" s="467"/>
      <c r="K216" s="467"/>
      <c r="L216" s="467"/>
      <c r="M216" s="467"/>
      <c r="N216" s="469"/>
    </row>
    <row r="217" spans="1:14">
      <c r="A217" s="451">
        <f t="shared" si="4"/>
        <v>211</v>
      </c>
      <c r="B217" s="680"/>
      <c r="D217" s="463" t="s">
        <v>1727</v>
      </c>
      <c r="E217" s="464" t="s">
        <v>11</v>
      </c>
      <c r="G217" s="467" t="s">
        <v>1459</v>
      </c>
      <c r="H217" s="467"/>
      <c r="I217" s="467"/>
      <c r="J217" s="467"/>
      <c r="K217" s="467"/>
      <c r="L217" s="467"/>
      <c r="M217" s="467"/>
      <c r="N217" s="469"/>
    </row>
    <row r="218" spans="1:14">
      <c r="A218" s="451">
        <f t="shared" si="4"/>
        <v>212</v>
      </c>
      <c r="B218" s="680"/>
      <c r="D218" s="463" t="s">
        <v>1728</v>
      </c>
      <c r="E218" s="464" t="s">
        <v>11</v>
      </c>
      <c r="G218" s="467" t="s">
        <v>1459</v>
      </c>
      <c r="H218" s="467"/>
      <c r="I218" s="467"/>
      <c r="J218" s="467"/>
      <c r="K218" s="467"/>
      <c r="L218" s="467"/>
      <c r="M218" s="467"/>
      <c r="N218" s="469"/>
    </row>
    <row r="219" spans="1:14">
      <c r="A219" s="451">
        <f t="shared" si="4"/>
        <v>213</v>
      </c>
      <c r="B219" s="680"/>
      <c r="D219" s="463" t="s">
        <v>1729</v>
      </c>
      <c r="E219" s="464" t="s">
        <v>11</v>
      </c>
      <c r="G219" s="467" t="s">
        <v>1459</v>
      </c>
      <c r="H219" s="467"/>
      <c r="I219" s="467"/>
      <c r="J219" s="467"/>
      <c r="K219" s="467"/>
      <c r="L219" s="467"/>
      <c r="M219" s="467"/>
      <c r="N219" s="469"/>
    </row>
    <row r="220" spans="1:14">
      <c r="A220" s="451">
        <f t="shared" si="4"/>
        <v>214</v>
      </c>
      <c r="B220" s="680"/>
      <c r="D220" s="463" t="s">
        <v>1730</v>
      </c>
      <c r="E220" s="464" t="s">
        <v>11</v>
      </c>
      <c r="G220" s="467" t="s">
        <v>1459</v>
      </c>
      <c r="H220" s="467"/>
      <c r="I220" s="467"/>
      <c r="J220" s="467"/>
      <c r="K220" s="467"/>
      <c r="L220" s="467"/>
      <c r="M220" s="467"/>
      <c r="N220" s="469"/>
    </row>
    <row r="221" spans="1:14">
      <c r="A221" s="451">
        <f t="shared" si="4"/>
        <v>215</v>
      </c>
      <c r="B221" s="680"/>
      <c r="D221" s="463" t="s">
        <v>1731</v>
      </c>
      <c r="E221" s="464" t="s">
        <v>11</v>
      </c>
      <c r="G221" s="467" t="s">
        <v>1459</v>
      </c>
      <c r="H221" s="467"/>
      <c r="I221" s="467"/>
      <c r="J221" s="467"/>
      <c r="K221" s="467"/>
      <c r="L221" s="467"/>
      <c r="M221" s="467"/>
      <c r="N221" s="469"/>
    </row>
    <row r="222" spans="1:14">
      <c r="A222" s="451">
        <f t="shared" si="4"/>
        <v>216</v>
      </c>
      <c r="B222" s="680"/>
      <c r="D222" s="463" t="s">
        <v>1732</v>
      </c>
      <c r="E222" s="464" t="s">
        <v>11</v>
      </c>
      <c r="G222" s="467" t="s">
        <v>1459</v>
      </c>
      <c r="H222" s="467"/>
      <c r="I222" s="467"/>
      <c r="J222" s="467"/>
      <c r="K222" s="467"/>
      <c r="L222" s="467"/>
      <c r="M222" s="467"/>
      <c r="N222" s="469"/>
    </row>
    <row r="223" spans="1:14">
      <c r="A223" s="451">
        <f t="shared" si="4"/>
        <v>217</v>
      </c>
      <c r="B223" s="680" t="s">
        <v>341</v>
      </c>
      <c r="C223" s="462" t="s">
        <v>1733</v>
      </c>
      <c r="D223" s="463" t="s">
        <v>1734</v>
      </c>
      <c r="E223" s="464" t="s">
        <v>11</v>
      </c>
      <c r="F223" s="470">
        <v>6032465</v>
      </c>
      <c r="G223" s="467" t="s">
        <v>1459</v>
      </c>
      <c r="H223" s="467"/>
      <c r="I223" s="467"/>
      <c r="J223" s="467"/>
      <c r="K223" s="467"/>
      <c r="L223" s="467"/>
      <c r="M223" s="467"/>
      <c r="N223" s="469"/>
    </row>
    <row r="224" spans="1:14">
      <c r="A224" s="451">
        <f t="shared" si="4"/>
        <v>218</v>
      </c>
      <c r="B224" s="680"/>
      <c r="D224" s="463" t="s">
        <v>1735</v>
      </c>
      <c r="G224" s="467" t="s">
        <v>1459</v>
      </c>
      <c r="H224" s="467"/>
      <c r="I224" s="467"/>
      <c r="J224" s="467"/>
      <c r="K224" s="467"/>
      <c r="L224" s="467"/>
      <c r="M224" s="467"/>
      <c r="N224" s="469"/>
    </row>
    <row r="225" spans="1:14">
      <c r="A225" s="451">
        <f t="shared" si="4"/>
        <v>219</v>
      </c>
      <c r="B225" s="680"/>
      <c r="D225" s="463" t="s">
        <v>1736</v>
      </c>
      <c r="E225" s="464" t="s">
        <v>11</v>
      </c>
      <c r="G225" s="467" t="s">
        <v>1459</v>
      </c>
      <c r="H225" s="467"/>
      <c r="I225" s="467"/>
      <c r="J225" s="467"/>
      <c r="K225" s="467"/>
      <c r="L225" s="467"/>
      <c r="M225" s="467"/>
      <c r="N225" s="469"/>
    </row>
    <row r="226" spans="1:14">
      <c r="A226" s="451">
        <f t="shared" si="4"/>
        <v>220</v>
      </c>
      <c r="B226" s="680" t="s">
        <v>343</v>
      </c>
      <c r="C226" s="462" t="s">
        <v>1737</v>
      </c>
      <c r="D226" s="463" t="s">
        <v>1738</v>
      </c>
      <c r="E226" s="464" t="s">
        <v>11</v>
      </c>
      <c r="F226" s="470">
        <v>2709424</v>
      </c>
      <c r="G226" s="467" t="s">
        <v>1459</v>
      </c>
      <c r="H226" s="467"/>
      <c r="I226" s="467"/>
      <c r="J226" s="467"/>
      <c r="K226" s="467"/>
      <c r="L226" s="467"/>
      <c r="M226" s="467"/>
      <c r="N226" s="469"/>
    </row>
    <row r="227" spans="1:14">
      <c r="A227" s="451">
        <f t="shared" si="4"/>
        <v>221</v>
      </c>
      <c r="B227" s="680"/>
      <c r="D227" s="463" t="s">
        <v>1740</v>
      </c>
      <c r="E227" s="464" t="s">
        <v>11</v>
      </c>
      <c r="G227" s="467" t="s">
        <v>1459</v>
      </c>
      <c r="H227" s="467"/>
      <c r="I227" s="467"/>
      <c r="J227" s="467"/>
      <c r="K227" s="467"/>
      <c r="L227" s="467"/>
      <c r="M227" s="467"/>
      <c r="N227" s="469"/>
    </row>
    <row r="228" spans="1:14">
      <c r="A228" s="451">
        <f t="shared" si="4"/>
        <v>222</v>
      </c>
      <c r="B228" s="680" t="s">
        <v>345</v>
      </c>
      <c r="C228" s="462" t="s">
        <v>1741</v>
      </c>
      <c r="D228" s="463" t="s">
        <v>1742</v>
      </c>
      <c r="E228" s="464" t="s">
        <v>11</v>
      </c>
      <c r="F228" s="470">
        <v>3760923</v>
      </c>
      <c r="G228" s="467" t="s">
        <v>1459</v>
      </c>
      <c r="H228" s="467"/>
      <c r="I228" s="467"/>
      <c r="J228" s="467"/>
      <c r="K228" s="467"/>
      <c r="L228" s="467"/>
      <c r="M228" s="467"/>
      <c r="N228" s="469"/>
    </row>
    <row r="229" spans="1:14">
      <c r="A229" s="451">
        <f t="shared" si="4"/>
        <v>223</v>
      </c>
      <c r="B229" s="680"/>
      <c r="D229" s="463" t="s">
        <v>1743</v>
      </c>
      <c r="E229" s="464" t="s">
        <v>11</v>
      </c>
      <c r="G229" s="467" t="s">
        <v>1459</v>
      </c>
      <c r="H229" s="467"/>
      <c r="I229" s="467"/>
      <c r="J229" s="467"/>
      <c r="K229" s="467"/>
      <c r="L229" s="467"/>
      <c r="M229" s="467"/>
      <c r="N229" s="469"/>
    </row>
    <row r="230" spans="1:14">
      <c r="A230" s="451">
        <f t="shared" si="4"/>
        <v>224</v>
      </c>
      <c r="B230" s="680"/>
      <c r="D230" s="463" t="s">
        <v>1744</v>
      </c>
      <c r="E230" s="464" t="s">
        <v>11</v>
      </c>
      <c r="G230" s="467" t="s">
        <v>1459</v>
      </c>
      <c r="H230" s="467"/>
      <c r="I230" s="467"/>
      <c r="J230" s="467"/>
      <c r="K230" s="467"/>
      <c r="L230" s="467"/>
      <c r="M230" s="467"/>
      <c r="N230" s="469"/>
    </row>
    <row r="231" spans="1:14">
      <c r="A231" s="451">
        <f t="shared" si="4"/>
        <v>225</v>
      </c>
      <c r="B231" s="680"/>
      <c r="D231" s="463" t="s">
        <v>1745</v>
      </c>
      <c r="E231" s="464" t="s">
        <v>11</v>
      </c>
      <c r="G231" s="467" t="s">
        <v>1459</v>
      </c>
      <c r="H231" s="467"/>
      <c r="I231" s="467"/>
      <c r="J231" s="467"/>
      <c r="K231" s="467"/>
      <c r="L231" s="467"/>
      <c r="M231" s="467"/>
      <c r="N231" s="469"/>
    </row>
    <row r="232" spans="1:14">
      <c r="A232" s="451">
        <f t="shared" si="4"/>
        <v>226</v>
      </c>
      <c r="B232" s="680"/>
      <c r="D232" s="463" t="s">
        <v>1746</v>
      </c>
      <c r="E232" s="464" t="s">
        <v>11</v>
      </c>
      <c r="G232" s="467" t="s">
        <v>1459</v>
      </c>
      <c r="H232" s="467"/>
      <c r="I232" s="467"/>
      <c r="J232" s="467"/>
      <c r="K232" s="467"/>
      <c r="L232" s="467"/>
      <c r="M232" s="467"/>
      <c r="N232" s="469"/>
    </row>
    <row r="233" spans="1:14">
      <c r="A233" s="451">
        <f t="shared" si="4"/>
        <v>227</v>
      </c>
      <c r="B233" s="680" t="s">
        <v>347</v>
      </c>
      <c r="C233" s="462" t="s">
        <v>1747</v>
      </c>
      <c r="D233" s="463" t="s">
        <v>1748</v>
      </c>
      <c r="E233" s="464" t="s">
        <v>11</v>
      </c>
      <c r="F233" s="470">
        <v>10852062</v>
      </c>
      <c r="G233" s="467" t="s">
        <v>1459</v>
      </c>
      <c r="H233" s="467"/>
      <c r="I233" s="467"/>
      <c r="J233" s="467"/>
      <c r="K233" s="467"/>
      <c r="L233" s="467"/>
      <c r="M233" s="467"/>
      <c r="N233" s="469" t="s">
        <v>1749</v>
      </c>
    </row>
    <row r="234" spans="1:14">
      <c r="A234" s="451">
        <f t="shared" si="4"/>
        <v>228</v>
      </c>
      <c r="B234" s="680"/>
      <c r="D234" s="463" t="s">
        <v>1750</v>
      </c>
      <c r="E234" s="464" t="s">
        <v>11</v>
      </c>
      <c r="G234" s="467" t="s">
        <v>1459</v>
      </c>
      <c r="H234" s="467"/>
      <c r="I234" s="467"/>
      <c r="J234" s="467"/>
      <c r="K234" s="467"/>
      <c r="L234" s="467"/>
      <c r="M234" s="467"/>
      <c r="N234" s="469"/>
    </row>
    <row r="235" spans="1:14">
      <c r="A235" s="451">
        <f t="shared" si="4"/>
        <v>229</v>
      </c>
      <c r="B235" s="680"/>
      <c r="D235" s="463" t="s">
        <v>1751</v>
      </c>
      <c r="E235" s="464" t="s">
        <v>11</v>
      </c>
      <c r="G235" s="467" t="s">
        <v>1459</v>
      </c>
      <c r="H235" s="467"/>
      <c r="I235" s="467"/>
      <c r="J235" s="467"/>
      <c r="K235" s="467"/>
      <c r="L235" s="467"/>
      <c r="M235" s="467"/>
      <c r="N235" s="469"/>
    </row>
    <row r="236" spans="1:14">
      <c r="A236" s="451">
        <f t="shared" si="4"/>
        <v>230</v>
      </c>
      <c r="B236" s="680"/>
      <c r="D236" s="463" t="s">
        <v>1752</v>
      </c>
      <c r="E236" s="464" t="s">
        <v>11</v>
      </c>
      <c r="G236" s="467" t="s">
        <v>1459</v>
      </c>
      <c r="H236" s="467"/>
      <c r="I236" s="467"/>
      <c r="J236" s="467"/>
      <c r="K236" s="467"/>
      <c r="L236" s="467"/>
      <c r="M236" s="467"/>
      <c r="N236" s="469"/>
    </row>
    <row r="237" spans="1:14">
      <c r="A237" s="451">
        <f t="shared" si="4"/>
        <v>231</v>
      </c>
      <c r="B237" s="680" t="s">
        <v>351</v>
      </c>
      <c r="C237" s="462" t="s">
        <v>1753</v>
      </c>
      <c r="D237" s="463" t="s">
        <v>2384</v>
      </c>
      <c r="E237" s="464" t="s">
        <v>11</v>
      </c>
      <c r="F237" s="470">
        <v>845694</v>
      </c>
      <c r="G237" s="467" t="s">
        <v>1459</v>
      </c>
      <c r="H237" s="467"/>
      <c r="I237" s="467"/>
      <c r="J237" s="467"/>
      <c r="K237" s="467"/>
      <c r="L237" s="467"/>
      <c r="M237" s="467"/>
      <c r="N237" s="469"/>
    </row>
    <row r="238" spans="1:14">
      <c r="A238" s="451">
        <f t="shared" si="4"/>
        <v>232</v>
      </c>
      <c r="B238" s="680"/>
      <c r="D238" s="463" t="s">
        <v>1754</v>
      </c>
      <c r="E238" s="464" t="s">
        <v>11</v>
      </c>
      <c r="G238" s="467" t="s">
        <v>1459</v>
      </c>
      <c r="H238" s="467"/>
      <c r="I238" s="467"/>
      <c r="J238" s="467"/>
      <c r="K238" s="467"/>
      <c r="L238" s="467"/>
      <c r="M238" s="467"/>
      <c r="N238" s="469"/>
    </row>
    <row r="239" spans="1:14">
      <c r="A239" s="451">
        <f t="shared" si="4"/>
        <v>233</v>
      </c>
      <c r="B239" s="680" t="s">
        <v>353</v>
      </c>
      <c r="C239" s="462" t="s">
        <v>1755</v>
      </c>
      <c r="D239" s="463" t="s">
        <v>1756</v>
      </c>
      <c r="E239" s="464" t="s">
        <v>11</v>
      </c>
      <c r="F239" s="470">
        <v>7737533</v>
      </c>
      <c r="G239" s="467" t="s">
        <v>1459</v>
      </c>
      <c r="H239" s="467"/>
      <c r="I239" s="467"/>
      <c r="J239" s="467"/>
      <c r="K239" s="467"/>
      <c r="L239" s="467"/>
      <c r="M239" s="467"/>
      <c r="N239" s="469"/>
    </row>
    <row r="240" spans="1:14">
      <c r="A240" s="451">
        <f t="shared" si="4"/>
        <v>234</v>
      </c>
      <c r="B240" s="680"/>
      <c r="D240" s="463" t="s">
        <v>1541</v>
      </c>
      <c r="E240" s="464" t="s">
        <v>11</v>
      </c>
      <c r="G240" s="467" t="s">
        <v>1459</v>
      </c>
      <c r="H240" s="467"/>
      <c r="I240" s="467"/>
      <c r="J240" s="467"/>
      <c r="K240" s="467"/>
      <c r="L240" s="467"/>
      <c r="M240" s="467"/>
      <c r="N240" s="469"/>
    </row>
    <row r="241" spans="1:14">
      <c r="A241" s="451">
        <f t="shared" si="4"/>
        <v>235</v>
      </c>
      <c r="B241" s="680"/>
      <c r="D241" s="463" t="s">
        <v>2509</v>
      </c>
      <c r="G241" s="467" t="s">
        <v>1459</v>
      </c>
      <c r="H241" s="467"/>
      <c r="I241" s="467"/>
      <c r="J241" s="467"/>
      <c r="K241" s="467"/>
      <c r="L241" s="467"/>
      <c r="M241" s="467"/>
      <c r="N241" s="469"/>
    </row>
    <row r="242" spans="1:14">
      <c r="A242" s="451">
        <f t="shared" si="4"/>
        <v>236</v>
      </c>
      <c r="B242" s="680"/>
      <c r="D242" s="463" t="s">
        <v>1757</v>
      </c>
      <c r="E242" s="464" t="s">
        <v>11</v>
      </c>
      <c r="G242" s="467" t="s">
        <v>1459</v>
      </c>
      <c r="H242" s="467"/>
      <c r="I242" s="467"/>
      <c r="J242" s="467"/>
      <c r="K242" s="467"/>
      <c r="L242" s="467"/>
      <c r="M242" s="467"/>
      <c r="N242" s="469"/>
    </row>
    <row r="243" spans="1:14">
      <c r="A243" s="451">
        <f t="shared" si="4"/>
        <v>237</v>
      </c>
      <c r="B243" s="680"/>
      <c r="D243" s="463" t="s">
        <v>1758</v>
      </c>
      <c r="E243" s="464" t="s">
        <v>11</v>
      </c>
      <c r="G243" s="467" t="s">
        <v>1459</v>
      </c>
      <c r="H243" s="467"/>
      <c r="I243" s="467"/>
      <c r="J243" s="467"/>
      <c r="K243" s="467"/>
      <c r="L243" s="467"/>
      <c r="M243" s="467"/>
      <c r="N243" s="469"/>
    </row>
    <row r="244" spans="1:14">
      <c r="A244" s="451">
        <f t="shared" si="4"/>
        <v>238</v>
      </c>
      <c r="B244" s="680"/>
      <c r="D244" s="463" t="s">
        <v>1759</v>
      </c>
      <c r="E244" s="464" t="s">
        <v>11</v>
      </c>
      <c r="G244" s="467" t="s">
        <v>1459</v>
      </c>
      <c r="H244" s="467"/>
      <c r="I244" s="467"/>
      <c r="J244" s="467"/>
      <c r="K244" s="467"/>
      <c r="L244" s="467"/>
      <c r="M244" s="467"/>
      <c r="N244" s="469"/>
    </row>
    <row r="245" spans="1:14">
      <c r="A245" s="451">
        <f t="shared" si="4"/>
        <v>239</v>
      </c>
      <c r="B245" s="680"/>
      <c r="D245" s="463" t="s">
        <v>1760</v>
      </c>
      <c r="E245" s="464" t="s">
        <v>11</v>
      </c>
      <c r="G245" s="467" t="s">
        <v>1459</v>
      </c>
      <c r="H245" s="467"/>
      <c r="I245" s="467"/>
      <c r="J245" s="467"/>
      <c r="K245" s="467"/>
      <c r="L245" s="467"/>
      <c r="M245" s="467"/>
      <c r="N245" s="469"/>
    </row>
    <row r="246" spans="1:14">
      <c r="A246" s="451">
        <f t="shared" si="4"/>
        <v>240</v>
      </c>
      <c r="B246" s="680" t="s">
        <v>355</v>
      </c>
      <c r="C246" s="462" t="s">
        <v>1761</v>
      </c>
      <c r="D246" s="463" t="s">
        <v>1762</v>
      </c>
      <c r="E246" s="464" t="s">
        <v>11</v>
      </c>
      <c r="F246" s="470">
        <v>689069</v>
      </c>
      <c r="G246" s="467" t="s">
        <v>1459</v>
      </c>
      <c r="H246" s="467"/>
      <c r="I246" s="467"/>
      <c r="J246" s="467"/>
      <c r="K246" s="467"/>
      <c r="L246" s="467"/>
      <c r="M246" s="467"/>
      <c r="N246" s="469"/>
    </row>
    <row r="247" spans="1:14">
      <c r="A247" s="451">
        <f t="shared" si="4"/>
        <v>241</v>
      </c>
      <c r="B247" s="680"/>
      <c r="D247" s="463" t="s">
        <v>1763</v>
      </c>
      <c r="E247" s="464" t="s">
        <v>11</v>
      </c>
      <c r="G247" s="467" t="s">
        <v>1459</v>
      </c>
      <c r="H247" s="467"/>
      <c r="I247" s="467"/>
      <c r="J247" s="467"/>
      <c r="K247" s="467"/>
      <c r="L247" s="467"/>
      <c r="M247" s="467"/>
      <c r="N247" s="469"/>
    </row>
    <row r="248" spans="1:14">
      <c r="A248" s="451">
        <f t="shared" si="4"/>
        <v>242</v>
      </c>
      <c r="B248" s="680" t="s">
        <v>361</v>
      </c>
      <c r="C248" s="462" t="s">
        <v>1764</v>
      </c>
      <c r="D248" s="463" t="s">
        <v>1765</v>
      </c>
      <c r="E248" s="464" t="s">
        <v>11</v>
      </c>
      <c r="F248" s="470">
        <v>875329</v>
      </c>
      <c r="G248" s="467"/>
      <c r="H248" s="467" t="s">
        <v>1459</v>
      </c>
      <c r="I248" s="467" t="s">
        <v>1459</v>
      </c>
      <c r="J248" s="467"/>
      <c r="K248" s="467"/>
      <c r="L248" s="467"/>
      <c r="M248" s="467"/>
      <c r="N248" s="469" t="s">
        <v>1766</v>
      </c>
    </row>
    <row r="249" spans="1:14">
      <c r="A249" s="451">
        <f t="shared" si="4"/>
        <v>243</v>
      </c>
      <c r="B249" s="680" t="s">
        <v>357</v>
      </c>
      <c r="C249" s="462" t="s">
        <v>1767</v>
      </c>
      <c r="D249" s="463" t="s">
        <v>1768</v>
      </c>
      <c r="E249" s="464" t="s">
        <v>11</v>
      </c>
      <c r="F249" s="470">
        <v>6387656</v>
      </c>
      <c r="G249" s="467" t="s">
        <v>1459</v>
      </c>
      <c r="H249" s="467"/>
      <c r="I249" s="467"/>
      <c r="J249" s="467"/>
      <c r="K249" s="467"/>
      <c r="L249" s="467"/>
      <c r="M249" s="467"/>
      <c r="N249" s="469"/>
    </row>
    <row r="250" spans="1:14">
      <c r="A250" s="451">
        <f t="shared" si="4"/>
        <v>244</v>
      </c>
      <c r="B250" s="680"/>
      <c r="D250" s="463" t="s">
        <v>1541</v>
      </c>
      <c r="E250" s="464" t="s">
        <v>11</v>
      </c>
      <c r="G250" s="467" t="s">
        <v>1459</v>
      </c>
      <c r="H250" s="467"/>
      <c r="I250" s="467"/>
      <c r="J250" s="467"/>
      <c r="K250" s="467"/>
      <c r="L250" s="467"/>
      <c r="M250" s="467"/>
      <c r="N250" s="469"/>
    </row>
    <row r="251" spans="1:14" ht="28.8">
      <c r="A251" s="451">
        <f t="shared" si="4"/>
        <v>245</v>
      </c>
      <c r="B251" s="680"/>
      <c r="D251" s="463" t="s">
        <v>1769</v>
      </c>
      <c r="E251" s="464" t="s">
        <v>11</v>
      </c>
      <c r="G251" s="467" t="s">
        <v>1459</v>
      </c>
      <c r="H251" s="467"/>
      <c r="I251" s="467"/>
      <c r="J251" s="467"/>
      <c r="K251" s="467"/>
      <c r="L251" s="467"/>
      <c r="M251" s="467"/>
      <c r="N251" s="469"/>
    </row>
    <row r="252" spans="1:14">
      <c r="A252" s="451">
        <f t="shared" si="4"/>
        <v>246</v>
      </c>
      <c r="B252" s="680"/>
      <c r="D252" s="463" t="s">
        <v>1770</v>
      </c>
      <c r="E252" s="464" t="s">
        <v>11</v>
      </c>
      <c r="G252" s="467" t="s">
        <v>1459</v>
      </c>
      <c r="H252" s="467"/>
      <c r="I252" s="467"/>
      <c r="J252" s="467"/>
      <c r="K252" s="467"/>
      <c r="L252" s="467"/>
      <c r="M252" s="467"/>
      <c r="N252" s="469"/>
    </row>
    <row r="253" spans="1:14">
      <c r="A253" s="451">
        <f t="shared" si="4"/>
        <v>247</v>
      </c>
      <c r="B253" s="680"/>
      <c r="D253" s="463" t="s">
        <v>1771</v>
      </c>
      <c r="E253" s="464" t="s">
        <v>11</v>
      </c>
      <c r="G253" s="467" t="s">
        <v>1459</v>
      </c>
      <c r="H253" s="467"/>
      <c r="I253" s="467"/>
      <c r="J253" s="467"/>
      <c r="K253" s="467"/>
      <c r="L253" s="467"/>
      <c r="M253" s="467"/>
      <c r="N253" s="469"/>
    </row>
    <row r="254" spans="1:14">
      <c r="A254" s="451">
        <f t="shared" si="4"/>
        <v>248</v>
      </c>
      <c r="B254" s="680"/>
      <c r="D254" s="463" t="s">
        <v>1772</v>
      </c>
      <c r="E254" s="464" t="s">
        <v>11</v>
      </c>
      <c r="G254" s="467" t="s">
        <v>1459</v>
      </c>
      <c r="H254" s="467"/>
      <c r="I254" s="467"/>
      <c r="J254" s="467"/>
      <c r="K254" s="467"/>
      <c r="L254" s="467"/>
      <c r="M254" s="467"/>
      <c r="N254" s="469"/>
    </row>
    <row r="255" spans="1:14">
      <c r="A255" s="451">
        <f t="shared" si="4"/>
        <v>249</v>
      </c>
      <c r="B255" s="680" t="s">
        <v>359</v>
      </c>
      <c r="C255" s="462" t="s">
        <v>1773</v>
      </c>
      <c r="D255" s="463" t="s">
        <v>1774</v>
      </c>
      <c r="E255" s="464" t="s">
        <v>36</v>
      </c>
      <c r="F255" s="470">
        <v>1895702</v>
      </c>
      <c r="G255" s="467" t="s">
        <v>1459</v>
      </c>
      <c r="H255" s="467"/>
      <c r="I255" s="467"/>
      <c r="J255" s="467"/>
      <c r="K255" s="467"/>
      <c r="L255" s="467"/>
      <c r="M255" s="467"/>
      <c r="N255" s="469"/>
    </row>
    <row r="256" spans="1:14">
      <c r="A256" s="451">
        <f t="shared" si="4"/>
        <v>250</v>
      </c>
      <c r="B256" s="680"/>
      <c r="C256" s="462" t="s">
        <v>2296</v>
      </c>
      <c r="D256" s="463" t="s">
        <v>2297</v>
      </c>
      <c r="G256" s="467" t="s">
        <v>1459</v>
      </c>
      <c r="H256" s="467"/>
      <c r="I256" s="467"/>
      <c r="J256" s="467"/>
      <c r="K256" s="467"/>
      <c r="L256" s="467"/>
      <c r="M256" s="467"/>
      <c r="N256" s="469"/>
    </row>
    <row r="257" spans="1:14">
      <c r="A257" s="451">
        <f t="shared" si="4"/>
        <v>251</v>
      </c>
      <c r="B257" s="680"/>
      <c r="D257" s="463" t="s">
        <v>2298</v>
      </c>
      <c r="F257" s="465"/>
      <c r="G257" s="477" t="s">
        <v>1459</v>
      </c>
      <c r="H257" s="477"/>
      <c r="I257" s="478"/>
      <c r="J257" s="478"/>
      <c r="K257" s="477"/>
      <c r="L257" s="479"/>
      <c r="M257" s="480"/>
      <c r="N257" s="469"/>
    </row>
    <row r="258" spans="1:14">
      <c r="A258" s="451">
        <f t="shared" si="4"/>
        <v>252</v>
      </c>
      <c r="B258" s="680" t="s">
        <v>363</v>
      </c>
      <c r="C258" s="462" t="s">
        <v>1775</v>
      </c>
      <c r="D258" s="463" t="s">
        <v>1776</v>
      </c>
      <c r="E258" s="464" t="s">
        <v>11</v>
      </c>
      <c r="F258" s="470">
        <v>2888367</v>
      </c>
      <c r="G258" s="467" t="s">
        <v>1459</v>
      </c>
      <c r="H258" s="467"/>
      <c r="I258" s="467"/>
      <c r="J258" s="467"/>
      <c r="K258" s="467"/>
      <c r="L258" s="467"/>
      <c r="M258" s="467"/>
      <c r="N258" s="469"/>
    </row>
    <row r="259" spans="1:14">
      <c r="A259" s="451">
        <f t="shared" si="4"/>
        <v>253</v>
      </c>
      <c r="B259" s="680"/>
      <c r="D259" s="463" t="s">
        <v>1777</v>
      </c>
      <c r="E259" s="464" t="s">
        <v>11</v>
      </c>
      <c r="G259" s="467" t="s">
        <v>1459</v>
      </c>
      <c r="H259" s="467"/>
      <c r="I259" s="467"/>
      <c r="J259" s="467"/>
      <c r="K259" s="467"/>
      <c r="L259" s="467"/>
      <c r="M259" s="467"/>
      <c r="N259" s="469"/>
    </row>
    <row r="260" spans="1:14">
      <c r="A260" s="451">
        <f t="shared" si="4"/>
        <v>254</v>
      </c>
      <c r="B260" s="680"/>
      <c r="D260" s="463" t="s">
        <v>1778</v>
      </c>
      <c r="E260" s="464" t="s">
        <v>11</v>
      </c>
      <c r="G260" s="467" t="s">
        <v>1459</v>
      </c>
      <c r="H260" s="467"/>
      <c r="I260" s="467"/>
      <c r="J260" s="467"/>
      <c r="K260" s="468"/>
      <c r="L260" s="467"/>
      <c r="M260" s="467"/>
      <c r="N260" s="469"/>
    </row>
    <row r="261" spans="1:14">
      <c r="A261" s="451">
        <f t="shared" si="4"/>
        <v>255</v>
      </c>
      <c r="B261" s="680"/>
      <c r="D261" s="463" t="s">
        <v>1779</v>
      </c>
      <c r="E261" s="464" t="s">
        <v>11</v>
      </c>
      <c r="G261" s="467" t="s">
        <v>1459</v>
      </c>
      <c r="H261" s="467"/>
      <c r="I261" s="467"/>
      <c r="J261" s="467"/>
      <c r="K261" s="468"/>
      <c r="L261" s="467"/>
      <c r="M261" s="467"/>
      <c r="N261" s="469"/>
    </row>
    <row r="262" spans="1:14">
      <c r="A262" s="451">
        <f t="shared" si="4"/>
        <v>256</v>
      </c>
      <c r="B262" s="680"/>
      <c r="D262" s="463" t="s">
        <v>1780</v>
      </c>
      <c r="E262" s="464" t="s">
        <v>11</v>
      </c>
      <c r="G262" s="467" t="s">
        <v>1459</v>
      </c>
      <c r="H262" s="467"/>
      <c r="I262" s="467"/>
      <c r="J262" s="467"/>
      <c r="K262" s="468"/>
      <c r="L262" s="467"/>
      <c r="M262" s="467"/>
      <c r="N262" s="469"/>
    </row>
    <row r="263" spans="1:14">
      <c r="A263" s="451">
        <f t="shared" si="4"/>
        <v>257</v>
      </c>
      <c r="B263" s="680" t="s">
        <v>365</v>
      </c>
      <c r="C263" s="462" t="s">
        <v>1781</v>
      </c>
      <c r="D263" s="463" t="s">
        <v>1782</v>
      </c>
      <c r="E263" s="464" t="s">
        <v>11</v>
      </c>
      <c r="F263" s="470">
        <v>7229447</v>
      </c>
      <c r="G263" s="467" t="s">
        <v>1459</v>
      </c>
      <c r="H263" s="467"/>
      <c r="I263" s="467"/>
      <c r="J263" s="467"/>
      <c r="K263" s="468"/>
      <c r="L263" s="467"/>
      <c r="M263" s="467"/>
      <c r="N263" s="469"/>
    </row>
    <row r="264" spans="1:14">
      <c r="A264" s="451">
        <f t="shared" si="4"/>
        <v>258</v>
      </c>
      <c r="B264" s="680"/>
      <c r="D264" s="463" t="s">
        <v>1541</v>
      </c>
      <c r="E264" s="464" t="s">
        <v>11</v>
      </c>
      <c r="G264" s="467" t="s">
        <v>1459</v>
      </c>
      <c r="H264" s="467"/>
      <c r="I264" s="467"/>
      <c r="J264" s="467"/>
      <c r="K264" s="468"/>
      <c r="L264" s="467"/>
      <c r="M264" s="467"/>
      <c r="N264" s="469"/>
    </row>
    <row r="265" spans="1:14">
      <c r="A265" s="451">
        <f t="shared" si="4"/>
        <v>259</v>
      </c>
      <c r="B265" s="680"/>
      <c r="D265" s="463" t="s">
        <v>1783</v>
      </c>
      <c r="E265" s="464" t="s">
        <v>11</v>
      </c>
      <c r="G265" s="467" t="s">
        <v>1459</v>
      </c>
      <c r="H265" s="467"/>
      <c r="I265" s="467"/>
      <c r="J265" s="467"/>
      <c r="K265" s="468"/>
      <c r="L265" s="467"/>
      <c r="M265" s="467"/>
      <c r="N265" s="469"/>
    </row>
    <row r="266" spans="1:14">
      <c r="A266" s="451">
        <f t="shared" si="4"/>
        <v>260</v>
      </c>
      <c r="B266" s="680"/>
      <c r="D266" s="463" t="s">
        <v>1784</v>
      </c>
      <c r="E266" s="464" t="s">
        <v>11</v>
      </c>
      <c r="G266" s="467" t="s">
        <v>1459</v>
      </c>
      <c r="H266" s="467"/>
      <c r="I266" s="467"/>
      <c r="J266" s="467"/>
      <c r="K266" s="481"/>
      <c r="L266" s="467"/>
      <c r="M266" s="467"/>
      <c r="N266" s="469"/>
    </row>
    <row r="267" spans="1:14">
      <c r="A267" s="451">
        <f t="shared" si="4"/>
        <v>261</v>
      </c>
      <c r="B267" s="680" t="s">
        <v>367</v>
      </c>
      <c r="C267" s="462" t="s">
        <v>1785</v>
      </c>
      <c r="D267" s="463" t="s">
        <v>1786</v>
      </c>
      <c r="E267" s="464" t="s">
        <v>11</v>
      </c>
      <c r="F267" s="470">
        <v>1769604</v>
      </c>
      <c r="G267" s="467" t="s">
        <v>1459</v>
      </c>
      <c r="H267" s="467"/>
      <c r="I267" s="467"/>
      <c r="J267" s="467"/>
      <c r="K267" s="481"/>
      <c r="L267" s="467"/>
      <c r="M267" s="467"/>
      <c r="N267" s="469"/>
    </row>
    <row r="268" spans="1:14">
      <c r="A268" s="451">
        <f t="shared" si="4"/>
        <v>262</v>
      </c>
      <c r="B268" s="680"/>
      <c r="D268" s="463" t="s">
        <v>1787</v>
      </c>
      <c r="E268" s="464" t="s">
        <v>11</v>
      </c>
      <c r="G268" s="467" t="s">
        <v>1459</v>
      </c>
      <c r="H268" s="467"/>
      <c r="I268" s="467"/>
      <c r="J268" s="467"/>
      <c r="K268" s="468"/>
      <c r="L268" s="467"/>
      <c r="M268" s="467"/>
      <c r="N268" s="469"/>
    </row>
    <row r="269" spans="1:14" ht="28.8">
      <c r="A269" s="451">
        <f t="shared" si="4"/>
        <v>263</v>
      </c>
      <c r="B269" s="680"/>
      <c r="D269" s="463" t="s">
        <v>1466</v>
      </c>
      <c r="E269" s="464" t="s">
        <v>11</v>
      </c>
      <c r="G269" s="467"/>
      <c r="H269" s="467" t="s">
        <v>1459</v>
      </c>
      <c r="I269" s="467"/>
      <c r="J269" s="467"/>
      <c r="K269" s="468"/>
      <c r="L269" s="467"/>
      <c r="M269" s="467"/>
      <c r="N269" s="469" t="s">
        <v>1788</v>
      </c>
    </row>
    <row r="270" spans="1:14">
      <c r="A270" s="451">
        <f t="shared" si="4"/>
        <v>264</v>
      </c>
      <c r="B270" s="680" t="s">
        <v>369</v>
      </c>
      <c r="C270" s="462" t="s">
        <v>1789</v>
      </c>
      <c r="D270" s="463" t="s">
        <v>1605</v>
      </c>
      <c r="E270" s="464" t="s">
        <v>11</v>
      </c>
      <c r="F270" s="470">
        <v>1910050</v>
      </c>
      <c r="G270" s="467" t="s">
        <v>1459</v>
      </c>
      <c r="H270" s="467"/>
      <c r="I270" s="467"/>
      <c r="J270" s="467"/>
      <c r="K270" s="468"/>
      <c r="L270" s="467"/>
      <c r="M270" s="467"/>
      <c r="N270" s="469"/>
    </row>
    <row r="271" spans="1:14" ht="28.8">
      <c r="A271" s="451">
        <f t="shared" si="4"/>
        <v>265</v>
      </c>
      <c r="B271" s="680" t="s">
        <v>371</v>
      </c>
      <c r="C271" s="462" t="s">
        <v>1790</v>
      </c>
      <c r="D271" s="463" t="s">
        <v>1791</v>
      </c>
      <c r="E271" s="464" t="s">
        <v>11</v>
      </c>
      <c r="F271" s="470">
        <v>16311512</v>
      </c>
      <c r="G271" s="467" t="s">
        <v>1459</v>
      </c>
      <c r="H271" s="467"/>
      <c r="I271" s="467"/>
      <c r="J271" s="467"/>
      <c r="K271" s="468"/>
      <c r="L271" s="467"/>
      <c r="M271" s="467"/>
      <c r="N271" s="469"/>
    </row>
    <row r="272" spans="1:14">
      <c r="A272" s="451">
        <f t="shared" si="4"/>
        <v>266</v>
      </c>
      <c r="B272" s="680"/>
      <c r="D272" s="463" t="s">
        <v>1792</v>
      </c>
      <c r="E272" s="464" t="s">
        <v>11</v>
      </c>
      <c r="G272" s="467" t="s">
        <v>1459</v>
      </c>
      <c r="H272" s="467"/>
      <c r="I272" s="467"/>
      <c r="J272" s="467"/>
      <c r="K272" s="468"/>
      <c r="L272" s="467"/>
      <c r="M272" s="467"/>
      <c r="N272" s="469"/>
    </row>
    <row r="273" spans="1:14">
      <c r="A273" s="451">
        <f t="shared" si="4"/>
        <v>267</v>
      </c>
      <c r="B273" s="680"/>
      <c r="D273" s="463" t="s">
        <v>1793</v>
      </c>
      <c r="E273" s="464" t="s">
        <v>11</v>
      </c>
      <c r="G273" s="467" t="s">
        <v>1459</v>
      </c>
      <c r="H273" s="467"/>
      <c r="I273" s="467"/>
      <c r="J273" s="467"/>
      <c r="K273" s="468"/>
      <c r="L273" s="467"/>
      <c r="M273" s="467"/>
      <c r="N273" s="469"/>
    </row>
    <row r="274" spans="1:14" ht="28.8">
      <c r="A274" s="451">
        <f t="shared" si="4"/>
        <v>268</v>
      </c>
      <c r="B274" s="680"/>
      <c r="D274" s="463" t="s">
        <v>1794</v>
      </c>
      <c r="E274" s="464" t="s">
        <v>11</v>
      </c>
      <c r="G274" s="467" t="s">
        <v>1459</v>
      </c>
      <c r="H274" s="467"/>
      <c r="I274" s="467"/>
      <c r="J274" s="467"/>
      <c r="K274" s="468"/>
      <c r="L274" s="467"/>
      <c r="M274" s="467"/>
      <c r="N274" s="469"/>
    </row>
    <row r="275" spans="1:14">
      <c r="A275" s="451">
        <f t="shared" si="4"/>
        <v>269</v>
      </c>
      <c r="B275" s="680"/>
      <c r="D275" s="463" t="s">
        <v>1795</v>
      </c>
      <c r="E275" s="464" t="s">
        <v>11</v>
      </c>
      <c r="G275" s="467" t="s">
        <v>1459</v>
      </c>
      <c r="H275" s="467"/>
      <c r="I275" s="467"/>
      <c r="J275" s="467"/>
      <c r="K275" s="468"/>
      <c r="L275" s="467"/>
      <c r="M275" s="467"/>
      <c r="N275" s="469"/>
    </row>
    <row r="276" spans="1:14">
      <c r="A276" s="451">
        <f t="shared" ref="A276:A339" si="5">A275+1</f>
        <v>270</v>
      </c>
      <c r="B276" s="680"/>
      <c r="D276" s="463" t="s">
        <v>1796</v>
      </c>
      <c r="E276" s="464" t="s">
        <v>11</v>
      </c>
      <c r="G276" s="467" t="s">
        <v>1459</v>
      </c>
      <c r="H276" s="467"/>
      <c r="I276" s="467"/>
      <c r="J276" s="467"/>
      <c r="K276" s="468"/>
      <c r="L276" s="467"/>
      <c r="M276" s="467"/>
      <c r="N276" s="469"/>
    </row>
    <row r="277" spans="1:14">
      <c r="A277" s="451">
        <f t="shared" si="5"/>
        <v>271</v>
      </c>
      <c r="B277" s="680"/>
      <c r="D277" s="463" t="s">
        <v>1647</v>
      </c>
      <c r="E277" s="464" t="s">
        <v>11</v>
      </c>
      <c r="G277" s="467" t="s">
        <v>1459</v>
      </c>
      <c r="H277" s="467"/>
      <c r="I277" s="467"/>
      <c r="J277" s="467"/>
      <c r="K277" s="468"/>
      <c r="L277" s="467"/>
      <c r="M277" s="467"/>
      <c r="N277" s="469"/>
    </row>
    <row r="278" spans="1:14">
      <c r="A278" s="451">
        <f t="shared" si="5"/>
        <v>272</v>
      </c>
      <c r="B278" s="680" t="s">
        <v>373</v>
      </c>
      <c r="C278" s="462" t="s">
        <v>1797</v>
      </c>
      <c r="D278" s="463" t="s">
        <v>1798</v>
      </c>
      <c r="E278" s="464" t="s">
        <v>11</v>
      </c>
      <c r="F278" s="470">
        <v>722677</v>
      </c>
      <c r="G278" s="467" t="s">
        <v>1459</v>
      </c>
      <c r="H278" s="467"/>
      <c r="I278" s="467"/>
      <c r="J278" s="467"/>
      <c r="K278" s="468"/>
      <c r="L278" s="467"/>
      <c r="M278" s="467"/>
      <c r="N278" s="469"/>
    </row>
    <row r="279" spans="1:14">
      <c r="A279" s="451">
        <f t="shared" si="5"/>
        <v>273</v>
      </c>
      <c r="B279" s="680"/>
      <c r="D279" s="463" t="s">
        <v>1632</v>
      </c>
      <c r="E279" s="464" t="s">
        <v>11</v>
      </c>
      <c r="G279" s="467"/>
      <c r="H279" s="467" t="s">
        <v>1459</v>
      </c>
      <c r="I279" s="467"/>
      <c r="J279" s="467"/>
      <c r="K279" s="468"/>
      <c r="L279" s="467"/>
      <c r="M279" s="467"/>
      <c r="N279" s="469" t="s">
        <v>1799</v>
      </c>
    </row>
    <row r="280" spans="1:14">
      <c r="A280" s="451">
        <f t="shared" si="5"/>
        <v>274</v>
      </c>
      <c r="B280" s="680"/>
      <c r="D280" s="463" t="s">
        <v>1800</v>
      </c>
      <c r="G280" s="467" t="s">
        <v>1459</v>
      </c>
      <c r="H280" s="467"/>
      <c r="I280" s="467"/>
      <c r="J280" s="467"/>
      <c r="K280" s="468"/>
      <c r="L280" s="467"/>
      <c r="M280" s="467"/>
      <c r="N280" s="469"/>
    </row>
    <row r="281" spans="1:14">
      <c r="A281" s="451">
        <f t="shared" si="5"/>
        <v>275</v>
      </c>
      <c r="B281" s="680" t="s">
        <v>375</v>
      </c>
      <c r="C281" s="462" t="s">
        <v>1801</v>
      </c>
      <c r="D281" s="463" t="s">
        <v>1802</v>
      </c>
      <c r="E281" s="464" t="s">
        <v>11</v>
      </c>
      <c r="F281" s="470">
        <v>1673183</v>
      </c>
      <c r="G281" s="467" t="s">
        <v>1459</v>
      </c>
      <c r="H281" s="467"/>
      <c r="I281" s="467"/>
      <c r="J281" s="467"/>
      <c r="K281" s="468"/>
      <c r="L281" s="467"/>
      <c r="M281" s="467"/>
      <c r="N281" s="469"/>
    </row>
    <row r="282" spans="1:14">
      <c r="A282" s="451">
        <f t="shared" si="5"/>
        <v>276</v>
      </c>
      <c r="B282" s="680"/>
      <c r="D282" s="463" t="s">
        <v>1632</v>
      </c>
      <c r="E282" s="464" t="s">
        <v>11</v>
      </c>
      <c r="G282" s="467"/>
      <c r="H282" s="467" t="s">
        <v>1459</v>
      </c>
      <c r="I282" s="467"/>
      <c r="J282" s="467"/>
      <c r="K282" s="468"/>
      <c r="L282" s="467"/>
      <c r="M282" s="467"/>
      <c r="N282" s="469" t="s">
        <v>1803</v>
      </c>
    </row>
    <row r="283" spans="1:14">
      <c r="A283" s="451">
        <f t="shared" si="5"/>
        <v>277</v>
      </c>
      <c r="B283" s="680"/>
      <c r="D283" s="463" t="s">
        <v>1804</v>
      </c>
      <c r="E283" s="464" t="s">
        <v>11</v>
      </c>
      <c r="G283" s="467"/>
      <c r="H283" s="467" t="s">
        <v>1459</v>
      </c>
      <c r="I283" s="467"/>
      <c r="J283" s="467"/>
      <c r="K283" s="468"/>
      <c r="L283" s="467"/>
      <c r="M283" s="467"/>
      <c r="N283" s="469" t="s">
        <v>1803</v>
      </c>
    </row>
    <row r="284" spans="1:14">
      <c r="A284" s="451">
        <f t="shared" si="5"/>
        <v>278</v>
      </c>
      <c r="B284" s="680"/>
      <c r="D284" s="463" t="s">
        <v>1805</v>
      </c>
      <c r="G284" s="467" t="s">
        <v>1459</v>
      </c>
      <c r="H284" s="467"/>
      <c r="I284" s="467"/>
      <c r="J284" s="467"/>
      <c r="K284" s="468"/>
      <c r="L284" s="467"/>
      <c r="M284" s="467"/>
      <c r="N284" s="469"/>
    </row>
    <row r="285" spans="1:14">
      <c r="A285" s="451">
        <f t="shared" si="5"/>
        <v>279</v>
      </c>
      <c r="B285" s="680" t="s">
        <v>1806</v>
      </c>
      <c r="C285" s="462" t="s">
        <v>1807</v>
      </c>
      <c r="D285" s="463" t="s">
        <v>1808</v>
      </c>
      <c r="E285" s="464" t="s">
        <v>36</v>
      </c>
      <c r="G285" s="467" t="s">
        <v>1459</v>
      </c>
      <c r="H285" s="467"/>
      <c r="I285" s="467"/>
      <c r="J285" s="467"/>
      <c r="K285" s="468"/>
      <c r="L285" s="467"/>
      <c r="M285" s="467"/>
      <c r="N285" s="469"/>
    </row>
    <row r="286" spans="1:14">
      <c r="A286" s="451">
        <f t="shared" si="5"/>
        <v>280</v>
      </c>
      <c r="B286" s="680" t="s">
        <v>377</v>
      </c>
      <c r="C286" s="462" t="s">
        <v>1809</v>
      </c>
      <c r="D286" s="463" t="s">
        <v>1810</v>
      </c>
      <c r="E286" s="464" t="s">
        <v>11</v>
      </c>
      <c r="F286" s="470">
        <v>1663692</v>
      </c>
      <c r="G286" s="467" t="s">
        <v>1459</v>
      </c>
      <c r="H286" s="467"/>
      <c r="I286" s="467"/>
      <c r="J286" s="467"/>
      <c r="K286" s="468"/>
      <c r="L286" s="467"/>
      <c r="M286" s="467"/>
      <c r="N286" s="469"/>
    </row>
    <row r="287" spans="1:14">
      <c r="A287" s="451">
        <f t="shared" si="5"/>
        <v>281</v>
      </c>
      <c r="B287" s="680"/>
      <c r="D287" s="463" t="s">
        <v>1811</v>
      </c>
      <c r="E287" s="464" t="s">
        <v>11</v>
      </c>
      <c r="G287" s="467" t="s">
        <v>1459</v>
      </c>
      <c r="H287" s="467"/>
      <c r="I287" s="467"/>
      <c r="J287" s="467"/>
      <c r="K287" s="468"/>
      <c r="L287" s="467"/>
      <c r="M287" s="467"/>
      <c r="N287" s="469"/>
    </row>
    <row r="288" spans="1:14">
      <c r="A288" s="451">
        <f t="shared" si="5"/>
        <v>282</v>
      </c>
      <c r="B288" s="680" t="s">
        <v>379</v>
      </c>
      <c r="C288" s="462" t="s">
        <v>1812</v>
      </c>
      <c r="D288" s="463" t="s">
        <v>1813</v>
      </c>
      <c r="E288" s="464" t="s">
        <v>11</v>
      </c>
      <c r="F288" s="470">
        <v>3881526</v>
      </c>
      <c r="G288" s="467" t="s">
        <v>1459</v>
      </c>
      <c r="H288" s="467"/>
      <c r="I288" s="467"/>
      <c r="J288" s="467"/>
      <c r="K288" s="468"/>
      <c r="L288" s="467"/>
      <c r="M288" s="467"/>
      <c r="N288" s="469"/>
    </row>
    <row r="289" spans="1:14">
      <c r="A289" s="451">
        <f t="shared" si="5"/>
        <v>283</v>
      </c>
      <c r="B289" s="680"/>
      <c r="D289" s="463" t="s">
        <v>1814</v>
      </c>
      <c r="E289" s="464" t="s">
        <v>11</v>
      </c>
      <c r="G289" s="467" t="s">
        <v>1459</v>
      </c>
      <c r="H289" s="467"/>
      <c r="I289" s="467"/>
      <c r="J289" s="467"/>
      <c r="K289" s="468"/>
      <c r="L289" s="467"/>
      <c r="M289" s="467"/>
      <c r="N289" s="469"/>
    </row>
    <row r="290" spans="1:14">
      <c r="A290" s="451">
        <f t="shared" si="5"/>
        <v>284</v>
      </c>
      <c r="B290" s="680"/>
      <c r="D290" s="463" t="s">
        <v>1815</v>
      </c>
      <c r="E290" s="464" t="s">
        <v>11</v>
      </c>
      <c r="G290" s="467" t="s">
        <v>1459</v>
      </c>
      <c r="H290" s="467"/>
      <c r="I290" s="467"/>
      <c r="J290" s="467"/>
      <c r="K290" s="468"/>
      <c r="L290" s="467"/>
      <c r="M290" s="467"/>
      <c r="N290" s="469"/>
    </row>
    <row r="291" spans="1:14" ht="28.8">
      <c r="A291" s="451">
        <f t="shared" si="5"/>
        <v>285</v>
      </c>
      <c r="B291" s="680"/>
      <c r="D291" s="463" t="s">
        <v>1816</v>
      </c>
      <c r="E291" s="464" t="s">
        <v>11</v>
      </c>
      <c r="G291" s="467"/>
      <c r="H291" s="467" t="s">
        <v>1459</v>
      </c>
      <c r="I291" s="467"/>
      <c r="J291" s="467"/>
      <c r="K291" s="468"/>
      <c r="L291" s="467"/>
      <c r="M291" s="467"/>
      <c r="N291" s="469" t="s">
        <v>1817</v>
      </c>
    </row>
    <row r="292" spans="1:14">
      <c r="A292" s="451">
        <f t="shared" si="5"/>
        <v>286</v>
      </c>
      <c r="B292" s="680"/>
      <c r="D292" s="463" t="s">
        <v>1818</v>
      </c>
      <c r="G292" s="467" t="s">
        <v>1459</v>
      </c>
      <c r="H292" s="467"/>
      <c r="I292" s="467"/>
      <c r="J292" s="467"/>
      <c r="K292" s="468"/>
      <c r="L292" s="467"/>
      <c r="M292" s="467"/>
      <c r="N292" s="469"/>
    </row>
    <row r="293" spans="1:14" ht="28.8">
      <c r="A293" s="451">
        <f t="shared" si="5"/>
        <v>287</v>
      </c>
      <c r="B293" s="680" t="s">
        <v>383</v>
      </c>
      <c r="C293" s="462" t="s">
        <v>1819</v>
      </c>
      <c r="D293" s="463" t="s">
        <v>1820</v>
      </c>
      <c r="E293" s="464" t="s">
        <v>11</v>
      </c>
      <c r="F293" s="470">
        <v>4281555</v>
      </c>
      <c r="G293" s="467" t="s">
        <v>1459</v>
      </c>
      <c r="H293" s="467"/>
      <c r="I293" s="467"/>
      <c r="J293" s="467"/>
      <c r="K293" s="467"/>
      <c r="L293" s="467"/>
      <c r="M293" s="467"/>
      <c r="N293" s="469"/>
    </row>
    <row r="294" spans="1:14">
      <c r="A294" s="451">
        <f t="shared" si="5"/>
        <v>288</v>
      </c>
      <c r="B294" s="680"/>
      <c r="D294" s="463" t="s">
        <v>1821</v>
      </c>
      <c r="E294" s="464" t="s">
        <v>11</v>
      </c>
      <c r="G294" s="467" t="s">
        <v>1459</v>
      </c>
      <c r="H294" s="467"/>
      <c r="I294" s="467"/>
      <c r="J294" s="467"/>
      <c r="K294" s="467"/>
      <c r="L294" s="467"/>
      <c r="M294" s="467"/>
      <c r="N294" s="469"/>
    </row>
    <row r="295" spans="1:14">
      <c r="A295" s="451">
        <f t="shared" si="5"/>
        <v>289</v>
      </c>
      <c r="B295" s="680"/>
      <c r="D295" s="463" t="s">
        <v>1822</v>
      </c>
      <c r="E295" s="464" t="s">
        <v>11</v>
      </c>
      <c r="G295" s="467" t="s">
        <v>1459</v>
      </c>
      <c r="H295" s="467"/>
      <c r="I295" s="467"/>
      <c r="J295" s="467"/>
      <c r="K295" s="467"/>
      <c r="L295" s="467"/>
      <c r="M295" s="467"/>
      <c r="N295" s="469"/>
    </row>
    <row r="296" spans="1:14">
      <c r="A296" s="451">
        <f t="shared" si="5"/>
        <v>290</v>
      </c>
      <c r="B296" s="680"/>
      <c r="D296" s="463" t="s">
        <v>1823</v>
      </c>
      <c r="E296" s="464" t="s">
        <v>11</v>
      </c>
      <c r="G296" s="467" t="s">
        <v>1459</v>
      </c>
      <c r="H296" s="467"/>
      <c r="I296" s="467"/>
      <c r="J296" s="467"/>
      <c r="K296" s="467"/>
      <c r="L296" s="467"/>
      <c r="M296" s="467"/>
      <c r="N296" s="469"/>
    </row>
    <row r="297" spans="1:14">
      <c r="A297" s="451">
        <f t="shared" si="5"/>
        <v>291</v>
      </c>
      <c r="B297" s="680" t="s">
        <v>387</v>
      </c>
      <c r="C297" s="462" t="s">
        <v>1824</v>
      </c>
      <c r="D297" s="463" t="s">
        <v>1825</v>
      </c>
      <c r="E297" s="464" t="s">
        <v>11</v>
      </c>
      <c r="F297" s="470">
        <v>623513</v>
      </c>
      <c r="G297" s="467" t="s">
        <v>1459</v>
      </c>
      <c r="H297" s="467"/>
      <c r="I297" s="467"/>
      <c r="J297" s="467"/>
      <c r="K297" s="467"/>
      <c r="L297" s="467"/>
      <c r="M297" s="467"/>
      <c r="N297" s="469"/>
    </row>
    <row r="298" spans="1:14">
      <c r="A298" s="451">
        <f t="shared" si="5"/>
        <v>292</v>
      </c>
      <c r="B298" s="680" t="s">
        <v>389</v>
      </c>
      <c r="C298" s="462" t="s">
        <v>1826</v>
      </c>
      <c r="D298" s="463" t="s">
        <v>1827</v>
      </c>
      <c r="E298" s="464" t="s">
        <v>36</v>
      </c>
      <c r="F298" s="470">
        <v>1147874</v>
      </c>
      <c r="G298" s="467" t="s">
        <v>1459</v>
      </c>
      <c r="H298" s="467"/>
      <c r="I298" s="467"/>
      <c r="J298" s="467"/>
      <c r="K298" s="467"/>
      <c r="L298" s="467"/>
      <c r="M298" s="467"/>
      <c r="N298" s="469"/>
    </row>
    <row r="299" spans="1:14">
      <c r="A299" s="451">
        <f t="shared" si="5"/>
        <v>293</v>
      </c>
      <c r="B299" s="680"/>
      <c r="D299" s="463" t="s">
        <v>1828</v>
      </c>
      <c r="E299" s="464" t="s">
        <v>36</v>
      </c>
      <c r="G299" s="467" t="s">
        <v>1459</v>
      </c>
      <c r="H299" s="467"/>
      <c r="I299" s="467"/>
      <c r="J299" s="467"/>
      <c r="K299" s="467"/>
      <c r="L299" s="467"/>
      <c r="M299" s="467"/>
      <c r="N299" s="469"/>
    </row>
    <row r="300" spans="1:14" ht="28.8">
      <c r="A300" s="451">
        <f t="shared" si="5"/>
        <v>294</v>
      </c>
      <c r="B300" s="680" t="s">
        <v>391</v>
      </c>
      <c r="C300" s="462" t="s">
        <v>1829</v>
      </c>
      <c r="D300" s="463" t="s">
        <v>2299</v>
      </c>
      <c r="E300" s="464" t="s">
        <v>11</v>
      </c>
      <c r="F300" s="470">
        <v>5686832</v>
      </c>
      <c r="G300" s="467" t="s">
        <v>1459</v>
      </c>
      <c r="H300" s="467"/>
      <c r="I300" s="467"/>
      <c r="J300" s="467"/>
      <c r="K300" s="467"/>
      <c r="L300" s="467"/>
      <c r="M300" s="467"/>
      <c r="N300" s="469"/>
    </row>
    <row r="301" spans="1:14">
      <c r="A301" s="451">
        <f t="shared" si="5"/>
        <v>295</v>
      </c>
      <c r="B301" s="680"/>
      <c r="D301" s="463" t="s">
        <v>1830</v>
      </c>
      <c r="E301" s="464" t="s">
        <v>11</v>
      </c>
      <c r="G301" s="467" t="s">
        <v>1459</v>
      </c>
      <c r="H301" s="467"/>
      <c r="I301" s="467"/>
      <c r="J301" s="467"/>
      <c r="K301" s="467"/>
      <c r="L301" s="467"/>
      <c r="M301" s="467"/>
      <c r="N301" s="469"/>
    </row>
    <row r="302" spans="1:14">
      <c r="A302" s="451">
        <f t="shared" si="5"/>
        <v>296</v>
      </c>
      <c r="B302" s="680"/>
      <c r="D302" s="463" t="s">
        <v>1831</v>
      </c>
      <c r="E302" s="464" t="s">
        <v>11</v>
      </c>
      <c r="G302" s="467" t="s">
        <v>1459</v>
      </c>
      <c r="H302" s="467"/>
      <c r="I302" s="467"/>
      <c r="J302" s="467"/>
      <c r="K302" s="467"/>
      <c r="L302" s="467"/>
      <c r="M302" s="467"/>
      <c r="N302" s="469"/>
    </row>
    <row r="303" spans="1:14">
      <c r="A303" s="451">
        <f t="shared" si="5"/>
        <v>297</v>
      </c>
      <c r="B303" s="680"/>
      <c r="D303" s="463" t="s">
        <v>1832</v>
      </c>
      <c r="G303" s="467" t="s">
        <v>1459</v>
      </c>
      <c r="H303" s="467"/>
      <c r="I303" s="467"/>
      <c r="J303" s="467"/>
      <c r="K303" s="467"/>
      <c r="L303" s="467"/>
      <c r="M303" s="467"/>
      <c r="N303" s="469"/>
    </row>
    <row r="304" spans="1:14">
      <c r="A304" s="451">
        <f t="shared" si="5"/>
        <v>298</v>
      </c>
      <c r="B304" s="680" t="s">
        <v>397</v>
      </c>
      <c r="C304" s="462" t="s">
        <v>1833</v>
      </c>
      <c r="D304" s="463" t="s">
        <v>1834</v>
      </c>
      <c r="E304" s="464" t="s">
        <v>36</v>
      </c>
      <c r="F304" s="470">
        <v>5035255</v>
      </c>
      <c r="G304" s="467" t="s">
        <v>1459</v>
      </c>
      <c r="H304" s="467"/>
      <c r="I304" s="467"/>
      <c r="J304" s="467"/>
      <c r="K304" s="467"/>
      <c r="L304" s="467"/>
      <c r="M304" s="467"/>
      <c r="N304" s="469"/>
    </row>
    <row r="305" spans="1:14">
      <c r="A305" s="451">
        <f t="shared" si="5"/>
        <v>299</v>
      </c>
      <c r="B305" s="680"/>
      <c r="D305" s="463" t="s">
        <v>1750</v>
      </c>
      <c r="E305" s="464" t="s">
        <v>36</v>
      </c>
      <c r="G305" s="467" t="s">
        <v>1459</v>
      </c>
      <c r="H305" s="467"/>
      <c r="I305" s="467"/>
      <c r="J305" s="467"/>
      <c r="K305" s="467"/>
      <c r="L305" s="467"/>
      <c r="M305" s="467"/>
      <c r="N305" s="469"/>
    </row>
    <row r="306" spans="1:14">
      <c r="A306" s="451">
        <f t="shared" si="5"/>
        <v>300</v>
      </c>
      <c r="B306" s="680"/>
      <c r="D306" s="463" t="s">
        <v>1835</v>
      </c>
      <c r="E306" s="464" t="s">
        <v>36</v>
      </c>
      <c r="G306" s="467" t="s">
        <v>1459</v>
      </c>
      <c r="H306" s="467"/>
      <c r="I306" s="467"/>
      <c r="J306" s="467"/>
      <c r="K306" s="467"/>
      <c r="L306" s="467"/>
      <c r="M306" s="467"/>
      <c r="N306" s="469"/>
    </row>
    <row r="307" spans="1:14">
      <c r="A307" s="451">
        <f t="shared" si="5"/>
        <v>301</v>
      </c>
      <c r="B307" s="680"/>
      <c r="D307" s="463" t="s">
        <v>1560</v>
      </c>
      <c r="E307" s="464" t="s">
        <v>36</v>
      </c>
      <c r="G307" s="467" t="s">
        <v>1459</v>
      </c>
      <c r="H307" s="467"/>
      <c r="I307" s="467"/>
      <c r="J307" s="467"/>
      <c r="K307" s="467"/>
      <c r="L307" s="467"/>
      <c r="M307" s="467"/>
      <c r="N307" s="469"/>
    </row>
    <row r="308" spans="1:14">
      <c r="A308" s="451">
        <f t="shared" si="5"/>
        <v>302</v>
      </c>
      <c r="B308" s="680"/>
      <c r="D308" s="463" t="s">
        <v>1836</v>
      </c>
      <c r="E308" s="464" t="s">
        <v>36</v>
      </c>
      <c r="G308" s="467" t="s">
        <v>1459</v>
      </c>
      <c r="H308" s="467"/>
      <c r="I308" s="467"/>
      <c r="J308" s="467"/>
      <c r="K308" s="467"/>
      <c r="L308" s="467"/>
      <c r="M308" s="467"/>
      <c r="N308" s="469"/>
    </row>
    <row r="309" spans="1:14" ht="28.8">
      <c r="A309" s="451">
        <f t="shared" si="5"/>
        <v>303</v>
      </c>
      <c r="B309" s="680" t="s">
        <v>1837</v>
      </c>
      <c r="C309" s="462" t="s">
        <v>1838</v>
      </c>
      <c r="D309" s="463" t="s">
        <v>1839</v>
      </c>
      <c r="E309" s="464" t="s">
        <v>11</v>
      </c>
      <c r="F309" s="470">
        <v>16733099</v>
      </c>
      <c r="G309" s="467" t="s">
        <v>1459</v>
      </c>
      <c r="H309" s="467"/>
      <c r="I309" s="467"/>
      <c r="J309" s="467"/>
      <c r="K309" s="467"/>
      <c r="L309" s="467"/>
      <c r="M309" s="467"/>
      <c r="N309" s="469"/>
    </row>
    <row r="310" spans="1:14">
      <c r="A310" s="451">
        <f t="shared" si="5"/>
        <v>304</v>
      </c>
      <c r="B310" s="680"/>
      <c r="D310" s="463" t="s">
        <v>1840</v>
      </c>
      <c r="E310" s="464" t="s">
        <v>11</v>
      </c>
      <c r="G310" s="467" t="s">
        <v>1459</v>
      </c>
      <c r="H310" s="467"/>
      <c r="I310" s="467"/>
      <c r="J310" s="467"/>
      <c r="K310" s="467"/>
      <c r="L310" s="467"/>
      <c r="M310" s="467"/>
      <c r="N310" s="469"/>
    </row>
    <row r="311" spans="1:14">
      <c r="A311" s="451">
        <f t="shared" si="5"/>
        <v>305</v>
      </c>
      <c r="B311" s="680"/>
      <c r="D311" s="463" t="s">
        <v>1841</v>
      </c>
      <c r="E311" s="464" t="s">
        <v>11</v>
      </c>
      <c r="G311" s="467" t="s">
        <v>1459</v>
      </c>
      <c r="H311" s="467"/>
      <c r="I311" s="467"/>
      <c r="J311" s="467"/>
      <c r="K311" s="467"/>
      <c r="L311" s="467"/>
      <c r="M311" s="467"/>
      <c r="N311" s="469"/>
    </row>
    <row r="312" spans="1:14">
      <c r="A312" s="451">
        <f t="shared" si="5"/>
        <v>306</v>
      </c>
      <c r="B312" s="680"/>
      <c r="D312" s="463" t="s">
        <v>1842</v>
      </c>
      <c r="E312" s="464" t="s">
        <v>11</v>
      </c>
      <c r="G312" s="467" t="s">
        <v>1459</v>
      </c>
      <c r="H312" s="467"/>
      <c r="I312" s="467"/>
      <c r="J312" s="467"/>
      <c r="K312" s="467"/>
      <c r="L312" s="467"/>
      <c r="M312" s="467"/>
      <c r="N312" s="469"/>
    </row>
    <row r="313" spans="1:14">
      <c r="A313" s="451">
        <f t="shared" si="5"/>
        <v>307</v>
      </c>
      <c r="B313" s="680"/>
      <c r="D313" s="463" t="s">
        <v>1843</v>
      </c>
      <c r="E313" s="464" t="s">
        <v>11</v>
      </c>
      <c r="G313" s="467" t="s">
        <v>1459</v>
      </c>
      <c r="H313" s="467"/>
      <c r="I313" s="467"/>
      <c r="J313" s="467"/>
      <c r="K313" s="467"/>
      <c r="L313" s="467"/>
      <c r="M313" s="467"/>
      <c r="N313" s="469"/>
    </row>
    <row r="314" spans="1:14">
      <c r="A314" s="451">
        <f t="shared" si="5"/>
        <v>308</v>
      </c>
      <c r="B314" s="680"/>
      <c r="D314" s="463" t="s">
        <v>1844</v>
      </c>
      <c r="E314" s="464" t="s">
        <v>11</v>
      </c>
      <c r="G314" s="467" t="s">
        <v>1459</v>
      </c>
      <c r="H314" s="467" t="s">
        <v>1459</v>
      </c>
      <c r="I314" s="467"/>
      <c r="J314" s="467"/>
      <c r="K314" s="467"/>
      <c r="L314" s="467"/>
      <c r="M314" s="467"/>
      <c r="N314" s="469" t="s">
        <v>1845</v>
      </c>
    </row>
    <row r="315" spans="1:14">
      <c r="A315" s="451">
        <f t="shared" si="5"/>
        <v>309</v>
      </c>
      <c r="B315" s="680" t="s">
        <v>399</v>
      </c>
      <c r="C315" s="462" t="s">
        <v>1846</v>
      </c>
      <c r="D315" s="463" t="s">
        <v>1847</v>
      </c>
      <c r="E315" s="464" t="s">
        <v>11</v>
      </c>
      <c r="F315" s="470">
        <v>11004091</v>
      </c>
      <c r="G315" s="467" t="s">
        <v>1459</v>
      </c>
      <c r="H315" s="467"/>
      <c r="I315" s="467"/>
      <c r="J315" s="467"/>
      <c r="K315" s="467"/>
      <c r="L315" s="467"/>
      <c r="M315" s="467"/>
      <c r="N315" s="469"/>
    </row>
    <row r="316" spans="1:14">
      <c r="A316" s="451">
        <f t="shared" si="5"/>
        <v>310</v>
      </c>
      <c r="B316" s="680"/>
      <c r="D316" s="463" t="s">
        <v>1848</v>
      </c>
      <c r="E316" s="464" t="s">
        <v>11</v>
      </c>
      <c r="G316" s="467" t="s">
        <v>1459</v>
      </c>
      <c r="H316" s="467"/>
      <c r="I316" s="467"/>
      <c r="J316" s="467"/>
      <c r="K316" s="467"/>
      <c r="L316" s="467"/>
      <c r="M316" s="467"/>
      <c r="N316" s="469"/>
    </row>
    <row r="317" spans="1:14">
      <c r="A317" s="451">
        <f t="shared" si="5"/>
        <v>311</v>
      </c>
      <c r="B317" s="680"/>
      <c r="D317" s="463" t="s">
        <v>1849</v>
      </c>
      <c r="E317" s="464" t="s">
        <v>11</v>
      </c>
      <c r="G317" s="467" t="s">
        <v>1459</v>
      </c>
      <c r="H317" s="467"/>
      <c r="I317" s="467"/>
      <c r="J317" s="467"/>
      <c r="K317" s="467"/>
      <c r="L317" s="467"/>
      <c r="M317" s="467"/>
      <c r="N317" s="469"/>
    </row>
    <row r="318" spans="1:14">
      <c r="A318" s="451">
        <f t="shared" si="5"/>
        <v>312</v>
      </c>
      <c r="B318" s="680"/>
      <c r="D318" s="463" t="s">
        <v>1850</v>
      </c>
      <c r="E318" s="464" t="s">
        <v>11</v>
      </c>
      <c r="G318" s="467" t="s">
        <v>1459</v>
      </c>
      <c r="H318" s="467"/>
      <c r="I318" s="467"/>
      <c r="J318" s="467"/>
      <c r="K318" s="467"/>
      <c r="L318" s="467"/>
      <c r="M318" s="467"/>
      <c r="N318" s="469"/>
    </row>
    <row r="319" spans="1:14">
      <c r="A319" s="451">
        <f t="shared" si="5"/>
        <v>313</v>
      </c>
      <c r="B319" s="680"/>
      <c r="D319" s="463" t="s">
        <v>1851</v>
      </c>
      <c r="E319" s="464" t="s">
        <v>11</v>
      </c>
      <c r="G319" s="467" t="s">
        <v>1459</v>
      </c>
      <c r="H319" s="467"/>
      <c r="I319" s="467"/>
      <c r="J319" s="467"/>
      <c r="K319" s="467"/>
      <c r="L319" s="467"/>
      <c r="M319" s="467"/>
      <c r="N319" s="469"/>
    </row>
    <row r="320" spans="1:14">
      <c r="A320" s="451">
        <f t="shared" si="5"/>
        <v>314</v>
      </c>
      <c r="B320" s="680"/>
      <c r="D320" s="463" t="s">
        <v>1852</v>
      </c>
      <c r="E320" s="464" t="s">
        <v>11</v>
      </c>
      <c r="G320" s="467" t="s">
        <v>1459</v>
      </c>
      <c r="H320" s="467"/>
      <c r="I320" s="467"/>
      <c r="J320" s="467"/>
      <c r="K320" s="467"/>
      <c r="L320" s="467"/>
      <c r="M320" s="467"/>
      <c r="N320" s="469"/>
    </row>
    <row r="321" spans="1:14" ht="28.8">
      <c r="A321" s="451">
        <f t="shared" si="5"/>
        <v>315</v>
      </c>
      <c r="B321" s="680" t="s">
        <v>403</v>
      </c>
      <c r="C321" s="462" t="s">
        <v>1853</v>
      </c>
      <c r="D321" s="463" t="s">
        <v>1854</v>
      </c>
      <c r="E321" s="464" t="s">
        <v>11</v>
      </c>
      <c r="F321" s="470">
        <v>12916958</v>
      </c>
      <c r="G321" s="467" t="s">
        <v>1459</v>
      </c>
      <c r="H321" s="467"/>
      <c r="I321" s="467"/>
      <c r="J321" s="467"/>
      <c r="K321" s="467"/>
      <c r="L321" s="467"/>
      <c r="M321" s="467"/>
      <c r="N321" s="469"/>
    </row>
    <row r="322" spans="1:14">
      <c r="A322" s="451">
        <f t="shared" si="5"/>
        <v>316</v>
      </c>
      <c r="B322" s="680"/>
      <c r="D322" s="463" t="s">
        <v>1855</v>
      </c>
      <c r="E322" s="464" t="s">
        <v>11</v>
      </c>
      <c r="G322" s="467" t="s">
        <v>1459</v>
      </c>
      <c r="H322" s="467"/>
      <c r="I322" s="467"/>
      <c r="J322" s="467"/>
      <c r="K322" s="467"/>
      <c r="L322" s="467"/>
      <c r="M322" s="467"/>
      <c r="N322" s="469"/>
    </row>
    <row r="323" spans="1:14">
      <c r="A323" s="451">
        <f t="shared" si="5"/>
        <v>317</v>
      </c>
      <c r="B323" s="680"/>
      <c r="D323" s="463" t="s">
        <v>1856</v>
      </c>
      <c r="E323" s="464" t="s">
        <v>11</v>
      </c>
      <c r="G323" s="467" t="s">
        <v>1459</v>
      </c>
      <c r="H323" s="467"/>
      <c r="I323" s="467"/>
      <c r="J323" s="467"/>
      <c r="K323" s="467"/>
      <c r="L323" s="467"/>
      <c r="M323" s="467"/>
      <c r="N323" s="469"/>
    </row>
    <row r="324" spans="1:14">
      <c r="A324" s="451">
        <f t="shared" si="5"/>
        <v>318</v>
      </c>
      <c r="B324" s="680"/>
      <c r="D324" s="463" t="s">
        <v>1857</v>
      </c>
      <c r="E324" s="464" t="s">
        <v>11</v>
      </c>
      <c r="G324" s="467" t="s">
        <v>1459</v>
      </c>
      <c r="H324" s="467"/>
      <c r="I324" s="467"/>
      <c r="J324" s="467"/>
      <c r="K324" s="467"/>
      <c r="L324" s="467"/>
      <c r="M324" s="467"/>
      <c r="N324" s="469"/>
    </row>
    <row r="325" spans="1:14">
      <c r="A325" s="451">
        <f t="shared" si="5"/>
        <v>319</v>
      </c>
      <c r="B325" s="680"/>
      <c r="D325" s="463" t="s">
        <v>1858</v>
      </c>
      <c r="E325" s="464" t="s">
        <v>11</v>
      </c>
      <c r="G325" s="467" t="s">
        <v>1459</v>
      </c>
      <c r="H325" s="467"/>
      <c r="I325" s="467"/>
      <c r="J325" s="467"/>
      <c r="K325" s="467"/>
      <c r="L325" s="467"/>
      <c r="M325" s="467"/>
      <c r="N325" s="469"/>
    </row>
    <row r="326" spans="1:14" ht="28.8">
      <c r="A326" s="451">
        <f t="shared" si="5"/>
        <v>320</v>
      </c>
      <c r="B326" s="680"/>
      <c r="D326" s="463" t="s">
        <v>2343</v>
      </c>
      <c r="E326" s="464" t="s">
        <v>11</v>
      </c>
      <c r="G326" s="467" t="s">
        <v>1459</v>
      </c>
      <c r="H326" s="467"/>
      <c r="I326" s="467"/>
      <c r="J326" s="467"/>
      <c r="K326" s="467"/>
      <c r="L326" s="467"/>
      <c r="M326" s="467"/>
      <c r="N326" s="469"/>
    </row>
    <row r="327" spans="1:14">
      <c r="A327" s="451">
        <f t="shared" si="5"/>
        <v>321</v>
      </c>
      <c r="B327" s="680" t="s">
        <v>405</v>
      </c>
      <c r="C327" s="462" t="s">
        <v>1859</v>
      </c>
      <c r="D327" s="463" t="s">
        <v>2300</v>
      </c>
      <c r="E327" s="464" t="s">
        <v>11</v>
      </c>
      <c r="F327" s="470">
        <v>2518646</v>
      </c>
      <c r="G327" s="467" t="s">
        <v>1459</v>
      </c>
      <c r="H327" s="467"/>
      <c r="I327" s="467"/>
      <c r="J327" s="467"/>
      <c r="K327" s="467"/>
      <c r="L327" s="467"/>
      <c r="M327" s="467"/>
      <c r="N327" s="469"/>
    </row>
    <row r="328" spans="1:14">
      <c r="A328" s="451">
        <f t="shared" si="5"/>
        <v>322</v>
      </c>
      <c r="B328" s="680"/>
      <c r="D328" s="463" t="s">
        <v>2301</v>
      </c>
      <c r="E328" s="464" t="s">
        <v>11</v>
      </c>
      <c r="G328" s="467" t="s">
        <v>1459</v>
      </c>
      <c r="H328" s="467"/>
      <c r="I328" s="467"/>
      <c r="J328" s="467"/>
      <c r="K328" s="467"/>
      <c r="L328" s="467"/>
      <c r="M328" s="467"/>
      <c r="N328" s="469"/>
    </row>
    <row r="329" spans="1:14">
      <c r="A329" s="451">
        <f t="shared" si="5"/>
        <v>323</v>
      </c>
      <c r="B329" s="680"/>
      <c r="D329" s="463" t="s">
        <v>2302</v>
      </c>
      <c r="E329" s="464" t="s">
        <v>11</v>
      </c>
      <c r="G329" s="467" t="s">
        <v>1459</v>
      </c>
      <c r="H329" s="467"/>
      <c r="I329" s="467"/>
      <c r="J329" s="467"/>
      <c r="K329" s="467"/>
      <c r="L329" s="467"/>
      <c r="M329" s="467"/>
      <c r="N329" s="469"/>
    </row>
    <row r="330" spans="1:14">
      <c r="A330" s="451">
        <f t="shared" si="5"/>
        <v>324</v>
      </c>
      <c r="B330" s="680"/>
      <c r="D330" s="463" t="s">
        <v>2303</v>
      </c>
      <c r="E330" s="464" t="s">
        <v>11</v>
      </c>
      <c r="G330" s="467" t="s">
        <v>1459</v>
      </c>
      <c r="H330" s="467" t="s">
        <v>1459</v>
      </c>
      <c r="I330" s="467"/>
      <c r="J330" s="467"/>
      <c r="K330" s="467"/>
      <c r="L330" s="467"/>
      <c r="M330" s="467"/>
      <c r="N330" s="469" t="s">
        <v>1860</v>
      </c>
    </row>
    <row r="331" spans="1:14">
      <c r="A331" s="451">
        <f t="shared" si="5"/>
        <v>325</v>
      </c>
      <c r="B331" s="680"/>
      <c r="D331" s="463" t="s">
        <v>2304</v>
      </c>
      <c r="E331" s="464" t="s">
        <v>11</v>
      </c>
      <c r="G331" s="467" t="s">
        <v>1459</v>
      </c>
      <c r="H331" s="467"/>
      <c r="I331" s="467"/>
      <c r="J331" s="467"/>
      <c r="K331" s="467"/>
      <c r="L331" s="467"/>
      <c r="M331" s="467"/>
      <c r="N331" s="469"/>
    </row>
    <row r="332" spans="1:14">
      <c r="A332" s="451">
        <f t="shared" si="5"/>
        <v>326</v>
      </c>
      <c r="B332" s="680"/>
      <c r="C332" s="462" t="s">
        <v>1861</v>
      </c>
      <c r="D332" s="482" t="s">
        <v>2305</v>
      </c>
      <c r="G332" s="467" t="s">
        <v>1459</v>
      </c>
      <c r="H332" s="467"/>
      <c r="I332" s="467"/>
      <c r="J332" s="467"/>
      <c r="K332" s="467"/>
      <c r="L332" s="467"/>
      <c r="M332" s="467"/>
      <c r="N332" s="469"/>
    </row>
    <row r="333" spans="1:14">
      <c r="A333" s="451">
        <f t="shared" si="5"/>
        <v>327</v>
      </c>
      <c r="B333" s="680"/>
      <c r="D333" s="482" t="s">
        <v>1862</v>
      </c>
      <c r="G333" s="467" t="s">
        <v>1459</v>
      </c>
      <c r="H333" s="467"/>
      <c r="I333" s="467"/>
      <c r="J333" s="467"/>
      <c r="K333" s="467"/>
      <c r="L333" s="467"/>
      <c r="M333" s="467"/>
      <c r="N333" s="469"/>
    </row>
    <row r="334" spans="1:14">
      <c r="A334" s="451">
        <f t="shared" si="5"/>
        <v>328</v>
      </c>
      <c r="B334" s="680" t="s">
        <v>409</v>
      </c>
      <c r="C334" s="462" t="s">
        <v>1863</v>
      </c>
      <c r="D334" s="463" t="s">
        <v>1864</v>
      </c>
      <c r="E334" s="464" t="s">
        <v>11</v>
      </c>
      <c r="F334" s="470">
        <v>2344448</v>
      </c>
      <c r="G334" s="467" t="s">
        <v>1459</v>
      </c>
      <c r="H334" s="467"/>
      <c r="I334" s="467"/>
      <c r="J334" s="467"/>
      <c r="K334" s="467"/>
      <c r="L334" s="467"/>
      <c r="M334" s="467"/>
      <c r="N334" s="469"/>
    </row>
    <row r="335" spans="1:14">
      <c r="A335" s="451">
        <f t="shared" si="5"/>
        <v>329</v>
      </c>
      <c r="B335" s="680"/>
      <c r="D335" s="463" t="s">
        <v>1865</v>
      </c>
      <c r="E335" s="464" t="s">
        <v>11</v>
      </c>
      <c r="G335" s="467" t="s">
        <v>1459</v>
      </c>
      <c r="H335" s="467"/>
      <c r="I335" s="467"/>
      <c r="J335" s="467"/>
      <c r="K335" s="467"/>
      <c r="L335" s="467"/>
      <c r="M335" s="467"/>
      <c r="N335" s="469"/>
    </row>
    <row r="336" spans="1:14" ht="28.8">
      <c r="A336" s="451">
        <f t="shared" si="5"/>
        <v>330</v>
      </c>
      <c r="B336" s="680"/>
      <c r="D336" s="463" t="s">
        <v>1466</v>
      </c>
      <c r="E336" s="464" t="s">
        <v>11</v>
      </c>
      <c r="G336" s="467"/>
      <c r="H336" s="467" t="s">
        <v>1459</v>
      </c>
      <c r="I336" s="467"/>
      <c r="J336" s="467"/>
      <c r="K336" s="467"/>
      <c r="L336" s="467"/>
      <c r="M336" s="467"/>
      <c r="N336" s="469" t="s">
        <v>1866</v>
      </c>
    </row>
    <row r="337" spans="1:14" ht="28.8">
      <c r="A337" s="451">
        <f t="shared" si="5"/>
        <v>331</v>
      </c>
      <c r="B337" s="680"/>
      <c r="D337" s="463" t="s">
        <v>1867</v>
      </c>
      <c r="E337" s="464" t="s">
        <v>11</v>
      </c>
      <c r="G337" s="467"/>
      <c r="H337" s="467" t="s">
        <v>1459</v>
      </c>
      <c r="I337" s="467"/>
      <c r="J337" s="467"/>
      <c r="K337" s="467"/>
      <c r="L337" s="467"/>
      <c r="M337" s="467"/>
      <c r="N337" s="469" t="s">
        <v>1868</v>
      </c>
    </row>
    <row r="338" spans="1:14">
      <c r="A338" s="451">
        <f t="shared" si="5"/>
        <v>332</v>
      </c>
      <c r="B338" s="680" t="s">
        <v>944</v>
      </c>
      <c r="C338" s="462" t="s">
        <v>1869</v>
      </c>
      <c r="D338" s="463" t="s">
        <v>1870</v>
      </c>
      <c r="E338" s="464" t="s">
        <v>36</v>
      </c>
      <c r="G338" s="467"/>
      <c r="H338" s="467" t="s">
        <v>1459</v>
      </c>
      <c r="I338" s="467"/>
      <c r="J338" s="467"/>
      <c r="K338" s="467"/>
      <c r="L338" s="467"/>
      <c r="M338" s="467"/>
      <c r="N338" s="469" t="s">
        <v>1871</v>
      </c>
    </row>
    <row r="339" spans="1:14">
      <c r="A339" s="451">
        <f t="shared" si="5"/>
        <v>333</v>
      </c>
      <c r="B339" s="680"/>
      <c r="C339" s="462" t="s">
        <v>2306</v>
      </c>
      <c r="D339" s="463" t="s">
        <v>2385</v>
      </c>
      <c r="G339" s="467" t="s">
        <v>1459</v>
      </c>
      <c r="H339" s="467"/>
      <c r="I339" s="467"/>
      <c r="J339" s="467"/>
      <c r="K339" s="467"/>
      <c r="L339" s="467"/>
      <c r="M339" s="467"/>
      <c r="N339" s="469"/>
    </row>
    <row r="340" spans="1:14">
      <c r="A340" s="451">
        <f t="shared" ref="A340:A403" si="6">A339+1</f>
        <v>334</v>
      </c>
      <c r="B340" s="680"/>
      <c r="D340" s="463" t="s">
        <v>2386</v>
      </c>
      <c r="G340" s="467" t="s">
        <v>1459</v>
      </c>
      <c r="H340" s="467"/>
      <c r="I340" s="467"/>
      <c r="J340" s="467"/>
      <c r="K340" s="467"/>
      <c r="L340" s="467"/>
      <c r="M340" s="467"/>
      <c r="N340" s="469"/>
    </row>
    <row r="341" spans="1:14">
      <c r="A341" s="451">
        <f t="shared" si="6"/>
        <v>335</v>
      </c>
      <c r="B341" s="680" t="s">
        <v>411</v>
      </c>
      <c r="C341" s="462" t="s">
        <v>1872</v>
      </c>
      <c r="D341" s="463" t="s">
        <v>1873</v>
      </c>
      <c r="E341" s="464" t="s">
        <v>11</v>
      </c>
      <c r="F341" s="470">
        <v>882074</v>
      </c>
      <c r="G341" s="467" t="s">
        <v>1459</v>
      </c>
      <c r="H341" s="467"/>
      <c r="I341" s="467"/>
      <c r="J341" s="467"/>
      <c r="K341" s="467"/>
      <c r="L341" s="467"/>
      <c r="M341" s="467"/>
      <c r="N341" s="469"/>
    </row>
    <row r="342" spans="1:14">
      <c r="A342" s="451">
        <f t="shared" si="6"/>
        <v>336</v>
      </c>
      <c r="B342" s="680"/>
      <c r="D342" s="463" t="s">
        <v>1874</v>
      </c>
      <c r="E342" s="464" t="s">
        <v>11</v>
      </c>
      <c r="G342" s="467" t="s">
        <v>1459</v>
      </c>
      <c r="H342" s="467"/>
      <c r="I342" s="467"/>
      <c r="J342" s="467"/>
      <c r="K342" s="467"/>
      <c r="L342" s="467"/>
      <c r="M342" s="467"/>
      <c r="N342" s="469"/>
    </row>
    <row r="343" spans="1:14">
      <c r="A343" s="451">
        <f t="shared" si="6"/>
        <v>337</v>
      </c>
      <c r="B343" s="680" t="s">
        <v>413</v>
      </c>
      <c r="C343" s="462" t="s">
        <v>1875</v>
      </c>
      <c r="D343" s="463" t="s">
        <v>1876</v>
      </c>
      <c r="E343" s="464" t="s">
        <v>11</v>
      </c>
      <c r="F343" s="470">
        <v>12863876</v>
      </c>
      <c r="G343" s="467" t="s">
        <v>1459</v>
      </c>
      <c r="H343" s="467"/>
      <c r="I343" s="467"/>
      <c r="J343" s="467"/>
      <c r="K343" s="467"/>
      <c r="L343" s="467"/>
      <c r="M343" s="467"/>
      <c r="N343" s="469"/>
    </row>
    <row r="344" spans="1:14">
      <c r="A344" s="451">
        <f t="shared" si="6"/>
        <v>338</v>
      </c>
      <c r="B344" s="680"/>
      <c r="D344" s="463" t="s">
        <v>1750</v>
      </c>
      <c r="E344" s="464" t="s">
        <v>11</v>
      </c>
      <c r="G344" s="467" t="s">
        <v>1459</v>
      </c>
      <c r="H344" s="467"/>
      <c r="I344" s="467"/>
      <c r="J344" s="467"/>
      <c r="K344" s="467"/>
      <c r="L344" s="467"/>
      <c r="M344" s="467"/>
      <c r="N344" s="469"/>
    </row>
    <row r="345" spans="1:14">
      <c r="A345" s="451">
        <f t="shared" si="6"/>
        <v>339</v>
      </c>
      <c r="B345" s="680"/>
      <c r="D345" s="463" t="s">
        <v>1877</v>
      </c>
      <c r="E345" s="464" t="s">
        <v>11</v>
      </c>
      <c r="G345" s="467" t="s">
        <v>1459</v>
      </c>
      <c r="H345" s="467"/>
      <c r="I345" s="467"/>
      <c r="J345" s="467"/>
      <c r="K345" s="467"/>
      <c r="L345" s="467"/>
      <c r="M345" s="467"/>
      <c r="N345" s="469"/>
    </row>
    <row r="346" spans="1:14">
      <c r="A346" s="451">
        <f t="shared" si="6"/>
        <v>340</v>
      </c>
      <c r="B346" s="680"/>
      <c r="D346" s="463" t="s">
        <v>1878</v>
      </c>
      <c r="E346" s="464" t="s">
        <v>11</v>
      </c>
      <c r="G346" s="467" t="s">
        <v>1459</v>
      </c>
      <c r="H346" s="467"/>
      <c r="I346" s="467"/>
      <c r="J346" s="467"/>
      <c r="K346" s="467"/>
      <c r="L346" s="467"/>
      <c r="M346" s="467"/>
      <c r="N346" s="469"/>
    </row>
    <row r="347" spans="1:14">
      <c r="A347" s="451">
        <f t="shared" si="6"/>
        <v>341</v>
      </c>
      <c r="B347" s="680" t="s">
        <v>415</v>
      </c>
      <c r="C347" s="462" t="s">
        <v>1879</v>
      </c>
      <c r="D347" s="463" t="s">
        <v>1880</v>
      </c>
      <c r="E347" s="464" t="s">
        <v>11</v>
      </c>
      <c r="F347" s="470">
        <v>3786849</v>
      </c>
      <c r="G347" s="467" t="s">
        <v>1459</v>
      </c>
      <c r="H347" s="467"/>
      <c r="I347" s="467"/>
      <c r="J347" s="467"/>
      <c r="K347" s="467"/>
      <c r="L347" s="467"/>
      <c r="M347" s="467"/>
      <c r="N347" s="469"/>
    </row>
    <row r="348" spans="1:14">
      <c r="A348" s="451">
        <f t="shared" si="6"/>
        <v>342</v>
      </c>
      <c r="B348" s="680"/>
      <c r="D348" s="463" t="s">
        <v>1632</v>
      </c>
      <c r="E348" s="464" t="s">
        <v>11</v>
      </c>
      <c r="G348" s="467"/>
      <c r="H348" s="467" t="s">
        <v>1459</v>
      </c>
      <c r="I348" s="467" t="s">
        <v>1459</v>
      </c>
      <c r="J348" s="467"/>
      <c r="K348" s="467"/>
      <c r="L348" s="467"/>
      <c r="M348" s="467"/>
      <c r="N348" s="469" t="s">
        <v>1881</v>
      </c>
    </row>
    <row r="349" spans="1:14">
      <c r="A349" s="451">
        <f t="shared" si="6"/>
        <v>343</v>
      </c>
      <c r="B349" s="680"/>
      <c r="D349" s="463" t="s">
        <v>1882</v>
      </c>
      <c r="E349" s="464" t="s">
        <v>11</v>
      </c>
      <c r="G349" s="467" t="s">
        <v>1459</v>
      </c>
      <c r="H349" s="467"/>
      <c r="I349" s="467"/>
      <c r="J349" s="467"/>
      <c r="K349" s="467"/>
      <c r="L349" s="467"/>
      <c r="M349" s="467"/>
      <c r="N349" s="469"/>
    </row>
    <row r="350" spans="1:14">
      <c r="A350" s="451">
        <f t="shared" si="6"/>
        <v>344</v>
      </c>
      <c r="B350" s="680" t="s">
        <v>419</v>
      </c>
      <c r="C350" s="462" t="s">
        <v>1883</v>
      </c>
      <c r="D350" s="463" t="s">
        <v>1884</v>
      </c>
      <c r="E350" s="464" t="s">
        <v>11</v>
      </c>
      <c r="F350" s="470">
        <v>3206763</v>
      </c>
      <c r="G350" s="467" t="s">
        <v>1459</v>
      </c>
      <c r="H350" s="467"/>
      <c r="I350" s="467"/>
      <c r="J350" s="467"/>
      <c r="K350" s="467"/>
      <c r="L350" s="467"/>
      <c r="M350" s="467"/>
      <c r="N350" s="469"/>
    </row>
    <row r="351" spans="1:14">
      <c r="A351" s="451">
        <f t="shared" si="6"/>
        <v>345</v>
      </c>
      <c r="B351" s="680"/>
      <c r="D351" s="463" t="s">
        <v>1885</v>
      </c>
      <c r="G351" s="467" t="s">
        <v>1459</v>
      </c>
      <c r="H351" s="467"/>
      <c r="I351" s="467"/>
      <c r="J351" s="467"/>
      <c r="K351" s="467"/>
      <c r="L351" s="467"/>
      <c r="M351" s="467"/>
      <c r="N351" s="469"/>
    </row>
    <row r="352" spans="1:14">
      <c r="A352" s="451">
        <f t="shared" si="6"/>
        <v>346</v>
      </c>
      <c r="B352" s="680"/>
      <c r="C352" s="462" t="s">
        <v>2307</v>
      </c>
      <c r="D352" s="463" t="s">
        <v>2387</v>
      </c>
      <c r="G352" s="467" t="s">
        <v>1459</v>
      </c>
      <c r="H352" s="467"/>
      <c r="I352" s="467"/>
      <c r="J352" s="467"/>
      <c r="K352" s="467"/>
      <c r="L352" s="467"/>
      <c r="M352" s="467"/>
      <c r="N352" s="469"/>
    </row>
    <row r="353" spans="1:14">
      <c r="A353" s="451">
        <f t="shared" si="6"/>
        <v>347</v>
      </c>
      <c r="B353" s="680"/>
      <c r="D353" s="463" t="s">
        <v>2388</v>
      </c>
      <c r="G353" s="467" t="s">
        <v>1459</v>
      </c>
      <c r="H353" s="467"/>
      <c r="I353" s="467"/>
      <c r="J353" s="467"/>
      <c r="K353" s="467"/>
      <c r="L353" s="467"/>
      <c r="M353" s="467"/>
      <c r="N353" s="469"/>
    </row>
    <row r="354" spans="1:14">
      <c r="A354" s="451">
        <f t="shared" si="6"/>
        <v>348</v>
      </c>
      <c r="B354" s="680"/>
      <c r="D354" s="463" t="s">
        <v>2389</v>
      </c>
      <c r="G354" s="467" t="s">
        <v>1459</v>
      </c>
      <c r="H354" s="467"/>
      <c r="I354" s="467"/>
      <c r="J354" s="467"/>
      <c r="K354" s="467"/>
      <c r="L354" s="467"/>
      <c r="M354" s="467"/>
      <c r="N354" s="469"/>
    </row>
    <row r="355" spans="1:14">
      <c r="A355" s="451">
        <f t="shared" si="6"/>
        <v>349</v>
      </c>
      <c r="B355" s="680"/>
      <c r="D355" s="463" t="s">
        <v>2390</v>
      </c>
      <c r="G355" s="467" t="s">
        <v>1459</v>
      </c>
      <c r="H355" s="467"/>
      <c r="I355" s="467"/>
      <c r="J355" s="467"/>
      <c r="K355" s="467"/>
      <c r="L355" s="467"/>
      <c r="M355" s="467"/>
      <c r="N355" s="469"/>
    </row>
    <row r="356" spans="1:14">
      <c r="A356" s="451">
        <f t="shared" si="6"/>
        <v>350</v>
      </c>
      <c r="B356" s="680" t="s">
        <v>421</v>
      </c>
      <c r="C356" s="462" t="s">
        <v>1886</v>
      </c>
      <c r="D356" s="463" t="s">
        <v>1887</v>
      </c>
      <c r="E356" s="464" t="s">
        <v>11</v>
      </c>
      <c r="F356" s="470">
        <v>770265</v>
      </c>
      <c r="G356" s="467" t="s">
        <v>1459</v>
      </c>
      <c r="H356" s="467"/>
      <c r="I356" s="467"/>
      <c r="J356" s="467"/>
      <c r="K356" s="467"/>
      <c r="L356" s="467"/>
      <c r="M356" s="467"/>
      <c r="N356" s="469"/>
    </row>
    <row r="357" spans="1:14">
      <c r="A357" s="451">
        <f t="shared" si="6"/>
        <v>351</v>
      </c>
      <c r="B357" s="680"/>
      <c r="D357" s="463" t="s">
        <v>1888</v>
      </c>
      <c r="E357" s="464" t="s">
        <v>11</v>
      </c>
      <c r="G357" s="467" t="s">
        <v>1459</v>
      </c>
      <c r="H357" s="467"/>
      <c r="I357" s="467"/>
      <c r="J357" s="467"/>
      <c r="K357" s="467"/>
      <c r="L357" s="467"/>
      <c r="M357" s="467"/>
      <c r="N357" s="469"/>
    </row>
    <row r="358" spans="1:14">
      <c r="A358" s="451">
        <f t="shared" si="6"/>
        <v>352</v>
      </c>
      <c r="B358" s="680"/>
      <c r="C358" s="462" t="s">
        <v>2308</v>
      </c>
      <c r="D358" s="463" t="s">
        <v>2309</v>
      </c>
      <c r="F358" s="465"/>
      <c r="G358" s="477" t="s">
        <v>1459</v>
      </c>
      <c r="H358" s="477"/>
      <c r="I358" s="478"/>
      <c r="J358" s="478"/>
      <c r="K358" s="477"/>
      <c r="L358" s="479"/>
      <c r="M358" s="483"/>
      <c r="N358" s="484" t="s">
        <v>2310</v>
      </c>
    </row>
    <row r="359" spans="1:14">
      <c r="A359" s="451">
        <f t="shared" si="6"/>
        <v>353</v>
      </c>
      <c r="B359" s="680" t="s">
        <v>423</v>
      </c>
      <c r="C359" s="462" t="s">
        <v>1889</v>
      </c>
      <c r="D359" s="463" t="s">
        <v>1890</v>
      </c>
      <c r="E359" s="464" t="s">
        <v>11</v>
      </c>
      <c r="F359" s="470">
        <v>3111719</v>
      </c>
      <c r="G359" s="477" t="s">
        <v>1459</v>
      </c>
      <c r="H359" s="477"/>
      <c r="I359" s="477"/>
      <c r="J359" s="477"/>
      <c r="K359" s="485"/>
      <c r="L359" s="477"/>
      <c r="M359" s="477"/>
      <c r="N359" s="486"/>
    </row>
    <row r="360" spans="1:14">
      <c r="A360" s="451">
        <f t="shared" si="6"/>
        <v>354</v>
      </c>
      <c r="B360" s="680"/>
      <c r="D360" s="463" t="s">
        <v>2311</v>
      </c>
      <c r="F360" s="465"/>
      <c r="G360" s="477" t="s">
        <v>1459</v>
      </c>
      <c r="H360" s="477"/>
      <c r="I360" s="478"/>
      <c r="J360" s="478"/>
      <c r="K360" s="485"/>
      <c r="L360" s="479"/>
      <c r="M360" s="483"/>
      <c r="N360" s="486" t="s">
        <v>2310</v>
      </c>
    </row>
    <row r="361" spans="1:14">
      <c r="A361" s="451">
        <f t="shared" si="6"/>
        <v>355</v>
      </c>
      <c r="B361" s="680" t="s">
        <v>425</v>
      </c>
      <c r="C361" s="462" t="s">
        <v>1891</v>
      </c>
      <c r="D361" s="463" t="s">
        <v>1892</v>
      </c>
      <c r="E361" s="464" t="s">
        <v>11</v>
      </c>
      <c r="F361" s="470">
        <v>1115828</v>
      </c>
      <c r="G361" s="467" t="s">
        <v>1459</v>
      </c>
      <c r="H361" s="467"/>
      <c r="I361" s="467"/>
      <c r="J361" s="477"/>
      <c r="K361" s="468"/>
      <c r="L361" s="477"/>
      <c r="M361" s="467"/>
      <c r="N361" s="469"/>
    </row>
    <row r="362" spans="1:14">
      <c r="A362" s="451">
        <f t="shared" si="6"/>
        <v>356</v>
      </c>
      <c r="B362" s="680"/>
      <c r="D362" s="463" t="s">
        <v>1893</v>
      </c>
      <c r="E362" s="464" t="s">
        <v>11</v>
      </c>
      <c r="G362" s="467" t="s">
        <v>1459</v>
      </c>
      <c r="H362" s="467"/>
      <c r="I362" s="467"/>
      <c r="J362" s="467"/>
      <c r="K362" s="468"/>
      <c r="L362" s="467"/>
      <c r="M362" s="467"/>
      <c r="N362" s="469"/>
    </row>
    <row r="363" spans="1:14" ht="28.8">
      <c r="A363" s="451">
        <f t="shared" si="6"/>
        <v>357</v>
      </c>
      <c r="B363" s="680" t="s">
        <v>431</v>
      </c>
      <c r="C363" s="462" t="s">
        <v>1894</v>
      </c>
      <c r="D363" s="463" t="s">
        <v>1895</v>
      </c>
      <c r="E363" s="464" t="s">
        <v>11</v>
      </c>
      <c r="F363" s="470">
        <v>14589532</v>
      </c>
      <c r="G363" s="467" t="s">
        <v>1459</v>
      </c>
      <c r="H363" s="467"/>
      <c r="I363" s="467"/>
      <c r="J363" s="467"/>
      <c r="K363" s="468"/>
      <c r="L363" s="467"/>
      <c r="M363" s="467"/>
      <c r="N363" s="469"/>
    </row>
    <row r="364" spans="1:14">
      <c r="A364" s="451">
        <f t="shared" si="6"/>
        <v>358</v>
      </c>
      <c r="B364" s="680"/>
      <c r="D364" s="463" t="s">
        <v>1896</v>
      </c>
      <c r="E364" s="464" t="s">
        <v>11</v>
      </c>
      <c r="G364" s="467" t="s">
        <v>1459</v>
      </c>
      <c r="H364" s="467"/>
      <c r="I364" s="467"/>
      <c r="J364" s="467"/>
      <c r="K364" s="468"/>
      <c r="L364" s="467"/>
      <c r="M364" s="467"/>
      <c r="N364" s="469"/>
    </row>
    <row r="365" spans="1:14">
      <c r="A365" s="451">
        <f t="shared" si="6"/>
        <v>359</v>
      </c>
      <c r="B365" s="680"/>
      <c r="D365" s="463" t="s">
        <v>1897</v>
      </c>
      <c r="E365" s="464" t="s">
        <v>11</v>
      </c>
      <c r="G365" s="467" t="s">
        <v>1459</v>
      </c>
      <c r="H365" s="467"/>
      <c r="I365" s="467"/>
      <c r="J365" s="467"/>
      <c r="K365" s="468"/>
      <c r="L365" s="467"/>
      <c r="M365" s="467"/>
      <c r="N365" s="469"/>
    </row>
    <row r="366" spans="1:14">
      <c r="A366" s="451">
        <f t="shared" si="6"/>
        <v>360</v>
      </c>
      <c r="B366" s="680"/>
      <c r="D366" s="463" t="s">
        <v>1898</v>
      </c>
      <c r="E366" s="464" t="s">
        <v>11</v>
      </c>
      <c r="G366" s="467" t="s">
        <v>1459</v>
      </c>
      <c r="H366" s="467"/>
      <c r="I366" s="467"/>
      <c r="J366" s="467"/>
      <c r="K366" s="468"/>
      <c r="L366" s="467"/>
      <c r="M366" s="467"/>
      <c r="N366" s="469"/>
    </row>
    <row r="367" spans="1:14" ht="28.8">
      <c r="A367" s="451">
        <f t="shared" si="6"/>
        <v>361</v>
      </c>
      <c r="B367" s="680"/>
      <c r="D367" s="463" t="s">
        <v>2312</v>
      </c>
      <c r="E367" s="464" t="s">
        <v>11</v>
      </c>
      <c r="G367" s="467" t="s">
        <v>1459</v>
      </c>
      <c r="H367" s="467" t="s">
        <v>1459</v>
      </c>
      <c r="I367" s="467"/>
      <c r="J367" s="467"/>
      <c r="K367" s="468"/>
      <c r="L367" s="467"/>
      <c r="M367" s="467"/>
      <c r="N367" s="469" t="s">
        <v>1899</v>
      </c>
    </row>
    <row r="368" spans="1:14">
      <c r="A368" s="451">
        <f t="shared" si="6"/>
        <v>362</v>
      </c>
      <c r="B368" s="680"/>
      <c r="D368" s="463" t="s">
        <v>1900</v>
      </c>
      <c r="E368" s="464" t="s">
        <v>11</v>
      </c>
      <c r="G368" s="467" t="s">
        <v>1459</v>
      </c>
      <c r="H368" s="467"/>
      <c r="I368" s="467"/>
      <c r="J368" s="467"/>
      <c r="K368" s="468"/>
      <c r="L368" s="467"/>
      <c r="M368" s="467"/>
      <c r="N368" s="469"/>
    </row>
    <row r="369" spans="1:14">
      <c r="A369" s="451">
        <f t="shared" si="6"/>
        <v>363</v>
      </c>
      <c r="B369" s="680"/>
      <c r="D369" s="463" t="s">
        <v>1901</v>
      </c>
      <c r="E369" s="464" t="s">
        <v>11</v>
      </c>
      <c r="G369" s="467" t="s">
        <v>1459</v>
      </c>
      <c r="H369" s="467"/>
      <c r="I369" s="467"/>
      <c r="J369" s="467"/>
      <c r="K369" s="468"/>
      <c r="L369" s="467"/>
      <c r="M369" s="467"/>
      <c r="N369" s="469"/>
    </row>
    <row r="370" spans="1:14">
      <c r="A370" s="451">
        <f t="shared" si="6"/>
        <v>364</v>
      </c>
      <c r="B370" s="680"/>
      <c r="D370" s="463" t="s">
        <v>1902</v>
      </c>
      <c r="E370" s="464" t="s">
        <v>11</v>
      </c>
      <c r="G370" s="467" t="s">
        <v>1459</v>
      </c>
      <c r="H370" s="467"/>
      <c r="I370" s="467"/>
      <c r="J370" s="467"/>
      <c r="K370" s="468"/>
      <c r="L370" s="467"/>
      <c r="M370" s="467"/>
      <c r="N370" s="469"/>
    </row>
    <row r="371" spans="1:14" ht="17.25" customHeight="1">
      <c r="A371" s="451">
        <f t="shared" si="6"/>
        <v>365</v>
      </c>
      <c r="B371" s="680"/>
      <c r="D371" s="463" t="s">
        <v>1903</v>
      </c>
      <c r="E371" s="464" t="s">
        <v>11</v>
      </c>
      <c r="G371" s="467"/>
      <c r="H371" s="467" t="s">
        <v>1459</v>
      </c>
      <c r="I371" s="467"/>
      <c r="J371" s="467"/>
      <c r="K371" s="468"/>
      <c r="L371" s="467"/>
      <c r="M371" s="467"/>
      <c r="N371" s="471" t="s">
        <v>1904</v>
      </c>
    </row>
    <row r="372" spans="1:14">
      <c r="A372" s="451">
        <f t="shared" si="6"/>
        <v>366</v>
      </c>
      <c r="B372" s="680"/>
      <c r="D372" s="463" t="s">
        <v>1905</v>
      </c>
      <c r="E372" s="464" t="s">
        <v>11</v>
      </c>
      <c r="G372" s="467"/>
      <c r="H372" s="467" t="s">
        <v>1459</v>
      </c>
      <c r="I372" s="467"/>
      <c r="J372" s="467"/>
      <c r="K372" s="468"/>
      <c r="L372" s="467"/>
      <c r="M372" s="467"/>
      <c r="N372" s="469" t="s">
        <v>1906</v>
      </c>
    </row>
    <row r="373" spans="1:14">
      <c r="A373" s="451">
        <f t="shared" si="6"/>
        <v>367</v>
      </c>
      <c r="B373" s="680" t="s">
        <v>427</v>
      </c>
      <c r="C373" s="462" t="s">
        <v>1907</v>
      </c>
      <c r="D373" s="463" t="s">
        <v>1908</v>
      </c>
      <c r="E373" s="464" t="s">
        <v>11</v>
      </c>
      <c r="F373" s="470">
        <v>2900981</v>
      </c>
      <c r="G373" s="467" t="s">
        <v>1459</v>
      </c>
      <c r="H373" s="467"/>
      <c r="I373" s="467"/>
      <c r="J373" s="467"/>
      <c r="K373" s="468"/>
      <c r="L373" s="467"/>
      <c r="M373" s="467"/>
      <c r="N373" s="469"/>
    </row>
    <row r="374" spans="1:14">
      <c r="A374" s="451">
        <f t="shared" si="6"/>
        <v>368</v>
      </c>
      <c r="B374" s="680"/>
      <c r="D374" s="463" t="s">
        <v>1909</v>
      </c>
      <c r="E374" s="464" t="s">
        <v>11</v>
      </c>
      <c r="G374" s="467" t="s">
        <v>1459</v>
      </c>
      <c r="H374" s="467"/>
      <c r="I374" s="467"/>
      <c r="J374" s="467"/>
      <c r="K374" s="468"/>
      <c r="L374" s="467"/>
      <c r="M374" s="467"/>
      <c r="N374" s="469"/>
    </row>
    <row r="375" spans="1:14">
      <c r="A375" s="451">
        <f t="shared" si="6"/>
        <v>369</v>
      </c>
      <c r="B375" s="680" t="s">
        <v>429</v>
      </c>
      <c r="C375" s="462" t="s">
        <v>1910</v>
      </c>
      <c r="D375" s="463" t="s">
        <v>1774</v>
      </c>
      <c r="E375" s="464" t="s">
        <v>11</v>
      </c>
      <c r="F375" s="470">
        <v>11751835</v>
      </c>
      <c r="G375" s="467" t="s">
        <v>1459</v>
      </c>
      <c r="H375" s="467"/>
      <c r="I375" s="467"/>
      <c r="J375" s="467"/>
      <c r="K375" s="468"/>
      <c r="L375" s="467"/>
      <c r="M375" s="467"/>
      <c r="N375" s="469"/>
    </row>
    <row r="376" spans="1:14">
      <c r="A376" s="451">
        <f t="shared" si="6"/>
        <v>370</v>
      </c>
      <c r="B376" s="680" t="s">
        <v>433</v>
      </c>
      <c r="C376" s="462" t="s">
        <v>1911</v>
      </c>
      <c r="D376" s="463" t="s">
        <v>1912</v>
      </c>
      <c r="E376" s="464" t="s">
        <v>11</v>
      </c>
      <c r="F376" s="470">
        <v>7130269</v>
      </c>
      <c r="G376" s="467" t="s">
        <v>1459</v>
      </c>
      <c r="H376" s="467"/>
      <c r="I376" s="467"/>
      <c r="J376" s="467"/>
      <c r="K376" s="468"/>
      <c r="L376" s="467"/>
      <c r="M376" s="467"/>
      <c r="N376" s="469"/>
    </row>
    <row r="377" spans="1:14">
      <c r="A377" s="451">
        <f t="shared" si="6"/>
        <v>371</v>
      </c>
      <c r="B377" s="680"/>
      <c r="D377" s="463" t="s">
        <v>1913</v>
      </c>
      <c r="E377" s="464" t="s">
        <v>11</v>
      </c>
      <c r="G377" s="467" t="s">
        <v>1459</v>
      </c>
      <c r="H377" s="467"/>
      <c r="I377" s="467"/>
      <c r="J377" s="467"/>
      <c r="K377" s="468"/>
      <c r="L377" s="467"/>
      <c r="M377" s="467"/>
      <c r="N377" s="469"/>
    </row>
    <row r="378" spans="1:14">
      <c r="A378" s="451">
        <f t="shared" si="6"/>
        <v>372</v>
      </c>
      <c r="B378" s="680"/>
      <c r="D378" s="463" t="s">
        <v>1914</v>
      </c>
      <c r="E378" s="464" t="s">
        <v>11</v>
      </c>
      <c r="G378" s="467" t="s">
        <v>1459</v>
      </c>
      <c r="H378" s="467"/>
      <c r="I378" s="467"/>
      <c r="J378" s="467"/>
      <c r="K378" s="468"/>
      <c r="L378" s="467"/>
      <c r="M378" s="467"/>
      <c r="N378" s="469"/>
    </row>
    <row r="379" spans="1:14">
      <c r="A379" s="451">
        <f t="shared" si="6"/>
        <v>373</v>
      </c>
      <c r="B379" s="680"/>
      <c r="D379" s="463" t="s">
        <v>1915</v>
      </c>
      <c r="E379" s="464" t="s">
        <v>11</v>
      </c>
      <c r="G379" s="467" t="s">
        <v>1459</v>
      </c>
      <c r="H379" s="467"/>
      <c r="I379" s="467"/>
      <c r="J379" s="467"/>
      <c r="K379" s="468"/>
      <c r="L379" s="467"/>
      <c r="M379" s="467"/>
      <c r="N379" s="469"/>
    </row>
    <row r="380" spans="1:14">
      <c r="A380" s="451">
        <f t="shared" si="6"/>
        <v>374</v>
      </c>
      <c r="B380" s="680"/>
      <c r="D380" s="463" t="s">
        <v>1916</v>
      </c>
      <c r="E380" s="464" t="s">
        <v>11</v>
      </c>
      <c r="G380" s="467" t="s">
        <v>1459</v>
      </c>
      <c r="H380" s="467"/>
      <c r="I380" s="467"/>
      <c r="J380" s="467"/>
      <c r="K380" s="468"/>
      <c r="L380" s="467"/>
      <c r="M380" s="467"/>
      <c r="N380" s="469"/>
    </row>
    <row r="381" spans="1:14">
      <c r="A381" s="451">
        <f t="shared" si="6"/>
        <v>375</v>
      </c>
      <c r="B381" s="680"/>
      <c r="D381" s="463" t="s">
        <v>1917</v>
      </c>
      <c r="E381" s="464" t="s">
        <v>11</v>
      </c>
      <c r="G381" s="467" t="s">
        <v>1459</v>
      </c>
      <c r="H381" s="467"/>
      <c r="I381" s="467"/>
      <c r="J381" s="467"/>
      <c r="K381" s="468"/>
      <c r="L381" s="467"/>
      <c r="M381" s="467"/>
      <c r="N381" s="469"/>
    </row>
    <row r="382" spans="1:14">
      <c r="A382" s="451">
        <f t="shared" si="6"/>
        <v>376</v>
      </c>
      <c r="B382" s="680"/>
      <c r="D382" s="463" t="s">
        <v>1918</v>
      </c>
      <c r="E382" s="464" t="s">
        <v>11</v>
      </c>
      <c r="G382" s="467" t="s">
        <v>1459</v>
      </c>
      <c r="H382" s="467"/>
      <c r="I382" s="467"/>
      <c r="J382" s="467"/>
      <c r="K382" s="468"/>
      <c r="L382" s="467"/>
      <c r="M382" s="467"/>
      <c r="N382" s="469"/>
    </row>
    <row r="383" spans="1:14">
      <c r="A383" s="451">
        <f t="shared" si="6"/>
        <v>377</v>
      </c>
      <c r="B383" s="680"/>
      <c r="D383" s="463" t="s">
        <v>1919</v>
      </c>
      <c r="E383" s="464" t="s">
        <v>11</v>
      </c>
      <c r="G383" s="467" t="s">
        <v>1459</v>
      </c>
      <c r="H383" s="467"/>
      <c r="I383" s="467"/>
      <c r="J383" s="467"/>
      <c r="K383" s="468"/>
      <c r="L383" s="467"/>
      <c r="M383" s="467"/>
      <c r="N383" s="469"/>
    </row>
    <row r="384" spans="1:14">
      <c r="A384" s="451">
        <f t="shared" si="6"/>
        <v>378</v>
      </c>
      <c r="B384" s="680"/>
      <c r="D384" s="463" t="s">
        <v>2313</v>
      </c>
      <c r="F384" s="465"/>
      <c r="G384" s="477"/>
      <c r="H384" s="477"/>
      <c r="I384" s="478" t="s">
        <v>1459</v>
      </c>
      <c r="J384" s="478"/>
      <c r="K384" s="485"/>
      <c r="L384" s="479"/>
      <c r="M384" s="483"/>
      <c r="N384" s="484" t="s">
        <v>2314</v>
      </c>
    </row>
    <row r="385" spans="1:14">
      <c r="A385" s="451">
        <f t="shared" si="6"/>
        <v>379</v>
      </c>
      <c r="B385" s="680" t="s">
        <v>435</v>
      </c>
      <c r="C385" s="462" t="s">
        <v>1920</v>
      </c>
      <c r="D385" s="463" t="s">
        <v>1921</v>
      </c>
      <c r="E385" s="464" t="s">
        <v>11</v>
      </c>
      <c r="F385" s="470">
        <v>5041642</v>
      </c>
      <c r="G385" s="467" t="s">
        <v>1459</v>
      </c>
      <c r="H385" s="467"/>
      <c r="I385" s="467"/>
      <c r="J385" s="467"/>
      <c r="K385" s="467"/>
      <c r="L385" s="467"/>
      <c r="M385" s="467"/>
      <c r="N385" s="469"/>
    </row>
    <row r="386" spans="1:14">
      <c r="A386" s="451">
        <f t="shared" si="6"/>
        <v>380</v>
      </c>
      <c r="B386" s="680"/>
      <c r="D386" s="463" t="s">
        <v>1922</v>
      </c>
      <c r="G386" s="467" t="s">
        <v>1459</v>
      </c>
      <c r="H386" s="467"/>
      <c r="I386" s="467"/>
      <c r="J386" s="467"/>
      <c r="K386" s="467"/>
      <c r="L386" s="467"/>
      <c r="M386" s="467"/>
      <c r="N386" s="469"/>
    </row>
    <row r="387" spans="1:14">
      <c r="A387" s="451">
        <f t="shared" si="6"/>
        <v>381</v>
      </c>
      <c r="B387" s="680" t="s">
        <v>1923</v>
      </c>
      <c r="C387" s="462" t="s">
        <v>1924</v>
      </c>
      <c r="D387" s="450" t="s">
        <v>1925</v>
      </c>
      <c r="E387" s="464" t="s">
        <v>36</v>
      </c>
      <c r="F387" s="470">
        <v>55663</v>
      </c>
      <c r="G387" s="467" t="s">
        <v>1459</v>
      </c>
      <c r="H387" s="467"/>
      <c r="I387" s="467"/>
      <c r="J387" s="467"/>
      <c r="K387" s="467"/>
      <c r="L387" s="467"/>
      <c r="M387" s="467"/>
      <c r="N387" s="469"/>
    </row>
    <row r="388" spans="1:14">
      <c r="A388" s="451">
        <f t="shared" si="6"/>
        <v>382</v>
      </c>
      <c r="B388" s="680" t="s">
        <v>441</v>
      </c>
      <c r="C388" s="462" t="s">
        <v>1926</v>
      </c>
      <c r="D388" s="463" t="s">
        <v>1927</v>
      </c>
      <c r="E388" s="464" t="s">
        <v>11</v>
      </c>
      <c r="F388" s="470">
        <v>10936510</v>
      </c>
      <c r="G388" s="467" t="s">
        <v>1459</v>
      </c>
      <c r="H388" s="467"/>
      <c r="I388" s="467"/>
      <c r="J388" s="467"/>
      <c r="K388" s="467"/>
      <c r="L388" s="467"/>
      <c r="M388" s="467"/>
      <c r="N388" s="469"/>
    </row>
    <row r="389" spans="1:14">
      <c r="A389" s="451">
        <f t="shared" si="6"/>
        <v>383</v>
      </c>
      <c r="B389" s="680"/>
      <c r="D389" s="463" t="s">
        <v>1928</v>
      </c>
      <c r="E389" s="464" t="s">
        <v>11</v>
      </c>
      <c r="G389" s="467" t="s">
        <v>1459</v>
      </c>
      <c r="H389" s="467"/>
      <c r="I389" s="467"/>
      <c r="J389" s="467"/>
      <c r="K389" s="467"/>
      <c r="L389" s="467"/>
      <c r="M389" s="467"/>
      <c r="N389" s="469"/>
    </row>
    <row r="390" spans="1:14">
      <c r="A390" s="451">
        <f t="shared" si="6"/>
        <v>384</v>
      </c>
      <c r="B390" s="680"/>
      <c r="D390" s="463" t="s">
        <v>1929</v>
      </c>
      <c r="E390" s="464" t="s">
        <v>11</v>
      </c>
      <c r="G390" s="467" t="s">
        <v>1459</v>
      </c>
      <c r="H390" s="467"/>
      <c r="I390" s="467"/>
      <c r="J390" s="467"/>
      <c r="K390" s="467"/>
      <c r="L390" s="467"/>
      <c r="M390" s="467"/>
      <c r="N390" s="469"/>
    </row>
    <row r="391" spans="1:14">
      <c r="A391" s="451">
        <f t="shared" si="6"/>
        <v>385</v>
      </c>
      <c r="B391" s="680"/>
      <c r="D391" s="463" t="s">
        <v>1930</v>
      </c>
      <c r="E391" s="464" t="s">
        <v>11</v>
      </c>
      <c r="G391" s="467" t="s">
        <v>1459</v>
      </c>
      <c r="H391" s="467"/>
      <c r="I391" s="467"/>
      <c r="J391" s="467"/>
      <c r="K391" s="467"/>
      <c r="L391" s="467"/>
      <c r="M391" s="467"/>
      <c r="N391" s="469"/>
    </row>
    <row r="392" spans="1:14">
      <c r="A392" s="451">
        <f t="shared" si="6"/>
        <v>386</v>
      </c>
      <c r="B392" s="680"/>
      <c r="D392" s="463" t="s">
        <v>1759</v>
      </c>
      <c r="E392" s="464" t="s">
        <v>11</v>
      </c>
      <c r="G392" s="467" t="s">
        <v>1459</v>
      </c>
      <c r="H392" s="467"/>
      <c r="I392" s="467"/>
      <c r="J392" s="467"/>
      <c r="K392" s="467"/>
      <c r="L392" s="467"/>
      <c r="M392" s="467"/>
      <c r="N392" s="469"/>
    </row>
    <row r="393" spans="1:14">
      <c r="A393" s="451">
        <f t="shared" si="6"/>
        <v>387</v>
      </c>
      <c r="B393" s="680" t="s">
        <v>443</v>
      </c>
      <c r="C393" s="462" t="s">
        <v>1931</v>
      </c>
      <c r="D393" s="463" t="s">
        <v>1932</v>
      </c>
      <c r="E393" s="464" t="s">
        <v>11</v>
      </c>
      <c r="F393" s="470">
        <v>613605</v>
      </c>
      <c r="G393" s="467" t="s">
        <v>1459</v>
      </c>
      <c r="H393" s="467"/>
      <c r="I393" s="467"/>
      <c r="J393" s="467"/>
      <c r="K393" s="467"/>
      <c r="L393" s="467"/>
      <c r="M393" s="467"/>
      <c r="N393" s="469"/>
    </row>
    <row r="394" spans="1:14" ht="28.8">
      <c r="A394" s="451">
        <f t="shared" si="6"/>
        <v>388</v>
      </c>
      <c r="B394" s="680" t="s">
        <v>447</v>
      </c>
      <c r="C394" s="462" t="s">
        <v>1933</v>
      </c>
      <c r="D394" s="463" t="s">
        <v>1934</v>
      </c>
      <c r="E394" s="464" t="s">
        <v>11</v>
      </c>
      <c r="F394" s="470">
        <v>7852641</v>
      </c>
      <c r="G394" s="467" t="s">
        <v>1459</v>
      </c>
      <c r="H394" s="467"/>
      <c r="I394" s="467"/>
      <c r="J394" s="467"/>
      <c r="K394" s="467"/>
      <c r="L394" s="467"/>
      <c r="M394" s="467"/>
      <c r="N394" s="469"/>
    </row>
    <row r="395" spans="1:14">
      <c r="A395" s="451">
        <f t="shared" si="6"/>
        <v>389</v>
      </c>
      <c r="B395" s="680"/>
      <c r="D395" s="463" t="s">
        <v>1935</v>
      </c>
      <c r="E395" s="464" t="s">
        <v>11</v>
      </c>
      <c r="G395" s="467"/>
      <c r="H395" s="467"/>
      <c r="I395" s="467" t="s">
        <v>1459</v>
      </c>
      <c r="J395" s="467"/>
      <c r="K395" s="467"/>
      <c r="L395" s="467"/>
      <c r="M395" s="467"/>
      <c r="N395" s="469" t="s">
        <v>1936</v>
      </c>
    </row>
    <row r="396" spans="1:14">
      <c r="A396" s="451">
        <f t="shared" si="6"/>
        <v>390</v>
      </c>
      <c r="B396" s="680"/>
      <c r="D396" s="463" t="s">
        <v>1937</v>
      </c>
      <c r="E396" s="464" t="s">
        <v>11</v>
      </c>
      <c r="G396" s="467"/>
      <c r="H396" s="467"/>
      <c r="I396" s="467" t="s">
        <v>1459</v>
      </c>
      <c r="J396" s="467"/>
      <c r="K396" s="467"/>
      <c r="L396" s="467"/>
      <c r="M396" s="467"/>
      <c r="N396" s="469" t="s">
        <v>1936</v>
      </c>
    </row>
    <row r="397" spans="1:14">
      <c r="A397" s="451">
        <f t="shared" si="6"/>
        <v>391</v>
      </c>
      <c r="B397" s="680" t="s">
        <v>445</v>
      </c>
      <c r="C397" s="462" t="s">
        <v>1938</v>
      </c>
      <c r="D397" s="463" t="s">
        <v>1939</v>
      </c>
      <c r="E397" s="464" t="s">
        <v>11</v>
      </c>
      <c r="F397" s="470">
        <v>15292177</v>
      </c>
      <c r="G397" s="467" t="s">
        <v>1459</v>
      </c>
      <c r="H397" s="467"/>
      <c r="I397" s="467"/>
      <c r="J397" s="467"/>
      <c r="K397" s="467"/>
      <c r="L397" s="467"/>
      <c r="M397" s="467"/>
      <c r="N397" s="469"/>
    </row>
    <row r="398" spans="1:14" ht="28.8">
      <c r="A398" s="451">
        <f t="shared" si="6"/>
        <v>392</v>
      </c>
      <c r="B398" s="680"/>
      <c r="D398" s="463" t="s">
        <v>2315</v>
      </c>
      <c r="E398" s="464" t="s">
        <v>11</v>
      </c>
      <c r="G398" s="467" t="s">
        <v>1459</v>
      </c>
      <c r="H398" s="467"/>
      <c r="I398" s="467"/>
      <c r="J398" s="467"/>
      <c r="K398" s="467"/>
      <c r="L398" s="467"/>
      <c r="M398" s="467"/>
      <c r="N398" s="469"/>
    </row>
    <row r="399" spans="1:14" ht="28.8">
      <c r="A399" s="451">
        <f t="shared" si="6"/>
        <v>393</v>
      </c>
      <c r="B399" s="680"/>
      <c r="D399" s="463" t="s">
        <v>2316</v>
      </c>
      <c r="G399" s="467" t="s">
        <v>1459</v>
      </c>
      <c r="H399" s="467"/>
      <c r="I399" s="467"/>
      <c r="J399" s="467"/>
      <c r="K399" s="467"/>
      <c r="L399" s="467"/>
      <c r="M399" s="467"/>
      <c r="N399" s="469"/>
    </row>
    <row r="400" spans="1:14">
      <c r="A400" s="451">
        <f t="shared" si="6"/>
        <v>394</v>
      </c>
      <c r="B400" s="680"/>
      <c r="D400" s="463" t="s">
        <v>1940</v>
      </c>
      <c r="E400" s="464" t="s">
        <v>11</v>
      </c>
      <c r="G400" s="467" t="s">
        <v>1459</v>
      </c>
      <c r="H400" s="467"/>
      <c r="I400" s="467"/>
      <c r="J400" s="467"/>
      <c r="K400" s="467"/>
      <c r="L400" s="467"/>
      <c r="M400" s="467"/>
      <c r="N400" s="469"/>
    </row>
    <row r="401" spans="1:14">
      <c r="A401" s="451">
        <f t="shared" si="6"/>
        <v>395</v>
      </c>
      <c r="B401" s="680" t="s">
        <v>449</v>
      </c>
      <c r="C401" s="462" t="s">
        <v>1941</v>
      </c>
      <c r="D401" s="463" t="s">
        <v>1942</v>
      </c>
      <c r="E401" s="464" t="s">
        <v>11</v>
      </c>
      <c r="F401" s="470">
        <v>3120406</v>
      </c>
      <c r="G401" s="467" t="s">
        <v>1459</v>
      </c>
      <c r="H401" s="467"/>
      <c r="I401" s="467"/>
      <c r="J401" s="467"/>
      <c r="K401" s="467"/>
      <c r="L401" s="467"/>
      <c r="M401" s="467"/>
      <c r="N401" s="469"/>
    </row>
    <row r="402" spans="1:14">
      <c r="A402" s="451">
        <f t="shared" si="6"/>
        <v>396</v>
      </c>
      <c r="B402" s="680"/>
      <c r="D402" s="463" t="s">
        <v>1943</v>
      </c>
      <c r="E402" s="464" t="s">
        <v>11</v>
      </c>
      <c r="G402" s="467" t="s">
        <v>1459</v>
      </c>
      <c r="H402" s="467"/>
      <c r="I402" s="467"/>
      <c r="J402" s="467"/>
      <c r="K402" s="467"/>
      <c r="L402" s="467"/>
      <c r="M402" s="467"/>
      <c r="N402" s="469"/>
    </row>
    <row r="403" spans="1:14">
      <c r="A403" s="451">
        <f t="shared" si="6"/>
        <v>397</v>
      </c>
      <c r="B403" s="680"/>
      <c r="D403" s="463" t="s">
        <v>1944</v>
      </c>
      <c r="E403" s="464" t="s">
        <v>11</v>
      </c>
      <c r="G403" s="467" t="s">
        <v>1459</v>
      </c>
      <c r="H403" s="467"/>
      <c r="I403" s="467"/>
      <c r="J403" s="467"/>
      <c r="K403" s="467"/>
      <c r="L403" s="467"/>
      <c r="M403" s="467"/>
      <c r="N403" s="469"/>
    </row>
    <row r="404" spans="1:14" ht="28.8">
      <c r="A404" s="451">
        <f t="shared" ref="A404:A467" si="7">A403+1</f>
        <v>398</v>
      </c>
      <c r="B404" s="680" t="s">
        <v>451</v>
      </c>
      <c r="C404" s="462" t="s">
        <v>1945</v>
      </c>
      <c r="D404" s="463" t="s">
        <v>1946</v>
      </c>
      <c r="E404" s="464" t="s">
        <v>11</v>
      </c>
      <c r="F404" s="470">
        <v>6003327</v>
      </c>
      <c r="G404" s="467" t="s">
        <v>1459</v>
      </c>
      <c r="H404" s="467"/>
      <c r="I404" s="467"/>
      <c r="J404" s="467"/>
      <c r="K404" s="467"/>
      <c r="L404" s="467"/>
      <c r="M404" s="467"/>
      <c r="N404" s="469"/>
    </row>
    <row r="405" spans="1:14">
      <c r="A405" s="451">
        <f t="shared" si="7"/>
        <v>399</v>
      </c>
      <c r="B405" s="680"/>
      <c r="D405" s="463" t="s">
        <v>1947</v>
      </c>
      <c r="E405" s="464" t="s">
        <v>11</v>
      </c>
      <c r="G405" s="467" t="s">
        <v>1459</v>
      </c>
      <c r="H405" s="467"/>
      <c r="I405" s="467"/>
      <c r="J405" s="467"/>
      <c r="K405" s="467"/>
      <c r="L405" s="467"/>
      <c r="M405" s="467"/>
      <c r="N405" s="469"/>
    </row>
    <row r="406" spans="1:14">
      <c r="A406" s="451">
        <f t="shared" si="7"/>
        <v>400</v>
      </c>
      <c r="B406" s="680" t="s">
        <v>453</v>
      </c>
      <c r="C406" s="462" t="s">
        <v>1948</v>
      </c>
      <c r="D406" s="463" t="s">
        <v>1949</v>
      </c>
      <c r="E406" s="464" t="s">
        <v>11</v>
      </c>
      <c r="F406" s="470">
        <v>1315661</v>
      </c>
      <c r="G406" s="467" t="s">
        <v>1459</v>
      </c>
      <c r="H406" s="467"/>
      <c r="I406" s="467"/>
      <c r="J406" s="467"/>
      <c r="K406" s="467"/>
      <c r="L406" s="467"/>
      <c r="M406" s="467"/>
      <c r="N406" s="469"/>
    </row>
    <row r="407" spans="1:14">
      <c r="A407" s="451">
        <f t="shared" si="7"/>
        <v>401</v>
      </c>
      <c r="B407" s="680"/>
      <c r="D407" s="463" t="s">
        <v>1950</v>
      </c>
      <c r="E407" s="464" t="s">
        <v>11</v>
      </c>
      <c r="G407" s="467" t="s">
        <v>1459</v>
      </c>
      <c r="H407" s="467"/>
      <c r="I407" s="467"/>
      <c r="J407" s="467"/>
      <c r="K407" s="467"/>
      <c r="L407" s="467"/>
      <c r="M407" s="467"/>
      <c r="N407" s="469"/>
    </row>
    <row r="408" spans="1:14">
      <c r="A408" s="451">
        <f t="shared" si="7"/>
        <v>402</v>
      </c>
      <c r="B408" s="680"/>
      <c r="D408" s="463"/>
      <c r="G408" s="467"/>
      <c r="H408" s="467"/>
      <c r="I408" s="467"/>
      <c r="J408" s="467"/>
      <c r="K408" s="467"/>
      <c r="L408" s="467"/>
      <c r="M408" s="467"/>
      <c r="N408" s="469"/>
    </row>
    <row r="409" spans="1:14">
      <c r="A409" s="451">
        <f t="shared" si="7"/>
        <v>403</v>
      </c>
      <c r="B409" s="680"/>
      <c r="C409" s="487" t="s">
        <v>1951</v>
      </c>
      <c r="D409" s="463"/>
      <c r="G409" s="467"/>
      <c r="H409" s="467"/>
      <c r="I409" s="467"/>
      <c r="J409" s="467"/>
      <c r="K409" s="467"/>
      <c r="L409" s="467"/>
      <c r="M409" s="467"/>
      <c r="N409" s="469"/>
    </row>
    <row r="410" spans="1:14" ht="28.8">
      <c r="A410" s="451">
        <f t="shared" si="7"/>
        <v>404</v>
      </c>
      <c r="B410" s="680"/>
      <c r="C410" s="488" t="s">
        <v>10</v>
      </c>
      <c r="D410" s="463"/>
      <c r="E410" s="464" t="s">
        <v>11</v>
      </c>
      <c r="F410" s="470">
        <v>133158</v>
      </c>
      <c r="G410" s="467" t="s">
        <v>1459</v>
      </c>
      <c r="H410" s="467"/>
      <c r="I410" s="467"/>
      <c r="J410" s="467"/>
      <c r="K410" s="467"/>
      <c r="L410" s="467"/>
      <c r="M410" s="467"/>
      <c r="N410" s="469"/>
    </row>
    <row r="411" spans="1:14" ht="28.8">
      <c r="A411" s="451">
        <f t="shared" si="7"/>
        <v>405</v>
      </c>
      <c r="B411" s="680"/>
      <c r="C411" s="488" t="s">
        <v>13</v>
      </c>
      <c r="D411" s="463"/>
      <c r="E411" s="464" t="s">
        <v>11</v>
      </c>
      <c r="F411" s="470">
        <v>96623</v>
      </c>
      <c r="G411" s="467" t="s">
        <v>1459</v>
      </c>
      <c r="H411" s="467"/>
      <c r="I411" s="467"/>
      <c r="J411" s="467"/>
      <c r="K411" s="467"/>
      <c r="L411" s="467"/>
      <c r="M411" s="467"/>
      <c r="N411" s="469"/>
    </row>
    <row r="412" spans="1:14">
      <c r="A412" s="451">
        <f t="shared" si="7"/>
        <v>406</v>
      </c>
      <c r="B412" s="680"/>
      <c r="C412" s="488" t="s">
        <v>15</v>
      </c>
      <c r="D412" s="463"/>
      <c r="E412" s="464" t="s">
        <v>11</v>
      </c>
      <c r="F412" s="470">
        <v>459778</v>
      </c>
      <c r="G412" s="467" t="s">
        <v>1459</v>
      </c>
      <c r="H412" s="467"/>
      <c r="I412" s="467"/>
      <c r="J412" s="467"/>
      <c r="K412" s="467"/>
      <c r="L412" s="467"/>
      <c r="M412" s="467"/>
      <c r="N412" s="469"/>
    </row>
    <row r="413" spans="1:14">
      <c r="A413" s="451">
        <f t="shared" si="7"/>
        <v>407</v>
      </c>
      <c r="B413" s="680"/>
      <c r="C413" s="488" t="s">
        <v>17</v>
      </c>
      <c r="D413" s="463"/>
      <c r="E413" s="464" t="s">
        <v>11</v>
      </c>
      <c r="F413" s="470">
        <v>351685</v>
      </c>
      <c r="G413" s="467" t="s">
        <v>1459</v>
      </c>
      <c r="H413" s="467"/>
      <c r="I413" s="467"/>
      <c r="J413" s="467"/>
      <c r="K413" s="467"/>
      <c r="L413" s="467"/>
      <c r="M413" s="467"/>
      <c r="N413" s="469"/>
    </row>
    <row r="414" spans="1:14">
      <c r="A414" s="451">
        <f t="shared" si="7"/>
        <v>408</v>
      </c>
      <c r="B414" s="680"/>
      <c r="C414" s="488" t="s">
        <v>19</v>
      </c>
      <c r="D414" s="463"/>
      <c r="E414" s="464" t="s">
        <v>11</v>
      </c>
      <c r="F414" s="470">
        <v>5000750</v>
      </c>
      <c r="G414" s="467" t="s">
        <v>1459</v>
      </c>
      <c r="H414" s="467"/>
      <c r="I414" s="467"/>
      <c r="J414" s="467"/>
      <c r="K414" s="467"/>
      <c r="L414" s="467"/>
      <c r="M414" s="467"/>
      <c r="N414" s="469"/>
    </row>
    <row r="415" spans="1:14" ht="28.8">
      <c r="A415" s="451">
        <f t="shared" si="7"/>
        <v>409</v>
      </c>
      <c r="B415" s="680"/>
      <c r="C415" s="488" t="s">
        <v>21</v>
      </c>
      <c r="D415" s="463"/>
      <c r="E415" s="464" t="s">
        <v>11</v>
      </c>
      <c r="F415" s="470">
        <v>5697945</v>
      </c>
      <c r="G415" s="467" t="s">
        <v>1459</v>
      </c>
      <c r="H415" s="467"/>
      <c r="I415" s="467"/>
      <c r="J415" s="467"/>
      <c r="K415" s="467"/>
      <c r="L415" s="467"/>
      <c r="M415" s="467"/>
      <c r="N415" s="469"/>
    </row>
    <row r="416" spans="1:14" ht="28.8">
      <c r="A416" s="451">
        <f t="shared" si="7"/>
        <v>410</v>
      </c>
      <c r="B416" s="680"/>
      <c r="C416" s="488" t="s">
        <v>23</v>
      </c>
      <c r="D416" s="463"/>
      <c r="E416" s="464" t="s">
        <v>11</v>
      </c>
      <c r="F416" s="470">
        <v>4229572</v>
      </c>
      <c r="G416" s="467" t="s">
        <v>1459</v>
      </c>
      <c r="H416" s="467"/>
      <c r="I416" s="467"/>
      <c r="J416" s="467"/>
      <c r="K416" s="467"/>
      <c r="L416" s="467"/>
      <c r="M416" s="467"/>
      <c r="N416" s="469"/>
    </row>
    <row r="417" spans="1:14">
      <c r="A417" s="451">
        <f t="shared" si="7"/>
        <v>411</v>
      </c>
      <c r="B417" s="680"/>
      <c r="C417" s="488" t="s">
        <v>25</v>
      </c>
      <c r="D417" s="472"/>
      <c r="E417" s="464" t="s">
        <v>11</v>
      </c>
      <c r="F417" s="473">
        <v>7763675</v>
      </c>
      <c r="G417" s="467" t="s">
        <v>1459</v>
      </c>
      <c r="H417" s="467"/>
      <c r="I417" s="467"/>
      <c r="J417" s="467"/>
      <c r="K417" s="467"/>
      <c r="L417" s="467"/>
      <c r="M417" s="467"/>
      <c r="N417" s="469"/>
    </row>
    <row r="418" spans="1:14">
      <c r="A418" s="451">
        <f t="shared" si="7"/>
        <v>412</v>
      </c>
      <c r="B418" s="680"/>
      <c r="C418" s="488" t="s">
        <v>27</v>
      </c>
      <c r="D418" s="472"/>
      <c r="E418" s="464" t="s">
        <v>11</v>
      </c>
      <c r="F418" s="473">
        <v>1954466</v>
      </c>
      <c r="G418" s="467" t="s">
        <v>1459</v>
      </c>
      <c r="H418" s="467"/>
      <c r="I418" s="467"/>
      <c r="J418" s="467"/>
      <c r="K418" s="467"/>
      <c r="L418" s="467"/>
      <c r="M418" s="467"/>
      <c r="N418" s="469"/>
    </row>
    <row r="419" spans="1:14" ht="28.8">
      <c r="A419" s="451">
        <f t="shared" si="7"/>
        <v>413</v>
      </c>
      <c r="B419" s="680"/>
      <c r="C419" s="488" t="s">
        <v>29</v>
      </c>
      <c r="D419" s="472"/>
      <c r="E419" s="464" t="s">
        <v>11</v>
      </c>
      <c r="F419" s="473">
        <v>1718240</v>
      </c>
      <c r="G419" s="467" t="s">
        <v>1459</v>
      </c>
      <c r="H419" s="467"/>
      <c r="I419" s="467"/>
      <c r="J419" s="467"/>
      <c r="K419" s="467"/>
      <c r="L419" s="467"/>
      <c r="M419" s="467"/>
      <c r="N419" s="469"/>
    </row>
    <row r="420" spans="1:14" ht="28.8">
      <c r="A420" s="451">
        <f t="shared" si="7"/>
        <v>414</v>
      </c>
      <c r="B420" s="680"/>
      <c r="C420" s="488" t="s">
        <v>31</v>
      </c>
      <c r="D420" s="472"/>
      <c r="E420" s="464" t="s">
        <v>11</v>
      </c>
      <c r="F420" s="473">
        <v>3318558</v>
      </c>
      <c r="G420" s="467" t="s">
        <v>1459</v>
      </c>
      <c r="H420" s="467"/>
      <c r="I420" s="467"/>
      <c r="J420" s="467"/>
      <c r="K420" s="467"/>
      <c r="L420" s="467"/>
      <c r="M420" s="467"/>
      <c r="N420" s="469"/>
    </row>
    <row r="421" spans="1:14" ht="28.8">
      <c r="A421" s="451">
        <f t="shared" si="7"/>
        <v>415</v>
      </c>
      <c r="B421" s="680"/>
      <c r="C421" s="488" t="s">
        <v>33</v>
      </c>
      <c r="D421" s="472"/>
      <c r="E421" s="464" t="s">
        <v>11</v>
      </c>
      <c r="F421" s="473">
        <v>2952237</v>
      </c>
      <c r="G421" s="467" t="s">
        <v>1459</v>
      </c>
      <c r="H421" s="467"/>
      <c r="I421" s="467"/>
      <c r="J421" s="467"/>
      <c r="K421" s="467"/>
      <c r="L421" s="467"/>
      <c r="M421" s="467"/>
      <c r="N421" s="469"/>
    </row>
    <row r="422" spans="1:14" ht="28.8">
      <c r="A422" s="451">
        <f t="shared" si="7"/>
        <v>416</v>
      </c>
      <c r="B422" s="680"/>
      <c r="C422" s="488" t="s">
        <v>1952</v>
      </c>
      <c r="D422" s="472"/>
      <c r="E422" s="464" t="s">
        <v>36</v>
      </c>
      <c r="F422" s="473"/>
      <c r="G422" s="467" t="s">
        <v>1459</v>
      </c>
      <c r="H422" s="467"/>
      <c r="I422" s="467"/>
      <c r="J422" s="467"/>
      <c r="K422" s="467"/>
      <c r="L422" s="467"/>
      <c r="M422" s="467"/>
      <c r="N422" s="469"/>
    </row>
    <row r="423" spans="1:14">
      <c r="A423" s="451">
        <f t="shared" si="7"/>
        <v>417</v>
      </c>
      <c r="B423" s="680"/>
      <c r="C423" s="488" t="s">
        <v>40</v>
      </c>
      <c r="D423" s="472"/>
      <c r="E423" s="464" t="s">
        <v>11</v>
      </c>
      <c r="F423" s="473">
        <v>1259668</v>
      </c>
      <c r="G423" s="467" t="s">
        <v>1459</v>
      </c>
      <c r="H423" s="467"/>
      <c r="I423" s="467"/>
      <c r="J423" s="467"/>
      <c r="K423" s="467"/>
      <c r="L423" s="467"/>
      <c r="M423" s="467"/>
      <c r="N423" s="469"/>
    </row>
    <row r="424" spans="1:14" ht="28.8">
      <c r="A424" s="451">
        <f t="shared" si="7"/>
        <v>418</v>
      </c>
      <c r="B424" s="680"/>
      <c r="C424" s="488" t="s">
        <v>42</v>
      </c>
      <c r="D424" s="472"/>
      <c r="E424" s="464" t="s">
        <v>11</v>
      </c>
      <c r="F424" s="473">
        <v>7750195</v>
      </c>
      <c r="G424" s="467" t="s">
        <v>1459</v>
      </c>
      <c r="H424" s="467"/>
      <c r="I424" s="467"/>
      <c r="J424" s="467"/>
      <c r="K424" s="467"/>
      <c r="L424" s="467"/>
      <c r="M424" s="467"/>
      <c r="N424" s="469"/>
    </row>
    <row r="425" spans="1:14">
      <c r="A425" s="451">
        <f t="shared" si="7"/>
        <v>419</v>
      </c>
      <c r="B425" s="680"/>
      <c r="C425" s="488" t="s">
        <v>44</v>
      </c>
      <c r="D425" s="472"/>
      <c r="E425" s="464" t="s">
        <v>11</v>
      </c>
      <c r="F425" s="473">
        <v>14513308</v>
      </c>
      <c r="G425" s="467" t="s">
        <v>1459</v>
      </c>
      <c r="H425" s="467"/>
      <c r="I425" s="467"/>
      <c r="J425" s="467"/>
      <c r="K425" s="467"/>
      <c r="L425" s="467"/>
      <c r="M425" s="467"/>
      <c r="N425" s="469"/>
    </row>
    <row r="426" spans="1:14">
      <c r="A426" s="451">
        <f t="shared" si="7"/>
        <v>420</v>
      </c>
      <c r="B426" s="680"/>
      <c r="C426" s="488" t="s">
        <v>1953</v>
      </c>
      <c r="D426" s="472"/>
      <c r="E426" s="464" t="s">
        <v>11</v>
      </c>
      <c r="F426" s="473">
        <v>4705536</v>
      </c>
      <c r="G426" s="467" t="s">
        <v>1459</v>
      </c>
      <c r="H426" s="467"/>
      <c r="I426" s="467"/>
      <c r="J426" s="467"/>
      <c r="K426" s="467"/>
      <c r="L426" s="467"/>
      <c r="M426" s="467"/>
      <c r="N426" s="469"/>
    </row>
    <row r="427" spans="1:14">
      <c r="A427" s="451">
        <f t="shared" si="7"/>
        <v>421</v>
      </c>
      <c r="B427" s="680"/>
      <c r="C427" s="488" t="s">
        <v>46</v>
      </c>
      <c r="D427" s="463" t="s">
        <v>1954</v>
      </c>
      <c r="E427" s="464" t="s">
        <v>36</v>
      </c>
      <c r="F427" s="470">
        <v>5804318</v>
      </c>
      <c r="G427" s="467" t="s">
        <v>1459</v>
      </c>
      <c r="H427" s="467"/>
      <c r="I427" s="467"/>
      <c r="J427" s="467"/>
      <c r="K427" s="467"/>
      <c r="L427" s="467"/>
      <c r="M427" s="467"/>
      <c r="N427" s="469"/>
    </row>
    <row r="428" spans="1:14">
      <c r="A428" s="451">
        <f t="shared" si="7"/>
        <v>422</v>
      </c>
      <c r="B428" s="680"/>
      <c r="C428" s="488" t="s">
        <v>48</v>
      </c>
      <c r="D428" s="463"/>
      <c r="E428" s="464" t="s">
        <v>11</v>
      </c>
      <c r="F428" s="470">
        <v>1366481</v>
      </c>
      <c r="G428" s="467" t="s">
        <v>1459</v>
      </c>
      <c r="H428" s="467"/>
      <c r="I428" s="467"/>
      <c r="J428" s="467"/>
      <c r="K428" s="467"/>
      <c r="L428" s="467"/>
      <c r="M428" s="467"/>
      <c r="N428" s="469"/>
    </row>
    <row r="429" spans="1:14" ht="28.8">
      <c r="A429" s="451">
        <f t="shared" si="7"/>
        <v>423</v>
      </c>
      <c r="B429" s="680"/>
      <c r="C429" s="488" t="s">
        <v>50</v>
      </c>
      <c r="D429" s="463"/>
      <c r="E429" s="464" t="s">
        <v>11</v>
      </c>
      <c r="F429" s="470">
        <v>2605678</v>
      </c>
      <c r="G429" s="467" t="s">
        <v>1459</v>
      </c>
      <c r="H429" s="467"/>
      <c r="I429" s="467"/>
      <c r="J429" s="467"/>
      <c r="K429" s="467"/>
      <c r="L429" s="467"/>
      <c r="M429" s="467"/>
      <c r="N429" s="469"/>
    </row>
    <row r="430" spans="1:14">
      <c r="A430" s="451">
        <f t="shared" si="7"/>
        <v>424</v>
      </c>
      <c r="B430" s="680"/>
      <c r="C430" s="488" t="s">
        <v>52</v>
      </c>
      <c r="D430" s="463"/>
      <c r="E430" s="464" t="s">
        <v>11</v>
      </c>
      <c r="F430" s="470">
        <v>553800</v>
      </c>
      <c r="G430" s="467" t="s">
        <v>1459</v>
      </c>
      <c r="H430" s="467"/>
      <c r="I430" s="467"/>
      <c r="J430" s="467"/>
      <c r="K430" s="467"/>
      <c r="L430" s="467"/>
      <c r="M430" s="467"/>
      <c r="N430" s="469"/>
    </row>
    <row r="431" spans="1:14">
      <c r="A431" s="451">
        <f t="shared" si="7"/>
        <v>425</v>
      </c>
      <c r="B431" s="680"/>
      <c r="C431" s="488" t="s">
        <v>54</v>
      </c>
      <c r="D431" s="463"/>
      <c r="E431" s="464" t="s">
        <v>11</v>
      </c>
      <c r="F431" s="470">
        <v>2867800</v>
      </c>
      <c r="G431" s="467" t="s">
        <v>1459</v>
      </c>
      <c r="H431" s="467"/>
      <c r="I431" s="467"/>
      <c r="J431" s="467"/>
      <c r="K431" s="467"/>
      <c r="L431" s="467"/>
      <c r="M431" s="467"/>
      <c r="N431" s="469"/>
    </row>
    <row r="432" spans="1:14">
      <c r="A432" s="451">
        <f t="shared" si="7"/>
        <v>426</v>
      </c>
      <c r="B432" s="680"/>
      <c r="C432" s="488" t="s">
        <v>56</v>
      </c>
      <c r="D432" s="463"/>
      <c r="E432" s="464" t="s">
        <v>11</v>
      </c>
      <c r="F432" s="470">
        <v>918676</v>
      </c>
      <c r="G432" s="467" t="s">
        <v>1459</v>
      </c>
      <c r="H432" s="467"/>
      <c r="I432" s="467"/>
      <c r="J432" s="467"/>
      <c r="K432" s="467"/>
      <c r="L432" s="467"/>
      <c r="M432" s="467"/>
      <c r="N432" s="469"/>
    </row>
    <row r="433" spans="1:14">
      <c r="A433" s="451">
        <f t="shared" si="7"/>
        <v>427</v>
      </c>
      <c r="B433" s="680"/>
      <c r="C433" s="488" t="s">
        <v>58</v>
      </c>
      <c r="D433" s="463"/>
      <c r="E433" s="464" t="s">
        <v>11</v>
      </c>
      <c r="F433" s="470">
        <v>1258900</v>
      </c>
      <c r="G433" s="467" t="s">
        <v>1459</v>
      </c>
      <c r="H433" s="467"/>
      <c r="I433" s="467"/>
      <c r="J433" s="467"/>
      <c r="K433" s="467"/>
      <c r="L433" s="467"/>
      <c r="M433" s="467"/>
      <c r="N433" s="469"/>
    </row>
    <row r="434" spans="1:14">
      <c r="A434" s="451">
        <f t="shared" si="7"/>
        <v>428</v>
      </c>
      <c r="B434" s="680"/>
      <c r="C434" s="488" t="s">
        <v>60</v>
      </c>
      <c r="D434" s="463"/>
      <c r="E434" s="464" t="s">
        <v>11</v>
      </c>
      <c r="F434" s="470">
        <v>21014624</v>
      </c>
      <c r="G434" s="467" t="s">
        <v>1459</v>
      </c>
      <c r="H434" s="467"/>
      <c r="I434" s="467"/>
      <c r="J434" s="467"/>
      <c r="K434" s="467"/>
      <c r="L434" s="467"/>
      <c r="M434" s="467"/>
      <c r="N434" s="469"/>
    </row>
    <row r="435" spans="1:14">
      <c r="A435" s="451">
        <f t="shared" si="7"/>
        <v>429</v>
      </c>
      <c r="B435" s="680"/>
      <c r="C435" s="488" t="s">
        <v>62</v>
      </c>
      <c r="D435" s="463"/>
      <c r="E435" s="464" t="s">
        <v>11</v>
      </c>
      <c r="F435" s="470">
        <v>8311002</v>
      </c>
      <c r="G435" s="467" t="s">
        <v>1459</v>
      </c>
      <c r="H435" s="467"/>
      <c r="I435" s="467"/>
      <c r="J435" s="467"/>
      <c r="K435" s="467"/>
      <c r="L435" s="467"/>
      <c r="M435" s="467"/>
      <c r="N435" s="469"/>
    </row>
    <row r="436" spans="1:14">
      <c r="A436" s="451">
        <f t="shared" si="7"/>
        <v>430</v>
      </c>
      <c r="B436" s="680"/>
      <c r="C436" s="488" t="s">
        <v>64</v>
      </c>
      <c r="D436" s="463"/>
      <c r="E436" s="464" t="s">
        <v>11</v>
      </c>
      <c r="F436" s="470">
        <v>1872142</v>
      </c>
      <c r="G436" s="467" t="s">
        <v>1459</v>
      </c>
      <c r="H436" s="467"/>
      <c r="I436" s="467"/>
      <c r="J436" s="467"/>
      <c r="K436" s="467"/>
      <c r="L436" s="467"/>
      <c r="M436" s="467"/>
      <c r="N436" s="469"/>
    </row>
    <row r="437" spans="1:14">
      <c r="A437" s="451">
        <f t="shared" si="7"/>
        <v>431</v>
      </c>
      <c r="B437" s="680"/>
      <c r="C437" s="488" t="s">
        <v>66</v>
      </c>
      <c r="D437" s="463"/>
      <c r="E437" s="464" t="s">
        <v>11</v>
      </c>
      <c r="F437" s="470">
        <v>375316</v>
      </c>
      <c r="G437" s="467" t="s">
        <v>1459</v>
      </c>
      <c r="H437" s="467"/>
      <c r="I437" s="467"/>
      <c r="J437" s="467"/>
      <c r="K437" s="467"/>
      <c r="L437" s="467"/>
      <c r="M437" s="467"/>
      <c r="N437" s="469"/>
    </row>
    <row r="438" spans="1:14">
      <c r="A438" s="451">
        <f t="shared" si="7"/>
        <v>432</v>
      </c>
      <c r="B438" s="680"/>
      <c r="C438" s="488" t="s">
        <v>68</v>
      </c>
      <c r="D438" s="463"/>
      <c r="E438" s="464" t="s">
        <v>11</v>
      </c>
      <c r="F438" s="470">
        <v>771572</v>
      </c>
      <c r="G438" s="467" t="s">
        <v>1459</v>
      </c>
      <c r="H438" s="467"/>
      <c r="I438" s="467"/>
      <c r="J438" s="467"/>
      <c r="K438" s="467"/>
      <c r="L438" s="467"/>
      <c r="M438" s="467"/>
      <c r="N438" s="469"/>
    </row>
    <row r="439" spans="1:14" ht="28.8">
      <c r="A439" s="451">
        <f t="shared" si="7"/>
        <v>433</v>
      </c>
      <c r="B439" s="680"/>
      <c r="C439" s="488" t="s">
        <v>70</v>
      </c>
      <c r="D439" s="463"/>
      <c r="E439" s="464" t="s">
        <v>11</v>
      </c>
      <c r="F439" s="470">
        <v>60704</v>
      </c>
      <c r="G439" s="467" t="s">
        <v>1459</v>
      </c>
      <c r="H439" s="467"/>
      <c r="I439" s="467"/>
      <c r="J439" s="467"/>
      <c r="K439" s="467"/>
      <c r="L439" s="467"/>
      <c r="M439" s="467"/>
      <c r="N439" s="469"/>
    </row>
    <row r="440" spans="1:14">
      <c r="A440" s="451">
        <f t="shared" si="7"/>
        <v>434</v>
      </c>
      <c r="B440" s="680"/>
      <c r="C440" s="488" t="s">
        <v>72</v>
      </c>
      <c r="D440" s="463"/>
      <c r="E440" s="464" t="s">
        <v>11</v>
      </c>
      <c r="F440" s="470">
        <v>2369098</v>
      </c>
      <c r="G440" s="467" t="s">
        <v>1459</v>
      </c>
      <c r="H440" s="467"/>
      <c r="I440" s="467"/>
      <c r="J440" s="467"/>
      <c r="K440" s="467"/>
      <c r="L440" s="467"/>
      <c r="M440" s="467"/>
      <c r="N440" s="469"/>
    </row>
    <row r="441" spans="1:14">
      <c r="A441" s="451">
        <f t="shared" si="7"/>
        <v>435</v>
      </c>
      <c r="B441" s="680"/>
      <c r="C441" s="488" t="s">
        <v>74</v>
      </c>
      <c r="D441" s="463"/>
      <c r="E441" s="464" t="s">
        <v>11</v>
      </c>
      <c r="F441" s="470">
        <v>7305877</v>
      </c>
      <c r="G441" s="467" t="s">
        <v>1459</v>
      </c>
      <c r="H441" s="467"/>
      <c r="I441" s="467"/>
      <c r="J441" s="467"/>
      <c r="K441" s="467"/>
      <c r="L441" s="467"/>
      <c r="M441" s="467"/>
      <c r="N441" s="469"/>
    </row>
    <row r="442" spans="1:14" ht="28.8">
      <c r="A442" s="451">
        <f t="shared" si="7"/>
        <v>436</v>
      </c>
      <c r="B442" s="680"/>
      <c r="C442" s="488" t="s">
        <v>76</v>
      </c>
      <c r="D442" s="463"/>
      <c r="E442" s="464" t="s">
        <v>11</v>
      </c>
      <c r="F442" s="470">
        <v>922098</v>
      </c>
      <c r="G442" s="467" t="s">
        <v>1459</v>
      </c>
      <c r="H442" s="467"/>
      <c r="I442" s="467"/>
      <c r="J442" s="467"/>
      <c r="K442" s="467"/>
      <c r="L442" s="467"/>
      <c r="M442" s="467"/>
      <c r="N442" s="469"/>
    </row>
    <row r="443" spans="1:14">
      <c r="A443" s="451">
        <f t="shared" si="7"/>
        <v>437</v>
      </c>
      <c r="B443" s="680"/>
      <c r="C443" s="488" t="s">
        <v>78</v>
      </c>
      <c r="D443" s="463"/>
      <c r="E443" s="464" t="s">
        <v>11</v>
      </c>
      <c r="F443" s="470">
        <v>3440115</v>
      </c>
      <c r="G443" s="467" t="s">
        <v>1459</v>
      </c>
      <c r="H443" s="467"/>
      <c r="I443" s="467"/>
      <c r="J443" s="467"/>
      <c r="K443" s="467"/>
      <c r="L443" s="467"/>
      <c r="M443" s="467"/>
      <c r="N443" s="469"/>
    </row>
    <row r="444" spans="1:14">
      <c r="A444" s="451">
        <f t="shared" si="7"/>
        <v>438</v>
      </c>
      <c r="B444" s="680"/>
      <c r="C444" s="488" t="s">
        <v>1955</v>
      </c>
      <c r="D444" s="463"/>
      <c r="E444" s="464" t="s">
        <v>11</v>
      </c>
      <c r="F444" s="470">
        <v>444780</v>
      </c>
      <c r="G444" s="467" t="s">
        <v>1459</v>
      </c>
      <c r="H444" s="467"/>
      <c r="I444" s="467"/>
      <c r="J444" s="467"/>
      <c r="K444" s="467"/>
      <c r="L444" s="467"/>
      <c r="M444" s="467"/>
      <c r="N444" s="469"/>
    </row>
    <row r="445" spans="1:14">
      <c r="A445" s="451">
        <f t="shared" si="7"/>
        <v>439</v>
      </c>
      <c r="B445" s="680"/>
      <c r="C445" s="488" t="s">
        <v>1956</v>
      </c>
      <c r="D445" s="463"/>
      <c r="E445" s="464" t="s">
        <v>11</v>
      </c>
      <c r="F445" s="470">
        <v>7919832</v>
      </c>
      <c r="G445" s="467" t="s">
        <v>1459</v>
      </c>
      <c r="H445" s="467"/>
      <c r="I445" s="467"/>
      <c r="J445" s="467"/>
      <c r="K445" s="467"/>
      <c r="L445" s="467"/>
      <c r="M445" s="467"/>
      <c r="N445" s="469"/>
    </row>
    <row r="446" spans="1:14">
      <c r="A446" s="451">
        <f t="shared" si="7"/>
        <v>440</v>
      </c>
      <c r="B446" s="680"/>
      <c r="C446" s="488" t="s">
        <v>84</v>
      </c>
      <c r="D446" s="463" t="s">
        <v>1957</v>
      </c>
      <c r="E446" s="464" t="s">
        <v>36</v>
      </c>
      <c r="F446" s="470">
        <v>28806330</v>
      </c>
      <c r="G446" s="467" t="s">
        <v>1459</v>
      </c>
      <c r="H446" s="467"/>
      <c r="I446" s="467"/>
      <c r="J446" s="467"/>
      <c r="K446" s="467"/>
      <c r="L446" s="467"/>
      <c r="M446" s="467"/>
      <c r="N446" s="469"/>
    </row>
    <row r="447" spans="1:14">
      <c r="A447" s="451">
        <f t="shared" si="7"/>
        <v>441</v>
      </c>
      <c r="B447" s="680"/>
      <c r="C447" s="488" t="s">
        <v>86</v>
      </c>
      <c r="D447" s="463" t="s">
        <v>1958</v>
      </c>
      <c r="E447" s="464" t="s">
        <v>36</v>
      </c>
      <c r="F447" s="470">
        <v>157876</v>
      </c>
      <c r="G447" s="467" t="s">
        <v>1459</v>
      </c>
      <c r="H447" s="467"/>
      <c r="I447" s="467"/>
      <c r="J447" s="467"/>
      <c r="K447" s="467"/>
      <c r="L447" s="467"/>
      <c r="M447" s="467"/>
      <c r="N447" s="469"/>
    </row>
    <row r="448" spans="1:14">
      <c r="A448" s="451">
        <f t="shared" si="7"/>
        <v>442</v>
      </c>
      <c r="B448" s="680"/>
      <c r="C448" s="488" t="s">
        <v>88</v>
      </c>
      <c r="D448" s="463"/>
      <c r="E448" s="464" t="s">
        <v>11</v>
      </c>
      <c r="F448" s="470">
        <v>10096097</v>
      </c>
      <c r="G448" s="467" t="s">
        <v>1459</v>
      </c>
      <c r="H448" s="467"/>
      <c r="I448" s="467"/>
      <c r="J448" s="467"/>
      <c r="K448" s="467"/>
      <c r="L448" s="467"/>
      <c r="M448" s="467"/>
      <c r="N448" s="469"/>
    </row>
    <row r="449" spans="1:14">
      <c r="A449" s="451">
        <f t="shared" si="7"/>
        <v>443</v>
      </c>
      <c r="B449" s="680"/>
      <c r="C449" s="488" t="s">
        <v>90</v>
      </c>
      <c r="D449" s="463"/>
      <c r="E449" s="464" t="s">
        <v>11</v>
      </c>
      <c r="F449" s="470">
        <v>7554492</v>
      </c>
      <c r="G449" s="467" t="s">
        <v>1459</v>
      </c>
      <c r="H449" s="467"/>
      <c r="I449" s="467"/>
      <c r="J449" s="467"/>
      <c r="K449" s="467"/>
      <c r="L449" s="467"/>
      <c r="M449" s="467"/>
      <c r="N449" s="469"/>
    </row>
    <row r="450" spans="1:14" ht="28.8">
      <c r="A450" s="451">
        <f t="shared" si="7"/>
        <v>444</v>
      </c>
      <c r="B450" s="680"/>
      <c r="C450" s="488" t="s">
        <v>92</v>
      </c>
      <c r="D450" s="463"/>
      <c r="E450" s="464" t="s">
        <v>11</v>
      </c>
      <c r="F450" s="470">
        <v>7326839</v>
      </c>
      <c r="G450" s="467" t="s">
        <v>1459</v>
      </c>
      <c r="H450" s="467"/>
      <c r="I450" s="467"/>
      <c r="J450" s="467"/>
      <c r="K450" s="467"/>
      <c r="L450" s="467"/>
      <c r="M450" s="467"/>
      <c r="N450" s="469"/>
    </row>
    <row r="451" spans="1:14" ht="28.8">
      <c r="A451" s="451">
        <f t="shared" si="7"/>
        <v>445</v>
      </c>
      <c r="B451" s="680"/>
      <c r="C451" s="488" t="s">
        <v>94</v>
      </c>
      <c r="D451" s="463"/>
      <c r="E451" s="464" t="s">
        <v>11</v>
      </c>
      <c r="F451" s="470">
        <v>2262949</v>
      </c>
      <c r="G451" s="467" t="s">
        <v>1459</v>
      </c>
      <c r="H451" s="467"/>
      <c r="I451" s="467"/>
      <c r="J451" s="467"/>
      <c r="K451" s="467"/>
      <c r="L451" s="467"/>
      <c r="M451" s="467"/>
      <c r="N451" s="469"/>
    </row>
    <row r="452" spans="1:14">
      <c r="A452" s="451">
        <f t="shared" si="7"/>
        <v>446</v>
      </c>
      <c r="B452" s="680"/>
      <c r="C452" s="488" t="s">
        <v>96</v>
      </c>
      <c r="D452" s="463"/>
      <c r="E452" s="464" t="s">
        <v>11</v>
      </c>
      <c r="F452" s="470">
        <v>777327</v>
      </c>
      <c r="G452" s="467" t="s">
        <v>1459</v>
      </c>
      <c r="H452" s="467"/>
      <c r="I452" s="467"/>
      <c r="J452" s="467"/>
      <c r="K452" s="467"/>
      <c r="L452" s="467"/>
      <c r="M452" s="467"/>
      <c r="N452" s="469"/>
    </row>
    <row r="453" spans="1:14">
      <c r="A453" s="451">
        <f t="shared" si="7"/>
        <v>447</v>
      </c>
      <c r="B453" s="680"/>
      <c r="C453" s="488" t="s">
        <v>98</v>
      </c>
      <c r="D453" s="463"/>
      <c r="E453" s="464" t="s">
        <v>11</v>
      </c>
      <c r="F453" s="470">
        <v>967828</v>
      </c>
      <c r="G453" s="467" t="s">
        <v>1459</v>
      </c>
      <c r="H453" s="467"/>
      <c r="I453" s="467"/>
      <c r="J453" s="467"/>
      <c r="K453" s="467"/>
      <c r="L453" s="467"/>
      <c r="M453" s="467"/>
      <c r="N453" s="469"/>
    </row>
    <row r="454" spans="1:14">
      <c r="A454" s="451">
        <f t="shared" si="7"/>
        <v>448</v>
      </c>
      <c r="B454" s="680"/>
      <c r="C454" s="488" t="s">
        <v>100</v>
      </c>
      <c r="D454" s="463"/>
      <c r="E454" s="464" t="s">
        <v>11</v>
      </c>
      <c r="F454" s="470">
        <v>679540</v>
      </c>
      <c r="G454" s="467" t="s">
        <v>1459</v>
      </c>
      <c r="H454" s="467"/>
      <c r="I454" s="467"/>
      <c r="J454" s="467"/>
      <c r="K454" s="467"/>
      <c r="L454" s="467"/>
      <c r="M454" s="467"/>
      <c r="N454" s="469"/>
    </row>
    <row r="455" spans="1:14" ht="28.8">
      <c r="A455" s="451">
        <f t="shared" si="7"/>
        <v>449</v>
      </c>
      <c r="B455" s="680"/>
      <c r="C455" s="488" t="s">
        <v>102</v>
      </c>
      <c r="D455" s="463"/>
      <c r="E455" s="464" t="s">
        <v>11</v>
      </c>
      <c r="F455" s="470">
        <v>10230863</v>
      </c>
      <c r="G455" s="467" t="s">
        <v>1459</v>
      </c>
      <c r="H455" s="467"/>
      <c r="I455" s="467"/>
      <c r="J455" s="467"/>
      <c r="K455" s="467"/>
      <c r="L455" s="467"/>
      <c r="M455" s="467"/>
      <c r="N455" s="469"/>
    </row>
    <row r="456" spans="1:14" ht="28.8">
      <c r="A456" s="451">
        <f t="shared" si="7"/>
        <v>450</v>
      </c>
      <c r="B456" s="680"/>
      <c r="C456" s="488" t="s">
        <v>104</v>
      </c>
      <c r="D456" s="463"/>
      <c r="E456" s="464" t="s">
        <v>11</v>
      </c>
      <c r="F456" s="470">
        <v>16397505</v>
      </c>
      <c r="G456" s="467" t="s">
        <v>1459</v>
      </c>
      <c r="H456" s="467"/>
      <c r="I456" s="467"/>
      <c r="J456" s="467"/>
      <c r="K456" s="467"/>
      <c r="L456" s="467"/>
      <c r="M456" s="467"/>
      <c r="N456" s="469"/>
    </row>
    <row r="457" spans="1:14" ht="28.8">
      <c r="A457" s="451">
        <f t="shared" si="7"/>
        <v>451</v>
      </c>
      <c r="B457" s="680"/>
      <c r="C457" s="488" t="s">
        <v>106</v>
      </c>
      <c r="D457" s="463"/>
      <c r="E457" s="464" t="s">
        <v>11</v>
      </c>
      <c r="F457" s="470">
        <v>5033030</v>
      </c>
      <c r="G457" s="467" t="s">
        <v>1459</v>
      </c>
      <c r="H457" s="467"/>
      <c r="I457" s="467"/>
      <c r="J457" s="467"/>
      <c r="K457" s="467"/>
      <c r="L457" s="467"/>
      <c r="M457" s="467"/>
      <c r="N457" s="469"/>
    </row>
    <row r="458" spans="1:14" ht="28.8">
      <c r="A458" s="451">
        <f t="shared" si="7"/>
        <v>452</v>
      </c>
      <c r="B458" s="680"/>
      <c r="C458" s="488" t="s">
        <v>108</v>
      </c>
      <c r="D458" s="463"/>
      <c r="E458" s="464" t="s">
        <v>11</v>
      </c>
      <c r="F458" s="470">
        <v>10035507</v>
      </c>
      <c r="G458" s="467" t="s">
        <v>1459</v>
      </c>
      <c r="H458" s="467"/>
      <c r="I458" s="467"/>
      <c r="J458" s="467"/>
      <c r="K458" s="467"/>
      <c r="L458" s="467"/>
      <c r="M458" s="467"/>
      <c r="N458" s="469"/>
    </row>
    <row r="459" spans="1:14" ht="28.8">
      <c r="A459" s="451">
        <f t="shared" si="7"/>
        <v>453</v>
      </c>
      <c r="B459" s="680"/>
      <c r="C459" s="488" t="s">
        <v>110</v>
      </c>
      <c r="D459" s="463"/>
      <c r="E459" s="464" t="s">
        <v>11</v>
      </c>
      <c r="F459" s="470">
        <v>6133398</v>
      </c>
      <c r="G459" s="467" t="s">
        <v>1459</v>
      </c>
      <c r="H459" s="467"/>
      <c r="I459" s="467"/>
      <c r="J459" s="467"/>
      <c r="K459" s="467"/>
      <c r="L459" s="467"/>
      <c r="M459" s="467"/>
      <c r="N459" s="469"/>
    </row>
    <row r="460" spans="1:14">
      <c r="A460" s="451">
        <f t="shared" si="7"/>
        <v>454</v>
      </c>
      <c r="B460" s="680"/>
      <c r="C460" s="488" t="s">
        <v>112</v>
      </c>
      <c r="D460" s="463"/>
      <c r="E460" s="464" t="s">
        <v>11</v>
      </c>
      <c r="F460" s="470">
        <v>4306775</v>
      </c>
      <c r="G460" s="467" t="s">
        <v>1459</v>
      </c>
      <c r="H460" s="467"/>
      <c r="I460" s="467"/>
      <c r="J460" s="467"/>
      <c r="K460" s="467"/>
      <c r="L460" s="467"/>
      <c r="M460" s="467"/>
      <c r="N460" s="469"/>
    </row>
    <row r="461" spans="1:14">
      <c r="A461" s="451">
        <f t="shared" si="7"/>
        <v>455</v>
      </c>
      <c r="B461" s="680"/>
      <c r="C461" s="488" t="s">
        <v>114</v>
      </c>
      <c r="D461" s="463"/>
      <c r="E461" s="464" t="s">
        <v>11</v>
      </c>
      <c r="F461" s="470">
        <v>1993083</v>
      </c>
      <c r="G461" s="467" t="s">
        <v>1459</v>
      </c>
      <c r="H461" s="467"/>
      <c r="I461" s="467"/>
      <c r="J461" s="467"/>
      <c r="K461" s="467"/>
      <c r="L461" s="467"/>
      <c r="M461" s="467"/>
      <c r="N461" s="469"/>
    </row>
    <row r="462" spans="1:14">
      <c r="A462" s="451">
        <f t="shared" si="7"/>
        <v>456</v>
      </c>
      <c r="B462" s="680"/>
      <c r="C462" s="488" t="s">
        <v>116</v>
      </c>
      <c r="D462" s="463"/>
      <c r="E462" s="464" t="s">
        <v>11</v>
      </c>
      <c r="F462" s="470">
        <v>1540944</v>
      </c>
      <c r="G462" s="467" t="s">
        <v>1459</v>
      </c>
      <c r="H462" s="467"/>
      <c r="I462" s="467"/>
      <c r="J462" s="467"/>
      <c r="K462" s="467"/>
      <c r="L462" s="467"/>
      <c r="M462" s="467"/>
      <c r="N462" s="469"/>
    </row>
    <row r="463" spans="1:14">
      <c r="A463" s="451">
        <f t="shared" si="7"/>
        <v>457</v>
      </c>
      <c r="B463" s="680"/>
      <c r="C463" s="488" t="s">
        <v>118</v>
      </c>
      <c r="D463" s="463"/>
      <c r="E463" s="464" t="s">
        <v>11</v>
      </c>
      <c r="F463" s="470">
        <v>455727</v>
      </c>
      <c r="G463" s="467" t="s">
        <v>1459</v>
      </c>
      <c r="H463" s="467"/>
      <c r="I463" s="467"/>
      <c r="J463" s="467"/>
      <c r="K463" s="467"/>
      <c r="L463" s="467"/>
      <c r="M463" s="467"/>
      <c r="N463" s="469"/>
    </row>
    <row r="464" spans="1:14">
      <c r="A464" s="451">
        <f t="shared" si="7"/>
        <v>458</v>
      </c>
      <c r="B464" s="680"/>
      <c r="C464" s="488" t="s">
        <v>120</v>
      </c>
      <c r="D464" s="463"/>
      <c r="E464" s="464" t="s">
        <v>11</v>
      </c>
      <c r="F464" s="470">
        <v>2348919</v>
      </c>
      <c r="G464" s="467" t="s">
        <v>1459</v>
      </c>
      <c r="H464" s="467"/>
      <c r="I464" s="467"/>
      <c r="J464" s="467"/>
      <c r="K464" s="467"/>
      <c r="L464" s="467"/>
      <c r="M464" s="467"/>
      <c r="N464" s="469"/>
    </row>
    <row r="465" spans="1:14">
      <c r="A465" s="451">
        <f t="shared" si="7"/>
        <v>459</v>
      </c>
      <c r="B465" s="680"/>
      <c r="C465" s="488" t="s">
        <v>122</v>
      </c>
      <c r="D465" s="463"/>
      <c r="E465" s="464" t="s">
        <v>11</v>
      </c>
      <c r="F465" s="470">
        <v>3279089</v>
      </c>
      <c r="G465" s="467" t="s">
        <v>1459</v>
      </c>
      <c r="H465" s="467"/>
      <c r="I465" s="467"/>
      <c r="J465" s="467"/>
      <c r="K465" s="467"/>
      <c r="L465" s="467"/>
      <c r="M465" s="467"/>
      <c r="N465" s="469"/>
    </row>
    <row r="466" spans="1:14" ht="28.8">
      <c r="A466" s="451">
        <f t="shared" si="7"/>
        <v>460</v>
      </c>
      <c r="B466" s="680"/>
      <c r="C466" s="488" t="s">
        <v>124</v>
      </c>
      <c r="D466" s="463"/>
      <c r="E466" s="464" t="s">
        <v>11</v>
      </c>
      <c r="F466" s="470">
        <v>156778</v>
      </c>
      <c r="G466" s="467" t="s">
        <v>1459</v>
      </c>
      <c r="H466" s="467"/>
      <c r="I466" s="467"/>
      <c r="J466" s="467"/>
      <c r="K466" s="467"/>
      <c r="L466" s="467"/>
      <c r="M466" s="467"/>
      <c r="N466" s="469"/>
    </row>
    <row r="467" spans="1:14">
      <c r="A467" s="451">
        <f t="shared" si="7"/>
        <v>461</v>
      </c>
      <c r="B467" s="680"/>
      <c r="C467" s="488" t="s">
        <v>126</v>
      </c>
      <c r="D467" s="463" t="s">
        <v>1954</v>
      </c>
      <c r="E467" s="464" t="s">
        <v>36</v>
      </c>
      <c r="F467" s="470">
        <v>12744945</v>
      </c>
      <c r="G467" s="467" t="s">
        <v>1459</v>
      </c>
      <c r="H467" s="467"/>
      <c r="I467" s="467"/>
      <c r="J467" s="467"/>
      <c r="K467" s="467"/>
      <c r="L467" s="467"/>
      <c r="M467" s="467"/>
      <c r="N467" s="469"/>
    </row>
    <row r="468" spans="1:14">
      <c r="A468" s="451">
        <f t="shared" ref="A468:A531" si="8">A467+1</f>
        <v>462</v>
      </c>
      <c r="B468" s="680"/>
      <c r="C468" s="488" t="s">
        <v>128</v>
      </c>
      <c r="D468" s="463"/>
      <c r="E468" s="464" t="s">
        <v>11</v>
      </c>
      <c r="F468" s="470">
        <v>2010227</v>
      </c>
      <c r="G468" s="467" t="s">
        <v>1459</v>
      </c>
      <c r="H468" s="467"/>
      <c r="I468" s="467"/>
      <c r="J468" s="467"/>
      <c r="K468" s="467"/>
      <c r="L468" s="467"/>
      <c r="M468" s="467"/>
      <c r="N468" s="469"/>
    </row>
    <row r="469" spans="1:14">
      <c r="A469" s="451">
        <f t="shared" si="8"/>
        <v>463</v>
      </c>
      <c r="B469" s="680"/>
      <c r="C469" s="488" t="s">
        <v>130</v>
      </c>
      <c r="D469" s="463"/>
      <c r="E469" s="464" t="s">
        <v>11</v>
      </c>
      <c r="F469" s="470">
        <v>1212199</v>
      </c>
      <c r="G469" s="467" t="s">
        <v>1459</v>
      </c>
      <c r="H469" s="467"/>
      <c r="I469" s="467"/>
      <c r="J469" s="467"/>
      <c r="K469" s="467"/>
      <c r="L469" s="467"/>
      <c r="M469" s="467"/>
      <c r="N469" s="469"/>
    </row>
    <row r="470" spans="1:14">
      <c r="A470" s="451">
        <f t="shared" si="8"/>
        <v>464</v>
      </c>
      <c r="B470" s="680"/>
      <c r="C470" s="488" t="s">
        <v>132</v>
      </c>
      <c r="D470" s="463"/>
      <c r="E470" s="464" t="s">
        <v>11</v>
      </c>
      <c r="F470" s="470">
        <v>3176751</v>
      </c>
      <c r="G470" s="467" t="s">
        <v>1459</v>
      </c>
      <c r="H470" s="467"/>
      <c r="I470" s="467"/>
      <c r="J470" s="467"/>
      <c r="K470" s="467"/>
      <c r="L470" s="467"/>
      <c r="M470" s="467"/>
      <c r="N470" s="469"/>
    </row>
    <row r="471" spans="1:14">
      <c r="A471" s="451">
        <f t="shared" si="8"/>
        <v>465</v>
      </c>
      <c r="B471" s="680"/>
      <c r="C471" s="488" t="s">
        <v>1959</v>
      </c>
      <c r="D471" s="463" t="s">
        <v>1957</v>
      </c>
      <c r="E471" s="464" t="s">
        <v>36</v>
      </c>
      <c r="F471" s="470">
        <v>8685923</v>
      </c>
      <c r="G471" s="467" t="s">
        <v>1459</v>
      </c>
      <c r="H471" s="467"/>
      <c r="I471" s="467"/>
      <c r="J471" s="467"/>
      <c r="K471" s="467"/>
      <c r="L471" s="467"/>
      <c r="M471" s="467"/>
      <c r="N471" s="469"/>
    </row>
    <row r="472" spans="1:14">
      <c r="A472" s="451">
        <f t="shared" si="8"/>
        <v>466</v>
      </c>
      <c r="B472" s="680"/>
      <c r="C472" s="488" t="s">
        <v>136</v>
      </c>
      <c r="D472" s="463" t="s">
        <v>1960</v>
      </c>
      <c r="E472" s="464" t="s">
        <v>36</v>
      </c>
      <c r="F472" s="470">
        <v>5561905</v>
      </c>
      <c r="G472" s="467" t="s">
        <v>1459</v>
      </c>
      <c r="H472" s="467"/>
      <c r="I472" s="467"/>
      <c r="J472" s="467"/>
      <c r="K472" s="467"/>
      <c r="L472" s="467"/>
      <c r="M472" s="467"/>
      <c r="N472" s="469"/>
    </row>
    <row r="473" spans="1:14">
      <c r="A473" s="451">
        <f t="shared" si="8"/>
        <v>467</v>
      </c>
      <c r="B473" s="680"/>
      <c r="C473" s="488" t="s">
        <v>138</v>
      </c>
      <c r="D473" s="463"/>
      <c r="E473" s="464" t="s">
        <v>11</v>
      </c>
      <c r="F473" s="470">
        <v>2270236</v>
      </c>
      <c r="G473" s="467" t="s">
        <v>1459</v>
      </c>
      <c r="H473" s="467"/>
      <c r="I473" s="467"/>
      <c r="J473" s="467"/>
      <c r="K473" s="467"/>
      <c r="L473" s="467"/>
      <c r="M473" s="467"/>
      <c r="N473" s="469"/>
    </row>
    <row r="474" spans="1:14" ht="28.8">
      <c r="A474" s="451">
        <f t="shared" si="8"/>
        <v>468</v>
      </c>
      <c r="B474" s="680"/>
      <c r="C474" s="488" t="s">
        <v>140</v>
      </c>
      <c r="D474" s="463"/>
      <c r="E474" s="464" t="s">
        <v>11</v>
      </c>
      <c r="F474" s="470">
        <v>11228663</v>
      </c>
      <c r="G474" s="467" t="s">
        <v>1459</v>
      </c>
      <c r="H474" s="467"/>
      <c r="I474" s="467"/>
      <c r="J474" s="467"/>
      <c r="K474" s="467"/>
      <c r="L474" s="467"/>
      <c r="M474" s="467"/>
      <c r="N474" s="469"/>
    </row>
    <row r="475" spans="1:14">
      <c r="A475" s="451">
        <f t="shared" si="8"/>
        <v>469</v>
      </c>
      <c r="B475" s="680"/>
      <c r="C475" s="488" t="s">
        <v>142</v>
      </c>
      <c r="D475" s="463"/>
      <c r="E475" s="464" t="s">
        <v>11</v>
      </c>
      <c r="F475" s="470">
        <v>617623</v>
      </c>
      <c r="G475" s="467" t="s">
        <v>1459</v>
      </c>
      <c r="H475" s="467"/>
      <c r="I475" s="467"/>
      <c r="J475" s="467"/>
      <c r="K475" s="467"/>
      <c r="L475" s="467"/>
      <c r="M475" s="467"/>
      <c r="N475" s="469"/>
    </row>
    <row r="476" spans="1:14" ht="28.8">
      <c r="A476" s="451">
        <f t="shared" si="8"/>
        <v>470</v>
      </c>
      <c r="B476" s="680"/>
      <c r="C476" s="488" t="s">
        <v>144</v>
      </c>
      <c r="D476" s="463"/>
      <c r="E476" s="464" t="s">
        <v>11</v>
      </c>
      <c r="F476" s="470">
        <v>6319622</v>
      </c>
      <c r="G476" s="467" t="s">
        <v>1459</v>
      </c>
      <c r="H476" s="467"/>
      <c r="I476" s="467"/>
      <c r="J476" s="467"/>
      <c r="K476" s="467"/>
      <c r="L476" s="467"/>
      <c r="M476" s="467"/>
      <c r="N476" s="469"/>
    </row>
    <row r="477" spans="1:14">
      <c r="A477" s="451">
        <f t="shared" si="8"/>
        <v>471</v>
      </c>
      <c r="B477" s="680"/>
      <c r="C477" s="488" t="s">
        <v>146</v>
      </c>
      <c r="D477" s="463"/>
      <c r="E477" s="464" t="s">
        <v>11</v>
      </c>
      <c r="F477" s="470">
        <v>324360</v>
      </c>
      <c r="G477" s="467" t="s">
        <v>1459</v>
      </c>
      <c r="H477" s="467"/>
      <c r="I477" s="467"/>
      <c r="J477" s="467"/>
      <c r="K477" s="467"/>
      <c r="L477" s="467"/>
      <c r="M477" s="467"/>
      <c r="N477" s="469"/>
    </row>
    <row r="478" spans="1:14">
      <c r="A478" s="451">
        <f t="shared" si="8"/>
        <v>472</v>
      </c>
      <c r="B478" s="680"/>
      <c r="C478" s="488" t="s">
        <v>148</v>
      </c>
      <c r="D478" s="463"/>
      <c r="E478" s="464" t="s">
        <v>11</v>
      </c>
      <c r="F478" s="470">
        <v>4941649</v>
      </c>
      <c r="G478" s="467" t="s">
        <v>1459</v>
      </c>
      <c r="H478" s="467"/>
      <c r="I478" s="467"/>
      <c r="J478" s="467"/>
      <c r="K478" s="467"/>
      <c r="L478" s="467"/>
      <c r="M478" s="467"/>
      <c r="N478" s="469"/>
    </row>
    <row r="479" spans="1:14">
      <c r="A479" s="451">
        <f t="shared" si="8"/>
        <v>473</v>
      </c>
      <c r="B479" s="680"/>
      <c r="C479" s="488" t="s">
        <v>150</v>
      </c>
      <c r="D479" s="463"/>
      <c r="E479" s="464" t="s">
        <v>11</v>
      </c>
      <c r="F479" s="470">
        <v>3155850</v>
      </c>
      <c r="G479" s="467" t="s">
        <v>1459</v>
      </c>
      <c r="H479" s="467"/>
      <c r="I479" s="467"/>
      <c r="J479" s="467"/>
      <c r="K479" s="467"/>
      <c r="L479" s="467"/>
      <c r="M479" s="467"/>
      <c r="N479" s="469"/>
    </row>
    <row r="480" spans="1:14">
      <c r="A480" s="451">
        <f t="shared" si="8"/>
        <v>474</v>
      </c>
      <c r="B480" s="680"/>
      <c r="C480" s="488" t="s">
        <v>152</v>
      </c>
      <c r="D480" s="463"/>
      <c r="E480" s="464" t="s">
        <v>11</v>
      </c>
      <c r="F480" s="470">
        <v>22285708</v>
      </c>
      <c r="G480" s="467" t="s">
        <v>1459</v>
      </c>
      <c r="H480" s="467"/>
      <c r="I480" s="467"/>
      <c r="J480" s="467"/>
      <c r="K480" s="467"/>
      <c r="L480" s="467"/>
      <c r="M480" s="467"/>
      <c r="N480" s="469"/>
    </row>
    <row r="481" spans="1:14">
      <c r="A481" s="451">
        <f t="shared" si="8"/>
        <v>475</v>
      </c>
      <c r="B481" s="680"/>
      <c r="C481" s="488" t="s">
        <v>154</v>
      </c>
      <c r="D481" s="463"/>
      <c r="E481" s="464" t="s">
        <v>11</v>
      </c>
      <c r="F481" s="470">
        <v>1055414</v>
      </c>
      <c r="G481" s="467" t="s">
        <v>1459</v>
      </c>
      <c r="H481" s="467"/>
      <c r="I481" s="467"/>
      <c r="J481" s="467"/>
      <c r="K481" s="467"/>
      <c r="L481" s="467"/>
      <c r="M481" s="467"/>
      <c r="N481" s="469"/>
    </row>
    <row r="482" spans="1:14">
      <c r="A482" s="451">
        <f t="shared" si="8"/>
        <v>476</v>
      </c>
      <c r="B482" s="680"/>
      <c r="C482" s="488" t="s">
        <v>156</v>
      </c>
      <c r="D482" s="463"/>
      <c r="E482" s="464" t="s">
        <v>11</v>
      </c>
      <c r="F482" s="470">
        <v>8982948</v>
      </c>
      <c r="G482" s="467" t="s">
        <v>1459</v>
      </c>
      <c r="H482" s="467"/>
      <c r="I482" s="467"/>
      <c r="J482" s="467"/>
      <c r="K482" s="467"/>
      <c r="L482" s="467"/>
      <c r="M482" s="467"/>
      <c r="N482" s="469"/>
    </row>
    <row r="483" spans="1:14">
      <c r="A483" s="451">
        <f t="shared" si="8"/>
        <v>477</v>
      </c>
      <c r="B483" s="680"/>
      <c r="C483" s="488" t="s">
        <v>158</v>
      </c>
      <c r="D483" s="463"/>
      <c r="E483" s="464" t="s">
        <v>11</v>
      </c>
      <c r="F483" s="470">
        <v>2038631</v>
      </c>
      <c r="G483" s="467" t="s">
        <v>1459</v>
      </c>
      <c r="H483" s="467"/>
      <c r="I483" s="467"/>
      <c r="J483" s="467"/>
      <c r="K483" s="467"/>
      <c r="L483" s="467"/>
      <c r="M483" s="467"/>
      <c r="N483" s="469"/>
    </row>
    <row r="484" spans="1:14">
      <c r="A484" s="451">
        <f t="shared" si="8"/>
        <v>478</v>
      </c>
      <c r="B484" s="680"/>
      <c r="C484" s="488" t="s">
        <v>160</v>
      </c>
      <c r="D484" s="463"/>
      <c r="E484" s="464" t="s">
        <v>11</v>
      </c>
      <c r="F484" s="470">
        <v>1089083</v>
      </c>
      <c r="G484" s="467" t="s">
        <v>1459</v>
      </c>
      <c r="H484" s="467"/>
      <c r="I484" s="467"/>
      <c r="J484" s="467"/>
      <c r="K484" s="467"/>
      <c r="L484" s="467"/>
      <c r="M484" s="467"/>
      <c r="N484" s="469"/>
    </row>
    <row r="485" spans="1:14">
      <c r="A485" s="451">
        <f t="shared" si="8"/>
        <v>479</v>
      </c>
      <c r="B485" s="680"/>
      <c r="C485" s="488" t="s">
        <v>162</v>
      </c>
      <c r="D485" s="463"/>
      <c r="E485" s="464" t="s">
        <v>11</v>
      </c>
      <c r="F485" s="470">
        <v>1816904</v>
      </c>
      <c r="G485" s="467" t="s">
        <v>1459</v>
      </c>
      <c r="H485" s="467"/>
      <c r="I485" s="467"/>
      <c r="J485" s="467"/>
      <c r="K485" s="467"/>
      <c r="L485" s="467"/>
      <c r="M485" s="467"/>
      <c r="N485" s="469"/>
    </row>
    <row r="486" spans="1:14">
      <c r="A486" s="451">
        <f t="shared" si="8"/>
        <v>480</v>
      </c>
      <c r="B486" s="680"/>
      <c r="C486" s="488" t="s">
        <v>164</v>
      </c>
      <c r="D486" s="463"/>
      <c r="E486" s="464" t="s">
        <v>11</v>
      </c>
      <c r="F486" s="470">
        <v>1790108</v>
      </c>
      <c r="G486" s="467" t="s">
        <v>1459</v>
      </c>
      <c r="H486" s="467"/>
      <c r="I486" s="467"/>
      <c r="J486" s="467"/>
      <c r="K486" s="467"/>
      <c r="L486" s="467"/>
      <c r="M486" s="467"/>
      <c r="N486" s="469"/>
    </row>
    <row r="487" spans="1:14">
      <c r="A487" s="451">
        <f t="shared" si="8"/>
        <v>481</v>
      </c>
      <c r="B487" s="680"/>
      <c r="C487" s="488" t="s">
        <v>166</v>
      </c>
      <c r="D487" s="463"/>
      <c r="E487" s="464" t="s">
        <v>11</v>
      </c>
      <c r="F487" s="470">
        <v>6346264</v>
      </c>
      <c r="G487" s="467" t="s">
        <v>1459</v>
      </c>
      <c r="H487" s="467"/>
      <c r="I487" s="467"/>
      <c r="J487" s="467"/>
      <c r="K487" s="467"/>
      <c r="L487" s="467"/>
      <c r="M487" s="467"/>
      <c r="N487" s="469"/>
    </row>
    <row r="488" spans="1:14">
      <c r="A488" s="451">
        <f t="shared" si="8"/>
        <v>482</v>
      </c>
      <c r="B488" s="680"/>
      <c r="C488" s="488" t="s">
        <v>168</v>
      </c>
      <c r="D488" s="463"/>
      <c r="E488" s="464" t="s">
        <v>11</v>
      </c>
      <c r="F488" s="470">
        <v>10569338</v>
      </c>
      <c r="G488" s="467" t="s">
        <v>1459</v>
      </c>
      <c r="H488" s="467"/>
      <c r="I488" s="467"/>
      <c r="J488" s="467"/>
      <c r="K488" s="467"/>
      <c r="L488" s="467"/>
      <c r="M488" s="467"/>
      <c r="N488" s="469"/>
    </row>
    <row r="489" spans="1:14">
      <c r="A489" s="451">
        <f t="shared" si="8"/>
        <v>483</v>
      </c>
      <c r="B489" s="680"/>
      <c r="C489" s="488" t="s">
        <v>170</v>
      </c>
      <c r="D489" s="463" t="s">
        <v>1954</v>
      </c>
      <c r="E489" s="464" t="s">
        <v>36</v>
      </c>
      <c r="F489" s="470">
        <v>3750704</v>
      </c>
      <c r="G489" s="467" t="s">
        <v>1459</v>
      </c>
      <c r="H489" s="467"/>
      <c r="I489" s="467"/>
      <c r="J489" s="467"/>
      <c r="K489" s="467"/>
      <c r="L489" s="467"/>
      <c r="M489" s="467"/>
      <c r="N489" s="469"/>
    </row>
    <row r="490" spans="1:14">
      <c r="A490" s="451">
        <f t="shared" si="8"/>
        <v>484</v>
      </c>
      <c r="B490" s="680"/>
      <c r="C490" s="488" t="s">
        <v>172</v>
      </c>
      <c r="D490" s="463"/>
      <c r="E490" s="464" t="s">
        <v>11</v>
      </c>
      <c r="F490" s="470">
        <v>2720853</v>
      </c>
      <c r="G490" s="467" t="s">
        <v>1459</v>
      </c>
      <c r="H490" s="467"/>
      <c r="I490" s="467"/>
      <c r="J490" s="467"/>
      <c r="K490" s="467"/>
      <c r="L490" s="467"/>
      <c r="M490" s="467"/>
      <c r="N490" s="469"/>
    </row>
    <row r="491" spans="1:14" ht="28.8">
      <c r="A491" s="451">
        <f t="shared" si="8"/>
        <v>485</v>
      </c>
      <c r="B491" s="680"/>
      <c r="C491" s="488" t="s">
        <v>174</v>
      </c>
      <c r="D491" s="463"/>
      <c r="E491" s="464" t="s">
        <v>11</v>
      </c>
      <c r="F491" s="470">
        <v>1132486</v>
      </c>
      <c r="G491" s="467" t="s">
        <v>1459</v>
      </c>
      <c r="H491" s="467"/>
      <c r="I491" s="467"/>
      <c r="J491" s="467"/>
      <c r="K491" s="467"/>
      <c r="L491" s="467"/>
      <c r="M491" s="467"/>
      <c r="N491" s="469"/>
    </row>
    <row r="492" spans="1:14" ht="28.8">
      <c r="A492" s="451">
        <f t="shared" si="8"/>
        <v>486</v>
      </c>
      <c r="B492" s="680"/>
      <c r="C492" s="488" t="s">
        <v>176</v>
      </c>
      <c r="D492" s="463"/>
      <c r="E492" s="464" t="s">
        <v>11</v>
      </c>
      <c r="F492" s="470">
        <v>309991</v>
      </c>
      <c r="G492" s="467" t="s">
        <v>1459</v>
      </c>
      <c r="H492" s="467"/>
      <c r="I492" s="467"/>
      <c r="J492" s="467"/>
      <c r="K492" s="467"/>
      <c r="L492" s="467"/>
      <c r="M492" s="467"/>
      <c r="N492" s="469"/>
    </row>
    <row r="493" spans="1:14" ht="28.8">
      <c r="A493" s="451">
        <f t="shared" si="8"/>
        <v>487</v>
      </c>
      <c r="B493" s="680"/>
      <c r="C493" s="488" t="s">
        <v>178</v>
      </c>
      <c r="D493" s="463"/>
      <c r="E493" s="464" t="s">
        <v>11</v>
      </c>
      <c r="F493" s="470">
        <v>2651860</v>
      </c>
      <c r="G493" s="467" t="s">
        <v>1459</v>
      </c>
      <c r="H493" s="467"/>
      <c r="I493" s="467"/>
      <c r="J493" s="467"/>
      <c r="K493" s="467"/>
      <c r="L493" s="467"/>
      <c r="M493" s="467"/>
      <c r="N493" s="469"/>
    </row>
    <row r="494" spans="1:14" ht="28.8">
      <c r="A494" s="451">
        <f t="shared" si="8"/>
        <v>488</v>
      </c>
      <c r="B494" s="680"/>
      <c r="C494" s="488" t="s">
        <v>180</v>
      </c>
      <c r="D494" s="463"/>
      <c r="E494" s="464" t="s">
        <v>11</v>
      </c>
      <c r="F494" s="470">
        <v>3850393</v>
      </c>
      <c r="G494" s="467" t="s">
        <v>1459</v>
      </c>
      <c r="H494" s="467"/>
      <c r="I494" s="467"/>
      <c r="J494" s="467"/>
      <c r="K494" s="467"/>
      <c r="L494" s="467"/>
      <c r="M494" s="467"/>
      <c r="N494" s="469"/>
    </row>
    <row r="495" spans="1:14" ht="28.8">
      <c r="A495" s="451">
        <f t="shared" si="8"/>
        <v>489</v>
      </c>
      <c r="B495" s="680"/>
      <c r="C495" s="488" t="s">
        <v>182</v>
      </c>
      <c r="D495" s="463"/>
      <c r="E495" s="464" t="s">
        <v>11</v>
      </c>
      <c r="F495" s="470">
        <v>5119119</v>
      </c>
      <c r="G495" s="467" t="s">
        <v>1459</v>
      </c>
      <c r="H495" s="467"/>
      <c r="I495" s="467"/>
      <c r="J495" s="467"/>
      <c r="K495" s="467"/>
      <c r="L495" s="467"/>
      <c r="M495" s="467"/>
      <c r="N495" s="469"/>
    </row>
    <row r="496" spans="1:14">
      <c r="A496" s="451">
        <f t="shared" si="8"/>
        <v>490</v>
      </c>
      <c r="B496" s="680"/>
      <c r="C496" s="488" t="s">
        <v>184</v>
      </c>
      <c r="D496" s="463"/>
      <c r="E496" s="464" t="s">
        <v>11</v>
      </c>
      <c r="F496" s="470">
        <v>5768280</v>
      </c>
      <c r="G496" s="467" t="s">
        <v>1459</v>
      </c>
      <c r="H496" s="467"/>
      <c r="I496" s="467"/>
      <c r="J496" s="467"/>
      <c r="K496" s="467"/>
      <c r="L496" s="467"/>
      <c r="M496" s="467"/>
      <c r="N496" s="469"/>
    </row>
    <row r="497" spans="1:14">
      <c r="A497" s="451">
        <f t="shared" si="8"/>
        <v>491</v>
      </c>
      <c r="B497" s="680"/>
      <c r="C497" s="488" t="s">
        <v>186</v>
      </c>
      <c r="D497" s="463"/>
      <c r="E497" s="464" t="s">
        <v>11</v>
      </c>
      <c r="F497" s="470">
        <v>1967901</v>
      </c>
      <c r="G497" s="467" t="s">
        <v>1459</v>
      </c>
      <c r="H497" s="467"/>
      <c r="I497" s="467"/>
      <c r="J497" s="467"/>
      <c r="K497" s="467"/>
      <c r="L497" s="467"/>
      <c r="M497" s="467"/>
      <c r="N497" s="469"/>
    </row>
    <row r="498" spans="1:14">
      <c r="A498" s="451">
        <f t="shared" si="8"/>
        <v>492</v>
      </c>
      <c r="B498" s="680"/>
      <c r="C498" s="488" t="s">
        <v>188</v>
      </c>
      <c r="D498" s="463"/>
      <c r="E498" s="464" t="s">
        <v>11</v>
      </c>
      <c r="F498" s="470">
        <v>6683770</v>
      </c>
      <c r="G498" s="467" t="s">
        <v>1459</v>
      </c>
      <c r="H498" s="467"/>
      <c r="I498" s="467"/>
      <c r="J498" s="467"/>
      <c r="K498" s="467"/>
      <c r="L498" s="467"/>
      <c r="M498" s="467"/>
      <c r="N498" s="469"/>
    </row>
    <row r="499" spans="1:14">
      <c r="A499" s="451">
        <f t="shared" si="8"/>
        <v>493</v>
      </c>
      <c r="B499" s="680"/>
      <c r="C499" s="488" t="s">
        <v>190</v>
      </c>
      <c r="D499" s="463"/>
      <c r="E499" s="464" t="s">
        <v>11</v>
      </c>
      <c r="F499" s="470">
        <v>388816</v>
      </c>
      <c r="G499" s="467" t="s">
        <v>1459</v>
      </c>
      <c r="H499" s="467"/>
      <c r="I499" s="467"/>
      <c r="J499" s="467"/>
      <c r="K499" s="467"/>
      <c r="L499" s="467"/>
      <c r="M499" s="467"/>
      <c r="N499" s="469"/>
    </row>
    <row r="500" spans="1:14">
      <c r="A500" s="451">
        <f t="shared" si="8"/>
        <v>494</v>
      </c>
      <c r="B500" s="680"/>
      <c r="C500" s="488" t="s">
        <v>192</v>
      </c>
      <c r="D500" s="463"/>
      <c r="E500" s="464" t="s">
        <v>11</v>
      </c>
      <c r="F500" s="470">
        <v>2488318</v>
      </c>
      <c r="G500" s="467" t="s">
        <v>1459</v>
      </c>
      <c r="H500" s="467"/>
      <c r="I500" s="467"/>
      <c r="J500" s="467"/>
      <c r="K500" s="467"/>
      <c r="L500" s="467"/>
      <c r="M500" s="467"/>
      <c r="N500" s="469"/>
    </row>
    <row r="501" spans="1:14">
      <c r="A501" s="451">
        <f t="shared" si="8"/>
        <v>495</v>
      </c>
      <c r="B501" s="680"/>
      <c r="C501" s="488" t="s">
        <v>194</v>
      </c>
      <c r="D501" s="463"/>
      <c r="E501" s="464" t="s">
        <v>11</v>
      </c>
      <c r="F501" s="470">
        <v>1187034</v>
      </c>
      <c r="G501" s="467" t="s">
        <v>1459</v>
      </c>
      <c r="H501" s="467"/>
      <c r="I501" s="467"/>
      <c r="J501" s="467"/>
      <c r="K501" s="467"/>
      <c r="L501" s="467"/>
      <c r="M501" s="467"/>
      <c r="N501" s="469"/>
    </row>
    <row r="502" spans="1:14">
      <c r="A502" s="451">
        <f t="shared" si="8"/>
        <v>496</v>
      </c>
      <c r="B502" s="680"/>
      <c r="C502" s="488" t="s">
        <v>1961</v>
      </c>
      <c r="D502" s="463"/>
      <c r="G502" s="467" t="s">
        <v>1459</v>
      </c>
      <c r="H502" s="467"/>
      <c r="I502" s="467"/>
      <c r="J502" s="467"/>
      <c r="K502" s="467"/>
      <c r="L502" s="467"/>
      <c r="M502" s="467"/>
      <c r="N502" s="469"/>
    </row>
    <row r="503" spans="1:14" ht="28.8">
      <c r="A503" s="451">
        <f t="shared" si="8"/>
        <v>497</v>
      </c>
      <c r="B503" s="680"/>
      <c r="C503" s="488" t="s">
        <v>196</v>
      </c>
      <c r="D503" s="463"/>
      <c r="E503" s="464" t="s">
        <v>11</v>
      </c>
      <c r="F503" s="470">
        <v>52064</v>
      </c>
      <c r="G503" s="467" t="s">
        <v>1459</v>
      </c>
      <c r="H503" s="467"/>
      <c r="I503" s="467"/>
      <c r="J503" s="467"/>
      <c r="K503" s="467"/>
      <c r="L503" s="467"/>
      <c r="M503" s="467"/>
      <c r="N503" s="469"/>
    </row>
    <row r="504" spans="1:14">
      <c r="A504" s="451">
        <f t="shared" si="8"/>
        <v>498</v>
      </c>
      <c r="B504" s="680"/>
      <c r="C504" s="488" t="s">
        <v>198</v>
      </c>
      <c r="D504" s="463"/>
      <c r="E504" s="464" t="s">
        <v>11</v>
      </c>
      <c r="F504" s="470">
        <v>2235655</v>
      </c>
      <c r="G504" s="467" t="s">
        <v>1459</v>
      </c>
      <c r="H504" s="467"/>
      <c r="I504" s="467"/>
      <c r="J504" s="467"/>
      <c r="K504" s="467"/>
      <c r="L504" s="467"/>
      <c r="M504" s="467"/>
      <c r="N504" s="469"/>
    </row>
    <row r="505" spans="1:14">
      <c r="A505" s="451">
        <f t="shared" si="8"/>
        <v>499</v>
      </c>
      <c r="B505" s="680"/>
      <c r="C505" s="488" t="s">
        <v>201</v>
      </c>
      <c r="D505" s="463"/>
      <c r="E505" s="464" t="s">
        <v>11</v>
      </c>
      <c r="F505" s="470">
        <v>1825369</v>
      </c>
      <c r="G505" s="467" t="s">
        <v>1459</v>
      </c>
      <c r="H505" s="467"/>
      <c r="I505" s="467"/>
      <c r="J505" s="467"/>
      <c r="K505" s="467"/>
      <c r="L505" s="467"/>
      <c r="M505" s="467"/>
      <c r="N505" s="469"/>
    </row>
    <row r="506" spans="1:14">
      <c r="A506" s="451">
        <f t="shared" si="8"/>
        <v>500</v>
      </c>
      <c r="B506" s="680"/>
      <c r="C506" s="488" t="s">
        <v>203</v>
      </c>
      <c r="D506" s="463"/>
      <c r="E506" s="464" t="s">
        <v>11</v>
      </c>
      <c r="F506" s="470">
        <v>1938353</v>
      </c>
      <c r="G506" s="467" t="s">
        <v>1459</v>
      </c>
      <c r="H506" s="467"/>
      <c r="I506" s="467"/>
      <c r="J506" s="467"/>
      <c r="K506" s="467"/>
      <c r="L506" s="467"/>
      <c r="M506" s="467"/>
      <c r="N506" s="469"/>
    </row>
    <row r="507" spans="1:14">
      <c r="A507" s="451">
        <f t="shared" si="8"/>
        <v>501</v>
      </c>
      <c r="B507" s="680"/>
      <c r="C507" s="488" t="s">
        <v>205</v>
      </c>
      <c r="D507" s="463"/>
      <c r="E507" s="464" t="s">
        <v>11</v>
      </c>
      <c r="F507" s="470">
        <v>3217192</v>
      </c>
      <c r="G507" s="467" t="s">
        <v>1459</v>
      </c>
      <c r="H507" s="467"/>
      <c r="I507" s="467"/>
      <c r="J507" s="467"/>
      <c r="K507" s="467"/>
      <c r="L507" s="467"/>
      <c r="M507" s="467"/>
      <c r="N507" s="469"/>
    </row>
    <row r="508" spans="1:14" ht="28.8">
      <c r="A508" s="451">
        <f t="shared" si="8"/>
        <v>502</v>
      </c>
      <c r="B508" s="680"/>
      <c r="C508" s="488" t="s">
        <v>207</v>
      </c>
      <c r="D508" s="463"/>
      <c r="E508" s="464" t="s">
        <v>11</v>
      </c>
      <c r="F508" s="470">
        <v>277897</v>
      </c>
      <c r="G508" s="467" t="s">
        <v>1459</v>
      </c>
      <c r="H508" s="467"/>
      <c r="I508" s="467"/>
      <c r="J508" s="467"/>
      <c r="K508" s="467"/>
      <c r="L508" s="467"/>
      <c r="M508" s="467"/>
      <c r="N508" s="469"/>
    </row>
    <row r="509" spans="1:14">
      <c r="A509" s="451">
        <f t="shared" si="8"/>
        <v>503</v>
      </c>
      <c r="B509" s="680"/>
      <c r="C509" s="488" t="s">
        <v>209</v>
      </c>
      <c r="D509" s="463"/>
      <c r="E509" s="464" t="s">
        <v>11</v>
      </c>
      <c r="F509" s="470">
        <v>6743203</v>
      </c>
      <c r="G509" s="467" t="s">
        <v>1459</v>
      </c>
      <c r="H509" s="467"/>
      <c r="I509" s="467"/>
      <c r="J509" s="467"/>
      <c r="K509" s="467"/>
      <c r="L509" s="467"/>
      <c r="M509" s="467"/>
      <c r="N509" s="469"/>
    </row>
    <row r="510" spans="1:14">
      <c r="A510" s="451">
        <f t="shared" si="8"/>
        <v>504</v>
      </c>
      <c r="B510" s="680"/>
      <c r="C510" s="488" t="s">
        <v>211</v>
      </c>
      <c r="D510" s="463" t="s">
        <v>1960</v>
      </c>
      <c r="E510" s="464" t="s">
        <v>36</v>
      </c>
      <c r="F510" s="470">
        <v>1084858</v>
      </c>
      <c r="G510" s="467" t="s">
        <v>1459</v>
      </c>
      <c r="H510" s="467" t="s">
        <v>1459</v>
      </c>
      <c r="I510" s="467"/>
      <c r="J510" s="467"/>
      <c r="K510" s="467"/>
      <c r="L510" s="467"/>
      <c r="M510" s="467"/>
      <c r="N510" s="469"/>
    </row>
    <row r="511" spans="1:14">
      <c r="A511" s="451">
        <f t="shared" si="8"/>
        <v>505</v>
      </c>
      <c r="B511" s="680"/>
      <c r="C511" s="488" t="s">
        <v>213</v>
      </c>
      <c r="D511" s="463"/>
      <c r="E511" s="464" t="s">
        <v>11</v>
      </c>
      <c r="F511" s="470">
        <v>3485236</v>
      </c>
      <c r="G511" s="467" t="s">
        <v>1459</v>
      </c>
      <c r="H511" s="467"/>
      <c r="I511" s="467"/>
      <c r="J511" s="467"/>
      <c r="K511" s="467"/>
      <c r="L511" s="467"/>
      <c r="M511" s="467"/>
      <c r="N511" s="469"/>
    </row>
    <row r="512" spans="1:14">
      <c r="A512" s="451">
        <f t="shared" si="8"/>
        <v>506</v>
      </c>
      <c r="B512" s="680"/>
      <c r="C512" s="488" t="s">
        <v>215</v>
      </c>
      <c r="D512" s="463"/>
      <c r="E512" s="464" t="s">
        <v>11</v>
      </c>
      <c r="F512" s="470">
        <v>1527895</v>
      </c>
      <c r="G512" s="467" t="s">
        <v>1459</v>
      </c>
      <c r="H512" s="467"/>
      <c r="I512" s="467"/>
      <c r="J512" s="467"/>
      <c r="K512" s="467"/>
      <c r="L512" s="467"/>
      <c r="M512" s="467"/>
      <c r="N512" s="469"/>
    </row>
    <row r="513" spans="1:14">
      <c r="A513" s="451">
        <f t="shared" si="8"/>
        <v>507</v>
      </c>
      <c r="B513" s="680"/>
      <c r="C513" s="488" t="s">
        <v>1962</v>
      </c>
      <c r="D513" s="463" t="s">
        <v>1957</v>
      </c>
      <c r="E513" s="464" t="s">
        <v>36</v>
      </c>
      <c r="F513" s="470">
        <v>4497482</v>
      </c>
      <c r="G513" s="467" t="s">
        <v>1459</v>
      </c>
      <c r="H513" s="467"/>
      <c r="I513" s="467"/>
      <c r="J513" s="467"/>
      <c r="K513" s="467"/>
      <c r="L513" s="467"/>
      <c r="M513" s="467"/>
      <c r="N513" s="469"/>
    </row>
    <row r="514" spans="1:14" ht="43.2">
      <c r="A514" s="451">
        <f t="shared" si="8"/>
        <v>508</v>
      </c>
      <c r="B514" s="680"/>
      <c r="C514" s="488" t="s">
        <v>219</v>
      </c>
      <c r="D514" s="463"/>
      <c r="E514" s="464" t="s">
        <v>11</v>
      </c>
      <c r="F514" s="470">
        <v>312931</v>
      </c>
      <c r="G514" s="467" t="s">
        <v>1459</v>
      </c>
      <c r="H514" s="467"/>
      <c r="I514" s="467"/>
      <c r="J514" s="467"/>
      <c r="K514" s="467"/>
      <c r="L514" s="467"/>
      <c r="M514" s="467"/>
      <c r="N514" s="469"/>
    </row>
    <row r="515" spans="1:14" ht="28.8">
      <c r="A515" s="451">
        <f t="shared" si="8"/>
        <v>509</v>
      </c>
      <c r="B515" s="680"/>
      <c r="C515" s="488" t="s">
        <v>221</v>
      </c>
      <c r="D515" s="463"/>
      <c r="E515" s="464" t="s">
        <v>11</v>
      </c>
      <c r="F515" s="470">
        <v>7381220</v>
      </c>
      <c r="G515" s="467" t="s">
        <v>1459</v>
      </c>
      <c r="H515" s="467"/>
      <c r="I515" s="467"/>
      <c r="J515" s="467"/>
      <c r="K515" s="467"/>
      <c r="L515" s="467"/>
      <c r="M515" s="467"/>
      <c r="N515" s="469"/>
    </row>
    <row r="516" spans="1:14">
      <c r="A516" s="451">
        <f t="shared" si="8"/>
        <v>510</v>
      </c>
      <c r="B516" s="680"/>
      <c r="C516" s="488" t="s">
        <v>223</v>
      </c>
      <c r="D516" s="463"/>
      <c r="E516" s="464" t="s">
        <v>11</v>
      </c>
      <c r="F516" s="470">
        <v>26679769</v>
      </c>
      <c r="G516" s="467" t="s">
        <v>1459</v>
      </c>
      <c r="H516" s="467"/>
      <c r="I516" s="467"/>
      <c r="J516" s="467"/>
      <c r="K516" s="467"/>
      <c r="L516" s="467"/>
      <c r="M516" s="467"/>
      <c r="N516" s="469"/>
    </row>
    <row r="517" spans="1:14">
      <c r="A517" s="451">
        <f t="shared" si="8"/>
        <v>511</v>
      </c>
      <c r="B517" s="680"/>
      <c r="C517" s="488" t="s">
        <v>224</v>
      </c>
      <c r="D517" s="463"/>
      <c r="E517" s="464" t="s">
        <v>11</v>
      </c>
      <c r="F517" s="470">
        <v>992709</v>
      </c>
      <c r="G517" s="467" t="s">
        <v>1459</v>
      </c>
      <c r="H517" s="467"/>
      <c r="I517" s="467"/>
      <c r="J517" s="467"/>
      <c r="K517" s="467"/>
      <c r="L517" s="467"/>
      <c r="M517" s="467"/>
      <c r="N517" s="469"/>
    </row>
    <row r="518" spans="1:14">
      <c r="A518" s="451">
        <f t="shared" si="8"/>
        <v>512</v>
      </c>
      <c r="B518" s="680"/>
      <c r="C518" s="488" t="s">
        <v>226</v>
      </c>
      <c r="D518" s="463"/>
      <c r="E518" s="464" t="s">
        <v>11</v>
      </c>
      <c r="F518" s="470">
        <v>17608556</v>
      </c>
      <c r="G518" s="467" t="s">
        <v>1459</v>
      </c>
      <c r="H518" s="467"/>
      <c r="I518" s="467"/>
      <c r="J518" s="467"/>
      <c r="K518" s="467"/>
      <c r="L518" s="467"/>
      <c r="M518" s="467"/>
      <c r="N518" s="469"/>
    </row>
    <row r="519" spans="1:14">
      <c r="A519" s="451">
        <f t="shared" si="8"/>
        <v>513</v>
      </c>
      <c r="B519" s="680"/>
      <c r="C519" s="488" t="s">
        <v>228</v>
      </c>
      <c r="D519" s="463"/>
      <c r="E519" s="464" t="s">
        <v>11</v>
      </c>
      <c r="F519" s="470">
        <v>2783582</v>
      </c>
      <c r="G519" s="467" t="s">
        <v>1459</v>
      </c>
      <c r="H519" s="467"/>
      <c r="I519" s="467"/>
      <c r="J519" s="467"/>
      <c r="K519" s="467"/>
      <c r="L519" s="467"/>
      <c r="M519" s="467"/>
      <c r="N519" s="469"/>
    </row>
    <row r="520" spans="1:14">
      <c r="A520" s="451">
        <f t="shared" si="8"/>
        <v>514</v>
      </c>
      <c r="B520" s="680"/>
      <c r="C520" s="488" t="s">
        <v>230</v>
      </c>
      <c r="D520" s="463"/>
      <c r="E520" s="464" t="s">
        <v>11</v>
      </c>
      <c r="F520" s="470">
        <v>4629316</v>
      </c>
      <c r="G520" s="467" t="s">
        <v>1459</v>
      </c>
      <c r="H520" s="467"/>
      <c r="I520" s="467"/>
      <c r="J520" s="467"/>
      <c r="K520" s="467"/>
      <c r="L520" s="467"/>
      <c r="M520" s="467"/>
      <c r="N520" s="469"/>
    </row>
    <row r="521" spans="1:14">
      <c r="A521" s="451">
        <f t="shared" si="8"/>
        <v>515</v>
      </c>
      <c r="B521" s="680"/>
      <c r="C521" s="488" t="s">
        <v>232</v>
      </c>
      <c r="D521" s="463" t="s">
        <v>1954</v>
      </c>
      <c r="E521" s="464" t="s">
        <v>36</v>
      </c>
      <c r="F521" s="470">
        <v>2265163</v>
      </c>
      <c r="G521" s="467" t="s">
        <v>1459</v>
      </c>
      <c r="H521" s="467"/>
      <c r="I521" s="467"/>
      <c r="J521" s="467"/>
      <c r="K521" s="467"/>
      <c r="L521" s="467"/>
      <c r="M521" s="467"/>
      <c r="N521" s="469"/>
    </row>
    <row r="522" spans="1:14" ht="28.8">
      <c r="A522" s="451">
        <f t="shared" si="8"/>
        <v>516</v>
      </c>
      <c r="B522" s="680"/>
      <c r="C522" s="488" t="s">
        <v>1963</v>
      </c>
      <c r="D522" s="463" t="s">
        <v>2317</v>
      </c>
      <c r="E522" s="464" t="s">
        <v>36</v>
      </c>
      <c r="F522" s="470">
        <v>0</v>
      </c>
      <c r="G522" s="467" t="s">
        <v>1459</v>
      </c>
      <c r="H522" s="467"/>
      <c r="I522" s="467"/>
      <c r="J522" s="467"/>
      <c r="K522" s="467"/>
      <c r="L522" s="467"/>
      <c r="M522" s="467"/>
      <c r="N522" s="469"/>
    </row>
    <row r="523" spans="1:14">
      <c r="A523" s="451">
        <f t="shared" si="8"/>
        <v>517</v>
      </c>
      <c r="B523" s="680"/>
      <c r="C523" s="488"/>
      <c r="D523" s="463"/>
      <c r="G523" s="467"/>
      <c r="H523" s="467"/>
      <c r="I523" s="467"/>
      <c r="J523" s="467"/>
      <c r="K523" s="467"/>
      <c r="L523" s="467"/>
      <c r="M523" s="467"/>
      <c r="N523" s="469"/>
    </row>
    <row r="524" spans="1:14">
      <c r="A524" s="451">
        <f t="shared" si="8"/>
        <v>518</v>
      </c>
      <c r="B524" s="680"/>
      <c r="C524" s="487" t="s">
        <v>1964</v>
      </c>
      <c r="D524" s="463"/>
      <c r="G524" s="467"/>
      <c r="H524" s="467"/>
      <c r="I524" s="467"/>
      <c r="J524" s="467"/>
      <c r="K524" s="467"/>
      <c r="L524" s="467"/>
      <c r="M524" s="467"/>
      <c r="N524" s="469"/>
    </row>
    <row r="525" spans="1:14">
      <c r="A525" s="451">
        <f t="shared" si="8"/>
        <v>519</v>
      </c>
      <c r="B525" s="680" t="s">
        <v>467</v>
      </c>
      <c r="C525" s="462" t="s">
        <v>1965</v>
      </c>
      <c r="D525" s="463" t="s">
        <v>1966</v>
      </c>
      <c r="E525" s="464" t="s">
        <v>11</v>
      </c>
      <c r="F525" s="470">
        <v>1286118</v>
      </c>
      <c r="G525" s="467" t="s">
        <v>1459</v>
      </c>
      <c r="H525" s="467"/>
      <c r="I525" s="467"/>
      <c r="J525" s="467"/>
      <c r="K525" s="467"/>
      <c r="L525" s="467"/>
      <c r="M525" s="467"/>
      <c r="N525" s="469"/>
    </row>
    <row r="526" spans="1:14">
      <c r="A526" s="451">
        <f t="shared" si="8"/>
        <v>520</v>
      </c>
      <c r="B526" s="680" t="s">
        <v>469</v>
      </c>
      <c r="C526" s="462" t="s">
        <v>1967</v>
      </c>
      <c r="D526" s="463" t="s">
        <v>1968</v>
      </c>
      <c r="E526" s="464" t="s">
        <v>11</v>
      </c>
      <c r="F526" s="470">
        <v>810134</v>
      </c>
      <c r="G526" s="467" t="s">
        <v>1459</v>
      </c>
      <c r="H526" s="467"/>
      <c r="I526" s="467"/>
      <c r="J526" s="467"/>
      <c r="K526" s="467"/>
      <c r="L526" s="467"/>
      <c r="M526" s="467"/>
      <c r="N526" s="469"/>
    </row>
    <row r="527" spans="1:14">
      <c r="A527" s="451">
        <f t="shared" si="8"/>
        <v>521</v>
      </c>
      <c r="B527" s="680" t="s">
        <v>489</v>
      </c>
      <c r="C527" s="462" t="s">
        <v>1969</v>
      </c>
      <c r="D527" s="463" t="s">
        <v>1970</v>
      </c>
      <c r="E527" s="464" t="s">
        <v>11</v>
      </c>
      <c r="F527" s="470">
        <v>180660</v>
      </c>
      <c r="G527" s="467" t="s">
        <v>1459</v>
      </c>
      <c r="H527" s="467"/>
      <c r="I527" s="467"/>
      <c r="J527" s="467"/>
      <c r="K527" s="467"/>
      <c r="L527" s="467"/>
      <c r="M527" s="467"/>
      <c r="N527" s="469"/>
    </row>
    <row r="528" spans="1:14">
      <c r="A528" s="451">
        <f t="shared" si="8"/>
        <v>522</v>
      </c>
      <c r="B528" s="680" t="s">
        <v>491</v>
      </c>
      <c r="C528" s="462" t="s">
        <v>1971</v>
      </c>
      <c r="D528" s="463" t="s">
        <v>1605</v>
      </c>
      <c r="E528" s="464" t="s">
        <v>11</v>
      </c>
      <c r="F528" s="470">
        <v>851881</v>
      </c>
      <c r="G528" s="467" t="s">
        <v>1459</v>
      </c>
      <c r="H528" s="467"/>
      <c r="I528" s="467"/>
      <c r="J528" s="467"/>
      <c r="K528" s="467"/>
      <c r="L528" s="467"/>
      <c r="M528" s="467"/>
      <c r="N528" s="469"/>
    </row>
    <row r="529" spans="1:14">
      <c r="A529" s="451">
        <f t="shared" si="8"/>
        <v>523</v>
      </c>
      <c r="B529" s="680" t="s">
        <v>493</v>
      </c>
      <c r="C529" s="462" t="s">
        <v>1972</v>
      </c>
      <c r="D529" s="463" t="s">
        <v>1973</v>
      </c>
      <c r="E529" s="464" t="s">
        <v>11</v>
      </c>
      <c r="F529" s="470">
        <v>951783</v>
      </c>
      <c r="G529" s="467" t="s">
        <v>1459</v>
      </c>
      <c r="H529" s="467"/>
      <c r="I529" s="467"/>
      <c r="J529" s="467"/>
      <c r="K529" s="467"/>
      <c r="L529" s="467"/>
      <c r="M529" s="467"/>
      <c r="N529" s="469"/>
    </row>
    <row r="530" spans="1:14">
      <c r="A530" s="451">
        <f t="shared" si="8"/>
        <v>524</v>
      </c>
      <c r="B530" s="680" t="s">
        <v>495</v>
      </c>
      <c r="C530" s="462" t="s">
        <v>1974</v>
      </c>
      <c r="D530" s="463" t="s">
        <v>1975</v>
      </c>
      <c r="E530" s="464" t="s">
        <v>11</v>
      </c>
      <c r="F530" s="470">
        <v>22102</v>
      </c>
      <c r="G530" s="467" t="s">
        <v>1459</v>
      </c>
      <c r="H530" s="467"/>
      <c r="I530" s="467"/>
      <c r="J530" s="467"/>
      <c r="K530" s="467"/>
      <c r="L530" s="467"/>
      <c r="M530" s="467"/>
      <c r="N530" s="469"/>
    </row>
    <row r="531" spans="1:14">
      <c r="A531" s="451">
        <f t="shared" si="8"/>
        <v>525</v>
      </c>
      <c r="B531" s="680" t="s">
        <v>499</v>
      </c>
      <c r="C531" s="462" t="s">
        <v>1976</v>
      </c>
      <c r="D531" s="463" t="s">
        <v>1977</v>
      </c>
      <c r="E531" s="464" t="s">
        <v>11</v>
      </c>
      <c r="F531" s="470">
        <v>336089</v>
      </c>
      <c r="G531" s="467" t="s">
        <v>1459</v>
      </c>
      <c r="H531" s="467"/>
      <c r="I531" s="467"/>
      <c r="J531" s="467"/>
      <c r="K531" s="467"/>
      <c r="L531" s="467"/>
      <c r="M531" s="467"/>
      <c r="N531" s="469"/>
    </row>
    <row r="532" spans="1:14">
      <c r="A532" s="451">
        <f t="shared" ref="A532:A595" si="9">A531+1</f>
        <v>526</v>
      </c>
      <c r="B532" s="680" t="s">
        <v>501</v>
      </c>
      <c r="C532" s="462" t="s">
        <v>1978</v>
      </c>
      <c r="D532" s="463" t="s">
        <v>1979</v>
      </c>
      <c r="E532" s="464" t="s">
        <v>36</v>
      </c>
      <c r="F532" s="470">
        <v>166306</v>
      </c>
      <c r="G532" s="467" t="s">
        <v>1459</v>
      </c>
      <c r="H532" s="467" t="s">
        <v>1459</v>
      </c>
      <c r="I532" s="467"/>
      <c r="J532" s="467"/>
      <c r="K532" s="467"/>
      <c r="L532" s="467"/>
      <c r="M532" s="467"/>
      <c r="N532" s="469" t="s">
        <v>1980</v>
      </c>
    </row>
    <row r="533" spans="1:14">
      <c r="A533" s="451">
        <f t="shared" si="9"/>
        <v>527</v>
      </c>
      <c r="B533" s="680" t="s">
        <v>503</v>
      </c>
      <c r="C533" s="462" t="s">
        <v>1981</v>
      </c>
      <c r="D533" s="463" t="s">
        <v>1557</v>
      </c>
      <c r="E533" s="464" t="s">
        <v>11</v>
      </c>
      <c r="F533" s="470">
        <v>232375</v>
      </c>
      <c r="G533" s="467" t="s">
        <v>1459</v>
      </c>
      <c r="H533" s="467"/>
      <c r="I533" s="467"/>
      <c r="J533" s="467"/>
      <c r="K533" s="467"/>
      <c r="L533" s="467"/>
      <c r="M533" s="467"/>
      <c r="N533" s="469"/>
    </row>
    <row r="534" spans="1:14">
      <c r="A534" s="451">
        <f t="shared" si="9"/>
        <v>528</v>
      </c>
      <c r="B534" s="680"/>
      <c r="D534" s="463"/>
      <c r="G534" s="467"/>
      <c r="H534" s="467"/>
      <c r="I534" s="467"/>
      <c r="J534" s="467"/>
      <c r="K534" s="467"/>
      <c r="L534" s="467"/>
      <c r="M534" s="467"/>
      <c r="N534" s="469"/>
    </row>
    <row r="535" spans="1:14" ht="28.8">
      <c r="A535" s="451">
        <f t="shared" si="9"/>
        <v>529</v>
      </c>
      <c r="B535" s="680"/>
      <c r="C535" s="453" t="s">
        <v>1982</v>
      </c>
      <c r="D535" s="463"/>
      <c r="G535" s="467"/>
      <c r="H535" s="467"/>
      <c r="I535" s="467"/>
      <c r="J535" s="467"/>
      <c r="K535" s="467"/>
      <c r="L535" s="467"/>
      <c r="M535" s="467"/>
      <c r="N535" s="469"/>
    </row>
    <row r="536" spans="1:14">
      <c r="A536" s="451">
        <f t="shared" si="9"/>
        <v>530</v>
      </c>
      <c r="B536" s="680"/>
      <c r="C536" s="462" t="s">
        <v>513</v>
      </c>
      <c r="D536" s="463"/>
      <c r="E536" s="464" t="s">
        <v>11</v>
      </c>
      <c r="F536" s="470">
        <v>3488667</v>
      </c>
      <c r="G536" s="467"/>
      <c r="H536" s="467"/>
      <c r="I536" s="467"/>
      <c r="J536" s="467" t="s">
        <v>1459</v>
      </c>
      <c r="K536" s="467"/>
      <c r="L536" s="467"/>
      <c r="M536" s="467"/>
      <c r="N536" s="469"/>
    </row>
    <row r="537" spans="1:14">
      <c r="A537" s="451">
        <f t="shared" si="9"/>
        <v>531</v>
      </c>
      <c r="B537" s="680"/>
      <c r="C537" s="462" t="s">
        <v>515</v>
      </c>
      <c r="D537" s="463"/>
      <c r="E537" s="464" t="s">
        <v>11</v>
      </c>
      <c r="F537" s="470">
        <v>9536492</v>
      </c>
      <c r="G537" s="467"/>
      <c r="H537" s="467"/>
      <c r="I537" s="467"/>
      <c r="J537" s="467" t="s">
        <v>1459</v>
      </c>
      <c r="K537" s="467"/>
      <c r="L537" s="467"/>
      <c r="M537" s="467"/>
      <c r="N537" s="469"/>
    </row>
    <row r="538" spans="1:14">
      <c r="A538" s="451">
        <f t="shared" si="9"/>
        <v>532</v>
      </c>
      <c r="B538" s="680"/>
      <c r="C538" s="462" t="s">
        <v>517</v>
      </c>
      <c r="D538" s="463"/>
      <c r="E538" s="464" t="s">
        <v>11</v>
      </c>
      <c r="F538" s="470">
        <v>3934438</v>
      </c>
      <c r="G538" s="467"/>
      <c r="H538" s="467"/>
      <c r="I538" s="467"/>
      <c r="J538" s="467" t="s">
        <v>1459</v>
      </c>
      <c r="K538" s="467"/>
      <c r="L538" s="467"/>
      <c r="M538" s="467"/>
      <c r="N538" s="469"/>
    </row>
    <row r="539" spans="1:14">
      <c r="A539" s="451">
        <f t="shared" si="9"/>
        <v>533</v>
      </c>
      <c r="B539" s="680"/>
      <c r="C539" s="462" t="s">
        <v>519</v>
      </c>
      <c r="D539" s="463"/>
      <c r="E539" s="464" t="s">
        <v>11</v>
      </c>
      <c r="F539" s="470">
        <v>3852064</v>
      </c>
      <c r="G539" s="467"/>
      <c r="H539" s="467"/>
      <c r="I539" s="467"/>
      <c r="J539" s="467" t="s">
        <v>1459</v>
      </c>
      <c r="K539" s="467"/>
      <c r="L539" s="467"/>
      <c r="M539" s="467"/>
      <c r="N539" s="469"/>
    </row>
    <row r="540" spans="1:14" ht="28.8">
      <c r="A540" s="451">
        <f t="shared" si="9"/>
        <v>534</v>
      </c>
      <c r="B540" s="680"/>
      <c r="C540" s="462" t="s">
        <v>521</v>
      </c>
      <c r="D540" s="463"/>
      <c r="E540" s="464" t="s">
        <v>11</v>
      </c>
      <c r="F540" s="470">
        <v>2040287</v>
      </c>
      <c r="G540" s="467"/>
      <c r="H540" s="467"/>
      <c r="I540" s="467"/>
      <c r="J540" s="467" t="s">
        <v>1459</v>
      </c>
      <c r="K540" s="467"/>
      <c r="L540" s="467"/>
      <c r="M540" s="467"/>
      <c r="N540" s="469"/>
    </row>
    <row r="541" spans="1:14">
      <c r="A541" s="451">
        <f t="shared" si="9"/>
        <v>535</v>
      </c>
      <c r="B541" s="680"/>
      <c r="C541" s="462" t="s">
        <v>523</v>
      </c>
      <c r="D541" s="463"/>
      <c r="E541" s="464" t="s">
        <v>11</v>
      </c>
      <c r="F541" s="470">
        <v>794673</v>
      </c>
      <c r="G541" s="467"/>
      <c r="H541" s="467"/>
      <c r="I541" s="467"/>
      <c r="J541" s="467" t="s">
        <v>1459</v>
      </c>
      <c r="K541" s="467"/>
      <c r="L541" s="467"/>
      <c r="M541" s="467"/>
      <c r="N541" s="469"/>
    </row>
    <row r="542" spans="1:14">
      <c r="A542" s="451">
        <f t="shared" si="9"/>
        <v>536</v>
      </c>
      <c r="B542" s="680"/>
      <c r="C542" s="462" t="s">
        <v>525</v>
      </c>
      <c r="D542" s="463"/>
      <c r="E542" s="464" t="s">
        <v>11</v>
      </c>
      <c r="F542" s="470">
        <v>5626463</v>
      </c>
      <c r="G542" s="467"/>
      <c r="H542" s="467"/>
      <c r="I542" s="467"/>
      <c r="J542" s="467" t="s">
        <v>1459</v>
      </c>
      <c r="K542" s="467"/>
      <c r="L542" s="467"/>
      <c r="M542" s="467"/>
      <c r="N542" s="469"/>
    </row>
    <row r="543" spans="1:14">
      <c r="A543" s="451">
        <f t="shared" si="9"/>
        <v>537</v>
      </c>
      <c r="B543" s="680"/>
      <c r="C543" s="462" t="s">
        <v>527</v>
      </c>
      <c r="D543" s="463"/>
      <c r="E543" s="464" t="s">
        <v>11</v>
      </c>
      <c r="F543" s="470">
        <v>315000</v>
      </c>
      <c r="G543" s="467"/>
      <c r="H543" s="467"/>
      <c r="I543" s="467"/>
      <c r="J543" s="467" t="s">
        <v>1459</v>
      </c>
      <c r="K543" s="467"/>
      <c r="L543" s="467"/>
      <c r="M543" s="467"/>
      <c r="N543" s="469"/>
    </row>
    <row r="544" spans="1:14">
      <c r="A544" s="451">
        <f t="shared" si="9"/>
        <v>538</v>
      </c>
      <c r="B544" s="680"/>
      <c r="C544" s="462" t="s">
        <v>529</v>
      </c>
      <c r="D544" s="463"/>
      <c r="E544" s="464" t="s">
        <v>36</v>
      </c>
      <c r="F544" s="470">
        <v>249377</v>
      </c>
      <c r="G544" s="467"/>
      <c r="H544" s="467"/>
      <c r="I544" s="467"/>
      <c r="J544" s="467" t="s">
        <v>1459</v>
      </c>
      <c r="K544" s="467"/>
      <c r="L544" s="467"/>
      <c r="M544" s="467"/>
      <c r="N544" s="469"/>
    </row>
    <row r="545" spans="1:14">
      <c r="A545" s="451">
        <f t="shared" si="9"/>
        <v>539</v>
      </c>
      <c r="B545" s="680"/>
      <c r="C545" s="462" t="s">
        <v>531</v>
      </c>
      <c r="D545" s="463"/>
      <c r="E545" s="464" t="s">
        <v>11</v>
      </c>
      <c r="F545" s="470">
        <v>2512836</v>
      </c>
      <c r="G545" s="467"/>
      <c r="H545" s="467"/>
      <c r="I545" s="467"/>
      <c r="J545" s="467" t="s">
        <v>1459</v>
      </c>
      <c r="K545" s="467"/>
      <c r="L545" s="467"/>
      <c r="M545" s="467"/>
      <c r="N545" s="469"/>
    </row>
    <row r="546" spans="1:14">
      <c r="A546" s="451">
        <f t="shared" si="9"/>
        <v>540</v>
      </c>
      <c r="B546" s="680"/>
      <c r="C546" s="462" t="s">
        <v>533</v>
      </c>
      <c r="D546" s="463"/>
      <c r="E546" s="464" t="s">
        <v>11</v>
      </c>
      <c r="F546" s="470">
        <v>3841398</v>
      </c>
      <c r="G546" s="467"/>
      <c r="H546" s="467"/>
      <c r="I546" s="467"/>
      <c r="J546" s="467" t="s">
        <v>1459</v>
      </c>
      <c r="K546" s="467"/>
      <c r="L546" s="467"/>
      <c r="M546" s="467"/>
      <c r="N546" s="469"/>
    </row>
    <row r="547" spans="1:14">
      <c r="A547" s="451">
        <f t="shared" si="9"/>
        <v>541</v>
      </c>
      <c r="B547" s="680"/>
      <c r="C547" s="462" t="s">
        <v>535</v>
      </c>
      <c r="D547" s="463"/>
      <c r="E547" s="464" t="s">
        <v>36</v>
      </c>
      <c r="F547" s="470">
        <v>21817</v>
      </c>
      <c r="G547" s="467"/>
      <c r="H547" s="467"/>
      <c r="I547" s="467"/>
      <c r="J547" s="467" t="s">
        <v>1459</v>
      </c>
      <c r="K547" s="467"/>
      <c r="L547" s="467"/>
      <c r="M547" s="467"/>
      <c r="N547" s="469"/>
    </row>
    <row r="548" spans="1:14">
      <c r="A548" s="451">
        <f t="shared" si="9"/>
        <v>542</v>
      </c>
      <c r="B548" s="680"/>
      <c r="C548" s="462" t="s">
        <v>535</v>
      </c>
      <c r="D548" s="463"/>
      <c r="E548" s="464" t="s">
        <v>36</v>
      </c>
      <c r="F548" s="470">
        <v>1003437</v>
      </c>
      <c r="G548" s="467"/>
      <c r="H548" s="467"/>
      <c r="I548" s="467"/>
      <c r="J548" s="467" t="s">
        <v>1459</v>
      </c>
      <c r="K548" s="467"/>
      <c r="L548" s="467"/>
      <c r="M548" s="467"/>
      <c r="N548" s="469"/>
    </row>
    <row r="549" spans="1:14" ht="28.8">
      <c r="A549" s="451">
        <f t="shared" si="9"/>
        <v>543</v>
      </c>
      <c r="B549" s="680"/>
      <c r="C549" s="462" t="s">
        <v>537</v>
      </c>
      <c r="D549" s="463"/>
      <c r="E549" s="464" t="s">
        <v>11</v>
      </c>
      <c r="F549" s="470">
        <v>96884</v>
      </c>
      <c r="G549" s="467"/>
      <c r="H549" s="467"/>
      <c r="I549" s="467"/>
      <c r="J549" s="467" t="s">
        <v>1459</v>
      </c>
      <c r="K549" s="467"/>
      <c r="L549" s="467"/>
      <c r="M549" s="467"/>
      <c r="N549" s="469"/>
    </row>
    <row r="550" spans="1:14">
      <c r="A550" s="451">
        <f t="shared" si="9"/>
        <v>544</v>
      </c>
      <c r="B550" s="680"/>
      <c r="C550" s="462" t="s">
        <v>539</v>
      </c>
      <c r="D550" s="463"/>
      <c r="E550" s="464" t="s">
        <v>11</v>
      </c>
      <c r="F550" s="470">
        <v>1701681</v>
      </c>
      <c r="G550" s="467"/>
      <c r="H550" s="467"/>
      <c r="I550" s="467"/>
      <c r="J550" s="467" t="s">
        <v>1459</v>
      </c>
      <c r="K550" s="467"/>
      <c r="L550" s="467"/>
      <c r="M550" s="467"/>
      <c r="N550" s="469"/>
    </row>
    <row r="551" spans="1:14">
      <c r="A551" s="451">
        <f t="shared" si="9"/>
        <v>545</v>
      </c>
      <c r="B551" s="680"/>
      <c r="C551" s="462" t="s">
        <v>541</v>
      </c>
      <c r="D551" s="463"/>
      <c r="E551" s="464" t="s">
        <v>11</v>
      </c>
      <c r="F551" s="470">
        <v>1051383</v>
      </c>
      <c r="G551" s="467"/>
      <c r="H551" s="467"/>
      <c r="I551" s="467"/>
      <c r="J551" s="467" t="s">
        <v>1459</v>
      </c>
      <c r="K551" s="467"/>
      <c r="L551" s="467"/>
      <c r="M551" s="467"/>
      <c r="N551" s="469"/>
    </row>
    <row r="552" spans="1:14">
      <c r="A552" s="451">
        <f t="shared" si="9"/>
        <v>546</v>
      </c>
      <c r="B552" s="680"/>
      <c r="C552" s="462" t="s">
        <v>543</v>
      </c>
      <c r="D552" s="463"/>
      <c r="E552" s="464" t="s">
        <v>11</v>
      </c>
      <c r="F552" s="470">
        <v>2064165</v>
      </c>
      <c r="G552" s="467"/>
      <c r="H552" s="467"/>
      <c r="I552" s="467"/>
      <c r="J552" s="467" t="s">
        <v>1459</v>
      </c>
      <c r="K552" s="467"/>
      <c r="L552" s="467"/>
      <c r="M552" s="467"/>
      <c r="N552" s="469"/>
    </row>
    <row r="553" spans="1:14">
      <c r="A553" s="451">
        <f t="shared" si="9"/>
        <v>547</v>
      </c>
      <c r="B553" s="680"/>
      <c r="C553" s="462" t="s">
        <v>545</v>
      </c>
      <c r="D553" s="463"/>
      <c r="E553" s="464" t="s">
        <v>11</v>
      </c>
      <c r="F553" s="470">
        <v>3007882</v>
      </c>
      <c r="G553" s="467"/>
      <c r="H553" s="467"/>
      <c r="I553" s="467"/>
      <c r="J553" s="467" t="s">
        <v>1459</v>
      </c>
      <c r="K553" s="467"/>
      <c r="L553" s="467"/>
      <c r="M553" s="467"/>
      <c r="N553" s="469"/>
    </row>
    <row r="554" spans="1:14">
      <c r="A554" s="451">
        <f t="shared" si="9"/>
        <v>548</v>
      </c>
      <c r="B554" s="680"/>
      <c r="C554" s="462" t="s">
        <v>547</v>
      </c>
      <c r="D554" s="463"/>
      <c r="E554" s="464" t="s">
        <v>11</v>
      </c>
      <c r="F554" s="470">
        <v>239920</v>
      </c>
      <c r="G554" s="467"/>
      <c r="H554" s="467"/>
      <c r="I554" s="467"/>
      <c r="J554" s="467" t="s">
        <v>1459</v>
      </c>
      <c r="K554" s="467"/>
      <c r="L554" s="467"/>
      <c r="M554" s="467"/>
      <c r="N554" s="469"/>
    </row>
    <row r="555" spans="1:14">
      <c r="A555" s="451">
        <f t="shared" si="9"/>
        <v>549</v>
      </c>
      <c r="B555" s="680"/>
      <c r="C555" s="462" t="s">
        <v>549</v>
      </c>
      <c r="D555" s="463"/>
      <c r="E555" s="464" t="s">
        <v>11</v>
      </c>
      <c r="F555" s="470">
        <v>2496402</v>
      </c>
      <c r="G555" s="467"/>
      <c r="H555" s="467"/>
      <c r="I555" s="467"/>
      <c r="J555" s="467" t="s">
        <v>1459</v>
      </c>
      <c r="K555" s="467"/>
      <c r="L555" s="467"/>
      <c r="M555" s="467"/>
      <c r="N555" s="469"/>
    </row>
    <row r="556" spans="1:14">
      <c r="A556" s="451">
        <f t="shared" si="9"/>
        <v>550</v>
      </c>
      <c r="B556" s="680"/>
      <c r="D556" s="463"/>
      <c r="G556" s="467"/>
      <c r="H556" s="467"/>
      <c r="I556" s="467"/>
      <c r="J556" s="467"/>
      <c r="K556" s="467"/>
      <c r="L556" s="467"/>
      <c r="M556" s="467"/>
      <c r="N556" s="469"/>
    </row>
    <row r="557" spans="1:14">
      <c r="A557" s="451">
        <f t="shared" si="9"/>
        <v>551</v>
      </c>
      <c r="B557" s="680"/>
      <c r="C557" s="453" t="s">
        <v>1983</v>
      </c>
      <c r="D557" s="463"/>
      <c r="G557" s="467"/>
      <c r="H557" s="467"/>
      <c r="I557" s="467"/>
      <c r="J557" s="467"/>
      <c r="K557" s="467"/>
      <c r="L557" s="467"/>
      <c r="M557" s="467"/>
      <c r="N557" s="469"/>
    </row>
    <row r="558" spans="1:14" ht="28.8">
      <c r="A558" s="451">
        <f t="shared" si="9"/>
        <v>552</v>
      </c>
      <c r="B558" s="680"/>
      <c r="C558" s="462" t="s">
        <v>554</v>
      </c>
      <c r="D558" s="463"/>
      <c r="E558" s="464" t="s">
        <v>11</v>
      </c>
      <c r="F558" s="470">
        <v>4564134</v>
      </c>
      <c r="G558" s="467"/>
      <c r="H558" s="467"/>
      <c r="I558" s="467"/>
      <c r="J558" s="467" t="s">
        <v>1459</v>
      </c>
      <c r="K558" s="467"/>
      <c r="L558" s="467"/>
      <c r="M558" s="467"/>
      <c r="N558" s="469"/>
    </row>
    <row r="559" spans="1:14" ht="28.8">
      <c r="A559" s="451">
        <f t="shared" si="9"/>
        <v>553</v>
      </c>
      <c r="B559" s="680"/>
      <c r="C559" s="462" t="s">
        <v>556</v>
      </c>
      <c r="D559" s="463"/>
      <c r="E559" s="464" t="s">
        <v>11</v>
      </c>
      <c r="F559" s="470">
        <v>664798</v>
      </c>
      <c r="G559" s="467"/>
      <c r="H559" s="467"/>
      <c r="I559" s="467"/>
      <c r="J559" s="467" t="s">
        <v>1459</v>
      </c>
      <c r="K559" s="467"/>
      <c r="L559" s="467"/>
      <c r="M559" s="467"/>
      <c r="N559" s="469"/>
    </row>
    <row r="560" spans="1:14" ht="28.8">
      <c r="A560" s="451">
        <f t="shared" si="9"/>
        <v>554</v>
      </c>
      <c r="B560" s="680"/>
      <c r="C560" s="462" t="s">
        <v>557</v>
      </c>
      <c r="D560" s="463"/>
      <c r="E560" s="464" t="s">
        <v>11</v>
      </c>
      <c r="F560" s="470">
        <v>8524893</v>
      </c>
      <c r="G560" s="467"/>
      <c r="H560" s="467"/>
      <c r="I560" s="467"/>
      <c r="J560" s="467" t="s">
        <v>1459</v>
      </c>
      <c r="K560" s="467"/>
      <c r="L560" s="467"/>
      <c r="M560" s="467"/>
      <c r="N560" s="469"/>
    </row>
    <row r="561" spans="1:14">
      <c r="A561" s="451">
        <f t="shared" si="9"/>
        <v>555</v>
      </c>
      <c r="B561" s="680"/>
      <c r="D561" s="463"/>
      <c r="G561" s="467"/>
      <c r="H561" s="467"/>
      <c r="I561" s="467"/>
      <c r="J561" s="467"/>
      <c r="K561" s="467"/>
      <c r="L561" s="467"/>
      <c r="M561" s="467"/>
      <c r="N561" s="469"/>
    </row>
    <row r="562" spans="1:14">
      <c r="A562" s="451">
        <f t="shared" si="9"/>
        <v>556</v>
      </c>
      <c r="B562" s="680"/>
      <c r="C562" s="453" t="s">
        <v>1984</v>
      </c>
      <c r="D562" s="463"/>
      <c r="G562" s="467"/>
      <c r="H562" s="467"/>
      <c r="I562" s="467"/>
      <c r="J562" s="467"/>
      <c r="K562" s="467"/>
      <c r="L562" s="467"/>
      <c r="M562" s="467"/>
      <c r="N562" s="469"/>
    </row>
    <row r="563" spans="1:14">
      <c r="A563" s="451">
        <f t="shared" si="9"/>
        <v>557</v>
      </c>
      <c r="B563" s="680"/>
      <c r="C563" s="462" t="s">
        <v>562</v>
      </c>
      <c r="D563" s="463"/>
      <c r="E563" s="464" t="s">
        <v>11</v>
      </c>
      <c r="F563" s="470">
        <v>12328</v>
      </c>
      <c r="G563" s="467" t="s">
        <v>1459</v>
      </c>
      <c r="H563" s="467"/>
      <c r="I563" s="467"/>
      <c r="J563" s="467"/>
      <c r="K563" s="467"/>
      <c r="L563" s="467"/>
      <c r="M563" s="467"/>
      <c r="N563" s="469"/>
    </row>
    <row r="564" spans="1:14">
      <c r="A564" s="451">
        <f t="shared" si="9"/>
        <v>558</v>
      </c>
      <c r="B564" s="680"/>
      <c r="C564" s="462" t="s">
        <v>562</v>
      </c>
      <c r="D564" s="463"/>
      <c r="E564" s="464" t="s">
        <v>11</v>
      </c>
      <c r="F564" s="470">
        <v>57413</v>
      </c>
      <c r="G564" s="467" t="s">
        <v>1459</v>
      </c>
      <c r="H564" s="467"/>
      <c r="I564" s="467"/>
      <c r="J564" s="467"/>
      <c r="K564" s="467"/>
      <c r="L564" s="467"/>
      <c r="M564" s="467"/>
      <c r="N564" s="469"/>
    </row>
    <row r="565" spans="1:14">
      <c r="A565" s="451">
        <f t="shared" si="9"/>
        <v>559</v>
      </c>
      <c r="B565" s="680"/>
      <c r="C565" s="462" t="s">
        <v>564</v>
      </c>
      <c r="D565" s="463"/>
      <c r="E565" s="464" t="s">
        <v>11</v>
      </c>
      <c r="F565" s="470">
        <v>213000</v>
      </c>
      <c r="G565" s="467" t="s">
        <v>1459</v>
      </c>
      <c r="H565" s="467"/>
      <c r="I565" s="467"/>
      <c r="J565" s="467"/>
      <c r="K565" s="467"/>
      <c r="L565" s="467"/>
      <c r="M565" s="467"/>
      <c r="N565" s="469"/>
    </row>
    <row r="566" spans="1:14">
      <c r="A566" s="451">
        <f t="shared" si="9"/>
        <v>560</v>
      </c>
      <c r="B566" s="680"/>
      <c r="C566" s="462" t="s">
        <v>566</v>
      </c>
      <c r="D566" s="463"/>
      <c r="E566" s="464" t="s">
        <v>11</v>
      </c>
      <c r="F566" s="470">
        <v>76258</v>
      </c>
      <c r="G566" s="467" t="s">
        <v>1459</v>
      </c>
      <c r="H566" s="467"/>
      <c r="I566" s="467"/>
      <c r="J566" s="467"/>
      <c r="K566" s="467"/>
      <c r="L566" s="467"/>
      <c r="M566" s="467"/>
      <c r="N566" s="469"/>
    </row>
    <row r="567" spans="1:14">
      <c r="A567" s="451">
        <f t="shared" si="9"/>
        <v>561</v>
      </c>
      <c r="B567" s="680"/>
      <c r="C567" s="462" t="s">
        <v>566</v>
      </c>
      <c r="D567" s="463"/>
      <c r="E567" s="464" t="s">
        <v>11</v>
      </c>
      <c r="F567" s="470">
        <v>142235</v>
      </c>
      <c r="G567" s="467" t="s">
        <v>1459</v>
      </c>
      <c r="H567" s="467"/>
      <c r="I567" s="467"/>
      <c r="J567" s="467"/>
      <c r="K567" s="467"/>
      <c r="L567" s="467"/>
      <c r="M567" s="467"/>
      <c r="N567" s="469"/>
    </row>
    <row r="568" spans="1:14">
      <c r="A568" s="451">
        <f t="shared" si="9"/>
        <v>562</v>
      </c>
      <c r="B568" s="680"/>
      <c r="C568" s="462" t="s">
        <v>568</v>
      </c>
      <c r="D568" s="463"/>
      <c r="E568" s="464" t="s">
        <v>36</v>
      </c>
      <c r="F568" s="470">
        <v>556464</v>
      </c>
      <c r="G568" s="467" t="s">
        <v>1459</v>
      </c>
      <c r="H568" s="467"/>
      <c r="I568" s="467"/>
      <c r="J568" s="467"/>
      <c r="K568" s="467"/>
      <c r="L568" s="467"/>
      <c r="M568" s="467"/>
      <c r="N568" s="469"/>
    </row>
    <row r="569" spans="1:14">
      <c r="A569" s="451">
        <f t="shared" si="9"/>
        <v>563</v>
      </c>
      <c r="B569" s="680"/>
      <c r="C569" s="462" t="s">
        <v>570</v>
      </c>
      <c r="D569" s="463"/>
      <c r="E569" s="464" t="s">
        <v>11</v>
      </c>
      <c r="F569" s="470">
        <v>499220</v>
      </c>
      <c r="G569" s="467" t="s">
        <v>1459</v>
      </c>
      <c r="H569" s="467"/>
      <c r="I569" s="467"/>
      <c r="J569" s="467"/>
      <c r="K569" s="467"/>
      <c r="L569" s="467"/>
      <c r="M569" s="467"/>
      <c r="N569" s="469"/>
    </row>
    <row r="570" spans="1:14">
      <c r="A570" s="451">
        <f t="shared" si="9"/>
        <v>564</v>
      </c>
      <c r="B570" s="680"/>
      <c r="C570" s="462" t="s">
        <v>572</v>
      </c>
      <c r="D570" s="463"/>
      <c r="E570" s="464" t="s">
        <v>11</v>
      </c>
      <c r="F570" s="470">
        <v>170278</v>
      </c>
      <c r="G570" s="467" t="s">
        <v>1459</v>
      </c>
      <c r="H570" s="467"/>
      <c r="I570" s="467"/>
      <c r="J570" s="467"/>
      <c r="K570" s="467"/>
      <c r="L570" s="467"/>
      <c r="M570" s="467"/>
      <c r="N570" s="469"/>
    </row>
    <row r="571" spans="1:14" ht="28.8">
      <c r="A571" s="451">
        <f t="shared" si="9"/>
        <v>565</v>
      </c>
      <c r="B571" s="680"/>
      <c r="C571" s="462" t="s">
        <v>574</v>
      </c>
      <c r="D571" s="463"/>
      <c r="E571" s="464" t="s">
        <v>11</v>
      </c>
      <c r="F571" s="470">
        <v>35071</v>
      </c>
      <c r="G571" s="467" t="s">
        <v>1459</v>
      </c>
      <c r="H571" s="467"/>
      <c r="I571" s="467"/>
      <c r="J571" s="467"/>
      <c r="K571" s="467"/>
      <c r="L571" s="467"/>
      <c r="M571" s="467"/>
      <c r="N571" s="469"/>
    </row>
    <row r="572" spans="1:14">
      <c r="A572" s="451">
        <f t="shared" si="9"/>
        <v>566</v>
      </c>
      <c r="B572" s="680"/>
      <c r="C572" s="462" t="s">
        <v>576</v>
      </c>
      <c r="D572" s="463"/>
      <c r="E572" s="464" t="s">
        <v>11</v>
      </c>
      <c r="F572" s="470">
        <v>163695</v>
      </c>
      <c r="G572" s="467" t="s">
        <v>1459</v>
      </c>
      <c r="H572" s="467"/>
      <c r="I572" s="467"/>
      <c r="J572" s="467"/>
      <c r="K572" s="467"/>
      <c r="L572" s="467"/>
      <c r="M572" s="467"/>
      <c r="N572" s="469"/>
    </row>
    <row r="573" spans="1:14">
      <c r="A573" s="451">
        <f t="shared" si="9"/>
        <v>567</v>
      </c>
      <c r="B573" s="680"/>
      <c r="C573" s="462" t="s">
        <v>578</v>
      </c>
      <c r="D573" s="463"/>
      <c r="E573" s="464" t="s">
        <v>11</v>
      </c>
      <c r="F573" s="470">
        <v>19075</v>
      </c>
      <c r="G573" s="467" t="s">
        <v>1459</v>
      </c>
      <c r="H573" s="467"/>
      <c r="I573" s="467"/>
      <c r="J573" s="467"/>
      <c r="K573" s="467"/>
      <c r="L573" s="467"/>
      <c r="M573" s="467"/>
      <c r="N573" s="469"/>
    </row>
    <row r="574" spans="1:14">
      <c r="A574" s="451">
        <f t="shared" si="9"/>
        <v>568</v>
      </c>
      <c r="B574" s="680"/>
      <c r="C574" s="462" t="s">
        <v>580</v>
      </c>
      <c r="D574" s="463"/>
      <c r="E574" s="464" t="s">
        <v>11</v>
      </c>
      <c r="F574" s="470">
        <v>127144</v>
      </c>
      <c r="G574" s="467" t="s">
        <v>1459</v>
      </c>
      <c r="H574" s="467"/>
      <c r="I574" s="467"/>
      <c r="J574" s="467"/>
      <c r="K574" s="467"/>
      <c r="L574" s="467"/>
      <c r="M574" s="467"/>
      <c r="N574" s="469"/>
    </row>
    <row r="575" spans="1:14">
      <c r="A575" s="451">
        <f t="shared" si="9"/>
        <v>569</v>
      </c>
      <c r="B575" s="680"/>
      <c r="C575" s="462" t="s">
        <v>582</v>
      </c>
      <c r="D575" s="463"/>
      <c r="E575" s="464" t="s">
        <v>11</v>
      </c>
      <c r="F575" s="470">
        <v>404166</v>
      </c>
      <c r="G575" s="467" t="s">
        <v>1459</v>
      </c>
      <c r="H575" s="467"/>
      <c r="I575" s="467"/>
      <c r="J575" s="467"/>
      <c r="K575" s="467"/>
      <c r="L575" s="467"/>
      <c r="M575" s="467"/>
      <c r="N575" s="469"/>
    </row>
    <row r="576" spans="1:14">
      <c r="A576" s="451">
        <f t="shared" si="9"/>
        <v>570</v>
      </c>
      <c r="B576" s="680"/>
      <c r="C576" s="462" t="s">
        <v>584</v>
      </c>
      <c r="D576" s="463"/>
      <c r="E576" s="464" t="s">
        <v>11</v>
      </c>
      <c r="F576" s="470">
        <v>192498</v>
      </c>
      <c r="G576" s="467" t="s">
        <v>1459</v>
      </c>
      <c r="H576" s="467"/>
      <c r="I576" s="467"/>
      <c r="J576" s="467"/>
      <c r="K576" s="467"/>
      <c r="L576" s="467"/>
      <c r="M576" s="467"/>
      <c r="N576" s="469"/>
    </row>
    <row r="577" spans="1:14">
      <c r="A577" s="451">
        <f t="shared" si="9"/>
        <v>571</v>
      </c>
      <c r="B577" s="680"/>
      <c r="C577" s="462" t="s">
        <v>586</v>
      </c>
      <c r="D577" s="463"/>
      <c r="E577" s="464" t="s">
        <v>11</v>
      </c>
      <c r="F577" s="470">
        <v>71118</v>
      </c>
      <c r="G577" s="467" t="s">
        <v>1459</v>
      </c>
      <c r="H577" s="467"/>
      <c r="I577" s="467"/>
      <c r="J577" s="467"/>
      <c r="K577" s="467"/>
      <c r="L577" s="467"/>
      <c r="M577" s="467"/>
      <c r="N577" s="469"/>
    </row>
    <row r="578" spans="1:14">
      <c r="A578" s="451">
        <f t="shared" si="9"/>
        <v>572</v>
      </c>
      <c r="B578" s="680"/>
      <c r="C578" s="462" t="s">
        <v>588</v>
      </c>
      <c r="D578" s="463"/>
      <c r="E578" s="464" t="s">
        <v>11</v>
      </c>
      <c r="F578" s="470">
        <v>179328</v>
      </c>
      <c r="G578" s="467" t="s">
        <v>1459</v>
      </c>
      <c r="H578" s="467"/>
      <c r="I578" s="467"/>
      <c r="J578" s="467"/>
      <c r="K578" s="467"/>
      <c r="L578" s="467"/>
      <c r="M578" s="467"/>
      <c r="N578" s="469"/>
    </row>
    <row r="579" spans="1:14">
      <c r="A579" s="451">
        <f t="shared" si="9"/>
        <v>573</v>
      </c>
      <c r="B579" s="680"/>
      <c r="D579" s="463"/>
      <c r="G579" s="467"/>
      <c r="H579" s="467"/>
      <c r="I579" s="467"/>
      <c r="J579" s="467"/>
      <c r="K579" s="467"/>
      <c r="L579" s="467"/>
      <c r="M579" s="467"/>
      <c r="N579" s="469"/>
    </row>
    <row r="580" spans="1:14" ht="28.8">
      <c r="A580" s="451">
        <f t="shared" si="9"/>
        <v>574</v>
      </c>
      <c r="B580" s="680"/>
      <c r="C580" s="453" t="s">
        <v>1985</v>
      </c>
      <c r="D580" s="463"/>
      <c r="G580" s="467"/>
      <c r="H580" s="467"/>
      <c r="I580" s="467"/>
      <c r="J580" s="467"/>
      <c r="K580" s="467"/>
      <c r="L580" s="467"/>
      <c r="M580" s="467"/>
      <c r="N580" s="469"/>
    </row>
    <row r="581" spans="1:14" ht="28.8">
      <c r="A581" s="451">
        <f t="shared" si="9"/>
        <v>575</v>
      </c>
      <c r="B581" s="680"/>
      <c r="C581" s="462" t="s">
        <v>597</v>
      </c>
      <c r="D581" s="463"/>
      <c r="E581" s="464" t="s">
        <v>11</v>
      </c>
      <c r="F581" s="470">
        <v>922164</v>
      </c>
      <c r="G581" s="467" t="s">
        <v>1459</v>
      </c>
      <c r="H581" s="467"/>
      <c r="I581" s="467"/>
      <c r="J581" s="467"/>
      <c r="K581" s="467"/>
      <c r="L581" s="467"/>
      <c r="M581" s="467"/>
      <c r="N581" s="469"/>
    </row>
    <row r="582" spans="1:14" ht="28.8">
      <c r="A582" s="451">
        <f t="shared" si="9"/>
        <v>576</v>
      </c>
      <c r="B582" s="680"/>
      <c r="C582" s="462" t="s">
        <v>599</v>
      </c>
      <c r="D582" s="463"/>
      <c r="E582" s="464" t="s">
        <v>11</v>
      </c>
      <c r="F582" s="470">
        <v>690735</v>
      </c>
      <c r="G582" s="467" t="s">
        <v>1459</v>
      </c>
      <c r="H582" s="467"/>
      <c r="I582" s="467"/>
      <c r="J582" s="467"/>
      <c r="K582" s="467"/>
      <c r="L582" s="467"/>
      <c r="M582" s="467"/>
      <c r="N582" s="469"/>
    </row>
    <row r="583" spans="1:14">
      <c r="A583" s="451">
        <f t="shared" si="9"/>
        <v>577</v>
      </c>
      <c r="B583" s="680"/>
      <c r="D583" s="463"/>
      <c r="G583" s="467"/>
      <c r="H583" s="467"/>
      <c r="I583" s="467"/>
      <c r="J583" s="467"/>
      <c r="K583" s="467"/>
      <c r="L583" s="467"/>
      <c r="M583" s="467"/>
      <c r="N583" s="469"/>
    </row>
    <row r="584" spans="1:14">
      <c r="A584" s="451">
        <f t="shared" si="9"/>
        <v>578</v>
      </c>
      <c r="B584" s="680"/>
      <c r="C584" s="453" t="s">
        <v>1986</v>
      </c>
      <c r="D584" s="463"/>
      <c r="G584" s="467"/>
      <c r="H584" s="467"/>
      <c r="I584" s="467"/>
      <c r="J584" s="467"/>
      <c r="K584" s="467"/>
      <c r="L584" s="467"/>
      <c r="M584" s="467"/>
      <c r="N584" s="469"/>
    </row>
    <row r="585" spans="1:14">
      <c r="A585" s="451">
        <f t="shared" si="9"/>
        <v>579</v>
      </c>
      <c r="B585" s="680"/>
      <c r="C585" s="488" t="s">
        <v>460</v>
      </c>
      <c r="D585" s="463" t="s">
        <v>1357</v>
      </c>
      <c r="E585" s="464" t="s">
        <v>11</v>
      </c>
      <c r="F585" s="470">
        <v>6259</v>
      </c>
      <c r="G585" s="467"/>
      <c r="H585" s="467"/>
      <c r="I585" s="467"/>
      <c r="J585" s="467" t="s">
        <v>1459</v>
      </c>
      <c r="K585" s="467"/>
      <c r="L585" s="467"/>
      <c r="M585" s="467"/>
      <c r="N585" s="469"/>
    </row>
    <row r="586" spans="1:14">
      <c r="A586" s="451">
        <f t="shared" si="9"/>
        <v>580</v>
      </c>
      <c r="B586" s="680" t="s">
        <v>461</v>
      </c>
      <c r="C586" s="488" t="s">
        <v>462</v>
      </c>
      <c r="D586" s="463" t="s">
        <v>1987</v>
      </c>
      <c r="E586" s="464" t="s">
        <v>36</v>
      </c>
      <c r="F586" s="470">
        <v>35005</v>
      </c>
      <c r="G586" s="467"/>
      <c r="H586" s="467"/>
      <c r="I586" s="467"/>
      <c r="J586" s="467" t="s">
        <v>1459</v>
      </c>
      <c r="K586" s="467"/>
      <c r="L586" s="467"/>
      <c r="M586" s="467"/>
      <c r="N586" s="469"/>
    </row>
    <row r="587" spans="1:14">
      <c r="A587" s="451">
        <f t="shared" si="9"/>
        <v>581</v>
      </c>
      <c r="B587" s="680"/>
      <c r="C587" s="488" t="s">
        <v>464</v>
      </c>
      <c r="D587" s="463" t="s">
        <v>1988</v>
      </c>
      <c r="E587" s="464" t="s">
        <v>11</v>
      </c>
      <c r="F587" s="470">
        <v>280629</v>
      </c>
      <c r="G587" s="467"/>
      <c r="H587" s="467"/>
      <c r="I587" s="467"/>
      <c r="J587" s="467" t="s">
        <v>1459</v>
      </c>
      <c r="K587" s="467"/>
      <c r="L587" s="467"/>
      <c r="M587" s="467"/>
      <c r="N587" s="469"/>
    </row>
    <row r="588" spans="1:14" ht="28.8">
      <c r="A588" s="451">
        <f t="shared" si="9"/>
        <v>582</v>
      </c>
      <c r="B588" s="680"/>
      <c r="C588" s="462" t="s">
        <v>604</v>
      </c>
      <c r="D588" s="463"/>
      <c r="E588" s="464" t="s">
        <v>11</v>
      </c>
      <c r="F588" s="470">
        <v>11571</v>
      </c>
      <c r="G588" s="467"/>
      <c r="H588" s="467"/>
      <c r="I588" s="467"/>
      <c r="J588" s="467" t="s">
        <v>1459</v>
      </c>
      <c r="K588" s="467"/>
      <c r="L588" s="467"/>
      <c r="M588" s="467"/>
      <c r="N588" s="469"/>
    </row>
    <row r="589" spans="1:14">
      <c r="A589" s="451">
        <f t="shared" si="9"/>
        <v>583</v>
      </c>
      <c r="B589" s="680"/>
      <c r="C589" s="462" t="s">
        <v>606</v>
      </c>
      <c r="D589" s="463"/>
      <c r="E589" s="464" t="s">
        <v>11</v>
      </c>
      <c r="F589" s="470">
        <v>45730</v>
      </c>
      <c r="G589" s="467"/>
      <c r="H589" s="467"/>
      <c r="I589" s="467"/>
      <c r="J589" s="467" t="s">
        <v>1459</v>
      </c>
      <c r="K589" s="467"/>
      <c r="L589" s="467"/>
      <c r="M589" s="467"/>
      <c r="N589" s="469"/>
    </row>
    <row r="590" spans="1:14">
      <c r="A590" s="451">
        <f t="shared" si="9"/>
        <v>584</v>
      </c>
      <c r="B590" s="680"/>
      <c r="C590" s="462" t="s">
        <v>608</v>
      </c>
      <c r="D590" s="463"/>
      <c r="E590" s="464" t="s">
        <v>11</v>
      </c>
      <c r="F590" s="470">
        <v>230859</v>
      </c>
      <c r="G590" s="467"/>
      <c r="H590" s="467"/>
      <c r="I590" s="467"/>
      <c r="J590" s="467" t="s">
        <v>1459</v>
      </c>
      <c r="K590" s="467"/>
      <c r="L590" s="467"/>
      <c r="M590" s="467"/>
      <c r="N590" s="469"/>
    </row>
    <row r="591" spans="1:14">
      <c r="A591" s="451">
        <f t="shared" si="9"/>
        <v>585</v>
      </c>
      <c r="B591" s="680"/>
      <c r="C591" s="462" t="s">
        <v>610</v>
      </c>
      <c r="D591" s="463"/>
      <c r="E591" s="464" t="s">
        <v>11</v>
      </c>
      <c r="F591" s="470">
        <v>164631</v>
      </c>
      <c r="G591" s="467"/>
      <c r="H591" s="467"/>
      <c r="I591" s="467"/>
      <c r="J591" s="467" t="s">
        <v>1459</v>
      </c>
      <c r="K591" s="467"/>
      <c r="L591" s="467"/>
      <c r="M591" s="467"/>
      <c r="N591" s="469"/>
    </row>
    <row r="592" spans="1:14">
      <c r="A592" s="451">
        <f t="shared" si="9"/>
        <v>586</v>
      </c>
      <c r="B592" s="680"/>
      <c r="C592" s="462" t="s">
        <v>612</v>
      </c>
      <c r="D592" s="463"/>
      <c r="E592" s="464" t="s">
        <v>11</v>
      </c>
      <c r="F592" s="470">
        <v>218089</v>
      </c>
      <c r="G592" s="467"/>
      <c r="H592" s="467"/>
      <c r="I592" s="467"/>
      <c r="J592" s="467" t="s">
        <v>1459</v>
      </c>
      <c r="K592" s="467"/>
      <c r="L592" s="467"/>
      <c r="M592" s="467"/>
      <c r="N592" s="469"/>
    </row>
    <row r="593" spans="1:14">
      <c r="A593" s="451">
        <f t="shared" si="9"/>
        <v>587</v>
      </c>
      <c r="B593" s="680"/>
      <c r="C593" s="462" t="s">
        <v>614</v>
      </c>
      <c r="D593" s="463"/>
      <c r="E593" s="464" t="s">
        <v>11</v>
      </c>
      <c r="F593" s="470">
        <v>102658</v>
      </c>
      <c r="G593" s="467"/>
      <c r="H593" s="467"/>
      <c r="I593" s="467"/>
      <c r="J593" s="467" t="s">
        <v>1459</v>
      </c>
      <c r="K593" s="467"/>
      <c r="L593" s="467"/>
      <c r="M593" s="467"/>
      <c r="N593" s="469"/>
    </row>
    <row r="594" spans="1:14">
      <c r="A594" s="451">
        <f t="shared" si="9"/>
        <v>588</v>
      </c>
      <c r="B594" s="680"/>
      <c r="C594" s="462" t="s">
        <v>616</v>
      </c>
      <c r="D594" s="463"/>
      <c r="E594" s="464" t="s">
        <v>11</v>
      </c>
      <c r="F594" s="470">
        <v>24740</v>
      </c>
      <c r="G594" s="467"/>
      <c r="H594" s="467"/>
      <c r="I594" s="467"/>
      <c r="J594" s="467" t="s">
        <v>1459</v>
      </c>
      <c r="K594" s="467"/>
      <c r="L594" s="467"/>
      <c r="M594" s="467"/>
      <c r="N594" s="469"/>
    </row>
    <row r="595" spans="1:14">
      <c r="A595" s="451">
        <f t="shared" si="9"/>
        <v>589</v>
      </c>
      <c r="B595" s="680"/>
      <c r="C595" s="462" t="s">
        <v>618</v>
      </c>
      <c r="D595" s="463"/>
      <c r="E595" s="464" t="s">
        <v>11</v>
      </c>
      <c r="F595" s="470">
        <v>7185</v>
      </c>
      <c r="G595" s="467"/>
      <c r="H595" s="467"/>
      <c r="I595" s="467"/>
      <c r="J595" s="467" t="s">
        <v>1459</v>
      </c>
      <c r="K595" s="467"/>
      <c r="L595" s="467"/>
      <c r="M595" s="467"/>
      <c r="N595" s="469"/>
    </row>
    <row r="596" spans="1:14">
      <c r="A596" s="451">
        <f t="shared" ref="A596:A659" si="10">A595+1</f>
        <v>590</v>
      </c>
      <c r="B596" s="680"/>
      <c r="C596" s="462" t="s">
        <v>620</v>
      </c>
      <c r="D596" s="463"/>
      <c r="E596" s="464" t="s">
        <v>11</v>
      </c>
      <c r="F596" s="470">
        <v>76270</v>
      </c>
      <c r="G596" s="467"/>
      <c r="H596" s="467"/>
      <c r="I596" s="467"/>
      <c r="J596" s="467" t="s">
        <v>1459</v>
      </c>
      <c r="K596" s="467"/>
      <c r="L596" s="467"/>
      <c r="M596" s="467"/>
      <c r="N596" s="469"/>
    </row>
    <row r="597" spans="1:14">
      <c r="A597" s="451">
        <f t="shared" si="10"/>
        <v>591</v>
      </c>
      <c r="B597" s="680"/>
      <c r="C597" s="462" t="s">
        <v>622</v>
      </c>
      <c r="D597" s="463"/>
      <c r="E597" s="464" t="s">
        <v>11</v>
      </c>
      <c r="F597" s="470">
        <v>394136</v>
      </c>
      <c r="G597" s="467"/>
      <c r="H597" s="467"/>
      <c r="I597" s="467"/>
      <c r="J597" s="467" t="s">
        <v>1459</v>
      </c>
      <c r="K597" s="467"/>
      <c r="L597" s="467"/>
      <c r="M597" s="467"/>
      <c r="N597" s="469"/>
    </row>
    <row r="598" spans="1:14">
      <c r="A598" s="451">
        <f t="shared" si="10"/>
        <v>592</v>
      </c>
      <c r="B598" s="680"/>
      <c r="C598" s="462" t="s">
        <v>624</v>
      </c>
      <c r="D598" s="463"/>
      <c r="E598" s="464" t="s">
        <v>11</v>
      </c>
      <c r="F598" s="470">
        <v>167147</v>
      </c>
      <c r="G598" s="467"/>
      <c r="H598" s="467"/>
      <c r="I598" s="467"/>
      <c r="J598" s="467" t="s">
        <v>1459</v>
      </c>
      <c r="K598" s="467"/>
      <c r="L598" s="467"/>
      <c r="M598" s="467"/>
      <c r="N598" s="469"/>
    </row>
    <row r="599" spans="1:14">
      <c r="A599" s="451">
        <f t="shared" si="10"/>
        <v>593</v>
      </c>
      <c r="B599" s="680" t="s">
        <v>255</v>
      </c>
      <c r="C599" s="462" t="s">
        <v>1989</v>
      </c>
      <c r="D599" s="463" t="s">
        <v>1990</v>
      </c>
      <c r="E599" s="464" t="s">
        <v>11</v>
      </c>
      <c r="F599" s="470">
        <v>12472</v>
      </c>
      <c r="G599" s="467"/>
      <c r="H599" s="467"/>
      <c r="I599" s="467"/>
      <c r="J599" s="467" t="s">
        <v>1459</v>
      </c>
      <c r="K599" s="467"/>
      <c r="L599" s="467"/>
      <c r="M599" s="467"/>
      <c r="N599" s="469"/>
    </row>
    <row r="600" spans="1:14">
      <c r="A600" s="451">
        <f t="shared" si="10"/>
        <v>594</v>
      </c>
      <c r="B600" s="680"/>
      <c r="C600" s="462" t="s">
        <v>626</v>
      </c>
      <c r="D600" s="463"/>
      <c r="E600" s="464" t="s">
        <v>11</v>
      </c>
      <c r="F600" s="470">
        <v>153368</v>
      </c>
      <c r="G600" s="467"/>
      <c r="H600" s="467"/>
      <c r="I600" s="467"/>
      <c r="J600" s="467" t="s">
        <v>1459</v>
      </c>
      <c r="K600" s="467"/>
      <c r="L600" s="467"/>
      <c r="M600" s="467"/>
      <c r="N600" s="469"/>
    </row>
    <row r="601" spans="1:14">
      <c r="A601" s="451">
        <f t="shared" si="10"/>
        <v>595</v>
      </c>
      <c r="B601" s="680"/>
      <c r="C601" s="462" t="s">
        <v>628</v>
      </c>
      <c r="D601" s="463"/>
      <c r="E601" s="464" t="s">
        <v>36</v>
      </c>
      <c r="F601" s="470">
        <v>100401</v>
      </c>
      <c r="G601" s="467"/>
      <c r="H601" s="467"/>
      <c r="I601" s="467"/>
      <c r="J601" s="467" t="s">
        <v>1459</v>
      </c>
      <c r="K601" s="467"/>
      <c r="L601" s="467"/>
      <c r="M601" s="467"/>
      <c r="N601" s="469"/>
    </row>
    <row r="602" spans="1:14">
      <c r="A602" s="451">
        <f t="shared" si="10"/>
        <v>596</v>
      </c>
      <c r="B602" s="680"/>
      <c r="C602" s="462" t="s">
        <v>630</v>
      </c>
      <c r="D602" s="463"/>
      <c r="E602" s="464" t="s">
        <v>11</v>
      </c>
      <c r="F602" s="470">
        <v>189361</v>
      </c>
      <c r="G602" s="467"/>
      <c r="H602" s="467"/>
      <c r="I602" s="467"/>
      <c r="J602" s="467" t="s">
        <v>1459</v>
      </c>
      <c r="K602" s="467"/>
      <c r="L602" s="467"/>
      <c r="M602" s="467"/>
      <c r="N602" s="469"/>
    </row>
    <row r="603" spans="1:14">
      <c r="A603" s="451">
        <f t="shared" si="10"/>
        <v>597</v>
      </c>
      <c r="B603" s="680"/>
      <c r="C603" s="462" t="s">
        <v>632</v>
      </c>
      <c r="D603" s="463"/>
      <c r="E603" s="464" t="s">
        <v>11</v>
      </c>
      <c r="F603" s="470">
        <v>7698</v>
      </c>
      <c r="G603" s="467"/>
      <c r="H603" s="467"/>
      <c r="I603" s="467"/>
      <c r="J603" s="467" t="s">
        <v>1459</v>
      </c>
      <c r="K603" s="467"/>
      <c r="L603" s="467"/>
      <c r="M603" s="467"/>
      <c r="N603" s="469"/>
    </row>
    <row r="604" spans="1:14">
      <c r="A604" s="451">
        <f t="shared" si="10"/>
        <v>598</v>
      </c>
      <c r="B604" s="680"/>
      <c r="C604" s="462" t="s">
        <v>634</v>
      </c>
      <c r="D604" s="463"/>
      <c r="E604" s="464" t="s">
        <v>11</v>
      </c>
      <c r="F604" s="470">
        <v>62298</v>
      </c>
      <c r="G604" s="467"/>
      <c r="H604" s="467"/>
      <c r="I604" s="467"/>
      <c r="J604" s="467" t="s">
        <v>1459</v>
      </c>
      <c r="K604" s="467"/>
      <c r="L604" s="467"/>
      <c r="M604" s="467"/>
      <c r="N604" s="469"/>
    </row>
    <row r="605" spans="1:14">
      <c r="A605" s="451">
        <f t="shared" si="10"/>
        <v>599</v>
      </c>
      <c r="B605" s="680"/>
      <c r="C605" s="462" t="s">
        <v>636</v>
      </c>
      <c r="D605" s="463"/>
      <c r="E605" s="464" t="s">
        <v>11</v>
      </c>
      <c r="F605" s="470">
        <v>171598</v>
      </c>
      <c r="G605" s="467"/>
      <c r="H605" s="467"/>
      <c r="I605" s="467"/>
      <c r="J605" s="467" t="s">
        <v>1459</v>
      </c>
      <c r="K605" s="467"/>
      <c r="L605" s="467"/>
      <c r="M605" s="467"/>
      <c r="N605" s="469"/>
    </row>
    <row r="606" spans="1:14">
      <c r="A606" s="451">
        <f t="shared" si="10"/>
        <v>600</v>
      </c>
      <c r="B606" s="680"/>
      <c r="C606" s="462" t="s">
        <v>638</v>
      </c>
      <c r="D606" s="463"/>
      <c r="E606" s="464" t="s">
        <v>11</v>
      </c>
      <c r="F606" s="470">
        <v>131000</v>
      </c>
      <c r="G606" s="467"/>
      <c r="H606" s="467"/>
      <c r="I606" s="467"/>
      <c r="J606" s="467" t="s">
        <v>1459</v>
      </c>
      <c r="K606" s="467"/>
      <c r="L606" s="467"/>
      <c r="M606" s="467"/>
      <c r="N606" s="469"/>
    </row>
    <row r="607" spans="1:14">
      <c r="A607" s="451">
        <f t="shared" si="10"/>
        <v>601</v>
      </c>
      <c r="B607" s="680"/>
      <c r="C607" s="462" t="s">
        <v>640</v>
      </c>
      <c r="D607" s="463"/>
      <c r="E607" s="464" t="s">
        <v>11</v>
      </c>
      <c r="F607" s="470">
        <v>466409</v>
      </c>
      <c r="G607" s="467"/>
      <c r="H607" s="467"/>
      <c r="I607" s="467"/>
      <c r="J607" s="467" t="s">
        <v>1459</v>
      </c>
      <c r="K607" s="467"/>
      <c r="L607" s="467"/>
      <c r="M607" s="467"/>
      <c r="N607" s="469"/>
    </row>
    <row r="608" spans="1:14">
      <c r="A608" s="451">
        <f t="shared" si="10"/>
        <v>602</v>
      </c>
      <c r="B608" s="680"/>
      <c r="C608" s="462" t="s">
        <v>642</v>
      </c>
      <c r="D608" s="463"/>
      <c r="E608" s="464" t="s">
        <v>11</v>
      </c>
      <c r="F608" s="470">
        <v>10541</v>
      </c>
      <c r="G608" s="467"/>
      <c r="H608" s="467"/>
      <c r="I608" s="467"/>
      <c r="J608" s="467" t="s">
        <v>1459</v>
      </c>
      <c r="K608" s="467"/>
      <c r="L608" s="467"/>
      <c r="M608" s="467"/>
      <c r="N608" s="469"/>
    </row>
    <row r="609" spans="1:14">
      <c r="A609" s="451">
        <f t="shared" si="10"/>
        <v>603</v>
      </c>
      <c r="B609" s="680"/>
      <c r="C609" s="462" t="s">
        <v>643</v>
      </c>
      <c r="D609" s="463"/>
      <c r="E609" s="464" t="s">
        <v>36</v>
      </c>
      <c r="F609" s="470">
        <v>191107</v>
      </c>
      <c r="G609" s="467"/>
      <c r="H609" s="467"/>
      <c r="I609" s="467"/>
      <c r="J609" s="467" t="s">
        <v>1459</v>
      </c>
      <c r="K609" s="467"/>
      <c r="L609" s="467"/>
      <c r="M609" s="467"/>
      <c r="N609" s="469"/>
    </row>
    <row r="610" spans="1:14">
      <c r="A610" s="451">
        <f t="shared" si="10"/>
        <v>604</v>
      </c>
      <c r="B610" s="680"/>
      <c r="C610" s="462" t="s">
        <v>645</v>
      </c>
      <c r="D610" s="463"/>
      <c r="E610" s="464" t="s">
        <v>36</v>
      </c>
      <c r="F610" s="470">
        <v>10289</v>
      </c>
      <c r="G610" s="467"/>
      <c r="H610" s="467"/>
      <c r="I610" s="467"/>
      <c r="J610" s="467" t="s">
        <v>1459</v>
      </c>
      <c r="K610" s="467"/>
      <c r="L610" s="467"/>
      <c r="M610" s="467"/>
      <c r="N610" s="469"/>
    </row>
    <row r="611" spans="1:14">
      <c r="A611" s="451">
        <f t="shared" si="10"/>
        <v>605</v>
      </c>
      <c r="B611" s="680"/>
      <c r="C611" s="462" t="s">
        <v>647</v>
      </c>
      <c r="D611" s="463"/>
      <c r="E611" s="464" t="s">
        <v>11</v>
      </c>
      <c r="F611" s="470">
        <v>425677</v>
      </c>
      <c r="G611" s="467"/>
      <c r="H611" s="467"/>
      <c r="I611" s="467"/>
      <c r="J611" s="467" t="s">
        <v>1459</v>
      </c>
      <c r="K611" s="467"/>
      <c r="L611" s="467"/>
      <c r="M611" s="467"/>
      <c r="N611" s="469"/>
    </row>
    <row r="612" spans="1:14">
      <c r="A612" s="451">
        <f t="shared" si="10"/>
        <v>606</v>
      </c>
      <c r="B612" s="680"/>
      <c r="C612" s="462" t="s">
        <v>649</v>
      </c>
      <c r="D612" s="463"/>
      <c r="E612" s="464" t="s">
        <v>11</v>
      </c>
      <c r="F612" s="470">
        <v>177362</v>
      </c>
      <c r="G612" s="467"/>
      <c r="H612" s="467"/>
      <c r="I612" s="467"/>
      <c r="J612" s="467" t="s">
        <v>1459</v>
      </c>
      <c r="K612" s="467"/>
      <c r="L612" s="467"/>
      <c r="M612" s="467"/>
      <c r="N612" s="469"/>
    </row>
    <row r="613" spans="1:14">
      <c r="A613" s="451">
        <f t="shared" si="10"/>
        <v>607</v>
      </c>
      <c r="B613" s="680"/>
      <c r="C613" s="462" t="s">
        <v>651</v>
      </c>
      <c r="D613" s="463"/>
      <c r="E613" s="464" t="s">
        <v>11</v>
      </c>
      <c r="F613" s="470">
        <v>70833</v>
      </c>
      <c r="G613" s="467"/>
      <c r="H613" s="467"/>
      <c r="I613" s="467"/>
      <c r="J613" s="467" t="s">
        <v>1459</v>
      </c>
      <c r="K613" s="467"/>
      <c r="L613" s="467"/>
      <c r="M613" s="467"/>
      <c r="N613" s="469"/>
    </row>
    <row r="614" spans="1:14">
      <c r="A614" s="451">
        <f t="shared" si="10"/>
        <v>608</v>
      </c>
      <c r="B614" s="680"/>
      <c r="C614" s="462" t="s">
        <v>653</v>
      </c>
      <c r="D614" s="463"/>
      <c r="E614" s="464" t="s">
        <v>11</v>
      </c>
      <c r="F614" s="470">
        <v>197198</v>
      </c>
      <c r="G614" s="467"/>
      <c r="H614" s="467"/>
      <c r="I614" s="467"/>
      <c r="J614" s="467" t="s">
        <v>1459</v>
      </c>
      <c r="K614" s="467"/>
      <c r="L614" s="467"/>
      <c r="M614" s="467"/>
      <c r="N614" s="469"/>
    </row>
    <row r="615" spans="1:14">
      <c r="A615" s="451">
        <f t="shared" si="10"/>
        <v>609</v>
      </c>
      <c r="B615" s="680"/>
      <c r="C615" s="462" t="s">
        <v>655</v>
      </c>
      <c r="D615" s="463"/>
      <c r="E615" s="464" t="s">
        <v>36</v>
      </c>
      <c r="F615" s="470">
        <v>306573</v>
      </c>
      <c r="G615" s="467"/>
      <c r="H615" s="467"/>
      <c r="I615" s="467"/>
      <c r="J615" s="467" t="s">
        <v>1459</v>
      </c>
      <c r="K615" s="467"/>
      <c r="L615" s="467"/>
      <c r="M615" s="467"/>
      <c r="N615" s="469"/>
    </row>
    <row r="616" spans="1:14">
      <c r="A616" s="451">
        <f t="shared" si="10"/>
        <v>610</v>
      </c>
      <c r="B616" s="680"/>
      <c r="C616" s="462" t="s">
        <v>657</v>
      </c>
      <c r="D616" s="463" t="s">
        <v>1991</v>
      </c>
      <c r="E616" s="464" t="s">
        <v>36</v>
      </c>
      <c r="F616" s="470">
        <v>1399</v>
      </c>
      <c r="G616" s="467"/>
      <c r="H616" s="467"/>
      <c r="I616" s="467"/>
      <c r="J616" s="467" t="s">
        <v>1459</v>
      </c>
      <c r="K616" s="467"/>
      <c r="L616" s="467"/>
      <c r="M616" s="467"/>
      <c r="N616" s="469"/>
    </row>
    <row r="617" spans="1:14">
      <c r="A617" s="451">
        <f t="shared" si="10"/>
        <v>611</v>
      </c>
      <c r="B617" s="680"/>
      <c r="C617" s="462" t="s">
        <v>659</v>
      </c>
      <c r="D617" s="463"/>
      <c r="E617" s="464" t="s">
        <v>11</v>
      </c>
      <c r="F617" s="470">
        <v>7473</v>
      </c>
      <c r="G617" s="467"/>
      <c r="H617" s="467"/>
      <c r="I617" s="467"/>
      <c r="J617" s="467" t="s">
        <v>1459</v>
      </c>
      <c r="K617" s="467"/>
      <c r="L617" s="467"/>
      <c r="M617" s="467"/>
      <c r="N617" s="469"/>
    </row>
    <row r="618" spans="1:14">
      <c r="A618" s="451">
        <f t="shared" si="10"/>
        <v>612</v>
      </c>
      <c r="B618" s="680"/>
      <c r="C618" s="462" t="s">
        <v>661</v>
      </c>
      <c r="D618" s="463"/>
      <c r="E618" s="464" t="s">
        <v>11</v>
      </c>
      <c r="F618" s="470">
        <v>209781</v>
      </c>
      <c r="G618" s="467"/>
      <c r="H618" s="467"/>
      <c r="I618" s="467"/>
      <c r="J618" s="467" t="s">
        <v>1459</v>
      </c>
      <c r="K618" s="467"/>
      <c r="L618" s="467"/>
      <c r="M618" s="467"/>
      <c r="N618" s="469"/>
    </row>
    <row r="619" spans="1:14">
      <c r="A619" s="451">
        <f t="shared" si="10"/>
        <v>613</v>
      </c>
      <c r="B619" s="680"/>
      <c r="C619" s="462" t="s">
        <v>663</v>
      </c>
      <c r="D619" s="463"/>
      <c r="E619" s="464" t="s">
        <v>11</v>
      </c>
      <c r="F619" s="470">
        <v>35366</v>
      </c>
      <c r="G619" s="467"/>
      <c r="H619" s="467"/>
      <c r="I619" s="467"/>
      <c r="J619" s="467" t="s">
        <v>1459</v>
      </c>
      <c r="K619" s="467"/>
      <c r="L619" s="467"/>
      <c r="M619" s="467"/>
      <c r="N619" s="469"/>
    </row>
    <row r="620" spans="1:14" ht="28.8">
      <c r="A620" s="451">
        <f t="shared" si="10"/>
        <v>614</v>
      </c>
      <c r="B620" s="680"/>
      <c r="C620" s="462" t="s">
        <v>665</v>
      </c>
      <c r="D620" s="463"/>
      <c r="E620" s="464" t="s">
        <v>11</v>
      </c>
      <c r="F620" s="470">
        <v>1296</v>
      </c>
      <c r="G620" s="467"/>
      <c r="H620" s="467"/>
      <c r="I620" s="467"/>
      <c r="J620" s="467" t="s">
        <v>1459</v>
      </c>
      <c r="K620" s="467"/>
      <c r="L620" s="467"/>
      <c r="M620" s="467"/>
      <c r="N620" s="469"/>
    </row>
    <row r="621" spans="1:14">
      <c r="A621" s="451">
        <f t="shared" si="10"/>
        <v>615</v>
      </c>
      <c r="B621" s="680"/>
      <c r="C621" s="462" t="s">
        <v>667</v>
      </c>
      <c r="D621" s="463"/>
      <c r="E621" s="464" t="s">
        <v>11</v>
      </c>
      <c r="F621" s="470">
        <v>54241</v>
      </c>
      <c r="G621" s="467"/>
      <c r="H621" s="467"/>
      <c r="I621" s="467"/>
      <c r="J621" s="467" t="s">
        <v>1459</v>
      </c>
      <c r="K621" s="467"/>
      <c r="L621" s="467"/>
      <c r="M621" s="467"/>
      <c r="N621" s="469"/>
    </row>
    <row r="622" spans="1:14">
      <c r="A622" s="451">
        <f t="shared" si="10"/>
        <v>616</v>
      </c>
      <c r="B622" s="680"/>
      <c r="C622" s="462" t="s">
        <v>669</v>
      </c>
      <c r="D622" s="463"/>
      <c r="E622" s="464" t="s">
        <v>11</v>
      </c>
      <c r="F622" s="470">
        <v>133229</v>
      </c>
      <c r="G622" s="467"/>
      <c r="H622" s="467"/>
      <c r="I622" s="467"/>
      <c r="J622" s="467" t="s">
        <v>1459</v>
      </c>
      <c r="K622" s="467"/>
      <c r="L622" s="467"/>
      <c r="M622" s="467"/>
      <c r="N622" s="469"/>
    </row>
    <row r="623" spans="1:14">
      <c r="A623" s="451">
        <f t="shared" si="10"/>
        <v>617</v>
      </c>
      <c r="B623" s="680"/>
      <c r="C623" s="462" t="s">
        <v>671</v>
      </c>
      <c r="D623" s="463"/>
      <c r="E623" s="464" t="s">
        <v>11</v>
      </c>
      <c r="F623" s="470">
        <v>183706</v>
      </c>
      <c r="G623" s="467"/>
      <c r="H623" s="467"/>
      <c r="I623" s="467"/>
      <c r="J623" s="467" t="s">
        <v>1459</v>
      </c>
      <c r="K623" s="467"/>
      <c r="L623" s="467"/>
      <c r="M623" s="467"/>
      <c r="N623" s="469"/>
    </row>
    <row r="624" spans="1:14">
      <c r="A624" s="451">
        <f t="shared" si="10"/>
        <v>618</v>
      </c>
      <c r="B624" s="680"/>
      <c r="C624" s="462" t="s">
        <v>673</v>
      </c>
      <c r="D624" s="463"/>
      <c r="E624" s="464" t="s">
        <v>11</v>
      </c>
      <c r="F624" s="470">
        <v>337805</v>
      </c>
      <c r="G624" s="467"/>
      <c r="H624" s="467"/>
      <c r="I624" s="467"/>
      <c r="J624" s="467" t="s">
        <v>1459</v>
      </c>
      <c r="K624" s="467"/>
      <c r="L624" s="467"/>
      <c r="M624" s="467"/>
      <c r="N624" s="469"/>
    </row>
    <row r="625" spans="1:14">
      <c r="A625" s="451">
        <f t="shared" si="10"/>
        <v>619</v>
      </c>
      <c r="B625" s="680"/>
      <c r="C625" s="462" t="s">
        <v>472</v>
      </c>
      <c r="D625" s="463" t="s">
        <v>1992</v>
      </c>
      <c r="E625" s="464" t="s">
        <v>11</v>
      </c>
      <c r="F625" s="470">
        <v>23704</v>
      </c>
      <c r="G625" s="467"/>
      <c r="H625" s="467"/>
      <c r="I625" s="467"/>
      <c r="J625" s="467" t="s">
        <v>1459</v>
      </c>
      <c r="K625" s="467"/>
      <c r="L625" s="467"/>
      <c r="M625" s="467"/>
      <c r="N625" s="469"/>
    </row>
    <row r="626" spans="1:14">
      <c r="A626" s="451">
        <f t="shared" si="10"/>
        <v>620</v>
      </c>
      <c r="B626" s="680"/>
      <c r="C626" s="462" t="s">
        <v>675</v>
      </c>
      <c r="D626" s="463"/>
      <c r="E626" s="464" t="s">
        <v>36</v>
      </c>
      <c r="F626" s="470">
        <v>593944</v>
      </c>
      <c r="G626" s="467"/>
      <c r="H626" s="467"/>
      <c r="I626" s="467"/>
      <c r="J626" s="467" t="s">
        <v>1459</v>
      </c>
      <c r="K626" s="467"/>
      <c r="L626" s="467"/>
      <c r="M626" s="467"/>
      <c r="N626" s="469"/>
    </row>
    <row r="627" spans="1:14">
      <c r="A627" s="451">
        <f t="shared" si="10"/>
        <v>621</v>
      </c>
      <c r="B627" s="680"/>
      <c r="C627" s="462" t="s">
        <v>677</v>
      </c>
      <c r="D627" s="463"/>
      <c r="E627" s="464" t="s">
        <v>11</v>
      </c>
      <c r="F627" s="470">
        <v>189249</v>
      </c>
      <c r="G627" s="467"/>
      <c r="H627" s="467"/>
      <c r="I627" s="467"/>
      <c r="J627" s="467" t="s">
        <v>1459</v>
      </c>
      <c r="K627" s="467"/>
      <c r="L627" s="467"/>
      <c r="M627" s="467"/>
      <c r="N627" s="469"/>
    </row>
    <row r="628" spans="1:14">
      <c r="A628" s="451">
        <f t="shared" si="10"/>
        <v>622</v>
      </c>
      <c r="B628" s="680"/>
      <c r="C628" s="462" t="s">
        <v>679</v>
      </c>
      <c r="D628" s="463"/>
      <c r="E628" s="464" t="s">
        <v>11</v>
      </c>
      <c r="F628" s="470">
        <v>53227</v>
      </c>
      <c r="G628" s="467"/>
      <c r="H628" s="467"/>
      <c r="I628" s="467"/>
      <c r="J628" s="467" t="s">
        <v>1459</v>
      </c>
      <c r="K628" s="467"/>
      <c r="L628" s="467"/>
      <c r="M628" s="467"/>
      <c r="N628" s="469"/>
    </row>
    <row r="629" spans="1:14">
      <c r="A629" s="451">
        <f t="shared" si="10"/>
        <v>623</v>
      </c>
      <c r="B629" s="680"/>
      <c r="C629" s="462" t="s">
        <v>681</v>
      </c>
      <c r="D629" s="463"/>
      <c r="E629" s="464" t="s">
        <v>11</v>
      </c>
      <c r="F629" s="470">
        <v>1225</v>
      </c>
      <c r="G629" s="467"/>
      <c r="H629" s="467"/>
      <c r="I629" s="467"/>
      <c r="J629" s="467" t="s">
        <v>1459</v>
      </c>
      <c r="K629" s="467"/>
      <c r="L629" s="467"/>
      <c r="M629" s="467"/>
      <c r="N629" s="469"/>
    </row>
    <row r="630" spans="1:14">
      <c r="A630" s="451">
        <f t="shared" si="10"/>
        <v>624</v>
      </c>
      <c r="B630" s="680"/>
      <c r="C630" s="462" t="s">
        <v>683</v>
      </c>
      <c r="D630" s="463"/>
      <c r="E630" s="464" t="s">
        <v>36</v>
      </c>
      <c r="F630" s="470">
        <v>50588</v>
      </c>
      <c r="G630" s="467"/>
      <c r="H630" s="467"/>
      <c r="I630" s="467"/>
      <c r="J630" s="467" t="s">
        <v>1459</v>
      </c>
      <c r="K630" s="467"/>
      <c r="L630" s="467"/>
      <c r="M630" s="467"/>
      <c r="N630" s="469"/>
    </row>
    <row r="631" spans="1:14">
      <c r="A631" s="451">
        <f t="shared" si="10"/>
        <v>625</v>
      </c>
      <c r="B631" s="680"/>
      <c r="C631" s="462" t="s">
        <v>476</v>
      </c>
      <c r="D631" s="463" t="s">
        <v>1993</v>
      </c>
      <c r="E631" s="464" t="s">
        <v>11</v>
      </c>
      <c r="F631" s="470">
        <v>91230</v>
      </c>
      <c r="G631" s="467"/>
      <c r="H631" s="467"/>
      <c r="I631" s="467"/>
      <c r="J631" s="467" t="s">
        <v>1459</v>
      </c>
      <c r="K631" s="467"/>
      <c r="L631" s="467"/>
      <c r="M631" s="467"/>
      <c r="N631" s="469"/>
    </row>
    <row r="632" spans="1:14">
      <c r="A632" s="451">
        <f t="shared" si="10"/>
        <v>626</v>
      </c>
      <c r="B632" s="680"/>
      <c r="C632" s="462" t="s">
        <v>685</v>
      </c>
      <c r="D632" s="463"/>
      <c r="E632" s="464" t="s">
        <v>11</v>
      </c>
      <c r="F632" s="470">
        <v>98929</v>
      </c>
      <c r="G632" s="467"/>
      <c r="H632" s="467"/>
      <c r="I632" s="467"/>
      <c r="J632" s="467" t="s">
        <v>1459</v>
      </c>
      <c r="K632" s="467"/>
      <c r="L632" s="467"/>
      <c r="M632" s="467"/>
      <c r="N632" s="469"/>
    </row>
    <row r="633" spans="1:14">
      <c r="A633" s="451">
        <f t="shared" si="10"/>
        <v>627</v>
      </c>
      <c r="B633" s="680"/>
      <c r="C633" s="462" t="s">
        <v>687</v>
      </c>
      <c r="D633" s="463"/>
      <c r="E633" s="464" t="s">
        <v>11</v>
      </c>
      <c r="F633" s="470">
        <v>156018</v>
      </c>
      <c r="G633" s="467"/>
      <c r="H633" s="467"/>
      <c r="I633" s="467"/>
      <c r="J633" s="467" t="s">
        <v>1459</v>
      </c>
      <c r="K633" s="467"/>
      <c r="L633" s="467"/>
      <c r="M633" s="467"/>
      <c r="N633" s="469"/>
    </row>
    <row r="634" spans="1:14">
      <c r="A634" s="451">
        <f t="shared" si="10"/>
        <v>628</v>
      </c>
      <c r="B634" s="680"/>
      <c r="C634" s="462" t="s">
        <v>474</v>
      </c>
      <c r="D634" s="463" t="s">
        <v>1994</v>
      </c>
      <c r="E634" s="464" t="s">
        <v>11</v>
      </c>
      <c r="F634" s="470">
        <v>49112</v>
      </c>
      <c r="G634" s="467"/>
      <c r="H634" s="467"/>
      <c r="I634" s="467"/>
      <c r="J634" s="467" t="s">
        <v>1459</v>
      </c>
      <c r="K634" s="467"/>
      <c r="L634" s="467"/>
      <c r="M634" s="467"/>
      <c r="N634" s="469"/>
    </row>
    <row r="635" spans="1:14">
      <c r="A635" s="451">
        <f t="shared" si="10"/>
        <v>629</v>
      </c>
      <c r="B635" s="680"/>
      <c r="C635" s="462" t="s">
        <v>689</v>
      </c>
      <c r="D635" s="463"/>
      <c r="E635" s="464" t="s">
        <v>11</v>
      </c>
      <c r="F635" s="470">
        <v>111336</v>
      </c>
      <c r="G635" s="467"/>
      <c r="H635" s="467"/>
      <c r="I635" s="467"/>
      <c r="J635" s="467" t="s">
        <v>1459</v>
      </c>
      <c r="K635" s="467"/>
      <c r="L635" s="467"/>
      <c r="M635" s="467"/>
      <c r="N635" s="469"/>
    </row>
    <row r="636" spans="1:14">
      <c r="A636" s="451">
        <f t="shared" si="10"/>
        <v>630</v>
      </c>
      <c r="B636" s="680"/>
      <c r="C636" s="462" t="s">
        <v>691</v>
      </c>
      <c r="D636" s="463"/>
      <c r="E636" s="464" t="s">
        <v>11</v>
      </c>
      <c r="F636" s="470">
        <v>433673</v>
      </c>
      <c r="G636" s="467"/>
      <c r="H636" s="467"/>
      <c r="I636" s="467"/>
      <c r="J636" s="467" t="s">
        <v>1459</v>
      </c>
      <c r="K636" s="467"/>
      <c r="L636" s="467"/>
      <c r="M636" s="467"/>
      <c r="N636" s="469"/>
    </row>
    <row r="637" spans="1:14">
      <c r="A637" s="451">
        <f t="shared" si="10"/>
        <v>631</v>
      </c>
      <c r="B637" s="680"/>
      <c r="C637" s="462" t="s">
        <v>693</v>
      </c>
      <c r="D637" s="463"/>
      <c r="E637" s="464" t="s">
        <v>11</v>
      </c>
      <c r="F637" s="470">
        <v>137620</v>
      </c>
      <c r="G637" s="467"/>
      <c r="H637" s="467"/>
      <c r="I637" s="467"/>
      <c r="J637" s="467" t="s">
        <v>1459</v>
      </c>
      <c r="K637" s="467"/>
      <c r="L637" s="467"/>
      <c r="M637" s="467"/>
      <c r="N637" s="469"/>
    </row>
    <row r="638" spans="1:14">
      <c r="A638" s="451">
        <f t="shared" si="10"/>
        <v>632</v>
      </c>
      <c r="B638" s="680"/>
      <c r="C638" s="462" t="s">
        <v>695</v>
      </c>
      <c r="D638" s="463"/>
      <c r="E638" s="464" t="s">
        <v>11</v>
      </c>
      <c r="F638" s="470">
        <v>203034</v>
      </c>
      <c r="G638" s="467"/>
      <c r="H638" s="467"/>
      <c r="I638" s="467"/>
      <c r="J638" s="467" t="s">
        <v>1459</v>
      </c>
      <c r="K638" s="467"/>
      <c r="L638" s="467"/>
      <c r="M638" s="467"/>
      <c r="N638" s="469"/>
    </row>
    <row r="639" spans="1:14">
      <c r="A639" s="451">
        <f t="shared" si="10"/>
        <v>633</v>
      </c>
      <c r="B639" s="680"/>
      <c r="C639" s="462" t="s">
        <v>697</v>
      </c>
      <c r="D639" s="463"/>
      <c r="E639" s="464" t="s">
        <v>11</v>
      </c>
      <c r="F639" s="470">
        <v>1700</v>
      </c>
      <c r="G639" s="467"/>
      <c r="H639" s="467"/>
      <c r="I639" s="467"/>
      <c r="J639" s="467" t="s">
        <v>1459</v>
      </c>
      <c r="K639" s="467"/>
      <c r="L639" s="467"/>
      <c r="M639" s="467"/>
      <c r="N639" s="469"/>
    </row>
    <row r="640" spans="1:14">
      <c r="A640" s="451">
        <f t="shared" si="10"/>
        <v>634</v>
      </c>
      <c r="B640" s="680"/>
      <c r="C640" s="462" t="s">
        <v>699</v>
      </c>
      <c r="D640" s="463"/>
      <c r="E640" s="464" t="s">
        <v>11</v>
      </c>
      <c r="F640" s="470">
        <v>51407</v>
      </c>
      <c r="G640" s="467"/>
      <c r="H640" s="467"/>
      <c r="I640" s="467"/>
      <c r="J640" s="467" t="s">
        <v>1459</v>
      </c>
      <c r="K640" s="467"/>
      <c r="L640" s="467"/>
      <c r="M640" s="467"/>
      <c r="N640" s="469"/>
    </row>
    <row r="641" spans="1:14">
      <c r="A641" s="451">
        <f t="shared" si="10"/>
        <v>635</v>
      </c>
      <c r="B641" s="680"/>
      <c r="C641" s="462" t="s">
        <v>701</v>
      </c>
      <c r="D641" s="463"/>
      <c r="E641" s="464" t="s">
        <v>11</v>
      </c>
      <c r="F641" s="470">
        <v>228099</v>
      </c>
      <c r="G641" s="467"/>
      <c r="H641" s="467"/>
      <c r="I641" s="467"/>
      <c r="J641" s="467" t="s">
        <v>1459</v>
      </c>
      <c r="K641" s="467"/>
      <c r="L641" s="467"/>
      <c r="M641" s="467"/>
      <c r="N641" s="469"/>
    </row>
    <row r="642" spans="1:14">
      <c r="A642" s="451">
        <f t="shared" si="10"/>
        <v>636</v>
      </c>
      <c r="B642" s="680"/>
      <c r="C642" s="462" t="s">
        <v>703</v>
      </c>
      <c r="D642" s="463"/>
      <c r="E642" s="464" t="s">
        <v>11</v>
      </c>
      <c r="F642" s="470">
        <v>143269</v>
      </c>
      <c r="G642" s="467"/>
      <c r="H642" s="467"/>
      <c r="I642" s="467"/>
      <c r="J642" s="467" t="s">
        <v>1459</v>
      </c>
      <c r="K642" s="467"/>
      <c r="L642" s="467"/>
      <c r="M642" s="467"/>
      <c r="N642" s="469"/>
    </row>
    <row r="643" spans="1:14" ht="28.8">
      <c r="A643" s="451">
        <f t="shared" si="10"/>
        <v>637</v>
      </c>
      <c r="B643" s="680"/>
      <c r="C643" s="462" t="s">
        <v>705</v>
      </c>
      <c r="D643" s="463"/>
      <c r="E643" s="464" t="s">
        <v>11</v>
      </c>
      <c r="F643" s="470">
        <v>326689</v>
      </c>
      <c r="G643" s="467"/>
      <c r="H643" s="467"/>
      <c r="I643" s="467"/>
      <c r="J643" s="467" t="s">
        <v>1459</v>
      </c>
      <c r="K643" s="467"/>
      <c r="L643" s="467"/>
      <c r="M643" s="467"/>
      <c r="N643" s="469"/>
    </row>
    <row r="644" spans="1:14">
      <c r="A644" s="451">
        <f t="shared" si="10"/>
        <v>638</v>
      </c>
      <c r="B644" s="680"/>
      <c r="C644" s="462" t="s">
        <v>707</v>
      </c>
      <c r="D644" s="463"/>
      <c r="E644" s="464" t="s">
        <v>11</v>
      </c>
      <c r="F644" s="470">
        <v>46264</v>
      </c>
      <c r="G644" s="467"/>
      <c r="H644" s="467"/>
      <c r="I644" s="467"/>
      <c r="J644" s="467" t="s">
        <v>1459</v>
      </c>
      <c r="K644" s="467"/>
      <c r="L644" s="467"/>
      <c r="M644" s="467"/>
      <c r="N644" s="469"/>
    </row>
    <row r="645" spans="1:14" ht="28.8">
      <c r="A645" s="451">
        <f t="shared" si="10"/>
        <v>639</v>
      </c>
      <c r="B645" s="680"/>
      <c r="C645" s="462" t="s">
        <v>709</v>
      </c>
      <c r="D645" s="463"/>
      <c r="E645" s="464" t="s">
        <v>11</v>
      </c>
      <c r="F645" s="470">
        <v>30489</v>
      </c>
      <c r="G645" s="467"/>
      <c r="H645" s="467"/>
      <c r="I645" s="467"/>
      <c r="J645" s="467" t="s">
        <v>1459</v>
      </c>
      <c r="K645" s="467"/>
      <c r="L645" s="467"/>
      <c r="M645" s="467"/>
      <c r="N645" s="469"/>
    </row>
    <row r="646" spans="1:14">
      <c r="A646" s="451">
        <f t="shared" si="10"/>
        <v>640</v>
      </c>
      <c r="B646" s="680"/>
      <c r="C646" s="462" t="s">
        <v>478</v>
      </c>
      <c r="D646" s="463" t="s">
        <v>1995</v>
      </c>
      <c r="E646" s="464" t="s">
        <v>36</v>
      </c>
      <c r="F646" s="470">
        <v>130348</v>
      </c>
      <c r="G646" s="467"/>
      <c r="H646" s="467"/>
      <c r="I646" s="467"/>
      <c r="J646" s="467" t="s">
        <v>1459</v>
      </c>
      <c r="K646" s="489"/>
      <c r="L646" s="467"/>
      <c r="M646" s="490"/>
      <c r="N646" s="491"/>
    </row>
    <row r="647" spans="1:14">
      <c r="A647" s="451">
        <f t="shared" si="10"/>
        <v>641</v>
      </c>
      <c r="B647" s="680"/>
      <c r="C647" s="462" t="s">
        <v>711</v>
      </c>
      <c r="D647" s="463"/>
      <c r="E647" s="464" t="s">
        <v>1996</v>
      </c>
      <c r="F647" s="470">
        <v>168846</v>
      </c>
      <c r="G647" s="467"/>
      <c r="H647" s="467"/>
      <c r="I647" s="467"/>
      <c r="J647" s="467" t="s">
        <v>1459</v>
      </c>
      <c r="K647" s="467"/>
      <c r="L647" s="467"/>
      <c r="M647" s="467"/>
      <c r="N647" s="469"/>
    </row>
    <row r="648" spans="1:14" ht="43.2">
      <c r="A648" s="451">
        <f t="shared" si="10"/>
        <v>642</v>
      </c>
      <c r="B648" s="680"/>
      <c r="C648" s="462" t="s">
        <v>713</v>
      </c>
      <c r="D648" s="463"/>
      <c r="E648" s="464" t="s">
        <v>1996</v>
      </c>
      <c r="F648" s="470">
        <v>255807</v>
      </c>
      <c r="G648" s="467"/>
      <c r="H648" s="467"/>
      <c r="I648" s="467"/>
      <c r="J648" s="467" t="s">
        <v>1459</v>
      </c>
      <c r="K648" s="467"/>
      <c r="L648" s="467"/>
      <c r="M648" s="467"/>
      <c r="N648" s="469"/>
    </row>
    <row r="649" spans="1:14">
      <c r="A649" s="451">
        <f t="shared" si="10"/>
        <v>643</v>
      </c>
      <c r="B649" s="680"/>
      <c r="C649" s="462" t="s">
        <v>715</v>
      </c>
      <c r="D649" s="463"/>
      <c r="E649" s="464" t="s">
        <v>1996</v>
      </c>
      <c r="F649" s="470">
        <v>73382</v>
      </c>
      <c r="G649" s="467"/>
      <c r="H649" s="467"/>
      <c r="I649" s="467"/>
      <c r="J649" s="467" t="s">
        <v>1459</v>
      </c>
      <c r="K649" s="467"/>
      <c r="L649" s="467"/>
      <c r="M649" s="467"/>
      <c r="N649" s="469"/>
    </row>
    <row r="650" spans="1:14">
      <c r="A650" s="451">
        <f t="shared" si="10"/>
        <v>644</v>
      </c>
      <c r="B650" s="680" t="s">
        <v>313</v>
      </c>
      <c r="C650" s="462" t="s">
        <v>1997</v>
      </c>
      <c r="D650" s="463" t="s">
        <v>1998</v>
      </c>
      <c r="E650" s="464" t="s">
        <v>11</v>
      </c>
      <c r="F650" s="470">
        <v>253710.27</v>
      </c>
      <c r="G650" s="467"/>
      <c r="H650" s="467"/>
      <c r="I650" s="467"/>
      <c r="J650" s="467" t="s">
        <v>1459</v>
      </c>
      <c r="K650" s="467"/>
      <c r="L650" s="467"/>
      <c r="M650" s="467"/>
      <c r="N650" s="469"/>
    </row>
    <row r="651" spans="1:14">
      <c r="A651" s="451">
        <f t="shared" si="10"/>
        <v>645</v>
      </c>
      <c r="B651" s="680"/>
      <c r="C651" s="462" t="s">
        <v>717</v>
      </c>
      <c r="D651" s="463"/>
      <c r="E651" s="464" t="s">
        <v>11</v>
      </c>
      <c r="F651" s="470">
        <v>66757</v>
      </c>
      <c r="G651" s="467"/>
      <c r="H651" s="467"/>
      <c r="I651" s="467"/>
      <c r="J651" s="467" t="s">
        <v>1459</v>
      </c>
      <c r="K651" s="467"/>
      <c r="L651" s="467"/>
      <c r="M651" s="467"/>
      <c r="N651" s="469"/>
    </row>
    <row r="652" spans="1:14" ht="28.8">
      <c r="A652" s="451">
        <f t="shared" si="10"/>
        <v>646</v>
      </c>
      <c r="B652" s="680"/>
      <c r="C652" s="462" t="s">
        <v>719</v>
      </c>
      <c r="D652" s="463"/>
      <c r="E652" s="464" t="s">
        <v>11</v>
      </c>
      <c r="F652" s="470">
        <v>202926</v>
      </c>
      <c r="G652" s="467"/>
      <c r="H652" s="467"/>
      <c r="I652" s="467"/>
      <c r="J652" s="467" t="s">
        <v>1459</v>
      </c>
      <c r="K652" s="467"/>
      <c r="L652" s="467"/>
      <c r="M652" s="467"/>
      <c r="N652" s="469"/>
    </row>
    <row r="653" spans="1:14">
      <c r="A653" s="451">
        <f t="shared" si="10"/>
        <v>647</v>
      </c>
      <c r="B653" s="680"/>
      <c r="C653" s="462" t="s">
        <v>721</v>
      </c>
      <c r="D653" s="463"/>
      <c r="E653" s="464" t="s">
        <v>36</v>
      </c>
      <c r="F653" s="470">
        <v>284658</v>
      </c>
      <c r="G653" s="467"/>
      <c r="H653" s="467"/>
      <c r="I653" s="467"/>
      <c r="J653" s="467" t="s">
        <v>1459</v>
      </c>
      <c r="K653" s="467"/>
      <c r="L653" s="467"/>
      <c r="M653" s="467"/>
      <c r="N653" s="469"/>
    </row>
    <row r="654" spans="1:14" ht="28.8">
      <c r="A654" s="451">
        <f t="shared" si="10"/>
        <v>648</v>
      </c>
      <c r="B654" s="680"/>
      <c r="C654" s="462" t="s">
        <v>723</v>
      </c>
      <c r="D654" s="463"/>
      <c r="E654" s="464" t="s">
        <v>11</v>
      </c>
      <c r="F654" s="470">
        <v>41178</v>
      </c>
      <c r="G654" s="467"/>
      <c r="H654" s="467"/>
      <c r="I654" s="467"/>
      <c r="J654" s="467" t="s">
        <v>1459</v>
      </c>
      <c r="K654" s="467"/>
      <c r="L654" s="467"/>
      <c r="M654" s="467"/>
      <c r="N654" s="469"/>
    </row>
    <row r="655" spans="1:14">
      <c r="A655" s="451">
        <f t="shared" si="10"/>
        <v>649</v>
      </c>
      <c r="B655" s="680"/>
      <c r="C655" s="462" t="s">
        <v>725</v>
      </c>
      <c r="D655" s="463"/>
      <c r="E655" s="464" t="s">
        <v>11</v>
      </c>
      <c r="F655" s="470">
        <v>180146</v>
      </c>
      <c r="G655" s="467"/>
      <c r="H655" s="467"/>
      <c r="I655" s="467"/>
      <c r="J655" s="467" t="s">
        <v>1459</v>
      </c>
      <c r="K655" s="467"/>
      <c r="L655" s="467"/>
      <c r="M655" s="467"/>
      <c r="N655" s="469"/>
    </row>
    <row r="656" spans="1:14">
      <c r="A656" s="451">
        <f t="shared" si="10"/>
        <v>650</v>
      </c>
      <c r="B656" s="680"/>
      <c r="C656" s="462" t="s">
        <v>727</v>
      </c>
      <c r="D656" s="463"/>
      <c r="E656" s="464" t="s">
        <v>11</v>
      </c>
      <c r="F656" s="470">
        <v>54362</v>
      </c>
      <c r="G656" s="467"/>
      <c r="H656" s="467"/>
      <c r="I656" s="467"/>
      <c r="J656" s="467" t="s">
        <v>1459</v>
      </c>
      <c r="K656" s="467"/>
      <c r="L656" s="467"/>
      <c r="M656" s="467"/>
      <c r="N656" s="469"/>
    </row>
    <row r="657" spans="1:14">
      <c r="A657" s="451">
        <f t="shared" si="10"/>
        <v>651</v>
      </c>
      <c r="B657" s="680"/>
      <c r="C657" s="462" t="s">
        <v>729</v>
      </c>
      <c r="D657" s="463"/>
      <c r="E657" s="464" t="s">
        <v>11</v>
      </c>
      <c r="F657" s="470">
        <v>100080</v>
      </c>
      <c r="G657" s="467"/>
      <c r="H657" s="467"/>
      <c r="I657" s="467"/>
      <c r="J657" s="467" t="s">
        <v>1459</v>
      </c>
      <c r="K657" s="467"/>
      <c r="L657" s="467"/>
      <c r="M657" s="467"/>
      <c r="N657" s="469"/>
    </row>
    <row r="658" spans="1:14">
      <c r="A658" s="451">
        <f t="shared" si="10"/>
        <v>652</v>
      </c>
      <c r="B658" s="680"/>
      <c r="C658" s="462" t="s">
        <v>731</v>
      </c>
      <c r="D658" s="463"/>
      <c r="E658" s="464" t="s">
        <v>11</v>
      </c>
      <c r="F658" s="470">
        <v>286574</v>
      </c>
      <c r="G658" s="467"/>
      <c r="H658" s="467"/>
      <c r="I658" s="467"/>
      <c r="J658" s="467" t="s">
        <v>1459</v>
      </c>
      <c r="K658" s="467"/>
      <c r="L658" s="467"/>
      <c r="M658" s="467"/>
      <c r="N658" s="469"/>
    </row>
    <row r="659" spans="1:14">
      <c r="A659" s="451">
        <f t="shared" si="10"/>
        <v>653</v>
      </c>
      <c r="B659" s="680"/>
      <c r="C659" s="462" t="s">
        <v>733</v>
      </c>
      <c r="D659" s="463"/>
      <c r="E659" s="464" t="s">
        <v>11</v>
      </c>
      <c r="F659" s="470">
        <v>248109</v>
      </c>
      <c r="G659" s="467"/>
      <c r="H659" s="467"/>
      <c r="I659" s="467"/>
      <c r="J659" s="467" t="s">
        <v>1459</v>
      </c>
      <c r="K659" s="467"/>
      <c r="L659" s="467"/>
      <c r="M659" s="467"/>
      <c r="N659" s="469"/>
    </row>
    <row r="660" spans="1:14">
      <c r="A660" s="451">
        <f t="shared" ref="A660:A723" si="11">A659+1</f>
        <v>654</v>
      </c>
      <c r="B660" s="680"/>
      <c r="C660" s="462" t="s">
        <v>735</v>
      </c>
      <c r="D660" s="463"/>
      <c r="E660" s="464" t="s">
        <v>11</v>
      </c>
      <c r="F660" s="470">
        <v>197602</v>
      </c>
      <c r="G660" s="467"/>
      <c r="H660" s="467"/>
      <c r="I660" s="467"/>
      <c r="J660" s="467" t="s">
        <v>1459</v>
      </c>
      <c r="K660" s="467"/>
      <c r="L660" s="467"/>
      <c r="M660" s="467"/>
      <c r="N660" s="469"/>
    </row>
    <row r="661" spans="1:14" ht="28.8">
      <c r="A661" s="451">
        <f t="shared" si="11"/>
        <v>655</v>
      </c>
      <c r="B661" s="680"/>
      <c r="C661" s="462" t="s">
        <v>737</v>
      </c>
      <c r="D661" s="463"/>
      <c r="E661" s="464" t="s">
        <v>11</v>
      </c>
      <c r="F661" s="470">
        <v>16044</v>
      </c>
      <c r="G661" s="467"/>
      <c r="H661" s="467"/>
      <c r="I661" s="467"/>
      <c r="J661" s="467" t="s">
        <v>1459</v>
      </c>
      <c r="K661" s="467"/>
      <c r="L661" s="467"/>
      <c r="M661" s="467"/>
      <c r="N661" s="469"/>
    </row>
    <row r="662" spans="1:14">
      <c r="A662" s="451">
        <f t="shared" si="11"/>
        <v>656</v>
      </c>
      <c r="B662" s="680"/>
      <c r="C662" s="462" t="s">
        <v>739</v>
      </c>
      <c r="D662" s="463"/>
      <c r="E662" s="464" t="s">
        <v>11</v>
      </c>
      <c r="F662" s="470">
        <v>50349</v>
      </c>
      <c r="G662" s="467"/>
      <c r="H662" s="467"/>
      <c r="I662" s="467"/>
      <c r="J662" s="467" t="s">
        <v>1459</v>
      </c>
      <c r="K662" s="467"/>
      <c r="L662" s="467"/>
      <c r="M662" s="467"/>
      <c r="N662" s="469"/>
    </row>
    <row r="663" spans="1:14">
      <c r="A663" s="451">
        <f t="shared" si="11"/>
        <v>657</v>
      </c>
      <c r="B663" s="680"/>
      <c r="C663" s="462" t="s">
        <v>741</v>
      </c>
      <c r="D663" s="463"/>
      <c r="E663" s="464" t="s">
        <v>11</v>
      </c>
      <c r="F663" s="470">
        <v>73810</v>
      </c>
      <c r="G663" s="467"/>
      <c r="H663" s="467"/>
      <c r="I663" s="467"/>
      <c r="J663" s="467" t="s">
        <v>1459</v>
      </c>
      <c r="K663" s="467"/>
      <c r="L663" s="467"/>
      <c r="M663" s="467"/>
      <c r="N663" s="469"/>
    </row>
    <row r="664" spans="1:14">
      <c r="A664" s="451">
        <f t="shared" si="11"/>
        <v>658</v>
      </c>
      <c r="B664" s="680"/>
      <c r="C664" s="462" t="s">
        <v>480</v>
      </c>
      <c r="D664" s="463" t="s">
        <v>1988</v>
      </c>
      <c r="E664" s="464" t="s">
        <v>36</v>
      </c>
      <c r="F664" s="470">
        <v>98534</v>
      </c>
      <c r="G664" s="467"/>
      <c r="H664" s="467"/>
      <c r="I664" s="467"/>
      <c r="J664" s="467" t="s">
        <v>1459</v>
      </c>
      <c r="K664" s="467"/>
      <c r="L664" s="467"/>
      <c r="M664" s="467"/>
      <c r="N664" s="469"/>
    </row>
    <row r="665" spans="1:14">
      <c r="A665" s="451">
        <f t="shared" si="11"/>
        <v>659</v>
      </c>
      <c r="B665" s="680"/>
      <c r="C665" s="462" t="s">
        <v>743</v>
      </c>
      <c r="D665" s="463"/>
      <c r="E665" s="464" t="s">
        <v>36</v>
      </c>
      <c r="F665" s="470">
        <v>593805</v>
      </c>
      <c r="G665" s="467"/>
      <c r="H665" s="467"/>
      <c r="I665" s="467"/>
      <c r="J665" s="467" t="s">
        <v>1459</v>
      </c>
      <c r="K665" s="467"/>
      <c r="L665" s="467"/>
      <c r="M665" s="467"/>
      <c r="N665" s="469"/>
    </row>
    <row r="666" spans="1:14">
      <c r="A666" s="451">
        <f t="shared" si="11"/>
        <v>660</v>
      </c>
      <c r="B666" s="680"/>
      <c r="C666" s="462" t="s">
        <v>745</v>
      </c>
      <c r="D666" s="463"/>
      <c r="E666" s="464" t="s">
        <v>36</v>
      </c>
      <c r="F666" s="470">
        <v>46350</v>
      </c>
      <c r="G666" s="467"/>
      <c r="H666" s="467"/>
      <c r="I666" s="467"/>
      <c r="J666" s="467" t="s">
        <v>1459</v>
      </c>
      <c r="K666" s="467"/>
      <c r="L666" s="467"/>
      <c r="M666" s="467"/>
      <c r="N666" s="469"/>
    </row>
    <row r="667" spans="1:14">
      <c r="A667" s="451">
        <f t="shared" si="11"/>
        <v>661</v>
      </c>
      <c r="B667" s="680"/>
      <c r="C667" s="462" t="s">
        <v>747</v>
      </c>
      <c r="D667" s="463"/>
      <c r="E667" s="464" t="s">
        <v>11</v>
      </c>
      <c r="F667" s="470">
        <v>203657</v>
      </c>
      <c r="G667" s="467"/>
      <c r="H667" s="467"/>
      <c r="I667" s="467"/>
      <c r="J667" s="467" t="s">
        <v>1459</v>
      </c>
      <c r="K667" s="467"/>
      <c r="L667" s="467"/>
      <c r="M667" s="467"/>
      <c r="N667" s="469"/>
    </row>
    <row r="668" spans="1:14">
      <c r="A668" s="451">
        <f t="shared" si="11"/>
        <v>662</v>
      </c>
      <c r="B668" s="680"/>
      <c r="C668" s="462" t="s">
        <v>482</v>
      </c>
      <c r="D668" s="463" t="s">
        <v>1999</v>
      </c>
      <c r="E668" s="464" t="s">
        <v>11</v>
      </c>
      <c r="F668" s="470">
        <v>10832</v>
      </c>
      <c r="G668" s="467"/>
      <c r="H668" s="467"/>
      <c r="I668" s="467"/>
      <c r="J668" s="467" t="s">
        <v>1459</v>
      </c>
      <c r="K668" s="467"/>
      <c r="L668" s="467"/>
      <c r="M668" s="467"/>
      <c r="N668" s="469"/>
    </row>
    <row r="669" spans="1:14">
      <c r="A669" s="451">
        <f t="shared" si="11"/>
        <v>663</v>
      </c>
      <c r="B669" s="680"/>
      <c r="C669" s="462" t="s">
        <v>749</v>
      </c>
      <c r="D669" s="463"/>
      <c r="E669" s="464" t="s">
        <v>11</v>
      </c>
      <c r="F669" s="470">
        <v>119734</v>
      </c>
      <c r="G669" s="467"/>
      <c r="H669" s="467"/>
      <c r="I669" s="467"/>
      <c r="J669" s="467" t="s">
        <v>1459</v>
      </c>
      <c r="K669" s="467"/>
      <c r="L669" s="467"/>
      <c r="M669" s="467"/>
      <c r="N669" s="469"/>
    </row>
    <row r="670" spans="1:14">
      <c r="A670" s="451">
        <f t="shared" si="11"/>
        <v>664</v>
      </c>
      <c r="B670" s="680"/>
      <c r="C670" s="462" t="s">
        <v>751</v>
      </c>
      <c r="D670" s="463"/>
      <c r="E670" s="464" t="s">
        <v>11</v>
      </c>
      <c r="F670" s="470">
        <v>98042</v>
      </c>
      <c r="G670" s="467"/>
      <c r="H670" s="467"/>
      <c r="I670" s="467"/>
      <c r="J670" s="467" t="s">
        <v>1459</v>
      </c>
      <c r="K670" s="467"/>
      <c r="L670" s="467"/>
      <c r="M670" s="467"/>
      <c r="N670" s="469"/>
    </row>
    <row r="671" spans="1:14">
      <c r="A671" s="451">
        <f t="shared" si="11"/>
        <v>665</v>
      </c>
      <c r="B671" s="680"/>
      <c r="C671" s="462" t="s">
        <v>753</v>
      </c>
      <c r="D671" s="463" t="s">
        <v>2000</v>
      </c>
      <c r="E671" s="464" t="s">
        <v>36</v>
      </c>
      <c r="F671" s="470">
        <v>22896</v>
      </c>
      <c r="G671" s="467"/>
      <c r="H671" s="467"/>
      <c r="I671" s="467"/>
      <c r="J671" s="467" t="s">
        <v>1459</v>
      </c>
      <c r="K671" s="467"/>
      <c r="L671" s="467"/>
      <c r="M671" s="467"/>
      <c r="N671" s="469"/>
    </row>
    <row r="672" spans="1:14">
      <c r="A672" s="451">
        <f t="shared" si="11"/>
        <v>666</v>
      </c>
      <c r="B672" s="680"/>
      <c r="C672" s="462" t="s">
        <v>755</v>
      </c>
      <c r="D672" s="463"/>
      <c r="E672" s="464" t="s">
        <v>36</v>
      </c>
      <c r="F672" s="470">
        <v>135796</v>
      </c>
      <c r="G672" s="467"/>
      <c r="H672" s="467"/>
      <c r="I672" s="467"/>
      <c r="J672" s="467" t="s">
        <v>1459</v>
      </c>
      <c r="K672" s="467"/>
      <c r="L672" s="467"/>
      <c r="M672" s="467"/>
      <c r="N672" s="469"/>
    </row>
    <row r="673" spans="1:14">
      <c r="A673" s="451">
        <f t="shared" si="11"/>
        <v>667</v>
      </c>
      <c r="B673" s="680"/>
      <c r="C673" s="462" t="s">
        <v>757</v>
      </c>
      <c r="D673" s="463"/>
      <c r="E673" s="464" t="s">
        <v>36</v>
      </c>
      <c r="F673" s="470">
        <v>44738</v>
      </c>
      <c r="G673" s="467"/>
      <c r="H673" s="467"/>
      <c r="I673" s="467"/>
      <c r="J673" s="467" t="s">
        <v>1459</v>
      </c>
      <c r="K673" s="467"/>
      <c r="L673" s="467"/>
      <c r="M673" s="467"/>
      <c r="N673" s="469"/>
    </row>
    <row r="674" spans="1:14">
      <c r="A674" s="451">
        <f t="shared" si="11"/>
        <v>668</v>
      </c>
      <c r="B674" s="680"/>
      <c r="C674" s="462" t="s">
        <v>759</v>
      </c>
      <c r="D674" s="463"/>
      <c r="E674" s="464" t="s">
        <v>11</v>
      </c>
      <c r="F674" s="470">
        <v>155533</v>
      </c>
      <c r="G674" s="467"/>
      <c r="H674" s="467"/>
      <c r="I674" s="467"/>
      <c r="J674" s="467" t="s">
        <v>1459</v>
      </c>
      <c r="K674" s="467"/>
      <c r="L674" s="467"/>
      <c r="M674" s="467"/>
      <c r="N674" s="469"/>
    </row>
    <row r="675" spans="1:14">
      <c r="A675" s="451">
        <f t="shared" si="11"/>
        <v>669</v>
      </c>
      <c r="B675" s="680"/>
      <c r="C675" s="462" t="s">
        <v>761</v>
      </c>
      <c r="D675" s="463"/>
      <c r="E675" s="464" t="s">
        <v>11</v>
      </c>
      <c r="F675" s="470">
        <v>141441</v>
      </c>
      <c r="G675" s="467"/>
      <c r="H675" s="467"/>
      <c r="I675" s="467"/>
      <c r="J675" s="467" t="s">
        <v>1459</v>
      </c>
      <c r="K675" s="467"/>
      <c r="L675" s="467"/>
      <c r="M675" s="467"/>
      <c r="N675" s="469"/>
    </row>
    <row r="676" spans="1:14">
      <c r="A676" s="451">
        <f t="shared" si="11"/>
        <v>670</v>
      </c>
      <c r="B676" s="680"/>
      <c r="C676" s="462" t="s">
        <v>763</v>
      </c>
      <c r="D676" s="463"/>
      <c r="E676" s="464" t="s">
        <v>11</v>
      </c>
      <c r="F676" s="470">
        <v>502619</v>
      </c>
      <c r="G676" s="467"/>
      <c r="H676" s="467"/>
      <c r="I676" s="467"/>
      <c r="J676" s="467" t="s">
        <v>1459</v>
      </c>
      <c r="K676" s="467"/>
      <c r="L676" s="467"/>
      <c r="M676" s="467"/>
      <c r="N676" s="469"/>
    </row>
    <row r="677" spans="1:14">
      <c r="A677" s="451">
        <f t="shared" si="11"/>
        <v>671</v>
      </c>
      <c r="B677" s="680"/>
      <c r="C677" s="462" t="s">
        <v>765</v>
      </c>
      <c r="D677" s="463"/>
      <c r="E677" s="464" t="s">
        <v>36</v>
      </c>
      <c r="F677" s="470">
        <v>60705</v>
      </c>
      <c r="G677" s="467"/>
      <c r="H677" s="467"/>
      <c r="I677" s="467"/>
      <c r="J677" s="467" t="s">
        <v>1459</v>
      </c>
      <c r="K677" s="467"/>
      <c r="L677" s="467"/>
      <c r="M677" s="467"/>
      <c r="N677" s="469"/>
    </row>
    <row r="678" spans="1:14">
      <c r="A678" s="451">
        <f t="shared" si="11"/>
        <v>672</v>
      </c>
      <c r="B678" s="680"/>
      <c r="C678" s="462" t="s">
        <v>767</v>
      </c>
      <c r="D678" s="463"/>
      <c r="E678" s="464" t="s">
        <v>11</v>
      </c>
      <c r="F678" s="470">
        <v>31609</v>
      </c>
      <c r="G678" s="467"/>
      <c r="H678" s="467"/>
      <c r="I678" s="467"/>
      <c r="J678" s="467" t="s">
        <v>1459</v>
      </c>
      <c r="K678" s="467"/>
      <c r="L678" s="467"/>
      <c r="M678" s="467"/>
      <c r="N678" s="469"/>
    </row>
    <row r="679" spans="1:14">
      <c r="A679" s="451">
        <f t="shared" si="11"/>
        <v>673</v>
      </c>
      <c r="B679" s="680"/>
      <c r="C679" s="462" t="s">
        <v>769</v>
      </c>
      <c r="D679" s="463"/>
      <c r="E679" s="464" t="s">
        <v>11</v>
      </c>
      <c r="F679" s="470">
        <v>168896</v>
      </c>
      <c r="G679" s="467"/>
      <c r="H679" s="467"/>
      <c r="I679" s="467"/>
      <c r="J679" s="467" t="s">
        <v>1459</v>
      </c>
      <c r="K679" s="467"/>
      <c r="L679" s="467"/>
      <c r="M679" s="467"/>
      <c r="N679" s="469"/>
    </row>
    <row r="680" spans="1:14">
      <c r="A680" s="451">
        <f t="shared" si="11"/>
        <v>674</v>
      </c>
      <c r="B680" s="680"/>
      <c r="C680" s="462" t="s">
        <v>771</v>
      </c>
      <c r="D680" s="463"/>
      <c r="E680" s="464" t="s">
        <v>11</v>
      </c>
      <c r="F680" s="470">
        <v>136058</v>
      </c>
      <c r="G680" s="467"/>
      <c r="H680" s="467"/>
      <c r="I680" s="467"/>
      <c r="J680" s="467" t="s">
        <v>1459</v>
      </c>
      <c r="K680" s="467"/>
      <c r="L680" s="467"/>
      <c r="M680" s="467"/>
      <c r="N680" s="469"/>
    </row>
    <row r="681" spans="1:14">
      <c r="A681" s="451">
        <f t="shared" si="11"/>
        <v>675</v>
      </c>
      <c r="B681" s="680"/>
      <c r="C681" s="462" t="s">
        <v>773</v>
      </c>
      <c r="D681" s="463"/>
      <c r="E681" s="464" t="s">
        <v>11</v>
      </c>
      <c r="F681" s="470">
        <v>255683</v>
      </c>
      <c r="G681" s="467"/>
      <c r="H681" s="467"/>
      <c r="I681" s="467"/>
      <c r="J681" s="467" t="s">
        <v>1459</v>
      </c>
      <c r="K681" s="467"/>
      <c r="L681" s="467"/>
      <c r="M681" s="467"/>
      <c r="N681" s="469"/>
    </row>
    <row r="682" spans="1:14">
      <c r="A682" s="451">
        <f t="shared" si="11"/>
        <v>676</v>
      </c>
      <c r="B682" s="680"/>
      <c r="C682" s="462" t="s">
        <v>775</v>
      </c>
      <c r="D682" s="463"/>
      <c r="E682" s="464" t="s">
        <v>36</v>
      </c>
      <c r="F682" s="470">
        <v>317560</v>
      </c>
      <c r="G682" s="467"/>
      <c r="H682" s="467"/>
      <c r="I682" s="467"/>
      <c r="J682" s="467" t="s">
        <v>1459</v>
      </c>
      <c r="K682" s="467"/>
      <c r="L682" s="467"/>
      <c r="M682" s="467"/>
      <c r="N682" s="469"/>
    </row>
    <row r="683" spans="1:14">
      <c r="A683" s="451">
        <f t="shared" si="11"/>
        <v>677</v>
      </c>
      <c r="B683" s="680"/>
      <c r="C683" s="462" t="s">
        <v>777</v>
      </c>
      <c r="D683" s="463"/>
      <c r="E683" s="464" t="s">
        <v>11</v>
      </c>
      <c r="F683" s="470">
        <v>515637</v>
      </c>
      <c r="G683" s="467"/>
      <c r="H683" s="467"/>
      <c r="I683" s="467"/>
      <c r="J683" s="467" t="s">
        <v>1459</v>
      </c>
      <c r="K683" s="467"/>
      <c r="L683" s="467"/>
      <c r="M683" s="467"/>
      <c r="N683" s="469"/>
    </row>
    <row r="684" spans="1:14">
      <c r="A684" s="451">
        <f t="shared" si="11"/>
        <v>678</v>
      </c>
      <c r="B684" s="680"/>
      <c r="C684" s="462" t="s">
        <v>779</v>
      </c>
      <c r="D684" s="463"/>
      <c r="E684" s="464" t="s">
        <v>11</v>
      </c>
      <c r="F684" s="470">
        <v>431481</v>
      </c>
      <c r="G684" s="467"/>
      <c r="H684" s="467"/>
      <c r="I684" s="467"/>
      <c r="J684" s="467" t="s">
        <v>1459</v>
      </c>
      <c r="K684" s="467"/>
      <c r="L684" s="467"/>
      <c r="M684" s="467"/>
      <c r="N684" s="469"/>
    </row>
    <row r="685" spans="1:14">
      <c r="A685" s="451">
        <f t="shared" si="11"/>
        <v>679</v>
      </c>
      <c r="B685" s="680"/>
      <c r="C685" s="462" t="s">
        <v>781</v>
      </c>
      <c r="D685" s="463"/>
      <c r="E685" s="464" t="s">
        <v>11</v>
      </c>
      <c r="F685" s="470">
        <v>32611</v>
      </c>
      <c r="G685" s="467"/>
      <c r="H685" s="467"/>
      <c r="I685" s="467"/>
      <c r="J685" s="467" t="s">
        <v>1459</v>
      </c>
      <c r="K685" s="467"/>
      <c r="L685" s="467"/>
      <c r="M685" s="467"/>
      <c r="N685" s="469"/>
    </row>
    <row r="686" spans="1:14">
      <c r="A686" s="451">
        <f t="shared" si="11"/>
        <v>680</v>
      </c>
      <c r="B686" s="680"/>
      <c r="C686" s="462" t="s">
        <v>783</v>
      </c>
      <c r="D686" s="463"/>
      <c r="E686" s="464" t="s">
        <v>11</v>
      </c>
      <c r="F686" s="470">
        <v>53232</v>
      </c>
      <c r="G686" s="467"/>
      <c r="H686" s="467"/>
      <c r="I686" s="467"/>
      <c r="J686" s="467" t="s">
        <v>1459</v>
      </c>
      <c r="K686" s="467"/>
      <c r="L686" s="467"/>
      <c r="M686" s="467"/>
      <c r="N686" s="469"/>
    </row>
    <row r="687" spans="1:14" ht="28.8">
      <c r="A687" s="451">
        <f t="shared" si="11"/>
        <v>681</v>
      </c>
      <c r="B687" s="680"/>
      <c r="C687" s="462" t="s">
        <v>784</v>
      </c>
      <c r="D687" s="463"/>
      <c r="E687" s="464" t="s">
        <v>11</v>
      </c>
      <c r="F687" s="470">
        <v>228663</v>
      </c>
      <c r="G687" s="467"/>
      <c r="H687" s="467"/>
      <c r="I687" s="467"/>
      <c r="J687" s="467" t="s">
        <v>1459</v>
      </c>
      <c r="K687" s="467"/>
      <c r="L687" s="467"/>
      <c r="M687" s="467"/>
      <c r="N687" s="469"/>
    </row>
    <row r="688" spans="1:14" ht="28.8">
      <c r="A688" s="451">
        <f t="shared" si="11"/>
        <v>682</v>
      </c>
      <c r="B688" s="680"/>
      <c r="C688" s="462" t="s">
        <v>786</v>
      </c>
      <c r="D688" s="463"/>
      <c r="E688" s="464" t="s">
        <v>11</v>
      </c>
      <c r="F688" s="470">
        <v>36678</v>
      </c>
      <c r="G688" s="467"/>
      <c r="H688" s="467"/>
      <c r="I688" s="467"/>
      <c r="J688" s="467" t="s">
        <v>1459</v>
      </c>
      <c r="K688" s="467"/>
      <c r="L688" s="467"/>
      <c r="M688" s="467"/>
      <c r="N688" s="469"/>
    </row>
    <row r="689" spans="1:14">
      <c r="A689" s="451">
        <f t="shared" si="11"/>
        <v>683</v>
      </c>
      <c r="B689" s="680"/>
      <c r="C689" s="462" t="s">
        <v>788</v>
      </c>
      <c r="D689" s="463"/>
      <c r="E689" s="464" t="s">
        <v>11</v>
      </c>
      <c r="F689" s="470">
        <v>125517</v>
      </c>
      <c r="G689" s="467"/>
      <c r="H689" s="467"/>
      <c r="I689" s="467"/>
      <c r="J689" s="467" t="s">
        <v>1459</v>
      </c>
      <c r="K689" s="467"/>
      <c r="L689" s="467"/>
      <c r="M689" s="467"/>
      <c r="N689" s="469"/>
    </row>
    <row r="690" spans="1:14">
      <c r="A690" s="451">
        <f t="shared" si="11"/>
        <v>684</v>
      </c>
      <c r="B690" s="680"/>
      <c r="C690" s="462" t="s">
        <v>484</v>
      </c>
      <c r="D690" s="463" t="s">
        <v>2001</v>
      </c>
      <c r="E690" s="464" t="s">
        <v>11</v>
      </c>
      <c r="F690" s="470">
        <v>29969</v>
      </c>
      <c r="G690" s="467"/>
      <c r="H690" s="467"/>
      <c r="I690" s="467"/>
      <c r="J690" s="467" t="s">
        <v>1459</v>
      </c>
      <c r="K690" s="467"/>
      <c r="L690" s="467"/>
      <c r="M690" s="467"/>
      <c r="N690" s="469"/>
    </row>
    <row r="691" spans="1:14">
      <c r="A691" s="451">
        <f t="shared" si="11"/>
        <v>685</v>
      </c>
      <c r="B691" s="680"/>
      <c r="C691" s="462" t="s">
        <v>486</v>
      </c>
      <c r="D691" s="463" t="s">
        <v>1988</v>
      </c>
      <c r="E691" s="464" t="s">
        <v>36</v>
      </c>
      <c r="F691" s="470">
        <v>340848</v>
      </c>
      <c r="G691" s="467"/>
      <c r="H691" s="467"/>
      <c r="I691" s="467"/>
      <c r="J691" s="467" t="s">
        <v>1459</v>
      </c>
      <c r="K691" s="467"/>
      <c r="L691" s="467"/>
      <c r="M691" s="467"/>
      <c r="N691" s="469"/>
    </row>
    <row r="692" spans="1:14">
      <c r="A692" s="451">
        <f t="shared" si="11"/>
        <v>686</v>
      </c>
      <c r="B692" s="680"/>
      <c r="C692" s="462" t="s">
        <v>790</v>
      </c>
      <c r="D692" s="463"/>
      <c r="E692" s="464" t="s">
        <v>36</v>
      </c>
      <c r="F692" s="470">
        <v>534098</v>
      </c>
      <c r="G692" s="467"/>
      <c r="H692" s="467"/>
      <c r="I692" s="467"/>
      <c r="J692" s="467" t="s">
        <v>1459</v>
      </c>
      <c r="K692" s="467"/>
      <c r="L692" s="467"/>
      <c r="M692" s="467"/>
      <c r="N692" s="469"/>
    </row>
    <row r="693" spans="1:14">
      <c r="A693" s="451">
        <f t="shared" si="11"/>
        <v>687</v>
      </c>
      <c r="B693" s="680" t="s">
        <v>349</v>
      </c>
      <c r="C693" s="462" t="s">
        <v>2002</v>
      </c>
      <c r="D693" s="463" t="s">
        <v>2003</v>
      </c>
      <c r="E693" s="464" t="s">
        <v>11</v>
      </c>
      <c r="F693" s="470">
        <v>19476</v>
      </c>
      <c r="G693" s="467"/>
      <c r="H693" s="467"/>
      <c r="I693" s="467"/>
      <c r="J693" s="467" t="s">
        <v>1459</v>
      </c>
      <c r="K693" s="467"/>
      <c r="L693" s="467"/>
      <c r="M693" s="467"/>
      <c r="N693" s="469"/>
    </row>
    <row r="694" spans="1:14">
      <c r="A694" s="451">
        <f t="shared" si="11"/>
        <v>688</v>
      </c>
      <c r="B694" s="680"/>
      <c r="C694" s="462" t="s">
        <v>792</v>
      </c>
      <c r="D694" s="463"/>
      <c r="E694" s="464" t="s">
        <v>11</v>
      </c>
      <c r="F694" s="470">
        <v>47088</v>
      </c>
      <c r="G694" s="467"/>
      <c r="H694" s="467"/>
      <c r="I694" s="467"/>
      <c r="J694" s="467" t="s">
        <v>1459</v>
      </c>
      <c r="K694" s="467"/>
      <c r="L694" s="467"/>
      <c r="M694" s="467"/>
      <c r="N694" s="469"/>
    </row>
    <row r="695" spans="1:14">
      <c r="A695" s="451">
        <f t="shared" si="11"/>
        <v>689</v>
      </c>
      <c r="B695" s="680"/>
      <c r="C695" s="462" t="s">
        <v>794</v>
      </c>
      <c r="D695" s="463"/>
      <c r="E695" s="464" t="s">
        <v>11</v>
      </c>
      <c r="F695" s="470">
        <v>116254</v>
      </c>
      <c r="G695" s="467"/>
      <c r="H695" s="467"/>
      <c r="I695" s="467"/>
      <c r="J695" s="467" t="s">
        <v>1459</v>
      </c>
      <c r="K695" s="467"/>
      <c r="L695" s="467"/>
      <c r="M695" s="467"/>
      <c r="N695" s="469"/>
    </row>
    <row r="696" spans="1:14">
      <c r="A696" s="451">
        <f t="shared" si="11"/>
        <v>690</v>
      </c>
      <c r="B696" s="680"/>
      <c r="C696" s="462" t="s">
        <v>796</v>
      </c>
      <c r="D696" s="463"/>
      <c r="E696" s="464" t="s">
        <v>11</v>
      </c>
      <c r="F696" s="470">
        <v>202330</v>
      </c>
      <c r="G696" s="467"/>
      <c r="H696" s="467"/>
      <c r="I696" s="467"/>
      <c r="J696" s="467" t="s">
        <v>1459</v>
      </c>
      <c r="K696" s="467"/>
      <c r="L696" s="467"/>
      <c r="M696" s="467"/>
      <c r="N696" s="469"/>
    </row>
    <row r="697" spans="1:14">
      <c r="A697" s="451">
        <f t="shared" si="11"/>
        <v>691</v>
      </c>
      <c r="B697" s="680"/>
      <c r="C697" s="462" t="s">
        <v>798</v>
      </c>
      <c r="D697" s="463"/>
      <c r="E697" s="464" t="s">
        <v>11</v>
      </c>
      <c r="F697" s="470">
        <v>132289</v>
      </c>
      <c r="G697" s="467"/>
      <c r="H697" s="467"/>
      <c r="I697" s="467"/>
      <c r="J697" s="467" t="s">
        <v>1459</v>
      </c>
      <c r="K697" s="467"/>
      <c r="L697" s="467"/>
      <c r="M697" s="467"/>
      <c r="N697" s="469"/>
    </row>
    <row r="698" spans="1:14">
      <c r="A698" s="451">
        <f t="shared" si="11"/>
        <v>692</v>
      </c>
      <c r="B698" s="680"/>
      <c r="C698" s="462" t="s">
        <v>800</v>
      </c>
      <c r="D698" s="463"/>
      <c r="E698" s="464" t="s">
        <v>11</v>
      </c>
      <c r="F698" s="470">
        <v>347511</v>
      </c>
      <c r="G698" s="467"/>
      <c r="H698" s="467"/>
      <c r="I698" s="467"/>
      <c r="J698" s="467" t="s">
        <v>1459</v>
      </c>
      <c r="K698" s="467"/>
      <c r="L698" s="467"/>
      <c r="M698" s="467"/>
      <c r="N698" s="469"/>
    </row>
    <row r="699" spans="1:14">
      <c r="A699" s="451">
        <f t="shared" si="11"/>
        <v>693</v>
      </c>
      <c r="B699" s="680"/>
      <c r="C699" s="462" t="s">
        <v>2004</v>
      </c>
      <c r="D699" s="463"/>
      <c r="E699" s="464" t="s">
        <v>11</v>
      </c>
      <c r="F699" s="470">
        <v>205485</v>
      </c>
      <c r="G699" s="467"/>
      <c r="H699" s="467"/>
      <c r="I699" s="467"/>
      <c r="J699" s="467" t="s">
        <v>1459</v>
      </c>
      <c r="K699" s="467"/>
      <c r="L699" s="467"/>
      <c r="M699" s="467"/>
      <c r="N699" s="469"/>
    </row>
    <row r="700" spans="1:14">
      <c r="A700" s="451">
        <f t="shared" si="11"/>
        <v>694</v>
      </c>
      <c r="B700" s="680"/>
      <c r="C700" s="462" t="s">
        <v>802</v>
      </c>
      <c r="D700" s="463"/>
      <c r="E700" s="464" t="s">
        <v>11</v>
      </c>
      <c r="F700" s="470">
        <v>86970</v>
      </c>
      <c r="G700" s="467"/>
      <c r="H700" s="467"/>
      <c r="I700" s="467"/>
      <c r="J700" s="467" t="s">
        <v>1459</v>
      </c>
      <c r="K700" s="467"/>
      <c r="L700" s="467"/>
      <c r="M700" s="467"/>
      <c r="N700" s="469"/>
    </row>
    <row r="701" spans="1:14">
      <c r="A701" s="451">
        <f t="shared" si="11"/>
        <v>695</v>
      </c>
      <c r="B701" s="680"/>
      <c r="C701" s="462" t="s">
        <v>804</v>
      </c>
      <c r="D701" s="463"/>
      <c r="E701" s="464" t="s">
        <v>11</v>
      </c>
      <c r="F701" s="470">
        <v>169157</v>
      </c>
      <c r="G701" s="467"/>
      <c r="H701" s="467"/>
      <c r="I701" s="467"/>
      <c r="J701" s="467" t="s">
        <v>1459</v>
      </c>
      <c r="K701" s="467"/>
      <c r="L701" s="467"/>
      <c r="M701" s="467"/>
      <c r="N701" s="469"/>
    </row>
    <row r="702" spans="1:14" ht="28.8">
      <c r="A702" s="451">
        <f t="shared" si="11"/>
        <v>696</v>
      </c>
      <c r="B702" s="680"/>
      <c r="C702" s="462" t="s">
        <v>806</v>
      </c>
      <c r="D702" s="463"/>
      <c r="E702" s="464" t="s">
        <v>11</v>
      </c>
      <c r="F702" s="470">
        <v>86281</v>
      </c>
      <c r="G702" s="467"/>
      <c r="H702" s="467"/>
      <c r="I702" s="467"/>
      <c r="J702" s="467" t="s">
        <v>1459</v>
      </c>
      <c r="K702" s="467"/>
      <c r="L702" s="467"/>
      <c r="M702" s="467"/>
      <c r="N702" s="469"/>
    </row>
    <row r="703" spans="1:14">
      <c r="A703" s="451">
        <f t="shared" si="11"/>
        <v>697</v>
      </c>
      <c r="B703" s="680"/>
      <c r="C703" s="462" t="s">
        <v>808</v>
      </c>
      <c r="D703" s="463"/>
      <c r="E703" s="464" t="s">
        <v>11</v>
      </c>
      <c r="F703" s="470">
        <v>145547</v>
      </c>
      <c r="G703" s="467"/>
      <c r="H703" s="467"/>
      <c r="I703" s="467"/>
      <c r="J703" s="467" t="s">
        <v>1459</v>
      </c>
      <c r="K703" s="467"/>
      <c r="L703" s="467"/>
      <c r="M703" s="467"/>
      <c r="N703" s="469"/>
    </row>
    <row r="704" spans="1:14">
      <c r="A704" s="451">
        <f t="shared" si="11"/>
        <v>698</v>
      </c>
      <c r="B704" s="680"/>
      <c r="C704" s="462" t="s">
        <v>810</v>
      </c>
      <c r="D704" s="463"/>
      <c r="E704" s="464" t="s">
        <v>11</v>
      </c>
      <c r="F704" s="470">
        <v>388794</v>
      </c>
      <c r="G704" s="467"/>
      <c r="H704" s="467"/>
      <c r="I704" s="467"/>
      <c r="J704" s="467" t="s">
        <v>1459</v>
      </c>
      <c r="K704" s="467"/>
      <c r="L704" s="467"/>
      <c r="M704" s="467"/>
      <c r="N704" s="469"/>
    </row>
    <row r="705" spans="1:14">
      <c r="A705" s="451">
        <f t="shared" si="11"/>
        <v>699</v>
      </c>
      <c r="B705" s="680"/>
      <c r="C705" s="462" t="s">
        <v>812</v>
      </c>
      <c r="D705" s="463"/>
      <c r="E705" s="464" t="s">
        <v>11</v>
      </c>
      <c r="F705" s="470">
        <v>247341</v>
      </c>
      <c r="G705" s="467"/>
      <c r="H705" s="467"/>
      <c r="I705" s="467"/>
      <c r="J705" s="467" t="s">
        <v>1459</v>
      </c>
      <c r="K705" s="467"/>
      <c r="L705" s="467"/>
      <c r="M705" s="467"/>
      <c r="N705" s="469"/>
    </row>
    <row r="706" spans="1:14">
      <c r="A706" s="451">
        <f t="shared" si="11"/>
        <v>700</v>
      </c>
      <c r="B706" s="680"/>
      <c r="C706" s="462" t="s">
        <v>814</v>
      </c>
      <c r="D706" s="463"/>
      <c r="E706" s="464" t="s">
        <v>11</v>
      </c>
      <c r="F706" s="470">
        <v>29362</v>
      </c>
      <c r="G706" s="467"/>
      <c r="H706" s="467"/>
      <c r="I706" s="467"/>
      <c r="J706" s="467" t="s">
        <v>1459</v>
      </c>
      <c r="K706" s="467"/>
      <c r="L706" s="467"/>
      <c r="M706" s="467"/>
      <c r="N706" s="469"/>
    </row>
    <row r="707" spans="1:14">
      <c r="A707" s="451">
        <f t="shared" si="11"/>
        <v>701</v>
      </c>
      <c r="B707" s="680"/>
      <c r="C707" s="462" t="s">
        <v>816</v>
      </c>
      <c r="D707" s="463"/>
      <c r="E707" s="464" t="s">
        <v>11</v>
      </c>
      <c r="F707" s="470">
        <v>11064</v>
      </c>
      <c r="G707" s="467"/>
      <c r="H707" s="467"/>
      <c r="I707" s="467"/>
      <c r="J707" s="467" t="s">
        <v>1459</v>
      </c>
      <c r="K707" s="467"/>
      <c r="L707" s="467"/>
      <c r="M707" s="467"/>
      <c r="N707" s="469"/>
    </row>
    <row r="708" spans="1:14" ht="28.8">
      <c r="A708" s="451">
        <f t="shared" si="11"/>
        <v>702</v>
      </c>
      <c r="B708" s="680"/>
      <c r="C708" s="462" t="s">
        <v>818</v>
      </c>
      <c r="D708" s="463"/>
      <c r="E708" s="464" t="s">
        <v>11</v>
      </c>
      <c r="F708" s="470">
        <v>5170</v>
      </c>
      <c r="G708" s="467"/>
      <c r="H708" s="467"/>
      <c r="I708" s="467"/>
      <c r="J708" s="467" t="s">
        <v>1459</v>
      </c>
      <c r="K708" s="467"/>
      <c r="L708" s="467"/>
      <c r="M708" s="467"/>
      <c r="N708" s="469"/>
    </row>
    <row r="709" spans="1:14">
      <c r="A709" s="451">
        <f t="shared" si="11"/>
        <v>703</v>
      </c>
      <c r="B709" s="680"/>
      <c r="C709" s="462" t="s">
        <v>820</v>
      </c>
      <c r="D709" s="463"/>
      <c r="E709" s="464" t="s">
        <v>11</v>
      </c>
      <c r="F709" s="470">
        <v>1107</v>
      </c>
      <c r="G709" s="467"/>
      <c r="H709" s="467"/>
      <c r="I709" s="467"/>
      <c r="J709" s="467" t="s">
        <v>1459</v>
      </c>
      <c r="K709" s="467"/>
      <c r="L709" s="467"/>
      <c r="M709" s="467"/>
      <c r="N709" s="469"/>
    </row>
    <row r="710" spans="1:14">
      <c r="A710" s="451">
        <f t="shared" si="11"/>
        <v>704</v>
      </c>
      <c r="B710" s="680"/>
      <c r="C710" s="462" t="s">
        <v>822</v>
      </c>
      <c r="D710" s="463"/>
      <c r="E710" s="464" t="s">
        <v>11</v>
      </c>
      <c r="F710" s="470">
        <v>71992</v>
      </c>
      <c r="G710" s="467"/>
      <c r="H710" s="467"/>
      <c r="I710" s="467"/>
      <c r="J710" s="467" t="s">
        <v>1459</v>
      </c>
      <c r="K710" s="467"/>
      <c r="L710" s="467"/>
      <c r="M710" s="467"/>
      <c r="N710" s="469"/>
    </row>
    <row r="711" spans="1:14">
      <c r="A711" s="451">
        <f t="shared" si="11"/>
        <v>705</v>
      </c>
      <c r="B711" s="680"/>
      <c r="C711" s="462" t="s">
        <v>824</v>
      </c>
      <c r="D711" s="463"/>
      <c r="E711" s="464" t="s">
        <v>11</v>
      </c>
      <c r="F711" s="470">
        <v>56410</v>
      </c>
      <c r="G711" s="467"/>
      <c r="H711" s="467"/>
      <c r="I711" s="467"/>
      <c r="J711" s="467" t="s">
        <v>1459</v>
      </c>
      <c r="K711" s="467"/>
      <c r="L711" s="467"/>
      <c r="M711" s="467"/>
      <c r="N711" s="469"/>
    </row>
    <row r="712" spans="1:14">
      <c r="A712" s="451">
        <f t="shared" si="11"/>
        <v>706</v>
      </c>
      <c r="B712" s="680"/>
      <c r="C712" s="462" t="s">
        <v>826</v>
      </c>
      <c r="D712" s="463"/>
      <c r="E712" s="464" t="s">
        <v>11</v>
      </c>
      <c r="F712" s="470">
        <v>356893</v>
      </c>
      <c r="G712" s="467"/>
      <c r="H712" s="467"/>
      <c r="I712" s="467"/>
      <c r="J712" s="467" t="s">
        <v>1459</v>
      </c>
      <c r="K712" s="467"/>
      <c r="L712" s="467"/>
      <c r="M712" s="467"/>
      <c r="N712" s="469"/>
    </row>
    <row r="713" spans="1:14">
      <c r="A713" s="451">
        <f t="shared" si="11"/>
        <v>707</v>
      </c>
      <c r="B713" s="680"/>
      <c r="C713" s="462" t="s">
        <v>828</v>
      </c>
      <c r="D713" s="463"/>
      <c r="E713" s="464" t="s">
        <v>36</v>
      </c>
      <c r="F713" s="470">
        <v>126322</v>
      </c>
      <c r="G713" s="467"/>
      <c r="H713" s="467"/>
      <c r="I713" s="467"/>
      <c r="J713" s="467" t="s">
        <v>1459</v>
      </c>
      <c r="K713" s="467"/>
      <c r="L713" s="467"/>
      <c r="M713" s="467"/>
      <c r="N713" s="469"/>
    </row>
    <row r="714" spans="1:14">
      <c r="A714" s="451">
        <f t="shared" si="11"/>
        <v>708</v>
      </c>
      <c r="B714" s="680"/>
      <c r="C714" s="462" t="s">
        <v>830</v>
      </c>
      <c r="D714" s="463" t="s">
        <v>2005</v>
      </c>
      <c r="E714" s="464" t="s">
        <v>11</v>
      </c>
      <c r="F714" s="470">
        <v>3758</v>
      </c>
      <c r="G714" s="467"/>
      <c r="H714" s="467"/>
      <c r="I714" s="467"/>
      <c r="J714" s="467" t="s">
        <v>1459</v>
      </c>
      <c r="K714" s="467"/>
      <c r="L714" s="467"/>
      <c r="M714" s="467"/>
      <c r="N714" s="469"/>
    </row>
    <row r="715" spans="1:14">
      <c r="A715" s="451">
        <f t="shared" si="11"/>
        <v>709</v>
      </c>
      <c r="B715" s="680"/>
      <c r="C715" s="462" t="s">
        <v>832</v>
      </c>
      <c r="D715" s="463"/>
      <c r="E715" s="464" t="s">
        <v>11</v>
      </c>
      <c r="F715" s="470">
        <v>18343</v>
      </c>
      <c r="G715" s="467"/>
      <c r="H715" s="467"/>
      <c r="I715" s="467"/>
      <c r="J715" s="467" t="s">
        <v>1459</v>
      </c>
      <c r="K715" s="467"/>
      <c r="L715" s="467"/>
      <c r="M715" s="467"/>
      <c r="N715" s="469"/>
    </row>
    <row r="716" spans="1:14">
      <c r="A716" s="451">
        <f t="shared" si="11"/>
        <v>710</v>
      </c>
      <c r="B716" s="680"/>
      <c r="C716" s="462" t="s">
        <v>834</v>
      </c>
      <c r="D716" s="463"/>
      <c r="E716" s="464" t="s">
        <v>11</v>
      </c>
      <c r="F716" s="470">
        <v>173825</v>
      </c>
      <c r="G716" s="467"/>
      <c r="H716" s="467"/>
      <c r="I716" s="467"/>
      <c r="J716" s="467" t="s">
        <v>1459</v>
      </c>
      <c r="K716" s="467"/>
      <c r="L716" s="467"/>
      <c r="M716" s="467"/>
      <c r="N716" s="469"/>
    </row>
    <row r="717" spans="1:14">
      <c r="A717" s="451">
        <f t="shared" si="11"/>
        <v>711</v>
      </c>
      <c r="B717" s="680"/>
      <c r="C717" s="462" t="s">
        <v>836</v>
      </c>
      <c r="D717" s="463"/>
      <c r="E717" s="464" t="s">
        <v>11</v>
      </c>
      <c r="F717" s="470">
        <v>229379</v>
      </c>
      <c r="G717" s="467"/>
      <c r="H717" s="467"/>
      <c r="I717" s="467"/>
      <c r="J717" s="467" t="s">
        <v>1459</v>
      </c>
      <c r="K717" s="467"/>
      <c r="L717" s="467"/>
      <c r="M717" s="467"/>
      <c r="N717" s="469"/>
    </row>
    <row r="718" spans="1:14">
      <c r="A718" s="451">
        <f t="shared" si="11"/>
        <v>712</v>
      </c>
      <c r="B718" s="680"/>
      <c r="C718" s="462" t="s">
        <v>838</v>
      </c>
      <c r="D718" s="463"/>
      <c r="E718" s="464" t="s">
        <v>36</v>
      </c>
      <c r="F718" s="470">
        <v>108824</v>
      </c>
      <c r="G718" s="467"/>
      <c r="H718" s="467"/>
      <c r="I718" s="467"/>
      <c r="J718" s="467" t="s">
        <v>1459</v>
      </c>
      <c r="K718" s="467"/>
      <c r="L718" s="467"/>
      <c r="M718" s="467"/>
      <c r="N718" s="469"/>
    </row>
    <row r="719" spans="1:14" ht="28.8">
      <c r="A719" s="451">
        <f t="shared" si="11"/>
        <v>713</v>
      </c>
      <c r="B719" s="680"/>
      <c r="C719" s="462" t="s">
        <v>840</v>
      </c>
      <c r="D719" s="463"/>
      <c r="E719" s="464" t="s">
        <v>36</v>
      </c>
      <c r="F719" s="470">
        <v>111897</v>
      </c>
      <c r="G719" s="467"/>
      <c r="H719" s="467"/>
      <c r="I719" s="467"/>
      <c r="J719" s="467" t="s">
        <v>1459</v>
      </c>
      <c r="K719" s="467"/>
      <c r="L719" s="467"/>
      <c r="M719" s="467"/>
      <c r="N719" s="469"/>
    </row>
    <row r="720" spans="1:14" ht="28.8">
      <c r="A720" s="451">
        <f t="shared" si="11"/>
        <v>714</v>
      </c>
      <c r="B720" s="680"/>
      <c r="C720" s="462" t="s">
        <v>842</v>
      </c>
      <c r="D720" s="463"/>
      <c r="E720" s="464" t="s">
        <v>36</v>
      </c>
      <c r="F720" s="470">
        <v>280406</v>
      </c>
      <c r="G720" s="467"/>
      <c r="H720" s="467"/>
      <c r="I720" s="467"/>
      <c r="J720" s="467" t="s">
        <v>1459</v>
      </c>
      <c r="K720" s="467"/>
      <c r="L720" s="467"/>
      <c r="M720" s="467"/>
      <c r="N720" s="469"/>
    </row>
    <row r="721" spans="1:14">
      <c r="A721" s="451">
        <f t="shared" si="11"/>
        <v>715</v>
      </c>
      <c r="B721" s="680"/>
      <c r="C721" s="462" t="s">
        <v>844</v>
      </c>
      <c r="D721" s="463"/>
      <c r="E721" s="464" t="s">
        <v>11</v>
      </c>
      <c r="F721" s="470">
        <v>152681</v>
      </c>
      <c r="G721" s="467"/>
      <c r="H721" s="467"/>
      <c r="I721" s="467"/>
      <c r="J721" s="467" t="s">
        <v>1459</v>
      </c>
      <c r="K721" s="467"/>
      <c r="L721" s="467"/>
      <c r="M721" s="467"/>
      <c r="N721" s="469"/>
    </row>
    <row r="722" spans="1:14">
      <c r="A722" s="451">
        <f t="shared" si="11"/>
        <v>716</v>
      </c>
      <c r="B722" s="680"/>
      <c r="C722" s="462" t="s">
        <v>846</v>
      </c>
      <c r="D722" s="463"/>
      <c r="E722" s="464" t="s">
        <v>11</v>
      </c>
      <c r="F722" s="470">
        <v>116342</v>
      </c>
      <c r="G722" s="467"/>
      <c r="H722" s="467"/>
      <c r="I722" s="467"/>
      <c r="J722" s="467" t="s">
        <v>1459</v>
      </c>
      <c r="K722" s="467"/>
      <c r="L722" s="467"/>
      <c r="M722" s="467"/>
      <c r="N722" s="469"/>
    </row>
    <row r="723" spans="1:14">
      <c r="A723" s="451">
        <f t="shared" si="11"/>
        <v>717</v>
      </c>
      <c r="B723" s="680"/>
      <c r="C723" s="462" t="s">
        <v>848</v>
      </c>
      <c r="D723" s="463"/>
      <c r="E723" s="464" t="s">
        <v>11</v>
      </c>
      <c r="F723" s="470">
        <v>186136</v>
      </c>
      <c r="G723" s="467"/>
      <c r="H723" s="467"/>
      <c r="I723" s="467"/>
      <c r="J723" s="467" t="s">
        <v>1459</v>
      </c>
      <c r="K723" s="467"/>
      <c r="L723" s="467"/>
      <c r="M723" s="467"/>
      <c r="N723" s="469"/>
    </row>
    <row r="724" spans="1:14">
      <c r="A724" s="451">
        <f t="shared" ref="A724:A787" si="12">A723+1</f>
        <v>718</v>
      </c>
      <c r="B724" s="680"/>
      <c r="C724" s="462" t="s">
        <v>850</v>
      </c>
      <c r="D724" s="463"/>
      <c r="E724" s="464" t="s">
        <v>11</v>
      </c>
      <c r="F724" s="470">
        <v>261631</v>
      </c>
      <c r="G724" s="467"/>
      <c r="H724" s="467"/>
      <c r="I724" s="467"/>
      <c r="J724" s="467" t="s">
        <v>1459</v>
      </c>
      <c r="K724" s="467"/>
      <c r="L724" s="467"/>
      <c r="M724" s="467"/>
      <c r="N724" s="469"/>
    </row>
    <row r="725" spans="1:14">
      <c r="A725" s="451">
        <f t="shared" si="12"/>
        <v>719</v>
      </c>
      <c r="B725" s="680"/>
      <c r="C725" s="462" t="s">
        <v>852</v>
      </c>
      <c r="D725" s="463"/>
      <c r="E725" s="464" t="s">
        <v>36</v>
      </c>
      <c r="F725" s="470">
        <v>832</v>
      </c>
      <c r="G725" s="467"/>
      <c r="H725" s="467"/>
      <c r="I725" s="467"/>
      <c r="J725" s="467" t="s">
        <v>1459</v>
      </c>
      <c r="K725" s="467"/>
      <c r="L725" s="467"/>
      <c r="M725" s="467"/>
      <c r="N725" s="469"/>
    </row>
    <row r="726" spans="1:14">
      <c r="A726" s="451">
        <f t="shared" si="12"/>
        <v>720</v>
      </c>
      <c r="B726" s="680" t="s">
        <v>393</v>
      </c>
      <c r="C726" s="462" t="s">
        <v>2318</v>
      </c>
      <c r="D726" s="463" t="s">
        <v>2006</v>
      </c>
      <c r="E726" s="464" t="s">
        <v>11</v>
      </c>
      <c r="F726" s="470">
        <v>74403</v>
      </c>
      <c r="G726" s="467"/>
      <c r="H726" s="467"/>
      <c r="I726" s="467"/>
      <c r="J726" s="467" t="s">
        <v>1459</v>
      </c>
      <c r="K726" s="467"/>
      <c r="L726" s="467"/>
      <c r="M726" s="467"/>
      <c r="N726" s="469"/>
    </row>
    <row r="727" spans="1:14">
      <c r="A727" s="451">
        <f t="shared" si="12"/>
        <v>721</v>
      </c>
      <c r="B727" s="680"/>
      <c r="C727" s="462" t="s">
        <v>854</v>
      </c>
      <c r="D727" s="463"/>
      <c r="E727" s="464" t="s">
        <v>11</v>
      </c>
      <c r="F727" s="470">
        <v>58982</v>
      </c>
      <c r="G727" s="467"/>
      <c r="H727" s="467"/>
      <c r="I727" s="467"/>
      <c r="J727" s="467" t="s">
        <v>1459</v>
      </c>
      <c r="K727" s="467"/>
      <c r="L727" s="467"/>
      <c r="M727" s="467"/>
      <c r="N727" s="469"/>
    </row>
    <row r="728" spans="1:14">
      <c r="A728" s="451">
        <f t="shared" si="12"/>
        <v>722</v>
      </c>
      <c r="B728" s="680"/>
      <c r="C728" s="462" t="s">
        <v>856</v>
      </c>
      <c r="D728" s="463"/>
      <c r="E728" s="464" t="s">
        <v>36</v>
      </c>
      <c r="F728" s="470">
        <v>320081</v>
      </c>
      <c r="G728" s="467"/>
      <c r="H728" s="467"/>
      <c r="I728" s="467"/>
      <c r="J728" s="467" t="s">
        <v>1459</v>
      </c>
      <c r="K728" s="467"/>
      <c r="L728" s="467"/>
      <c r="M728" s="467"/>
      <c r="N728" s="469"/>
    </row>
    <row r="729" spans="1:14">
      <c r="A729" s="451">
        <f t="shared" si="12"/>
        <v>723</v>
      </c>
      <c r="B729" s="680"/>
      <c r="C729" s="462" t="s">
        <v>858</v>
      </c>
      <c r="D729" s="463"/>
      <c r="E729" s="464" t="s">
        <v>11</v>
      </c>
      <c r="F729" s="470">
        <v>367518</v>
      </c>
      <c r="G729" s="467"/>
      <c r="H729" s="467"/>
      <c r="I729" s="467"/>
      <c r="J729" s="467" t="s">
        <v>1459</v>
      </c>
      <c r="K729" s="467"/>
      <c r="L729" s="467"/>
      <c r="M729" s="467"/>
      <c r="N729" s="469"/>
    </row>
    <row r="730" spans="1:14">
      <c r="A730" s="451">
        <f t="shared" si="12"/>
        <v>724</v>
      </c>
      <c r="B730" s="680"/>
      <c r="C730" s="462" t="s">
        <v>860</v>
      </c>
      <c r="D730" s="463"/>
      <c r="E730" s="464" t="s">
        <v>11</v>
      </c>
      <c r="F730" s="470">
        <v>222507</v>
      </c>
      <c r="G730" s="467"/>
      <c r="H730" s="467"/>
      <c r="I730" s="467"/>
      <c r="J730" s="467" t="s">
        <v>1459</v>
      </c>
      <c r="K730" s="467"/>
      <c r="L730" s="467"/>
      <c r="M730" s="467"/>
      <c r="N730" s="469"/>
    </row>
    <row r="731" spans="1:14">
      <c r="A731" s="451">
        <f t="shared" si="12"/>
        <v>725</v>
      </c>
      <c r="B731" s="680"/>
      <c r="C731" s="462" t="s">
        <v>862</v>
      </c>
      <c r="D731" s="463"/>
      <c r="E731" s="464" t="s">
        <v>11</v>
      </c>
      <c r="F731" s="470">
        <v>919</v>
      </c>
      <c r="G731" s="467"/>
      <c r="H731" s="467"/>
      <c r="I731" s="467"/>
      <c r="J731" s="467" t="s">
        <v>1459</v>
      </c>
      <c r="K731" s="467"/>
      <c r="L731" s="467"/>
      <c r="M731" s="467"/>
      <c r="N731" s="469"/>
    </row>
    <row r="732" spans="1:14">
      <c r="A732" s="451">
        <f t="shared" si="12"/>
        <v>726</v>
      </c>
      <c r="B732" s="680"/>
      <c r="C732" s="462" t="s">
        <v>864</v>
      </c>
      <c r="D732" s="463"/>
      <c r="E732" s="464" t="s">
        <v>11</v>
      </c>
      <c r="F732" s="470">
        <v>451389</v>
      </c>
      <c r="G732" s="467"/>
      <c r="H732" s="467"/>
      <c r="I732" s="467"/>
      <c r="J732" s="467" t="s">
        <v>1459</v>
      </c>
      <c r="K732" s="467"/>
      <c r="L732" s="467"/>
      <c r="M732" s="467"/>
      <c r="N732" s="469"/>
    </row>
    <row r="733" spans="1:14">
      <c r="A733" s="451">
        <f t="shared" si="12"/>
        <v>727</v>
      </c>
      <c r="B733" s="680"/>
      <c r="C733" s="462" t="s">
        <v>866</v>
      </c>
      <c r="D733" s="463"/>
      <c r="E733" s="464" t="s">
        <v>11</v>
      </c>
      <c r="F733" s="470">
        <v>241993</v>
      </c>
      <c r="G733" s="467"/>
      <c r="H733" s="467"/>
      <c r="I733" s="467"/>
      <c r="J733" s="467" t="s">
        <v>1459</v>
      </c>
      <c r="K733" s="467"/>
      <c r="L733" s="467"/>
      <c r="M733" s="467"/>
      <c r="N733" s="469"/>
    </row>
    <row r="734" spans="1:14">
      <c r="A734" s="451">
        <f t="shared" si="12"/>
        <v>728</v>
      </c>
      <c r="B734" s="680"/>
      <c r="C734" s="462" t="s">
        <v>868</v>
      </c>
      <c r="D734" s="463"/>
      <c r="E734" s="464" t="s">
        <v>11</v>
      </c>
      <c r="F734" s="470">
        <v>199137</v>
      </c>
      <c r="G734" s="467"/>
      <c r="H734" s="467"/>
      <c r="I734" s="467"/>
      <c r="J734" s="467" t="s">
        <v>1459</v>
      </c>
      <c r="K734" s="467"/>
      <c r="L734" s="467"/>
      <c r="M734" s="467"/>
      <c r="N734" s="469"/>
    </row>
    <row r="735" spans="1:14">
      <c r="A735" s="451">
        <f t="shared" si="12"/>
        <v>729</v>
      </c>
      <c r="B735" s="680"/>
      <c r="C735" s="462" t="s">
        <v>498</v>
      </c>
      <c r="D735" s="463" t="s">
        <v>2007</v>
      </c>
      <c r="E735" s="464" t="s">
        <v>11</v>
      </c>
      <c r="F735" s="470">
        <v>49735</v>
      </c>
      <c r="G735" s="467"/>
      <c r="H735" s="467"/>
      <c r="I735" s="467"/>
      <c r="J735" s="467" t="s">
        <v>1459</v>
      </c>
      <c r="K735" s="467"/>
      <c r="L735" s="467"/>
      <c r="M735" s="467"/>
      <c r="N735" s="469"/>
    </row>
    <row r="736" spans="1:14">
      <c r="A736" s="451">
        <f t="shared" si="12"/>
        <v>730</v>
      </c>
      <c r="B736" s="680"/>
      <c r="C736" s="462" t="s">
        <v>870</v>
      </c>
      <c r="D736" s="463"/>
      <c r="E736" s="464" t="s">
        <v>11</v>
      </c>
      <c r="F736" s="470">
        <v>1247</v>
      </c>
      <c r="G736" s="467"/>
      <c r="H736" s="467"/>
      <c r="I736" s="467"/>
      <c r="J736" s="467" t="s">
        <v>1459</v>
      </c>
      <c r="K736" s="467"/>
      <c r="L736" s="467"/>
      <c r="M736" s="467"/>
      <c r="N736" s="469"/>
    </row>
    <row r="737" spans="1:14">
      <c r="A737" s="451">
        <f t="shared" si="12"/>
        <v>731</v>
      </c>
      <c r="B737" s="680" t="s">
        <v>407</v>
      </c>
      <c r="C737" s="462" t="s">
        <v>408</v>
      </c>
      <c r="D737" s="463" t="s">
        <v>2008</v>
      </c>
      <c r="E737" s="464" t="s">
        <v>11</v>
      </c>
      <c r="F737" s="470">
        <v>74428</v>
      </c>
      <c r="G737" s="467"/>
      <c r="H737" s="467"/>
      <c r="I737" s="467"/>
      <c r="J737" s="467" t="s">
        <v>1459</v>
      </c>
      <c r="K737" s="467"/>
      <c r="L737" s="467"/>
      <c r="M737" s="467"/>
      <c r="N737" s="469"/>
    </row>
    <row r="738" spans="1:14">
      <c r="A738" s="451">
        <f t="shared" si="12"/>
        <v>732</v>
      </c>
      <c r="B738" s="680"/>
      <c r="C738" s="462" t="s">
        <v>872</v>
      </c>
      <c r="D738" s="463"/>
      <c r="E738" s="464" t="s">
        <v>11</v>
      </c>
      <c r="F738" s="470">
        <v>33676</v>
      </c>
      <c r="G738" s="467"/>
      <c r="H738" s="467"/>
      <c r="I738" s="467"/>
      <c r="J738" s="467" t="s">
        <v>1459</v>
      </c>
      <c r="K738" s="467"/>
      <c r="L738" s="467"/>
      <c r="M738" s="467"/>
      <c r="N738" s="469"/>
    </row>
    <row r="739" spans="1:14" ht="28.8">
      <c r="A739" s="451">
        <f t="shared" si="12"/>
        <v>733</v>
      </c>
      <c r="B739" s="680"/>
      <c r="C739" s="462" t="s">
        <v>874</v>
      </c>
      <c r="D739" s="463"/>
      <c r="E739" s="464" t="s">
        <v>11</v>
      </c>
      <c r="F739" s="470">
        <v>196301</v>
      </c>
      <c r="G739" s="467"/>
      <c r="H739" s="467"/>
      <c r="I739" s="467"/>
      <c r="J739" s="467" t="s">
        <v>1459</v>
      </c>
      <c r="K739" s="467"/>
      <c r="L739" s="467"/>
      <c r="M739" s="467"/>
      <c r="N739" s="469"/>
    </row>
    <row r="740" spans="1:14">
      <c r="A740" s="451">
        <f t="shared" si="12"/>
        <v>734</v>
      </c>
      <c r="B740" s="680"/>
      <c r="C740" s="462" t="s">
        <v>876</v>
      </c>
      <c r="D740" s="463"/>
      <c r="E740" s="464" t="s">
        <v>11</v>
      </c>
      <c r="F740" s="470">
        <v>183266</v>
      </c>
      <c r="G740" s="467"/>
      <c r="H740" s="467"/>
      <c r="I740" s="467"/>
      <c r="J740" s="467" t="s">
        <v>1459</v>
      </c>
      <c r="K740" s="467"/>
      <c r="L740" s="467"/>
      <c r="M740" s="467"/>
      <c r="N740" s="469"/>
    </row>
    <row r="741" spans="1:14" ht="28.8">
      <c r="A741" s="451">
        <f t="shared" si="12"/>
        <v>735</v>
      </c>
      <c r="B741" s="680"/>
      <c r="C741" s="462" t="s">
        <v>878</v>
      </c>
      <c r="D741" s="463"/>
      <c r="E741" s="464" t="s">
        <v>11</v>
      </c>
      <c r="F741" s="470">
        <v>5909</v>
      </c>
      <c r="G741" s="467"/>
      <c r="H741" s="467"/>
      <c r="I741" s="467"/>
      <c r="J741" s="467" t="s">
        <v>1459</v>
      </c>
      <c r="K741" s="467"/>
      <c r="L741" s="467"/>
      <c r="M741" s="467"/>
      <c r="N741" s="469"/>
    </row>
    <row r="742" spans="1:14">
      <c r="A742" s="451">
        <f t="shared" si="12"/>
        <v>736</v>
      </c>
      <c r="B742" s="680"/>
      <c r="C742" s="462" t="s">
        <v>880</v>
      </c>
      <c r="D742" s="463"/>
      <c r="E742" s="464" t="s">
        <v>11</v>
      </c>
      <c r="F742" s="470">
        <v>71381</v>
      </c>
      <c r="G742" s="467"/>
      <c r="H742" s="467"/>
      <c r="I742" s="467"/>
      <c r="J742" s="467" t="s">
        <v>1459</v>
      </c>
      <c r="K742" s="467"/>
      <c r="L742" s="467"/>
      <c r="M742" s="467"/>
      <c r="N742" s="469"/>
    </row>
    <row r="743" spans="1:14">
      <c r="A743" s="451">
        <f t="shared" si="12"/>
        <v>737</v>
      </c>
      <c r="B743" s="680"/>
      <c r="C743" s="462" t="s">
        <v>882</v>
      </c>
      <c r="D743" s="463"/>
      <c r="E743" s="464" t="s">
        <v>11</v>
      </c>
      <c r="F743" s="470">
        <v>77249</v>
      </c>
      <c r="G743" s="467"/>
      <c r="H743" s="467"/>
      <c r="I743" s="467"/>
      <c r="J743" s="467" t="s">
        <v>1459</v>
      </c>
      <c r="K743" s="467"/>
      <c r="L743" s="467"/>
      <c r="M743" s="467"/>
      <c r="N743" s="469"/>
    </row>
    <row r="744" spans="1:14">
      <c r="A744" s="451">
        <f t="shared" si="12"/>
        <v>738</v>
      </c>
      <c r="B744" s="680"/>
      <c r="C744" s="462" t="s">
        <v>884</v>
      </c>
      <c r="D744" s="463"/>
      <c r="E744" s="464" t="s">
        <v>11</v>
      </c>
      <c r="F744" s="470">
        <v>430246</v>
      </c>
      <c r="G744" s="467"/>
      <c r="H744" s="467"/>
      <c r="I744" s="467"/>
      <c r="J744" s="467" t="s">
        <v>1459</v>
      </c>
      <c r="K744" s="467"/>
      <c r="L744" s="467"/>
      <c r="M744" s="467"/>
      <c r="N744" s="469"/>
    </row>
    <row r="745" spans="1:14">
      <c r="A745" s="451">
        <f t="shared" si="12"/>
        <v>739</v>
      </c>
      <c r="B745" s="680"/>
      <c r="C745" s="462" t="s">
        <v>886</v>
      </c>
      <c r="D745" s="463"/>
      <c r="E745" s="464" t="s">
        <v>11</v>
      </c>
      <c r="F745" s="470">
        <v>311632</v>
      </c>
      <c r="G745" s="467"/>
      <c r="H745" s="467"/>
      <c r="I745" s="467"/>
      <c r="J745" s="467" t="s">
        <v>1459</v>
      </c>
      <c r="K745" s="467"/>
      <c r="L745" s="467"/>
      <c r="M745" s="467"/>
      <c r="N745" s="469"/>
    </row>
    <row r="746" spans="1:14">
      <c r="A746" s="451">
        <f t="shared" si="12"/>
        <v>740</v>
      </c>
      <c r="B746" s="680" t="s">
        <v>417</v>
      </c>
      <c r="C746" s="462" t="s">
        <v>2009</v>
      </c>
      <c r="D746" s="463" t="s">
        <v>2010</v>
      </c>
      <c r="E746" s="464" t="s">
        <v>36</v>
      </c>
      <c r="F746" s="470">
        <v>25210</v>
      </c>
      <c r="G746" s="467"/>
      <c r="H746" s="467"/>
      <c r="I746" s="467"/>
      <c r="J746" s="467" t="s">
        <v>1459</v>
      </c>
      <c r="K746" s="467"/>
      <c r="L746" s="467"/>
      <c r="M746" s="467"/>
      <c r="N746" s="469"/>
    </row>
    <row r="747" spans="1:14">
      <c r="A747" s="451">
        <f t="shared" si="12"/>
        <v>741</v>
      </c>
      <c r="B747" s="680"/>
      <c r="C747" s="462" t="s">
        <v>888</v>
      </c>
      <c r="D747" s="463"/>
      <c r="E747" s="464" t="s">
        <v>11</v>
      </c>
      <c r="F747" s="470">
        <v>23905</v>
      </c>
      <c r="G747" s="467"/>
      <c r="H747" s="467"/>
      <c r="I747" s="467"/>
      <c r="J747" s="467" t="s">
        <v>1459</v>
      </c>
      <c r="K747" s="467"/>
      <c r="L747" s="467"/>
      <c r="M747" s="467"/>
      <c r="N747" s="469"/>
    </row>
    <row r="748" spans="1:14">
      <c r="A748" s="451">
        <f t="shared" si="12"/>
        <v>742</v>
      </c>
      <c r="B748" s="680"/>
      <c r="C748" s="462" t="s">
        <v>890</v>
      </c>
      <c r="D748" s="463"/>
      <c r="E748" s="464" t="s">
        <v>11</v>
      </c>
      <c r="F748" s="470">
        <v>66336</v>
      </c>
      <c r="G748" s="467"/>
      <c r="H748" s="467"/>
      <c r="I748" s="467"/>
      <c r="J748" s="467" t="s">
        <v>1459</v>
      </c>
      <c r="K748" s="467"/>
      <c r="L748" s="467"/>
      <c r="M748" s="467"/>
      <c r="N748" s="469"/>
    </row>
    <row r="749" spans="1:14">
      <c r="A749" s="451">
        <f t="shared" si="12"/>
        <v>743</v>
      </c>
      <c r="B749" s="680"/>
      <c r="C749" s="462" t="s">
        <v>506</v>
      </c>
      <c r="D749" s="463" t="s">
        <v>1357</v>
      </c>
      <c r="E749" s="464" t="s">
        <v>11</v>
      </c>
      <c r="F749" s="470">
        <v>5553</v>
      </c>
      <c r="G749" s="467"/>
      <c r="H749" s="467"/>
      <c r="I749" s="467"/>
      <c r="J749" s="467" t="s">
        <v>1459</v>
      </c>
      <c r="K749" s="467"/>
      <c r="L749" s="467"/>
      <c r="M749" s="467"/>
      <c r="N749" s="469"/>
    </row>
    <row r="750" spans="1:14">
      <c r="A750" s="451">
        <f t="shared" si="12"/>
        <v>744</v>
      </c>
      <c r="B750" s="680"/>
      <c r="C750" s="462" t="s">
        <v>892</v>
      </c>
      <c r="D750" s="463"/>
      <c r="E750" s="464" t="s">
        <v>11</v>
      </c>
      <c r="F750" s="470">
        <v>322502</v>
      </c>
      <c r="G750" s="467"/>
      <c r="H750" s="467"/>
      <c r="I750" s="467"/>
      <c r="J750" s="467" t="s">
        <v>1459</v>
      </c>
      <c r="K750" s="467"/>
      <c r="L750" s="467"/>
      <c r="M750" s="467"/>
      <c r="N750" s="469"/>
    </row>
    <row r="751" spans="1:14">
      <c r="A751" s="451">
        <f t="shared" si="12"/>
        <v>745</v>
      </c>
      <c r="B751" s="680"/>
      <c r="C751" s="462" t="s">
        <v>894</v>
      </c>
      <c r="D751" s="463"/>
      <c r="E751" s="464" t="s">
        <v>11</v>
      </c>
      <c r="F751" s="470">
        <v>479806</v>
      </c>
      <c r="G751" s="467"/>
      <c r="H751" s="467"/>
      <c r="I751" s="467"/>
      <c r="J751" s="467" t="s">
        <v>1459</v>
      </c>
      <c r="K751" s="467"/>
      <c r="L751" s="467"/>
      <c r="M751" s="467"/>
      <c r="N751" s="469"/>
    </row>
    <row r="752" spans="1:14">
      <c r="A752" s="451">
        <f t="shared" si="12"/>
        <v>746</v>
      </c>
      <c r="B752" s="680"/>
      <c r="C752" s="462" t="s">
        <v>896</v>
      </c>
      <c r="D752" s="463"/>
      <c r="E752" s="464" t="s">
        <v>11</v>
      </c>
      <c r="F752" s="470">
        <v>11963</v>
      </c>
      <c r="G752" s="467"/>
      <c r="H752" s="467"/>
      <c r="I752" s="467"/>
      <c r="J752" s="467" t="s">
        <v>1459</v>
      </c>
      <c r="K752" s="467"/>
      <c r="L752" s="467"/>
      <c r="M752" s="467"/>
      <c r="N752" s="469"/>
    </row>
    <row r="753" spans="1:14" ht="28.8">
      <c r="A753" s="451">
        <f t="shared" si="12"/>
        <v>747</v>
      </c>
      <c r="B753" s="680"/>
      <c r="C753" s="462" t="s">
        <v>898</v>
      </c>
      <c r="D753" s="463"/>
      <c r="E753" s="464" t="s">
        <v>11</v>
      </c>
      <c r="F753" s="470">
        <v>420329</v>
      </c>
      <c r="G753" s="467"/>
      <c r="H753" s="467"/>
      <c r="I753" s="467"/>
      <c r="J753" s="467" t="s">
        <v>1459</v>
      </c>
      <c r="K753" s="467"/>
      <c r="L753" s="467"/>
      <c r="M753" s="467"/>
      <c r="N753" s="469"/>
    </row>
    <row r="754" spans="1:14">
      <c r="A754" s="451">
        <f t="shared" si="12"/>
        <v>748</v>
      </c>
      <c r="B754" s="680"/>
      <c r="C754" s="462" t="s">
        <v>900</v>
      </c>
      <c r="D754" s="463"/>
      <c r="E754" s="464" t="s">
        <v>11</v>
      </c>
      <c r="F754" s="470">
        <v>12785</v>
      </c>
      <c r="G754" s="467"/>
      <c r="H754" s="467"/>
      <c r="I754" s="467"/>
      <c r="J754" s="467" t="s">
        <v>1459</v>
      </c>
      <c r="K754" s="467"/>
      <c r="L754" s="467"/>
      <c r="M754" s="467"/>
      <c r="N754" s="469"/>
    </row>
    <row r="755" spans="1:14">
      <c r="A755" s="451">
        <f t="shared" si="12"/>
        <v>749</v>
      </c>
      <c r="B755" s="680" t="s">
        <v>437</v>
      </c>
      <c r="C755" s="462" t="s">
        <v>2011</v>
      </c>
      <c r="D755" s="463" t="s">
        <v>2012</v>
      </c>
      <c r="E755" s="464" t="s">
        <v>36</v>
      </c>
      <c r="F755" s="470">
        <v>40860</v>
      </c>
      <c r="G755" s="467"/>
      <c r="H755" s="467"/>
      <c r="I755" s="467"/>
      <c r="J755" s="467" t="s">
        <v>1459</v>
      </c>
      <c r="K755" s="467"/>
      <c r="L755" s="467"/>
      <c r="M755" s="467"/>
      <c r="N755" s="469"/>
    </row>
    <row r="756" spans="1:14">
      <c r="A756" s="451">
        <f t="shared" si="12"/>
        <v>750</v>
      </c>
      <c r="B756" s="680"/>
      <c r="C756" s="462" t="s">
        <v>902</v>
      </c>
      <c r="D756" s="463"/>
      <c r="E756" s="464" t="s">
        <v>11</v>
      </c>
      <c r="F756" s="470">
        <v>78401</v>
      </c>
      <c r="G756" s="467"/>
      <c r="H756" s="467"/>
      <c r="I756" s="467"/>
      <c r="J756" s="467" t="s">
        <v>1459</v>
      </c>
      <c r="K756" s="467"/>
      <c r="L756" s="467"/>
      <c r="M756" s="467"/>
      <c r="N756" s="469"/>
    </row>
    <row r="757" spans="1:14">
      <c r="A757" s="451">
        <f t="shared" si="12"/>
        <v>751</v>
      </c>
      <c r="B757" s="680"/>
      <c r="C757" s="462" t="s">
        <v>903</v>
      </c>
      <c r="D757" s="463"/>
      <c r="E757" s="464" t="s">
        <v>11</v>
      </c>
      <c r="F757" s="470">
        <v>111412</v>
      </c>
      <c r="G757" s="467"/>
      <c r="H757" s="467"/>
      <c r="I757" s="467"/>
      <c r="J757" s="467" t="s">
        <v>1459</v>
      </c>
      <c r="K757" s="467"/>
      <c r="L757" s="467"/>
      <c r="M757" s="467"/>
      <c r="N757" s="469"/>
    </row>
    <row r="758" spans="1:14">
      <c r="A758" s="451">
        <f t="shared" si="12"/>
        <v>752</v>
      </c>
      <c r="B758" s="680"/>
      <c r="C758" s="462" t="s">
        <v>508</v>
      </c>
      <c r="D758" s="463" t="s">
        <v>2003</v>
      </c>
      <c r="E758" s="464" t="s">
        <v>11</v>
      </c>
      <c r="F758" s="470">
        <v>156417</v>
      </c>
      <c r="G758" s="467"/>
      <c r="H758" s="467"/>
      <c r="I758" s="467"/>
      <c r="J758" s="467" t="s">
        <v>1459</v>
      </c>
      <c r="K758" s="467"/>
      <c r="L758" s="467"/>
      <c r="M758" s="467"/>
      <c r="N758" s="469"/>
    </row>
    <row r="759" spans="1:14">
      <c r="A759" s="451">
        <f t="shared" si="12"/>
        <v>753</v>
      </c>
      <c r="B759" s="680"/>
      <c r="C759" s="462" t="s">
        <v>905</v>
      </c>
      <c r="D759" s="463"/>
      <c r="E759" s="464" t="s">
        <v>11</v>
      </c>
      <c r="F759" s="470">
        <v>19027</v>
      </c>
      <c r="G759" s="467"/>
      <c r="H759" s="467"/>
      <c r="I759" s="467"/>
      <c r="J759" s="467" t="s">
        <v>1459</v>
      </c>
      <c r="K759" s="467"/>
      <c r="L759" s="467"/>
      <c r="M759" s="467"/>
      <c r="N759" s="469"/>
    </row>
    <row r="760" spans="1:14">
      <c r="A760" s="451">
        <f t="shared" si="12"/>
        <v>754</v>
      </c>
      <c r="B760" s="680"/>
      <c r="C760" s="462" t="s">
        <v>510</v>
      </c>
      <c r="D760" s="463" t="s">
        <v>2013</v>
      </c>
      <c r="E760" s="464" t="s">
        <v>11</v>
      </c>
      <c r="F760" s="470">
        <v>76396</v>
      </c>
      <c r="G760" s="467"/>
      <c r="H760" s="467"/>
      <c r="I760" s="467"/>
      <c r="J760" s="467" t="s">
        <v>1459</v>
      </c>
      <c r="K760" s="467"/>
      <c r="L760" s="467"/>
      <c r="M760" s="467"/>
      <c r="N760" s="469"/>
    </row>
    <row r="761" spans="1:14" ht="28.8">
      <c r="A761" s="451">
        <f t="shared" si="12"/>
        <v>755</v>
      </c>
      <c r="B761" s="680"/>
      <c r="C761" s="462" t="s">
        <v>906</v>
      </c>
      <c r="D761" s="463"/>
      <c r="E761" s="464" t="s">
        <v>36</v>
      </c>
      <c r="F761" s="470">
        <v>150281</v>
      </c>
      <c r="G761" s="467"/>
      <c r="H761" s="467"/>
      <c r="I761" s="467"/>
      <c r="J761" s="467" t="s">
        <v>1459</v>
      </c>
      <c r="K761" s="467"/>
      <c r="L761" s="467"/>
      <c r="M761" s="467"/>
      <c r="N761" s="469"/>
    </row>
    <row r="762" spans="1:14">
      <c r="A762" s="451">
        <f t="shared" si="12"/>
        <v>756</v>
      </c>
      <c r="B762" s="680"/>
      <c r="C762" s="453" t="s">
        <v>2014</v>
      </c>
      <c r="D762" s="463"/>
      <c r="G762" s="467"/>
      <c r="H762" s="467"/>
      <c r="I762" s="467"/>
      <c r="J762" s="467"/>
      <c r="K762" s="467"/>
      <c r="L762" s="467"/>
      <c r="M762" s="467"/>
      <c r="N762" s="469"/>
    </row>
    <row r="763" spans="1:14" ht="28.8">
      <c r="A763" s="451">
        <f t="shared" si="12"/>
        <v>757</v>
      </c>
      <c r="B763" s="680"/>
      <c r="C763" s="462" t="s">
        <v>911</v>
      </c>
      <c r="D763" s="463"/>
      <c r="E763" s="464" t="s">
        <v>1996</v>
      </c>
      <c r="F763" s="470">
        <v>20992954</v>
      </c>
      <c r="G763" s="467" t="s">
        <v>1459</v>
      </c>
      <c r="H763" s="467"/>
      <c r="I763" s="467"/>
      <c r="J763" s="467"/>
      <c r="K763" s="467"/>
      <c r="L763" s="467"/>
      <c r="M763" s="467"/>
      <c r="N763" s="469"/>
    </row>
    <row r="764" spans="1:14" ht="28.8">
      <c r="A764" s="451">
        <f t="shared" si="12"/>
        <v>758</v>
      </c>
      <c r="B764" s="680"/>
      <c r="C764" s="462" t="s">
        <v>912</v>
      </c>
      <c r="D764" s="463"/>
      <c r="E764" s="464" t="s">
        <v>1996</v>
      </c>
      <c r="F764" s="470">
        <v>2754262</v>
      </c>
      <c r="G764" s="467" t="s">
        <v>1459</v>
      </c>
      <c r="H764" s="467"/>
      <c r="I764" s="467"/>
      <c r="J764" s="467"/>
      <c r="K764" s="467"/>
      <c r="L764" s="467"/>
      <c r="M764" s="467"/>
      <c r="N764" s="469"/>
    </row>
    <row r="765" spans="1:14" ht="28.8">
      <c r="A765" s="451">
        <f t="shared" si="12"/>
        <v>759</v>
      </c>
      <c r="B765" s="680"/>
      <c r="C765" s="453" t="s">
        <v>2015</v>
      </c>
      <c r="D765" s="463"/>
      <c r="G765" s="467"/>
      <c r="H765" s="467"/>
      <c r="I765" s="467"/>
      <c r="J765" s="467"/>
      <c r="K765" s="467"/>
      <c r="L765" s="467"/>
      <c r="M765" s="467"/>
      <c r="N765" s="469"/>
    </row>
    <row r="766" spans="1:14">
      <c r="A766" s="451">
        <f t="shared" si="12"/>
        <v>760</v>
      </c>
      <c r="B766" s="680"/>
      <c r="C766" s="462" t="s">
        <v>951</v>
      </c>
      <c r="D766" s="463"/>
      <c r="E766" s="464" t="s">
        <v>11</v>
      </c>
      <c r="F766" s="470">
        <v>287835</v>
      </c>
      <c r="G766" s="467" t="s">
        <v>1459</v>
      </c>
      <c r="H766" s="467"/>
      <c r="I766" s="467"/>
      <c r="J766" s="467"/>
      <c r="K766" s="467"/>
      <c r="L766" s="467"/>
      <c r="M766" s="467"/>
      <c r="N766" s="469"/>
    </row>
    <row r="767" spans="1:14">
      <c r="A767" s="451">
        <f t="shared" si="12"/>
        <v>761</v>
      </c>
      <c r="B767" s="680"/>
      <c r="C767" s="462" t="s">
        <v>952</v>
      </c>
      <c r="D767" s="463"/>
      <c r="E767" s="464" t="s">
        <v>11</v>
      </c>
      <c r="F767" s="470">
        <v>302609</v>
      </c>
      <c r="G767" s="467" t="s">
        <v>1459</v>
      </c>
      <c r="H767" s="467"/>
      <c r="I767" s="467"/>
      <c r="J767" s="467"/>
      <c r="K767" s="467"/>
      <c r="L767" s="467"/>
      <c r="M767" s="467"/>
      <c r="N767" s="469"/>
    </row>
    <row r="768" spans="1:14">
      <c r="A768" s="451">
        <f t="shared" si="12"/>
        <v>762</v>
      </c>
      <c r="B768" s="680"/>
      <c r="C768" s="462" t="s">
        <v>953</v>
      </c>
      <c r="D768" s="463"/>
      <c r="E768" s="464" t="s">
        <v>11</v>
      </c>
      <c r="F768" s="470">
        <v>2978205</v>
      </c>
      <c r="G768" s="467" t="s">
        <v>1459</v>
      </c>
      <c r="H768" s="467"/>
      <c r="I768" s="467"/>
      <c r="J768" s="467"/>
      <c r="K768" s="467"/>
      <c r="L768" s="467"/>
      <c r="M768" s="467"/>
      <c r="N768" s="469"/>
    </row>
    <row r="769" spans="1:14">
      <c r="A769" s="451">
        <f t="shared" si="12"/>
        <v>763</v>
      </c>
      <c r="B769" s="680" t="s">
        <v>2016</v>
      </c>
      <c r="C769" s="462" t="s">
        <v>954</v>
      </c>
      <c r="D769" s="463" t="s">
        <v>2017</v>
      </c>
      <c r="E769" s="464" t="s">
        <v>36</v>
      </c>
      <c r="F769" s="470">
        <v>3115052</v>
      </c>
      <c r="G769" s="467" t="s">
        <v>1459</v>
      </c>
      <c r="H769" s="467"/>
      <c r="I769" s="467"/>
      <c r="J769" s="467"/>
      <c r="K769" s="467"/>
      <c r="L769" s="467"/>
      <c r="M769" s="467"/>
      <c r="N769" s="469"/>
    </row>
    <row r="770" spans="1:14">
      <c r="A770" s="451">
        <f t="shared" si="12"/>
        <v>764</v>
      </c>
      <c r="B770" s="680"/>
      <c r="D770" s="463"/>
      <c r="F770" s="465"/>
      <c r="G770" s="467"/>
      <c r="H770" s="467"/>
      <c r="I770" s="467"/>
      <c r="J770" s="467"/>
      <c r="K770" s="467"/>
      <c r="L770" s="467"/>
      <c r="M770" s="467"/>
      <c r="N770" s="469"/>
    </row>
    <row r="771" spans="1:14">
      <c r="A771" s="451">
        <f t="shared" si="12"/>
        <v>765</v>
      </c>
      <c r="B771" s="680"/>
      <c r="C771" s="453" t="s">
        <v>2018</v>
      </c>
      <c r="D771" s="463"/>
      <c r="F771" s="470">
        <v>82985149</v>
      </c>
      <c r="G771" s="467"/>
      <c r="H771" s="467"/>
      <c r="I771" s="467"/>
      <c r="J771" s="467"/>
      <c r="K771" s="467"/>
      <c r="L771" s="467"/>
      <c r="M771" s="467"/>
      <c r="N771" s="469"/>
    </row>
    <row r="772" spans="1:14">
      <c r="A772" s="451">
        <f t="shared" si="12"/>
        <v>766</v>
      </c>
      <c r="B772" s="680" t="s">
        <v>619</v>
      </c>
      <c r="C772" s="462" t="s">
        <v>2019</v>
      </c>
      <c r="D772" s="463" t="s">
        <v>2344</v>
      </c>
      <c r="E772" s="464" t="s">
        <v>11</v>
      </c>
      <c r="F772" s="465"/>
      <c r="G772" s="467" t="s">
        <v>1459</v>
      </c>
      <c r="H772" s="467"/>
      <c r="I772" s="489"/>
      <c r="J772" s="489"/>
      <c r="K772" s="467"/>
      <c r="L772" s="490"/>
      <c r="M772" s="480"/>
      <c r="N772" s="469"/>
    </row>
    <row r="773" spans="1:14">
      <c r="A773" s="451">
        <f t="shared" si="12"/>
        <v>767</v>
      </c>
      <c r="B773" s="680" t="s">
        <v>594</v>
      </c>
      <c r="C773" s="462" t="s">
        <v>2020</v>
      </c>
      <c r="D773" s="463" t="s">
        <v>2021</v>
      </c>
      <c r="E773" s="464" t="s">
        <v>36</v>
      </c>
      <c r="F773" s="465"/>
      <c r="G773" s="467" t="s">
        <v>1459</v>
      </c>
      <c r="H773" s="467"/>
      <c r="I773" s="489"/>
      <c r="J773" s="489"/>
      <c r="K773" s="467"/>
      <c r="L773" s="490"/>
      <c r="M773" s="480"/>
      <c r="N773" s="469"/>
    </row>
    <row r="774" spans="1:14">
      <c r="A774" s="451">
        <f t="shared" si="12"/>
        <v>768</v>
      </c>
      <c r="B774" s="680"/>
      <c r="D774" s="463" t="s">
        <v>2345</v>
      </c>
      <c r="E774" s="464" t="s">
        <v>36</v>
      </c>
      <c r="F774" s="465"/>
      <c r="G774" s="467" t="s">
        <v>1459</v>
      </c>
      <c r="H774" s="467"/>
      <c r="I774" s="489"/>
      <c r="J774" s="489"/>
      <c r="K774" s="467"/>
      <c r="L774" s="490"/>
      <c r="M774" s="480"/>
      <c r="N774" s="469"/>
    </row>
    <row r="775" spans="1:14">
      <c r="A775" s="451">
        <f t="shared" si="12"/>
        <v>769</v>
      </c>
      <c r="B775" s="680"/>
      <c r="D775" s="463" t="s">
        <v>2346</v>
      </c>
      <c r="E775" s="464" t="s">
        <v>11</v>
      </c>
      <c r="F775" s="465"/>
      <c r="G775" s="467" t="s">
        <v>1459</v>
      </c>
      <c r="H775" s="467"/>
      <c r="I775" s="489"/>
      <c r="J775" s="489"/>
      <c r="K775" s="467"/>
      <c r="L775" s="490"/>
      <c r="M775" s="480"/>
      <c r="N775" s="469"/>
    </row>
    <row r="776" spans="1:14">
      <c r="A776" s="451">
        <f t="shared" si="12"/>
        <v>770</v>
      </c>
      <c r="B776" s="680"/>
      <c r="D776" s="463" t="s">
        <v>2022</v>
      </c>
      <c r="E776" s="464" t="s">
        <v>11</v>
      </c>
      <c r="F776" s="465"/>
      <c r="G776" s="467" t="s">
        <v>1459</v>
      </c>
      <c r="H776" s="467"/>
      <c r="I776" s="489"/>
      <c r="J776" s="489"/>
      <c r="K776" s="467"/>
      <c r="L776" s="490"/>
      <c r="M776" s="480"/>
      <c r="N776" s="469"/>
    </row>
    <row r="777" spans="1:14">
      <c r="A777" s="451">
        <f t="shared" si="12"/>
        <v>771</v>
      </c>
      <c r="B777" s="680"/>
      <c r="D777" s="463" t="s">
        <v>2023</v>
      </c>
      <c r="E777" s="464" t="s">
        <v>11</v>
      </c>
      <c r="F777" s="465"/>
      <c r="G777" s="467" t="s">
        <v>1459</v>
      </c>
      <c r="H777" s="467"/>
      <c r="I777" s="489"/>
      <c r="J777" s="489"/>
      <c r="K777" s="467"/>
      <c r="L777" s="490"/>
      <c r="M777" s="480"/>
      <c r="N777" s="469"/>
    </row>
    <row r="778" spans="1:14">
      <c r="A778" s="451">
        <f t="shared" si="12"/>
        <v>772</v>
      </c>
      <c r="B778" s="680"/>
      <c r="D778" s="463" t="s">
        <v>2347</v>
      </c>
      <c r="E778" s="464" t="s">
        <v>11</v>
      </c>
      <c r="F778" s="465"/>
      <c r="G778" s="467" t="s">
        <v>1459</v>
      </c>
      <c r="H778" s="467"/>
      <c r="I778" s="489"/>
      <c r="J778" s="489"/>
      <c r="K778" s="467"/>
      <c r="L778" s="490"/>
      <c r="M778" s="480"/>
      <c r="N778" s="469"/>
    </row>
    <row r="779" spans="1:14" ht="28.8">
      <c r="A779" s="451">
        <f t="shared" si="12"/>
        <v>773</v>
      </c>
      <c r="B779" s="680" t="s">
        <v>313</v>
      </c>
      <c r="C779" s="462" t="s">
        <v>1997</v>
      </c>
      <c r="D779" s="463" t="s">
        <v>2348</v>
      </c>
      <c r="E779" s="464" t="s">
        <v>11</v>
      </c>
      <c r="F779" s="465"/>
      <c r="G779" s="467" t="s">
        <v>1459</v>
      </c>
      <c r="H779" s="467"/>
      <c r="I779" s="489"/>
      <c r="J779" s="489"/>
      <c r="K779" s="467"/>
      <c r="L779" s="490"/>
      <c r="M779" s="480"/>
      <c r="N779" s="469"/>
    </row>
    <row r="780" spans="1:14" ht="28.8">
      <c r="A780" s="451">
        <f t="shared" si="12"/>
        <v>774</v>
      </c>
      <c r="B780" s="680"/>
      <c r="D780" s="463" t="s">
        <v>2391</v>
      </c>
      <c r="E780" s="464" t="s">
        <v>11</v>
      </c>
      <c r="F780" s="465"/>
      <c r="G780" s="467" t="s">
        <v>1459</v>
      </c>
      <c r="H780" s="467"/>
      <c r="I780" s="489"/>
      <c r="J780" s="489"/>
      <c r="K780" s="467"/>
      <c r="L780" s="490"/>
      <c r="M780" s="480"/>
      <c r="N780" s="469"/>
    </row>
    <row r="781" spans="1:14">
      <c r="A781" s="451">
        <f t="shared" si="12"/>
        <v>775</v>
      </c>
      <c r="B781" s="680"/>
      <c r="D781" s="463" t="s">
        <v>2349</v>
      </c>
      <c r="E781" s="464" t="s">
        <v>11</v>
      </c>
      <c r="F781" s="465"/>
      <c r="G781" s="467" t="s">
        <v>1459</v>
      </c>
      <c r="H781" s="467"/>
      <c r="I781" s="489"/>
      <c r="J781" s="489"/>
      <c r="K781" s="467"/>
      <c r="L781" s="490"/>
      <c r="M781" s="480"/>
      <c r="N781" s="469"/>
    </row>
    <row r="782" spans="1:14" ht="28.8">
      <c r="A782" s="451">
        <f t="shared" si="12"/>
        <v>776</v>
      </c>
      <c r="B782" s="680" t="s">
        <v>724</v>
      </c>
      <c r="C782" s="462" t="s">
        <v>2024</v>
      </c>
      <c r="D782" s="463" t="s">
        <v>2350</v>
      </c>
      <c r="E782" s="464" t="s">
        <v>11</v>
      </c>
      <c r="F782" s="465"/>
      <c r="G782" s="467" t="s">
        <v>1459</v>
      </c>
      <c r="H782" s="467"/>
      <c r="I782" s="489"/>
      <c r="J782" s="489"/>
      <c r="K782" s="467"/>
      <c r="L782" s="490"/>
      <c r="M782" s="480"/>
      <c r="N782" s="469"/>
    </row>
    <row r="783" spans="1:14" ht="28.8">
      <c r="A783" s="451">
        <f t="shared" si="12"/>
        <v>777</v>
      </c>
      <c r="B783" s="680"/>
      <c r="D783" s="463" t="s">
        <v>2351</v>
      </c>
      <c r="E783" s="464" t="s">
        <v>11</v>
      </c>
      <c r="F783" s="465"/>
      <c r="G783" s="467" t="s">
        <v>1459</v>
      </c>
      <c r="H783" s="467"/>
      <c r="I783" s="489"/>
      <c r="J783" s="489"/>
      <c r="K783" s="467"/>
      <c r="L783" s="490"/>
      <c r="M783" s="480"/>
      <c r="N783" s="469"/>
    </row>
    <row r="784" spans="1:14">
      <c r="A784" s="451">
        <f t="shared" si="12"/>
        <v>778</v>
      </c>
      <c r="B784" s="680"/>
      <c r="D784" s="463" t="s">
        <v>2023</v>
      </c>
      <c r="E784" s="464" t="s">
        <v>11</v>
      </c>
      <c r="F784" s="465"/>
      <c r="G784" s="467" t="s">
        <v>1459</v>
      </c>
      <c r="H784" s="467"/>
      <c r="I784" s="489"/>
      <c r="J784" s="489"/>
      <c r="K784" s="467"/>
      <c r="L784" s="490"/>
      <c r="M784" s="480"/>
      <c r="N784" s="469"/>
    </row>
    <row r="785" spans="1:14">
      <c r="A785" s="451">
        <f t="shared" si="12"/>
        <v>779</v>
      </c>
      <c r="B785" s="680" t="s">
        <v>728</v>
      </c>
      <c r="C785" s="462" t="s">
        <v>2025</v>
      </c>
      <c r="D785" s="463" t="s">
        <v>2026</v>
      </c>
      <c r="E785" s="464" t="s">
        <v>11</v>
      </c>
      <c r="F785" s="465"/>
      <c r="G785" s="467" t="s">
        <v>1459</v>
      </c>
      <c r="H785" s="467"/>
      <c r="I785" s="489"/>
      <c r="J785" s="489"/>
      <c r="K785" s="467"/>
      <c r="L785" s="490"/>
      <c r="M785" s="480"/>
      <c r="N785" s="469"/>
    </row>
    <row r="786" spans="1:14" ht="28.8">
      <c r="A786" s="451">
        <f t="shared" si="12"/>
        <v>780</v>
      </c>
      <c r="B786" s="680" t="s">
        <v>809</v>
      </c>
      <c r="C786" s="462" t="s">
        <v>2027</v>
      </c>
      <c r="D786" s="463" t="s">
        <v>2392</v>
      </c>
      <c r="E786" s="464" t="s">
        <v>11</v>
      </c>
      <c r="F786" s="465"/>
      <c r="G786" s="467" t="s">
        <v>1459</v>
      </c>
      <c r="H786" s="467"/>
      <c r="I786" s="489"/>
      <c r="J786" s="489"/>
      <c r="K786" s="467"/>
      <c r="L786" s="490"/>
      <c r="M786" s="480"/>
      <c r="N786" s="469"/>
    </row>
    <row r="787" spans="1:14">
      <c r="A787" s="451">
        <f t="shared" si="12"/>
        <v>781</v>
      </c>
      <c r="B787" s="680"/>
      <c r="D787" s="463" t="s">
        <v>2393</v>
      </c>
      <c r="E787" s="464" t="s">
        <v>11</v>
      </c>
      <c r="F787" s="465"/>
      <c r="G787" s="467" t="s">
        <v>1459</v>
      </c>
      <c r="H787" s="467"/>
      <c r="I787" s="489"/>
      <c r="J787" s="489"/>
      <c r="K787" s="467"/>
      <c r="L787" s="490"/>
      <c r="M787" s="480"/>
      <c r="N787" s="469"/>
    </row>
    <row r="788" spans="1:14">
      <c r="A788" s="451">
        <f t="shared" ref="A788" si="13">A787+1</f>
        <v>782</v>
      </c>
      <c r="B788" s="680"/>
      <c r="D788" s="463" t="s">
        <v>2349</v>
      </c>
      <c r="E788" s="464" t="s">
        <v>11</v>
      </c>
      <c r="F788" s="465"/>
      <c r="G788" s="467" t="s">
        <v>1459</v>
      </c>
      <c r="H788" s="467"/>
      <c r="I788" s="489"/>
      <c r="J788" s="489"/>
      <c r="K788" s="467"/>
      <c r="L788" s="490"/>
      <c r="M788" s="480"/>
      <c r="N788" s="469"/>
    </row>
    <row r="789" spans="1:14">
      <c r="A789" s="700"/>
      <c r="B789" s="681"/>
      <c r="C789" s="682"/>
      <c r="D789" s="573"/>
      <c r="E789" s="683"/>
      <c r="F789" s="684"/>
      <c r="G789" s="573"/>
      <c r="H789" s="573"/>
      <c r="I789" s="681"/>
      <c r="J789" s="681"/>
      <c r="K789" s="573"/>
      <c r="L789" s="683"/>
      <c r="M789" s="684"/>
      <c r="N789" s="399"/>
    </row>
    <row r="790" spans="1:14">
      <c r="A790" s="700"/>
      <c r="B790" s="681"/>
      <c r="C790" s="685" t="s">
        <v>2028</v>
      </c>
      <c r="D790" s="686"/>
      <c r="E790" s="683"/>
      <c r="F790" s="687"/>
      <c r="G790" s="573"/>
      <c r="H790" s="573"/>
      <c r="I790" s="573"/>
      <c r="J790" s="573"/>
      <c r="K790" s="573"/>
      <c r="L790" s="573"/>
      <c r="M790" s="573"/>
      <c r="N790" s="399"/>
    </row>
    <row r="791" spans="1:14">
      <c r="A791" s="700"/>
      <c r="B791" s="681"/>
      <c r="C791" s="685" t="s">
        <v>2029</v>
      </c>
      <c r="D791" s="573"/>
      <c r="E791" s="683"/>
      <c r="F791" s="687"/>
      <c r="G791" s="573"/>
      <c r="H791" s="573"/>
      <c r="I791" s="573"/>
      <c r="J791" s="573"/>
      <c r="K791" s="573"/>
      <c r="L791" s="573"/>
      <c r="M791" s="573"/>
      <c r="N791" s="399"/>
    </row>
    <row r="792" spans="1:14">
      <c r="A792" s="700"/>
      <c r="B792" s="681"/>
      <c r="C792" s="685"/>
      <c r="D792" s="573"/>
      <c r="E792" s="683"/>
      <c r="F792" s="687"/>
      <c r="G792" s="573"/>
      <c r="H792" s="573"/>
      <c r="I792" s="573"/>
      <c r="J792" s="573"/>
      <c r="K792" s="573"/>
      <c r="L792" s="573"/>
      <c r="M792" s="573"/>
      <c r="N792" s="399"/>
    </row>
    <row r="793" spans="1:14">
      <c r="A793" s="700"/>
      <c r="B793" s="681"/>
      <c r="C793" s="681" t="s">
        <v>2030</v>
      </c>
      <c r="D793" s="573"/>
      <c r="E793" s="683"/>
      <c r="F793" s="687"/>
      <c r="G793" s="688"/>
      <c r="H793" s="688"/>
      <c r="I793" s="688"/>
      <c r="J793" s="688"/>
      <c r="K793" s="688"/>
      <c r="L793" s="688"/>
      <c r="M793" s="688"/>
      <c r="N793" s="399"/>
    </row>
    <row r="794" spans="1:14">
      <c r="A794" s="700"/>
      <c r="B794" s="681"/>
      <c r="C794" s="681" t="s">
        <v>2031</v>
      </c>
      <c r="D794" s="573"/>
      <c r="E794" s="683"/>
      <c r="F794" s="687"/>
      <c r="G794" s="573"/>
      <c r="H794" s="573"/>
      <c r="I794" s="573"/>
      <c r="J794" s="573"/>
      <c r="K794" s="573"/>
      <c r="L794" s="573"/>
      <c r="M794" s="573"/>
      <c r="N794" s="399"/>
    </row>
    <row r="795" spans="1:14">
      <c r="A795" s="700"/>
      <c r="B795" s="681"/>
      <c r="C795" s="681" t="s">
        <v>2032</v>
      </c>
      <c r="D795" s="573"/>
      <c r="E795" s="683"/>
      <c r="F795" s="687"/>
      <c r="G795" s="573"/>
      <c r="H795" s="573"/>
      <c r="I795" s="573"/>
      <c r="J795" s="573"/>
      <c r="K795" s="573"/>
      <c r="L795" s="573"/>
      <c r="M795" s="573"/>
      <c r="N795" s="399"/>
    </row>
    <row r="796" spans="1:14">
      <c r="A796" s="700"/>
      <c r="B796" s="681"/>
      <c r="C796" s="681" t="s">
        <v>2033</v>
      </c>
      <c r="D796" s="573"/>
      <c r="E796" s="683"/>
      <c r="F796" s="687"/>
      <c r="G796" s="573"/>
      <c r="H796" s="573"/>
      <c r="I796" s="573"/>
      <c r="J796" s="573"/>
      <c r="K796" s="573"/>
      <c r="L796" s="573"/>
      <c r="M796" s="573"/>
      <c r="N796" s="399"/>
    </row>
    <row r="797" spans="1:14">
      <c r="A797" s="700"/>
      <c r="B797" s="681"/>
      <c r="C797" s="681" t="s">
        <v>2034</v>
      </c>
      <c r="D797" s="573"/>
      <c r="E797" s="683"/>
      <c r="F797" s="687"/>
      <c r="G797" s="573"/>
      <c r="H797" s="573"/>
      <c r="I797" s="573"/>
      <c r="J797" s="573"/>
      <c r="K797" s="573"/>
      <c r="L797" s="573"/>
      <c r="M797" s="573"/>
      <c r="N797" s="399"/>
    </row>
    <row r="798" spans="1:14">
      <c r="A798" s="700"/>
      <c r="B798" s="681"/>
      <c r="C798" s="681" t="s">
        <v>2035</v>
      </c>
      <c r="D798" s="573"/>
      <c r="E798" s="683"/>
      <c r="F798" s="687"/>
      <c r="G798" s="573"/>
      <c r="H798" s="573"/>
      <c r="I798" s="573"/>
      <c r="J798" s="573"/>
      <c r="K798" s="573"/>
      <c r="L798" s="573"/>
      <c r="M798" s="573"/>
      <c r="N798" s="399"/>
    </row>
    <row r="799" spans="1:14">
      <c r="A799" s="703"/>
      <c r="B799" s="681"/>
      <c r="C799" s="681" t="s">
        <v>2352</v>
      </c>
      <c r="D799" s="573"/>
      <c r="E799" s="683"/>
      <c r="F799" s="687"/>
      <c r="G799" s="573"/>
      <c r="H799" s="573"/>
      <c r="I799" s="573"/>
      <c r="J799" s="573"/>
      <c r="K799" s="573"/>
      <c r="L799" s="573"/>
      <c r="M799" s="573"/>
      <c r="N799" s="399"/>
    </row>
    <row r="800" spans="1:14" ht="15" thickBot="1">
      <c r="A800" s="704"/>
      <c r="B800" s="705"/>
      <c r="C800" s="778" t="s">
        <v>2250</v>
      </c>
      <c r="D800" s="778"/>
      <c r="E800" s="778"/>
      <c r="F800" s="778"/>
      <c r="G800" s="778"/>
      <c r="H800" s="778"/>
      <c r="I800" s="778"/>
      <c r="J800" s="778"/>
      <c r="K800" s="778"/>
      <c r="L800" s="778"/>
      <c r="M800" s="778"/>
      <c r="N800" s="779"/>
    </row>
  </sheetData>
  <mergeCells count="2">
    <mergeCell ref="G4:M4"/>
    <mergeCell ref="C800:N800"/>
  </mergeCells>
  <hyperlinks>
    <hyperlink ref="D1" location="'Cover Sheets'!A18" display="(Back to Worksheet Links)" xr:uid="{00000000-0004-0000-0A00-000000000000}"/>
  </hyperlinks>
  <pageMargins left="0.7" right="0.7" top="0.75" bottom="0.75" header="0.3" footer="0.3"/>
  <pageSetup scale="44"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80"/>
  <sheetViews>
    <sheetView view="pageBreakPreview" zoomScaleNormal="100" zoomScaleSheetLayoutView="100" workbookViewId="0"/>
  </sheetViews>
  <sheetFormatPr defaultColWidth="9.109375" defaultRowHeight="13.8"/>
  <cols>
    <col min="1" max="1" width="9.109375" style="492"/>
    <col min="2" max="2" width="9.5546875" style="499" customWidth="1"/>
    <col min="3" max="3" width="25" style="499" bestFit="1" customWidth="1"/>
    <col min="4" max="4" width="75.33203125" style="492" customWidth="1"/>
    <col min="5" max="5" width="68" style="492" customWidth="1"/>
    <col min="6" max="16384" width="9.109375" style="492"/>
  </cols>
  <sheetData>
    <row r="1" spans="1:5" ht="15.6">
      <c r="A1" s="753" t="str">
        <f>'Cover Sheets'!A10:D10</f>
        <v>WAPA-UGP 2018 Rate True-up Calculation</v>
      </c>
      <c r="B1" s="716"/>
      <c r="C1" s="716"/>
      <c r="D1" s="717"/>
      <c r="E1" s="729" t="s">
        <v>2543</v>
      </c>
    </row>
    <row r="2" spans="1:5" ht="15.6">
      <c r="A2" s="722" t="s">
        <v>2513</v>
      </c>
      <c r="B2" s="718"/>
      <c r="C2" s="718"/>
      <c r="D2" s="295"/>
      <c r="E2" s="294"/>
    </row>
    <row r="3" spans="1:5" ht="15.6">
      <c r="A3" s="722" t="str">
        <f>'Summary-TrueUp'!A3</f>
        <v>12 Months Ending 09/30/2018 True-up</v>
      </c>
      <c r="B3" s="718"/>
      <c r="C3" s="718"/>
      <c r="D3" s="295"/>
      <c r="E3" s="294"/>
    </row>
    <row r="4" spans="1:5" s="493" customFormat="1">
      <c r="A4" s="719" t="s">
        <v>0</v>
      </c>
      <c r="B4" s="720" t="s">
        <v>1</v>
      </c>
      <c r="C4" s="720" t="s">
        <v>1444</v>
      </c>
      <c r="D4" s="721" t="s">
        <v>2036</v>
      </c>
      <c r="E4" s="730" t="s">
        <v>1455</v>
      </c>
    </row>
    <row r="5" spans="1:5" s="496" customFormat="1">
      <c r="A5" s="494">
        <v>1</v>
      </c>
      <c r="B5" s="495"/>
      <c r="C5" s="495" t="s">
        <v>1456</v>
      </c>
      <c r="E5" s="497"/>
    </row>
    <row r="6" spans="1:5">
      <c r="A6" s="498">
        <f>A5+1</f>
        <v>2</v>
      </c>
      <c r="D6" s="500"/>
      <c r="E6" s="501"/>
    </row>
    <row r="7" spans="1:5">
      <c r="A7" s="494">
        <f>A6+1</f>
        <v>3</v>
      </c>
      <c r="B7" s="499" t="s">
        <v>238</v>
      </c>
      <c r="C7" s="499" t="s">
        <v>1461</v>
      </c>
      <c r="D7" s="492" t="s">
        <v>2037</v>
      </c>
      <c r="E7" s="501" t="s">
        <v>2038</v>
      </c>
    </row>
    <row r="8" spans="1:5">
      <c r="A8" s="498">
        <f>A7+1</f>
        <v>4</v>
      </c>
      <c r="D8" s="492" t="s">
        <v>2039</v>
      </c>
      <c r="E8" s="501"/>
    </row>
    <row r="9" spans="1:5">
      <c r="A9" s="494">
        <f>A8+1</f>
        <v>5</v>
      </c>
      <c r="D9" s="492" t="s">
        <v>2040</v>
      </c>
      <c r="E9" s="501"/>
    </row>
    <row r="10" spans="1:5">
      <c r="A10" s="498">
        <f>A9+1</f>
        <v>6</v>
      </c>
      <c r="B10" s="499" t="s">
        <v>243</v>
      </c>
      <c r="C10" s="499" t="s">
        <v>1473</v>
      </c>
      <c r="D10" s="492" t="s">
        <v>2041</v>
      </c>
      <c r="E10" s="501"/>
    </row>
    <row r="11" spans="1:5">
      <c r="A11" s="494">
        <f t="shared" ref="A11:A74" si="0">A10+1</f>
        <v>7</v>
      </c>
      <c r="B11" s="499" t="s">
        <v>247</v>
      </c>
      <c r="C11" s="499" t="s">
        <v>1478</v>
      </c>
      <c r="D11" s="492" t="s">
        <v>2042</v>
      </c>
      <c r="E11" s="501"/>
    </row>
    <row r="12" spans="1:5">
      <c r="A12" s="498">
        <f t="shared" si="0"/>
        <v>8</v>
      </c>
      <c r="B12" s="499" t="s">
        <v>1484</v>
      </c>
      <c r="C12" s="499" t="s">
        <v>1485</v>
      </c>
      <c r="D12" s="492" t="s">
        <v>2043</v>
      </c>
      <c r="E12" s="501" t="s">
        <v>2044</v>
      </c>
    </row>
    <row r="13" spans="1:5">
      <c r="A13" s="494">
        <f t="shared" si="0"/>
        <v>9</v>
      </c>
      <c r="D13" s="492" t="s">
        <v>2045</v>
      </c>
      <c r="E13" s="501" t="s">
        <v>2046</v>
      </c>
    </row>
    <row r="14" spans="1:5">
      <c r="A14" s="498">
        <f t="shared" si="0"/>
        <v>10</v>
      </c>
      <c r="B14" s="499" t="s">
        <v>619</v>
      </c>
      <c r="C14" s="499" t="s">
        <v>2019</v>
      </c>
      <c r="D14" s="492" t="s">
        <v>2047</v>
      </c>
      <c r="E14" s="501"/>
    </row>
    <row r="15" spans="1:5">
      <c r="A15" s="494">
        <f t="shared" si="0"/>
        <v>11</v>
      </c>
      <c r="B15" s="499" t="s">
        <v>251</v>
      </c>
      <c r="C15" s="499" t="s">
        <v>1493</v>
      </c>
      <c r="D15" s="492" t="s">
        <v>2048</v>
      </c>
      <c r="E15" s="501"/>
    </row>
    <row r="16" spans="1:5">
      <c r="A16" s="498">
        <f t="shared" si="0"/>
        <v>12</v>
      </c>
      <c r="D16" s="492" t="s">
        <v>2049</v>
      </c>
      <c r="E16" s="501" t="s">
        <v>2050</v>
      </c>
    </row>
    <row r="17" spans="1:6">
      <c r="A17" s="494">
        <f t="shared" si="0"/>
        <v>13</v>
      </c>
      <c r="B17" s="499" t="s">
        <v>253</v>
      </c>
      <c r="C17" s="499" t="s">
        <v>1495</v>
      </c>
      <c r="D17" s="492" t="s">
        <v>2051</v>
      </c>
      <c r="E17" s="501" t="s">
        <v>2052</v>
      </c>
    </row>
    <row r="18" spans="1:6">
      <c r="A18" s="498">
        <f t="shared" si="0"/>
        <v>14</v>
      </c>
      <c r="D18" s="492" t="s">
        <v>2053</v>
      </c>
      <c r="E18" s="501" t="s">
        <v>2054</v>
      </c>
    </row>
    <row r="19" spans="1:6">
      <c r="A19" s="494">
        <f t="shared" si="0"/>
        <v>15</v>
      </c>
      <c r="B19" s="499" t="s">
        <v>257</v>
      </c>
      <c r="C19" s="499" t="s">
        <v>1502</v>
      </c>
      <c r="D19" s="492" t="s">
        <v>2055</v>
      </c>
      <c r="E19" s="501" t="s">
        <v>2056</v>
      </c>
    </row>
    <row r="20" spans="1:6">
      <c r="A20" s="498">
        <f t="shared" si="0"/>
        <v>16</v>
      </c>
      <c r="B20" s="499" t="s">
        <v>1509</v>
      </c>
      <c r="C20" s="499" t="s">
        <v>1510</v>
      </c>
      <c r="D20" s="492" t="s">
        <v>2057</v>
      </c>
      <c r="E20" s="501"/>
    </row>
    <row r="21" spans="1:6">
      <c r="A21" s="494">
        <f t="shared" si="0"/>
        <v>17</v>
      </c>
      <c r="D21" s="492" t="s">
        <v>2058</v>
      </c>
      <c r="E21" s="501"/>
      <c r="F21" s="482"/>
    </row>
    <row r="22" spans="1:6">
      <c r="A22" s="498">
        <f t="shared" si="0"/>
        <v>18</v>
      </c>
      <c r="D22" s="492" t="s">
        <v>2059</v>
      </c>
      <c r="E22" s="501" t="s">
        <v>2060</v>
      </c>
    </row>
    <row r="23" spans="1:6">
      <c r="A23" s="494">
        <f t="shared" si="0"/>
        <v>19</v>
      </c>
      <c r="B23" s="499" t="s">
        <v>2061</v>
      </c>
      <c r="C23" s="499" t="s">
        <v>2062</v>
      </c>
      <c r="D23" s="492" t="s">
        <v>2063</v>
      </c>
      <c r="E23" s="501"/>
    </row>
    <row r="24" spans="1:6">
      <c r="A24" s="498">
        <f t="shared" si="0"/>
        <v>20</v>
      </c>
      <c r="B24" s="499" t="s">
        <v>918</v>
      </c>
      <c r="C24" s="499" t="s">
        <v>2064</v>
      </c>
      <c r="D24" s="492" t="s">
        <v>2063</v>
      </c>
      <c r="E24" s="501"/>
    </row>
    <row r="25" spans="1:6">
      <c r="A25" s="494">
        <f t="shared" si="0"/>
        <v>21</v>
      </c>
      <c r="B25" s="499" t="s">
        <v>1529</v>
      </c>
      <c r="C25" s="499" t="s">
        <v>1530</v>
      </c>
      <c r="D25" s="492" t="s">
        <v>2065</v>
      </c>
      <c r="E25" s="501" t="s">
        <v>2066</v>
      </c>
    </row>
    <row r="26" spans="1:6">
      <c r="A26" s="498">
        <f t="shared" si="0"/>
        <v>22</v>
      </c>
      <c r="D26" s="492" t="s">
        <v>2067</v>
      </c>
      <c r="E26" s="501" t="s">
        <v>2068</v>
      </c>
    </row>
    <row r="27" spans="1:6">
      <c r="A27" s="494">
        <f t="shared" si="0"/>
        <v>23</v>
      </c>
      <c r="B27" s="499" t="s">
        <v>267</v>
      </c>
      <c r="C27" s="499" t="s">
        <v>1534</v>
      </c>
      <c r="D27" s="492" t="s">
        <v>2069</v>
      </c>
      <c r="E27" s="501" t="s">
        <v>2070</v>
      </c>
    </row>
    <row r="28" spans="1:6">
      <c r="A28" s="498">
        <f t="shared" si="0"/>
        <v>24</v>
      </c>
      <c r="D28" s="492" t="s">
        <v>2071</v>
      </c>
      <c r="E28" s="501" t="s">
        <v>2072</v>
      </c>
    </row>
    <row r="29" spans="1:6">
      <c r="A29" s="494">
        <f t="shared" si="0"/>
        <v>25</v>
      </c>
      <c r="D29" s="492" t="s">
        <v>2073</v>
      </c>
      <c r="E29" s="501"/>
    </row>
    <row r="30" spans="1:6">
      <c r="A30" s="498">
        <f t="shared" si="0"/>
        <v>26</v>
      </c>
      <c r="D30" s="492" t="s">
        <v>2074</v>
      </c>
      <c r="E30" s="501" t="s">
        <v>2072</v>
      </c>
    </row>
    <row r="31" spans="1:6">
      <c r="A31" s="494">
        <f t="shared" si="0"/>
        <v>27</v>
      </c>
      <c r="B31" s="499" t="s">
        <v>269</v>
      </c>
      <c r="C31" s="499" t="s">
        <v>1539</v>
      </c>
      <c r="D31" s="492" t="s">
        <v>2075</v>
      </c>
      <c r="E31" s="501" t="s">
        <v>2076</v>
      </c>
    </row>
    <row r="32" spans="1:6">
      <c r="A32" s="498">
        <f t="shared" si="0"/>
        <v>28</v>
      </c>
      <c r="B32" s="499" t="s">
        <v>277</v>
      </c>
      <c r="C32" s="499" t="s">
        <v>1559</v>
      </c>
      <c r="D32" s="492" t="s">
        <v>2077</v>
      </c>
      <c r="E32" s="501" t="s">
        <v>2078</v>
      </c>
    </row>
    <row r="33" spans="1:5">
      <c r="A33" s="494">
        <f t="shared" si="0"/>
        <v>29</v>
      </c>
      <c r="B33" s="499" t="s">
        <v>279</v>
      </c>
      <c r="C33" s="499" t="s">
        <v>2079</v>
      </c>
      <c r="D33" s="492" t="s">
        <v>2063</v>
      </c>
      <c r="E33" s="501"/>
    </row>
    <row r="34" spans="1:5">
      <c r="A34" s="498">
        <f t="shared" si="0"/>
        <v>30</v>
      </c>
      <c r="B34" s="499" t="s">
        <v>281</v>
      </c>
      <c r="C34" s="499" t="s">
        <v>1564</v>
      </c>
      <c r="D34" s="492" t="s">
        <v>2080</v>
      </c>
      <c r="E34" s="501" t="s">
        <v>2066</v>
      </c>
    </row>
    <row r="35" spans="1:5">
      <c r="A35" s="494">
        <f t="shared" si="0"/>
        <v>31</v>
      </c>
      <c r="B35" s="499" t="s">
        <v>469</v>
      </c>
      <c r="C35" s="499" t="s">
        <v>1967</v>
      </c>
      <c r="D35" s="492" t="s">
        <v>2081</v>
      </c>
      <c r="E35" s="501"/>
    </row>
    <row r="36" spans="1:5">
      <c r="A36" s="498">
        <f t="shared" si="0"/>
        <v>32</v>
      </c>
      <c r="B36" s="499" t="s">
        <v>283</v>
      </c>
      <c r="C36" s="499" t="s">
        <v>1571</v>
      </c>
      <c r="D36" s="492" t="s">
        <v>2082</v>
      </c>
      <c r="E36" s="501" t="s">
        <v>2083</v>
      </c>
    </row>
    <row r="37" spans="1:5">
      <c r="A37" s="494">
        <f t="shared" si="0"/>
        <v>33</v>
      </c>
      <c r="B37" s="499" t="s">
        <v>285</v>
      </c>
      <c r="C37" s="499" t="s">
        <v>2084</v>
      </c>
      <c r="D37" s="492" t="s">
        <v>2063</v>
      </c>
      <c r="E37" s="501"/>
    </row>
    <row r="38" spans="1:5">
      <c r="A38" s="498">
        <f t="shared" si="0"/>
        <v>34</v>
      </c>
      <c r="B38" s="499" t="s">
        <v>287</v>
      </c>
      <c r="C38" s="499" t="s">
        <v>1581</v>
      </c>
      <c r="D38" s="492" t="s">
        <v>2085</v>
      </c>
      <c r="E38" s="501" t="s">
        <v>2086</v>
      </c>
    </row>
    <row r="39" spans="1:5">
      <c r="A39" s="494">
        <f t="shared" si="0"/>
        <v>35</v>
      </c>
      <c r="D39" s="492" t="s">
        <v>2087</v>
      </c>
      <c r="E39" s="501" t="s">
        <v>2088</v>
      </c>
    </row>
    <row r="40" spans="1:5">
      <c r="A40" s="498">
        <f t="shared" si="0"/>
        <v>36</v>
      </c>
      <c r="B40" s="499" t="s">
        <v>289</v>
      </c>
      <c r="C40" s="499" t="s">
        <v>1591</v>
      </c>
      <c r="D40" s="492" t="s">
        <v>2089</v>
      </c>
      <c r="E40" s="501"/>
    </row>
    <row r="41" spans="1:5">
      <c r="A41" s="494">
        <f t="shared" si="0"/>
        <v>37</v>
      </c>
      <c r="D41" s="492" t="s">
        <v>2090</v>
      </c>
      <c r="E41" s="501" t="s">
        <v>2091</v>
      </c>
    </row>
    <row r="42" spans="1:5">
      <c r="A42" s="498">
        <f t="shared" si="0"/>
        <v>38</v>
      </c>
      <c r="B42" s="499" t="s">
        <v>291</v>
      </c>
      <c r="C42" s="499" t="s">
        <v>1594</v>
      </c>
      <c r="D42" s="492" t="s">
        <v>2092</v>
      </c>
      <c r="E42" s="501"/>
    </row>
    <row r="43" spans="1:5">
      <c r="A43" s="494">
        <f t="shared" si="0"/>
        <v>39</v>
      </c>
      <c r="D43" s="492" t="s">
        <v>2093</v>
      </c>
      <c r="E43" s="501"/>
    </row>
    <row r="44" spans="1:5">
      <c r="A44" s="498">
        <f t="shared" si="0"/>
        <v>40</v>
      </c>
      <c r="D44" s="492" t="s">
        <v>2094</v>
      </c>
      <c r="E44" s="501" t="s">
        <v>2095</v>
      </c>
    </row>
    <row r="45" spans="1:5">
      <c r="A45" s="494">
        <f t="shared" si="0"/>
        <v>41</v>
      </c>
      <c r="D45" s="492" t="s">
        <v>2096</v>
      </c>
      <c r="E45" s="501"/>
    </row>
    <row r="46" spans="1:5">
      <c r="A46" s="498">
        <f t="shared" si="0"/>
        <v>42</v>
      </c>
      <c r="B46" s="499" t="s">
        <v>293</v>
      </c>
      <c r="C46" s="499" t="s">
        <v>1599</v>
      </c>
      <c r="D46" s="492" t="s">
        <v>2097</v>
      </c>
      <c r="E46" s="501"/>
    </row>
    <row r="47" spans="1:5">
      <c r="A47" s="494">
        <f t="shared" si="0"/>
        <v>43</v>
      </c>
      <c r="B47" s="499" t="s">
        <v>297</v>
      </c>
      <c r="C47" s="499" t="s">
        <v>1602</v>
      </c>
      <c r="D47" s="492" t="s">
        <v>2098</v>
      </c>
      <c r="E47" s="501"/>
    </row>
    <row r="48" spans="1:5">
      <c r="A48" s="498">
        <f t="shared" si="0"/>
        <v>44</v>
      </c>
      <c r="B48" s="499" t="s">
        <v>299</v>
      </c>
      <c r="C48" s="499" t="s">
        <v>1604</v>
      </c>
      <c r="D48" s="500" t="s">
        <v>2394</v>
      </c>
      <c r="E48" s="501"/>
    </row>
    <row r="49" spans="1:5">
      <c r="A49" s="494">
        <f t="shared" si="0"/>
        <v>45</v>
      </c>
      <c r="B49" s="499" t="s">
        <v>301</v>
      </c>
      <c r="C49" s="499" t="s">
        <v>1606</v>
      </c>
      <c r="D49" s="492" t="s">
        <v>2099</v>
      </c>
      <c r="E49" s="501" t="s">
        <v>2100</v>
      </c>
    </row>
    <row r="50" spans="1:5">
      <c r="A50" s="498">
        <f t="shared" si="0"/>
        <v>46</v>
      </c>
      <c r="B50" s="499" t="s">
        <v>305</v>
      </c>
      <c r="C50" s="499" t="s">
        <v>1612</v>
      </c>
      <c r="D50" s="492" t="s">
        <v>2101</v>
      </c>
      <c r="E50" s="501"/>
    </row>
    <row r="51" spans="1:5">
      <c r="A51" s="494">
        <f t="shared" si="0"/>
        <v>47</v>
      </c>
      <c r="D51" s="492" t="s">
        <v>2102</v>
      </c>
      <c r="E51" s="501" t="s">
        <v>2103</v>
      </c>
    </row>
    <row r="52" spans="1:5">
      <c r="A52" s="498">
        <f t="shared" si="0"/>
        <v>48</v>
      </c>
      <c r="B52" s="499" t="s">
        <v>920</v>
      </c>
      <c r="C52" s="499" t="s">
        <v>2104</v>
      </c>
      <c r="D52" s="492" t="s">
        <v>2063</v>
      </c>
      <c r="E52" s="501"/>
    </row>
    <row r="53" spans="1:5">
      <c r="A53" s="494">
        <f t="shared" si="0"/>
        <v>49</v>
      </c>
      <c r="B53" s="499" t="s">
        <v>922</v>
      </c>
      <c r="C53" s="499" t="s">
        <v>2105</v>
      </c>
      <c r="D53" s="492" t="s">
        <v>2063</v>
      </c>
      <c r="E53" s="501"/>
    </row>
    <row r="54" spans="1:5">
      <c r="A54" s="498">
        <f t="shared" si="0"/>
        <v>50</v>
      </c>
      <c r="B54" s="499" t="s">
        <v>309</v>
      </c>
      <c r="C54" s="499" t="s">
        <v>1628</v>
      </c>
      <c r="D54" s="492" t="s">
        <v>2106</v>
      </c>
      <c r="E54" s="501" t="s">
        <v>2107</v>
      </c>
    </row>
    <row r="55" spans="1:5">
      <c r="A55" s="494">
        <f t="shared" si="0"/>
        <v>51</v>
      </c>
      <c r="B55" s="499" t="s">
        <v>311</v>
      </c>
      <c r="C55" s="499" t="s">
        <v>1636</v>
      </c>
      <c r="D55" s="492" t="s">
        <v>2108</v>
      </c>
      <c r="E55" s="501"/>
    </row>
    <row r="56" spans="1:5">
      <c r="A56" s="498">
        <f t="shared" si="0"/>
        <v>52</v>
      </c>
      <c r="D56" s="492" t="s">
        <v>2109</v>
      </c>
      <c r="E56" s="501"/>
    </row>
    <row r="57" spans="1:5">
      <c r="A57" s="494">
        <f t="shared" si="0"/>
        <v>53</v>
      </c>
      <c r="D57" s="492" t="s">
        <v>2110</v>
      </c>
      <c r="E57" s="501"/>
    </row>
    <row r="58" spans="1:5">
      <c r="A58" s="498">
        <f t="shared" si="0"/>
        <v>54</v>
      </c>
      <c r="D58" s="492" t="s">
        <v>2111</v>
      </c>
      <c r="E58" s="501" t="s">
        <v>2112</v>
      </c>
    </row>
    <row r="59" spans="1:5">
      <c r="A59" s="494">
        <f t="shared" si="0"/>
        <v>55</v>
      </c>
      <c r="D59" s="492" t="s">
        <v>2113</v>
      </c>
      <c r="E59" s="501"/>
    </row>
    <row r="60" spans="1:5">
      <c r="A60" s="498">
        <f t="shared" si="0"/>
        <v>56</v>
      </c>
      <c r="D60" s="492" t="s">
        <v>2114</v>
      </c>
      <c r="E60" s="501" t="s">
        <v>2115</v>
      </c>
    </row>
    <row r="61" spans="1:5">
      <c r="A61" s="494">
        <f t="shared" si="0"/>
        <v>57</v>
      </c>
      <c r="B61" s="499" t="s">
        <v>313</v>
      </c>
      <c r="C61" s="499" t="s">
        <v>1997</v>
      </c>
      <c r="D61" s="492" t="s">
        <v>2116</v>
      </c>
      <c r="E61" s="501"/>
    </row>
    <row r="62" spans="1:5">
      <c r="A62" s="498">
        <f t="shared" si="0"/>
        <v>58</v>
      </c>
      <c r="B62" s="499" t="s">
        <v>317</v>
      </c>
      <c r="C62" s="499" t="s">
        <v>1642</v>
      </c>
      <c r="D62" s="492" t="s">
        <v>2117</v>
      </c>
      <c r="E62" s="501" t="s">
        <v>2118</v>
      </c>
    </row>
    <row r="63" spans="1:5">
      <c r="A63" s="494">
        <f t="shared" si="0"/>
        <v>59</v>
      </c>
      <c r="B63" s="499" t="s">
        <v>928</v>
      </c>
      <c r="C63" s="499" t="s">
        <v>2119</v>
      </c>
      <c r="D63" s="492" t="s">
        <v>2063</v>
      </c>
      <c r="E63" s="501"/>
    </row>
    <row r="64" spans="1:5">
      <c r="A64" s="498">
        <f t="shared" si="0"/>
        <v>60</v>
      </c>
      <c r="B64" s="499" t="s">
        <v>724</v>
      </c>
      <c r="C64" s="499" t="s">
        <v>2024</v>
      </c>
      <c r="D64" s="492" t="s">
        <v>2120</v>
      </c>
      <c r="E64" s="501" t="s">
        <v>2121</v>
      </c>
    </row>
    <row r="65" spans="1:5">
      <c r="A65" s="494">
        <f t="shared" si="0"/>
        <v>61</v>
      </c>
      <c r="B65" s="499" t="s">
        <v>728</v>
      </c>
      <c r="C65" s="499" t="s">
        <v>2025</v>
      </c>
      <c r="D65" s="492" t="s">
        <v>2122</v>
      </c>
      <c r="E65" s="501" t="s">
        <v>2121</v>
      </c>
    </row>
    <row r="66" spans="1:5">
      <c r="A66" s="498">
        <f t="shared" si="0"/>
        <v>62</v>
      </c>
      <c r="B66" s="499" t="s">
        <v>2123</v>
      </c>
      <c r="C66" s="499" t="s">
        <v>2124</v>
      </c>
      <c r="D66" s="492" t="s">
        <v>2063</v>
      </c>
      <c r="E66" s="501"/>
    </row>
    <row r="67" spans="1:5">
      <c r="A67" s="494">
        <f t="shared" si="0"/>
        <v>63</v>
      </c>
      <c r="B67" s="499" t="s">
        <v>932</v>
      </c>
      <c r="C67" s="499" t="s">
        <v>2125</v>
      </c>
      <c r="D67" s="492" t="s">
        <v>2063</v>
      </c>
      <c r="E67" s="501"/>
    </row>
    <row r="68" spans="1:5">
      <c r="A68" s="498">
        <f t="shared" si="0"/>
        <v>64</v>
      </c>
      <c r="B68" s="499" t="s">
        <v>325</v>
      </c>
      <c r="C68" s="499" t="s">
        <v>1679</v>
      </c>
      <c r="D68" s="492" t="s">
        <v>2126</v>
      </c>
      <c r="E68" s="501" t="s">
        <v>2127</v>
      </c>
    </row>
    <row r="69" spans="1:5">
      <c r="A69" s="494">
        <f t="shared" si="0"/>
        <v>65</v>
      </c>
      <c r="D69" s="492" t="s">
        <v>2128</v>
      </c>
      <c r="E69" s="501"/>
    </row>
    <row r="70" spans="1:5">
      <c r="A70" s="498">
        <f t="shared" si="0"/>
        <v>66</v>
      </c>
      <c r="D70" s="492" t="s">
        <v>2129</v>
      </c>
      <c r="E70" s="501"/>
    </row>
    <row r="71" spans="1:5">
      <c r="A71" s="494">
        <f t="shared" si="0"/>
        <v>67</v>
      </c>
      <c r="B71" s="499" t="s">
        <v>329</v>
      </c>
      <c r="C71" s="499" t="s">
        <v>1696</v>
      </c>
      <c r="D71" s="492" t="s">
        <v>2130</v>
      </c>
      <c r="E71" s="501" t="s">
        <v>2066</v>
      </c>
    </row>
    <row r="72" spans="1:5">
      <c r="A72" s="498">
        <f t="shared" si="0"/>
        <v>68</v>
      </c>
      <c r="D72" s="492" t="s">
        <v>2131</v>
      </c>
      <c r="E72" s="501"/>
    </row>
    <row r="73" spans="1:5">
      <c r="A73" s="494">
        <f t="shared" si="0"/>
        <v>69</v>
      </c>
      <c r="B73" s="499" t="s">
        <v>331</v>
      </c>
      <c r="C73" s="499" t="s">
        <v>1699</v>
      </c>
      <c r="D73" s="492" t="s">
        <v>2043</v>
      </c>
      <c r="E73" s="501" t="s">
        <v>2044</v>
      </c>
    </row>
    <row r="74" spans="1:5">
      <c r="A74" s="498">
        <f t="shared" si="0"/>
        <v>70</v>
      </c>
      <c r="B74" s="499" t="s">
        <v>333</v>
      </c>
      <c r="C74" s="499" t="s">
        <v>1707</v>
      </c>
      <c r="D74" s="492" t="s">
        <v>2132</v>
      </c>
      <c r="E74" s="501" t="s">
        <v>2133</v>
      </c>
    </row>
    <row r="75" spans="1:5">
      <c r="A75" s="494">
        <f t="shared" ref="A75:A141" si="1">A74+1</f>
        <v>71</v>
      </c>
      <c r="B75" s="499" t="s">
        <v>335</v>
      </c>
      <c r="C75" s="499" t="s">
        <v>1715</v>
      </c>
      <c r="D75" s="492" t="s">
        <v>2134</v>
      </c>
      <c r="E75" s="501" t="s">
        <v>2135</v>
      </c>
    </row>
    <row r="76" spans="1:5">
      <c r="A76" s="498">
        <f t="shared" si="1"/>
        <v>72</v>
      </c>
      <c r="B76" s="499" t="s">
        <v>337</v>
      </c>
      <c r="C76" s="499" t="s">
        <v>1717</v>
      </c>
      <c r="D76" s="492" t="s">
        <v>2136</v>
      </c>
      <c r="E76" s="501"/>
    </row>
    <row r="77" spans="1:5">
      <c r="A77" s="494">
        <f t="shared" si="1"/>
        <v>73</v>
      </c>
      <c r="D77" s="492" t="s">
        <v>1632</v>
      </c>
      <c r="E77" s="501"/>
    </row>
    <row r="78" spans="1:5">
      <c r="A78" s="498">
        <f t="shared" si="1"/>
        <v>74</v>
      </c>
      <c r="D78" s="492" t="s">
        <v>2137</v>
      </c>
      <c r="E78" s="501" t="s">
        <v>2044</v>
      </c>
    </row>
    <row r="79" spans="1:5">
      <c r="A79" s="494">
        <f t="shared" si="1"/>
        <v>75</v>
      </c>
      <c r="B79" s="499" t="s">
        <v>934</v>
      </c>
      <c r="C79" s="499" t="s">
        <v>2138</v>
      </c>
      <c r="D79" s="492" t="s">
        <v>2063</v>
      </c>
      <c r="E79" s="501"/>
    </row>
    <row r="80" spans="1:5">
      <c r="A80" s="498">
        <f t="shared" si="1"/>
        <v>76</v>
      </c>
      <c r="B80" s="499" t="s">
        <v>2139</v>
      </c>
      <c r="C80" s="499" t="s">
        <v>2140</v>
      </c>
      <c r="D80" s="492" t="s">
        <v>2063</v>
      </c>
      <c r="E80" s="501"/>
    </row>
    <row r="81" spans="1:5">
      <c r="A81" s="494">
        <f t="shared" si="1"/>
        <v>77</v>
      </c>
      <c r="B81" s="499" t="s">
        <v>339</v>
      </c>
      <c r="C81" s="499" t="s">
        <v>1722</v>
      </c>
      <c r="D81" s="492" t="s">
        <v>2141</v>
      </c>
      <c r="E81" s="501"/>
    </row>
    <row r="82" spans="1:5">
      <c r="A82" s="498">
        <f t="shared" si="1"/>
        <v>78</v>
      </c>
      <c r="D82" s="492" t="s">
        <v>2142</v>
      </c>
      <c r="E82" s="501"/>
    </row>
    <row r="83" spans="1:5">
      <c r="A83" s="494">
        <f t="shared" si="1"/>
        <v>79</v>
      </c>
      <c r="D83" s="492" t="s">
        <v>2143</v>
      </c>
      <c r="E83" s="501" t="s">
        <v>2144</v>
      </c>
    </row>
    <row r="84" spans="1:5">
      <c r="A84" s="498">
        <f t="shared" si="1"/>
        <v>80</v>
      </c>
      <c r="D84" s="492" t="s">
        <v>2145</v>
      </c>
      <c r="E84" s="501"/>
    </row>
    <row r="85" spans="1:5">
      <c r="A85" s="494">
        <f t="shared" si="1"/>
        <v>81</v>
      </c>
      <c r="B85" s="499" t="s">
        <v>341</v>
      </c>
      <c r="C85" s="499" t="s">
        <v>1733</v>
      </c>
      <c r="D85" s="492" t="s">
        <v>2146</v>
      </c>
      <c r="E85" s="501"/>
    </row>
    <row r="86" spans="1:5">
      <c r="A86" s="498">
        <f t="shared" si="1"/>
        <v>82</v>
      </c>
      <c r="D86" s="492" t="s">
        <v>2147</v>
      </c>
      <c r="E86" s="501" t="s">
        <v>2148</v>
      </c>
    </row>
    <row r="87" spans="1:5">
      <c r="A87" s="494">
        <f t="shared" si="1"/>
        <v>83</v>
      </c>
      <c r="B87" s="499" t="s">
        <v>343</v>
      </c>
      <c r="C87" s="499" t="s">
        <v>1737</v>
      </c>
      <c r="D87" s="492" t="s">
        <v>2149</v>
      </c>
      <c r="E87" s="501" t="s">
        <v>2150</v>
      </c>
    </row>
    <row r="88" spans="1:5">
      <c r="A88" s="498">
        <f t="shared" si="1"/>
        <v>84</v>
      </c>
      <c r="D88" s="492" t="s">
        <v>2151</v>
      </c>
      <c r="E88" s="501"/>
    </row>
    <row r="89" spans="1:5" ht="14.4">
      <c r="A89" s="494">
        <f t="shared" si="1"/>
        <v>85</v>
      </c>
      <c r="D89" s="463" t="s">
        <v>1739</v>
      </c>
      <c r="E89" s="501"/>
    </row>
    <row r="90" spans="1:5">
      <c r="A90" s="498">
        <f t="shared" si="1"/>
        <v>86</v>
      </c>
      <c r="B90" s="499" t="s">
        <v>345</v>
      </c>
      <c r="C90" s="499" t="s">
        <v>1741</v>
      </c>
      <c r="D90" s="492" t="s">
        <v>2152</v>
      </c>
      <c r="E90" s="501"/>
    </row>
    <row r="91" spans="1:5">
      <c r="A91" s="494">
        <f t="shared" si="1"/>
        <v>87</v>
      </c>
      <c r="D91" s="492" t="s">
        <v>2153</v>
      </c>
      <c r="E91" s="501" t="s">
        <v>2050</v>
      </c>
    </row>
    <row r="92" spans="1:5">
      <c r="A92" s="498">
        <f t="shared" si="1"/>
        <v>88</v>
      </c>
      <c r="B92" s="499" t="s">
        <v>351</v>
      </c>
      <c r="C92" s="499" t="s">
        <v>1753</v>
      </c>
      <c r="D92" s="492" t="s">
        <v>2154</v>
      </c>
      <c r="E92" s="501"/>
    </row>
    <row r="93" spans="1:5">
      <c r="A93" s="494">
        <f t="shared" si="1"/>
        <v>89</v>
      </c>
      <c r="D93" s="492" t="s">
        <v>2155</v>
      </c>
      <c r="E93" s="501" t="s">
        <v>2156</v>
      </c>
    </row>
    <row r="94" spans="1:5">
      <c r="A94" s="498">
        <f t="shared" si="1"/>
        <v>90</v>
      </c>
      <c r="B94" s="499" t="s">
        <v>353</v>
      </c>
      <c r="C94" s="499" t="s">
        <v>1755</v>
      </c>
      <c r="D94" s="492" t="s">
        <v>2157</v>
      </c>
      <c r="E94" s="501"/>
    </row>
    <row r="95" spans="1:5">
      <c r="A95" s="494">
        <f t="shared" si="1"/>
        <v>91</v>
      </c>
      <c r="D95" s="492" t="s">
        <v>2510</v>
      </c>
      <c r="E95" s="501"/>
    </row>
    <row r="96" spans="1:5">
      <c r="A96" s="498">
        <f t="shared" si="1"/>
        <v>92</v>
      </c>
      <c r="D96" s="492" t="s">
        <v>2158</v>
      </c>
      <c r="E96" s="501" t="s">
        <v>2159</v>
      </c>
    </row>
    <row r="97" spans="1:5">
      <c r="A97" s="494">
        <f t="shared" si="1"/>
        <v>93</v>
      </c>
      <c r="B97" s="499" t="s">
        <v>355</v>
      </c>
      <c r="C97" s="499" t="s">
        <v>1761</v>
      </c>
      <c r="D97" s="492" t="s">
        <v>2160</v>
      </c>
      <c r="E97" s="501"/>
    </row>
    <row r="98" spans="1:5">
      <c r="A98" s="498">
        <f t="shared" si="1"/>
        <v>94</v>
      </c>
      <c r="B98" s="499" t="s">
        <v>363</v>
      </c>
      <c r="C98" s="499" t="s">
        <v>1775</v>
      </c>
      <c r="D98" s="492" t="s">
        <v>2161</v>
      </c>
      <c r="E98" s="501" t="s">
        <v>2162</v>
      </c>
    </row>
    <row r="99" spans="1:5">
      <c r="A99" s="494">
        <f t="shared" si="1"/>
        <v>95</v>
      </c>
      <c r="B99" s="499" t="s">
        <v>365</v>
      </c>
      <c r="C99" s="499" t="s">
        <v>1781</v>
      </c>
      <c r="D99" s="492" t="s">
        <v>2163</v>
      </c>
      <c r="E99" s="501"/>
    </row>
    <row r="100" spans="1:5">
      <c r="A100" s="498">
        <f t="shared" si="1"/>
        <v>96</v>
      </c>
      <c r="D100" s="492" t="s">
        <v>2164</v>
      </c>
      <c r="E100" s="501"/>
    </row>
    <row r="101" spans="1:5">
      <c r="A101" s="494">
        <f t="shared" si="1"/>
        <v>97</v>
      </c>
      <c r="D101" s="492" t="s">
        <v>2165</v>
      </c>
      <c r="E101" s="501"/>
    </row>
    <row r="102" spans="1:5">
      <c r="A102" s="498">
        <f t="shared" si="1"/>
        <v>98</v>
      </c>
      <c r="B102" s="499" t="s">
        <v>367</v>
      </c>
      <c r="C102" s="499" t="s">
        <v>1785</v>
      </c>
      <c r="D102" s="492" t="s">
        <v>2166</v>
      </c>
      <c r="E102" s="501" t="s">
        <v>2044</v>
      </c>
    </row>
    <row r="103" spans="1:5">
      <c r="A103" s="494">
        <f t="shared" si="1"/>
        <v>99</v>
      </c>
      <c r="B103" s="499" t="s">
        <v>2167</v>
      </c>
      <c r="C103" s="499" t="s">
        <v>2168</v>
      </c>
      <c r="D103" s="492" t="s">
        <v>2063</v>
      </c>
      <c r="E103" s="501"/>
    </row>
    <row r="104" spans="1:5">
      <c r="A104" s="498">
        <f t="shared" si="1"/>
        <v>100</v>
      </c>
      <c r="B104" s="499" t="s">
        <v>369</v>
      </c>
      <c r="C104" s="499" t="s">
        <v>1789</v>
      </c>
      <c r="D104" s="492" t="s">
        <v>2169</v>
      </c>
      <c r="E104" s="501"/>
    </row>
    <row r="105" spans="1:5">
      <c r="A105" s="494">
        <f t="shared" si="1"/>
        <v>101</v>
      </c>
      <c r="B105" s="499" t="s">
        <v>373</v>
      </c>
      <c r="C105" s="499" t="s">
        <v>1797</v>
      </c>
      <c r="D105" s="492" t="s">
        <v>2170</v>
      </c>
      <c r="E105" s="501" t="s">
        <v>2171</v>
      </c>
    </row>
    <row r="106" spans="1:5">
      <c r="A106" s="498">
        <f t="shared" si="1"/>
        <v>102</v>
      </c>
      <c r="B106" s="499" t="s">
        <v>371</v>
      </c>
      <c r="C106" s="499" t="s">
        <v>1790</v>
      </c>
      <c r="D106" s="492" t="s">
        <v>2172</v>
      </c>
      <c r="E106" s="501"/>
    </row>
    <row r="107" spans="1:5">
      <c r="A107" s="494">
        <f t="shared" si="1"/>
        <v>103</v>
      </c>
      <c r="B107" s="499" t="s">
        <v>809</v>
      </c>
      <c r="C107" s="499" t="s">
        <v>2027</v>
      </c>
      <c r="D107" s="492" t="s">
        <v>2173</v>
      </c>
      <c r="E107" s="501" t="s">
        <v>2135</v>
      </c>
    </row>
    <row r="108" spans="1:5">
      <c r="A108" s="498">
        <f t="shared" si="1"/>
        <v>104</v>
      </c>
      <c r="D108" s="492" t="s">
        <v>2069</v>
      </c>
      <c r="E108" s="501" t="s">
        <v>2135</v>
      </c>
    </row>
    <row r="109" spans="1:5">
      <c r="A109" s="494">
        <f t="shared" si="1"/>
        <v>105</v>
      </c>
      <c r="B109" s="499" t="s">
        <v>375</v>
      </c>
      <c r="C109" s="499" t="s">
        <v>1801</v>
      </c>
      <c r="D109" s="492" t="s">
        <v>2174</v>
      </c>
      <c r="E109" s="501" t="s">
        <v>2175</v>
      </c>
    </row>
    <row r="110" spans="1:5">
      <c r="A110" s="498">
        <f t="shared" si="1"/>
        <v>106</v>
      </c>
      <c r="B110" s="499" t="s">
        <v>491</v>
      </c>
      <c r="C110" s="499" t="s">
        <v>1971</v>
      </c>
      <c r="D110" s="492" t="s">
        <v>2176</v>
      </c>
      <c r="E110" s="501"/>
    </row>
    <row r="111" spans="1:5">
      <c r="A111" s="494">
        <f t="shared" si="1"/>
        <v>107</v>
      </c>
      <c r="B111" s="499" t="s">
        <v>377</v>
      </c>
      <c r="C111" s="499" t="s">
        <v>1809</v>
      </c>
      <c r="D111" s="492" t="s">
        <v>2177</v>
      </c>
      <c r="E111" s="501"/>
    </row>
    <row r="112" spans="1:5">
      <c r="A112" s="498">
        <f t="shared" si="1"/>
        <v>108</v>
      </c>
      <c r="D112" s="492" t="s">
        <v>1634</v>
      </c>
      <c r="E112" s="501" t="s">
        <v>2118</v>
      </c>
    </row>
    <row r="113" spans="1:5">
      <c r="A113" s="494">
        <f t="shared" si="1"/>
        <v>109</v>
      </c>
      <c r="B113" s="499" t="s">
        <v>379</v>
      </c>
      <c r="C113" s="499" t="s">
        <v>1812</v>
      </c>
      <c r="D113" s="492" t="s">
        <v>2178</v>
      </c>
      <c r="E113" s="501"/>
    </row>
    <row r="114" spans="1:5">
      <c r="A114" s="498">
        <f t="shared" si="1"/>
        <v>110</v>
      </c>
      <c r="D114" s="492" t="s">
        <v>2179</v>
      </c>
      <c r="E114" s="501" t="s">
        <v>2180</v>
      </c>
    </row>
    <row r="115" spans="1:5">
      <c r="A115" s="494">
        <f t="shared" si="1"/>
        <v>111</v>
      </c>
      <c r="B115" s="499" t="s">
        <v>493</v>
      </c>
      <c r="C115" s="499" t="s">
        <v>1972</v>
      </c>
      <c r="D115" s="492" t="s">
        <v>2181</v>
      </c>
      <c r="E115" s="501"/>
    </row>
    <row r="116" spans="1:5">
      <c r="A116" s="498">
        <f t="shared" si="1"/>
        <v>112</v>
      </c>
      <c r="B116" s="499" t="s">
        <v>383</v>
      </c>
      <c r="C116" s="499" t="s">
        <v>1819</v>
      </c>
      <c r="D116" s="492" t="s">
        <v>2182</v>
      </c>
      <c r="E116" s="501"/>
    </row>
    <row r="117" spans="1:5">
      <c r="A117" s="494">
        <f t="shared" si="1"/>
        <v>113</v>
      </c>
      <c r="B117" s="499" t="s">
        <v>385</v>
      </c>
      <c r="C117" s="499" t="s">
        <v>2183</v>
      </c>
      <c r="D117" s="492" t="s">
        <v>2063</v>
      </c>
      <c r="E117" s="501"/>
    </row>
    <row r="118" spans="1:5">
      <c r="A118" s="498">
        <f t="shared" si="1"/>
        <v>114</v>
      </c>
      <c r="B118" s="499" t="s">
        <v>389</v>
      </c>
      <c r="C118" s="499" t="s">
        <v>1826</v>
      </c>
      <c r="D118" s="492" t="s">
        <v>2184</v>
      </c>
      <c r="E118" s="501"/>
    </row>
    <row r="119" spans="1:5">
      <c r="A119" s="494">
        <f t="shared" si="1"/>
        <v>115</v>
      </c>
      <c r="D119" s="492" t="s">
        <v>2185</v>
      </c>
      <c r="E119" s="501" t="s">
        <v>2133</v>
      </c>
    </row>
    <row r="120" spans="1:5">
      <c r="A120" s="498">
        <f t="shared" si="1"/>
        <v>116</v>
      </c>
      <c r="D120" s="492" t="s">
        <v>2186</v>
      </c>
      <c r="E120" s="501" t="s">
        <v>2133</v>
      </c>
    </row>
    <row r="121" spans="1:5">
      <c r="A121" s="494">
        <f t="shared" si="1"/>
        <v>117</v>
      </c>
      <c r="B121" s="499" t="s">
        <v>391</v>
      </c>
      <c r="C121" s="499" t="s">
        <v>1829</v>
      </c>
      <c r="D121" s="492" t="s">
        <v>2319</v>
      </c>
      <c r="E121" s="501"/>
    </row>
    <row r="122" spans="1:5">
      <c r="A122" s="498">
        <f t="shared" si="1"/>
        <v>118</v>
      </c>
      <c r="D122" s="492" t="s">
        <v>2111</v>
      </c>
      <c r="E122" s="501" t="s">
        <v>2095</v>
      </c>
    </row>
    <row r="123" spans="1:5">
      <c r="A123" s="494">
        <f t="shared" si="1"/>
        <v>119</v>
      </c>
      <c r="B123" s="499" t="s">
        <v>938</v>
      </c>
      <c r="C123" s="499" t="s">
        <v>2187</v>
      </c>
      <c r="D123" s="492" t="s">
        <v>2063</v>
      </c>
      <c r="E123" s="501"/>
    </row>
    <row r="124" spans="1:5">
      <c r="A124" s="498">
        <f t="shared" si="1"/>
        <v>120</v>
      </c>
      <c r="B124" s="499" t="s">
        <v>397</v>
      </c>
      <c r="C124" s="499" t="s">
        <v>2188</v>
      </c>
      <c r="D124" s="492" t="s">
        <v>2063</v>
      </c>
      <c r="E124" s="501"/>
    </row>
    <row r="125" spans="1:5">
      <c r="A125" s="494">
        <f t="shared" si="1"/>
        <v>121</v>
      </c>
      <c r="B125" s="499" t="s">
        <v>397</v>
      </c>
      <c r="C125" s="499" t="s">
        <v>1833</v>
      </c>
      <c r="D125" s="492" t="s">
        <v>2069</v>
      </c>
      <c r="E125" s="501" t="s">
        <v>2189</v>
      </c>
    </row>
    <row r="126" spans="1:5">
      <c r="A126" s="498">
        <f t="shared" si="1"/>
        <v>122</v>
      </c>
      <c r="B126" s="499" t="s">
        <v>940</v>
      </c>
      <c r="C126" s="499" t="s">
        <v>2190</v>
      </c>
      <c r="D126" s="492" t="s">
        <v>2063</v>
      </c>
      <c r="E126" s="501"/>
    </row>
    <row r="127" spans="1:5">
      <c r="A127" s="494">
        <f t="shared" si="1"/>
        <v>123</v>
      </c>
      <c r="B127" s="499" t="s">
        <v>403</v>
      </c>
      <c r="C127" s="499" t="s">
        <v>1853</v>
      </c>
      <c r="D127" s="492" t="s">
        <v>2191</v>
      </c>
      <c r="E127" s="501" t="s">
        <v>2044</v>
      </c>
    </row>
    <row r="128" spans="1:5">
      <c r="A128" s="498">
        <f t="shared" si="1"/>
        <v>124</v>
      </c>
      <c r="D128" s="492" t="s">
        <v>2043</v>
      </c>
      <c r="E128" s="501" t="s">
        <v>2044</v>
      </c>
    </row>
    <row r="129" spans="1:5">
      <c r="A129" s="494">
        <f t="shared" si="1"/>
        <v>125</v>
      </c>
      <c r="B129" s="499" t="s">
        <v>405</v>
      </c>
      <c r="C129" s="499" t="s">
        <v>1859</v>
      </c>
      <c r="D129" s="492" t="s">
        <v>2192</v>
      </c>
      <c r="E129" s="501" t="s">
        <v>2193</v>
      </c>
    </row>
    <row r="130" spans="1:5">
      <c r="A130" s="498">
        <f t="shared" si="1"/>
        <v>126</v>
      </c>
      <c r="B130" s="499" t="s">
        <v>409</v>
      </c>
      <c r="C130" s="499" t="s">
        <v>1863</v>
      </c>
      <c r="D130" s="492" t="s">
        <v>2194</v>
      </c>
      <c r="E130" s="501"/>
    </row>
    <row r="131" spans="1:5">
      <c r="A131" s="494">
        <f t="shared" si="1"/>
        <v>127</v>
      </c>
      <c r="D131" s="492" t="s">
        <v>2195</v>
      </c>
      <c r="E131" s="501"/>
    </row>
    <row r="132" spans="1:5">
      <c r="A132" s="498">
        <f t="shared" si="1"/>
        <v>128</v>
      </c>
      <c r="D132" s="492" t="s">
        <v>2196</v>
      </c>
      <c r="E132" s="501"/>
    </row>
    <row r="133" spans="1:5">
      <c r="A133" s="494">
        <f t="shared" si="1"/>
        <v>129</v>
      </c>
      <c r="B133" s="499" t="s">
        <v>943</v>
      </c>
      <c r="C133" s="499" t="s">
        <v>2197</v>
      </c>
      <c r="D133" s="492" t="s">
        <v>2063</v>
      </c>
      <c r="E133" s="501"/>
    </row>
    <row r="134" spans="1:5">
      <c r="A134" s="498">
        <f t="shared" si="1"/>
        <v>130</v>
      </c>
      <c r="B134" s="499" t="s">
        <v>499</v>
      </c>
      <c r="C134" s="499" t="s">
        <v>1976</v>
      </c>
      <c r="D134" s="492" t="s">
        <v>2198</v>
      </c>
      <c r="E134" s="501"/>
    </row>
    <row r="135" spans="1:5">
      <c r="A135" s="494">
        <f t="shared" si="1"/>
        <v>131</v>
      </c>
      <c r="D135" s="492" t="s">
        <v>2199</v>
      </c>
      <c r="E135" s="501" t="s">
        <v>2200</v>
      </c>
    </row>
    <row r="136" spans="1:5">
      <c r="A136" s="498">
        <f t="shared" si="1"/>
        <v>132</v>
      </c>
      <c r="B136" s="499" t="s">
        <v>944</v>
      </c>
      <c r="C136" s="499" t="s">
        <v>1869</v>
      </c>
      <c r="D136" s="492" t="s">
        <v>2201</v>
      </c>
      <c r="E136" s="501"/>
    </row>
    <row r="137" spans="1:5">
      <c r="A137" s="494">
        <f t="shared" si="1"/>
        <v>133</v>
      </c>
      <c r="D137" s="492" t="s">
        <v>2202</v>
      </c>
      <c r="E137" s="501" t="s">
        <v>2054</v>
      </c>
    </row>
    <row r="138" spans="1:5">
      <c r="A138" s="498">
        <f t="shared" si="1"/>
        <v>134</v>
      </c>
      <c r="B138" s="499" t="s">
        <v>411</v>
      </c>
      <c r="C138" s="499" t="s">
        <v>1872</v>
      </c>
      <c r="D138" s="492" t="s">
        <v>2108</v>
      </c>
      <c r="E138" s="501" t="s">
        <v>2044</v>
      </c>
    </row>
    <row r="139" spans="1:5">
      <c r="A139" s="494">
        <f t="shared" si="1"/>
        <v>135</v>
      </c>
      <c r="D139" s="492" t="s">
        <v>2203</v>
      </c>
      <c r="E139" s="501" t="s">
        <v>2066</v>
      </c>
    </row>
    <row r="140" spans="1:5">
      <c r="A140" s="498">
        <f t="shared" si="1"/>
        <v>136</v>
      </c>
      <c r="B140" s="499" t="s">
        <v>415</v>
      </c>
      <c r="C140" s="499" t="s">
        <v>1879</v>
      </c>
      <c r="D140" s="492" t="s">
        <v>2204</v>
      </c>
      <c r="E140" s="501" t="s">
        <v>2205</v>
      </c>
    </row>
    <row r="141" spans="1:5">
      <c r="A141" s="494">
        <f t="shared" si="1"/>
        <v>137</v>
      </c>
      <c r="B141" s="499" t="s">
        <v>421</v>
      </c>
      <c r="C141" s="499" t="s">
        <v>1886</v>
      </c>
      <c r="D141" s="492" t="s">
        <v>2206</v>
      </c>
      <c r="E141" s="501"/>
    </row>
    <row r="142" spans="1:5">
      <c r="A142" s="498">
        <f t="shared" ref="A142:A177" si="2">A141+1</f>
        <v>138</v>
      </c>
      <c r="D142" s="492" t="s">
        <v>2207</v>
      </c>
      <c r="E142" s="501" t="s">
        <v>2208</v>
      </c>
    </row>
    <row r="143" spans="1:5">
      <c r="A143" s="494">
        <f t="shared" si="2"/>
        <v>139</v>
      </c>
      <c r="B143" s="499" t="s">
        <v>423</v>
      </c>
      <c r="C143" s="499" t="s">
        <v>1889</v>
      </c>
      <c r="D143" s="492" t="s">
        <v>2209</v>
      </c>
      <c r="E143" s="501"/>
    </row>
    <row r="144" spans="1:5">
      <c r="A144" s="498">
        <f t="shared" si="2"/>
        <v>140</v>
      </c>
      <c r="B144" s="499" t="s">
        <v>425</v>
      </c>
      <c r="C144" s="499" t="s">
        <v>1891</v>
      </c>
      <c r="D144" s="492" t="s">
        <v>2210</v>
      </c>
      <c r="E144" s="501"/>
    </row>
    <row r="145" spans="1:5">
      <c r="A145" s="494">
        <f t="shared" si="2"/>
        <v>141</v>
      </c>
      <c r="D145" s="492" t="s">
        <v>2211</v>
      </c>
      <c r="E145" s="501" t="s">
        <v>2212</v>
      </c>
    </row>
    <row r="146" spans="1:5">
      <c r="A146" s="498">
        <f t="shared" si="2"/>
        <v>142</v>
      </c>
      <c r="B146" s="499" t="s">
        <v>433</v>
      </c>
      <c r="C146" s="499" t="s">
        <v>1911</v>
      </c>
      <c r="D146" s="492" t="s">
        <v>2065</v>
      </c>
      <c r="E146" s="501" t="s">
        <v>2066</v>
      </c>
    </row>
    <row r="147" spans="1:5">
      <c r="A147" s="494">
        <f t="shared" si="2"/>
        <v>143</v>
      </c>
      <c r="B147" s="499" t="s">
        <v>435</v>
      </c>
      <c r="C147" s="499" t="s">
        <v>1920</v>
      </c>
      <c r="D147" s="492" t="s">
        <v>2213</v>
      </c>
      <c r="E147" s="501" t="s">
        <v>2214</v>
      </c>
    </row>
    <row r="148" spans="1:5">
      <c r="A148" s="498">
        <f t="shared" si="2"/>
        <v>144</v>
      </c>
      <c r="B148" s="499" t="s">
        <v>1923</v>
      </c>
      <c r="C148" s="499" t="s">
        <v>1924</v>
      </c>
      <c r="D148" s="492" t="s">
        <v>2215</v>
      </c>
      <c r="E148" s="501"/>
    </row>
    <row r="149" spans="1:5">
      <c r="A149" s="494">
        <f t="shared" si="2"/>
        <v>145</v>
      </c>
      <c r="D149" s="492" t="s">
        <v>2216</v>
      </c>
      <c r="E149" s="501" t="s">
        <v>2217</v>
      </c>
    </row>
    <row r="150" spans="1:5">
      <c r="A150" s="498">
        <f t="shared" si="2"/>
        <v>146</v>
      </c>
      <c r="B150" s="499" t="s">
        <v>443</v>
      </c>
      <c r="C150" s="499" t="s">
        <v>1931</v>
      </c>
      <c r="D150" s="492" t="s">
        <v>2203</v>
      </c>
      <c r="E150" s="501" t="s">
        <v>2066</v>
      </c>
    </row>
    <row r="151" spans="1:5">
      <c r="A151" s="494">
        <f t="shared" si="2"/>
        <v>147</v>
      </c>
      <c r="D151" s="492" t="s">
        <v>2218</v>
      </c>
      <c r="E151" s="501" t="s">
        <v>2208</v>
      </c>
    </row>
    <row r="152" spans="1:5">
      <c r="A152" s="498">
        <f t="shared" si="2"/>
        <v>148</v>
      </c>
      <c r="B152" s="499" t="s">
        <v>447</v>
      </c>
      <c r="C152" s="499" t="s">
        <v>1933</v>
      </c>
      <c r="D152" s="492" t="s">
        <v>2219</v>
      </c>
      <c r="E152" s="501" t="s">
        <v>2220</v>
      </c>
    </row>
    <row r="153" spans="1:5">
      <c r="A153" s="494">
        <f t="shared" si="2"/>
        <v>149</v>
      </c>
      <c r="B153" s="499" t="s">
        <v>445</v>
      </c>
      <c r="C153" s="499" t="s">
        <v>1938</v>
      </c>
      <c r="D153" s="492" t="s">
        <v>2221</v>
      </c>
      <c r="E153" s="501"/>
    </row>
    <row r="154" spans="1:5">
      <c r="A154" s="498">
        <f t="shared" si="2"/>
        <v>150</v>
      </c>
      <c r="B154" s="499" t="s">
        <v>449</v>
      </c>
      <c r="C154" s="499" t="s">
        <v>1941</v>
      </c>
      <c r="D154" s="492" t="s">
        <v>2222</v>
      </c>
      <c r="E154" s="501" t="s">
        <v>2223</v>
      </c>
    </row>
    <row r="155" spans="1:5">
      <c r="A155" s="494">
        <f t="shared" si="2"/>
        <v>151</v>
      </c>
      <c r="B155" s="499" t="s">
        <v>2224</v>
      </c>
      <c r="C155" s="499" t="s">
        <v>2225</v>
      </c>
      <c r="D155" s="492" t="s">
        <v>2063</v>
      </c>
      <c r="E155" s="501"/>
    </row>
    <row r="156" spans="1:5">
      <c r="A156" s="498">
        <f t="shared" si="2"/>
        <v>152</v>
      </c>
      <c r="B156" s="499" t="s">
        <v>2224</v>
      </c>
      <c r="C156" s="499" t="s">
        <v>2226</v>
      </c>
      <c r="D156" s="492" t="s">
        <v>2063</v>
      </c>
      <c r="E156" s="501"/>
    </row>
    <row r="157" spans="1:5">
      <c r="A157" s="494">
        <f t="shared" si="2"/>
        <v>153</v>
      </c>
      <c r="B157" s="499" t="s">
        <v>451</v>
      </c>
      <c r="C157" s="499" t="s">
        <v>1945</v>
      </c>
      <c r="D157" s="492" t="s">
        <v>2227</v>
      </c>
      <c r="E157" s="501"/>
    </row>
    <row r="158" spans="1:5">
      <c r="A158" s="498">
        <f t="shared" si="2"/>
        <v>154</v>
      </c>
      <c r="D158" s="492" t="s">
        <v>2228</v>
      </c>
      <c r="E158" s="501" t="s">
        <v>2229</v>
      </c>
    </row>
    <row r="159" spans="1:5">
      <c r="A159" s="494">
        <f t="shared" si="2"/>
        <v>155</v>
      </c>
      <c r="D159" s="492" t="s">
        <v>2230</v>
      </c>
      <c r="E159" s="501" t="s">
        <v>2231</v>
      </c>
    </row>
    <row r="160" spans="1:5">
      <c r="A160" s="498">
        <f t="shared" si="2"/>
        <v>156</v>
      </c>
      <c r="B160" s="499" t="s">
        <v>453</v>
      </c>
      <c r="C160" s="499" t="s">
        <v>1948</v>
      </c>
      <c r="D160" s="492" t="s">
        <v>2232</v>
      </c>
      <c r="E160" s="501" t="s">
        <v>2233</v>
      </c>
    </row>
    <row r="161" spans="1:5">
      <c r="A161" s="494">
        <f t="shared" si="2"/>
        <v>157</v>
      </c>
      <c r="D161" s="492" t="s">
        <v>2234</v>
      </c>
      <c r="E161" s="501"/>
    </row>
    <row r="162" spans="1:5">
      <c r="A162" s="498">
        <f t="shared" si="2"/>
        <v>158</v>
      </c>
      <c r="D162" s="492" t="s">
        <v>2235</v>
      </c>
      <c r="E162" s="501"/>
    </row>
    <row r="163" spans="1:5">
      <c r="A163" s="494">
        <f t="shared" si="2"/>
        <v>159</v>
      </c>
      <c r="D163" s="492" t="s">
        <v>2236</v>
      </c>
      <c r="E163" s="501"/>
    </row>
    <row r="164" spans="1:5">
      <c r="A164" s="498">
        <f t="shared" si="2"/>
        <v>160</v>
      </c>
      <c r="C164" s="495" t="s">
        <v>1951</v>
      </c>
      <c r="E164" s="501"/>
    </row>
    <row r="165" spans="1:5">
      <c r="A165" s="494">
        <f t="shared" si="2"/>
        <v>161</v>
      </c>
      <c r="C165" s="499" t="s">
        <v>2237</v>
      </c>
      <c r="D165" s="492" t="s">
        <v>1960</v>
      </c>
      <c r="E165" s="501"/>
    </row>
    <row r="166" spans="1:5" ht="14.4">
      <c r="A166" s="498">
        <f t="shared" si="2"/>
        <v>162</v>
      </c>
      <c r="C166" s="453" t="s">
        <v>2018</v>
      </c>
      <c r="E166" s="501"/>
    </row>
    <row r="167" spans="1:5" ht="14.4">
      <c r="A167" s="494">
        <f t="shared" si="2"/>
        <v>163</v>
      </c>
      <c r="C167" s="462" t="s">
        <v>2019</v>
      </c>
      <c r="D167" s="492" t="s">
        <v>2353</v>
      </c>
      <c r="E167" s="501"/>
    </row>
    <row r="168" spans="1:5" ht="14.4">
      <c r="A168" s="498">
        <f t="shared" si="2"/>
        <v>164</v>
      </c>
      <c r="C168" s="462" t="s">
        <v>2020</v>
      </c>
      <c r="D168" s="492" t="s">
        <v>2354</v>
      </c>
      <c r="E168" s="501"/>
    </row>
    <row r="169" spans="1:5" ht="14.4">
      <c r="A169" s="494">
        <f t="shared" si="2"/>
        <v>165</v>
      </c>
      <c r="C169" s="462"/>
      <c r="D169" s="492" t="s">
        <v>2355</v>
      </c>
      <c r="E169" s="501"/>
    </row>
    <row r="170" spans="1:5" ht="14.4">
      <c r="A170" s="498">
        <f t="shared" si="2"/>
        <v>166</v>
      </c>
      <c r="C170" s="462" t="s">
        <v>1997</v>
      </c>
      <c r="D170" s="492" t="s">
        <v>2395</v>
      </c>
      <c r="E170" s="501"/>
    </row>
    <row r="171" spans="1:5" ht="14.4">
      <c r="A171" s="494">
        <f t="shared" si="2"/>
        <v>167</v>
      </c>
      <c r="C171" s="462"/>
      <c r="D171" s="492" t="s">
        <v>2396</v>
      </c>
      <c r="E171" s="501"/>
    </row>
    <row r="172" spans="1:5" ht="14.4">
      <c r="A172" s="498">
        <f t="shared" si="2"/>
        <v>168</v>
      </c>
      <c r="C172" s="462" t="s">
        <v>2024</v>
      </c>
      <c r="D172" s="492" t="s">
        <v>2356</v>
      </c>
      <c r="E172" s="501"/>
    </row>
    <row r="173" spans="1:5" ht="14.4">
      <c r="A173" s="494">
        <f t="shared" si="2"/>
        <v>169</v>
      </c>
      <c r="C173" s="462"/>
      <c r="D173" s="492" t="s">
        <v>2397</v>
      </c>
      <c r="E173" s="501"/>
    </row>
    <row r="174" spans="1:5" ht="14.4">
      <c r="A174" s="498">
        <f t="shared" si="2"/>
        <v>170</v>
      </c>
      <c r="C174" s="462"/>
      <c r="D174" s="492" t="s">
        <v>2398</v>
      </c>
      <c r="E174" s="501"/>
    </row>
    <row r="175" spans="1:5" ht="14.4">
      <c r="A175" s="494">
        <f t="shared" si="2"/>
        <v>171</v>
      </c>
      <c r="C175" s="462" t="s">
        <v>2025</v>
      </c>
      <c r="D175" s="492" t="s">
        <v>2122</v>
      </c>
      <c r="E175" s="501"/>
    </row>
    <row r="176" spans="1:5" ht="14.4">
      <c r="A176" s="498">
        <f t="shared" si="2"/>
        <v>172</v>
      </c>
      <c r="C176" s="462" t="s">
        <v>2027</v>
      </c>
      <c r="D176" s="492" t="s">
        <v>2069</v>
      </c>
      <c r="E176" s="501"/>
    </row>
    <row r="177" spans="1:5">
      <c r="A177" s="494">
        <f t="shared" si="2"/>
        <v>173</v>
      </c>
      <c r="D177" s="492" t="s">
        <v>2357</v>
      </c>
      <c r="E177" s="501"/>
    </row>
    <row r="178" spans="1:5">
      <c r="A178" s="722"/>
      <c r="B178" s="723"/>
      <c r="C178" s="723"/>
      <c r="D178" s="295"/>
      <c r="E178" s="294"/>
    </row>
    <row r="179" spans="1:5" ht="14.4">
      <c r="A179" s="724" t="s">
        <v>2358</v>
      </c>
      <c r="B179" s="725"/>
      <c r="C179" s="725"/>
      <c r="D179" s="726"/>
      <c r="E179" s="727"/>
    </row>
    <row r="180" spans="1:5" ht="14.4" thickBot="1">
      <c r="A180" s="728" t="s">
        <v>2251</v>
      </c>
      <c r="B180" s="731"/>
      <c r="C180" s="731"/>
      <c r="D180" s="306"/>
      <c r="E180" s="309"/>
    </row>
  </sheetData>
  <hyperlinks>
    <hyperlink ref="E1" location="'Cover Sheets'!A18" display="(Back to Worksheet Links)" xr:uid="{00000000-0004-0000-0B00-000000000000}"/>
  </hyperlinks>
  <pageMargins left="0.7" right="0.7" top="0.75" bottom="0.75" header="0.3" footer="0.3"/>
  <pageSetup scale="48" fitToHeight="0" orientation="portrait"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8"/>
  <sheetViews>
    <sheetView view="pageBreakPreview" zoomScaleNormal="100" zoomScaleSheetLayoutView="100" workbookViewId="0"/>
  </sheetViews>
  <sheetFormatPr defaultRowHeight="14.4"/>
  <cols>
    <col min="1" max="1" width="18.33203125" customWidth="1"/>
    <col min="2" max="2" width="91.33203125" customWidth="1"/>
    <col min="3" max="3" width="15.77734375" customWidth="1"/>
  </cols>
  <sheetData>
    <row r="1" spans="1:5" s="245" customFormat="1">
      <c r="A1" s="732" t="str">
        <f>'Cover Sheets'!A10:D10</f>
        <v>WAPA-UGP 2018 Rate True-up Calculation</v>
      </c>
      <c r="B1" s="733"/>
      <c r="C1" s="733" t="s">
        <v>2543</v>
      </c>
      <c r="D1" s="507"/>
      <c r="E1" s="240"/>
    </row>
    <row r="2" spans="1:5" s="245" customFormat="1" ht="13.8">
      <c r="A2" s="648" t="s">
        <v>2487</v>
      </c>
      <c r="B2" s="734"/>
      <c r="C2" s="507"/>
      <c r="D2" s="507"/>
      <c r="E2" s="240"/>
    </row>
    <row r="3" spans="1:5" s="245" customFormat="1" ht="13.8">
      <c r="A3" s="508" t="str">
        <f>'Summary-TrueUp'!A3</f>
        <v>12 Months Ending 09/30/2018 True-up</v>
      </c>
      <c r="B3" s="509"/>
      <c r="C3" s="507"/>
      <c r="D3" s="507"/>
      <c r="E3" s="240"/>
    </row>
    <row r="4" spans="1:5" s="245" customFormat="1" ht="31.95" customHeight="1">
      <c r="A4" s="735" t="s">
        <v>2282</v>
      </c>
      <c r="B4" s="736" t="s">
        <v>2400</v>
      </c>
      <c r="C4" s="507"/>
      <c r="D4" s="507"/>
      <c r="E4" s="240"/>
    </row>
    <row r="5" spans="1:5" ht="28.8">
      <c r="A5" s="735" t="s">
        <v>1636</v>
      </c>
      <c r="B5" s="736" t="s">
        <v>2401</v>
      </c>
    </row>
    <row r="6" spans="1:5" ht="28.8">
      <c r="A6" s="735" t="s">
        <v>2285</v>
      </c>
      <c r="B6" s="736" t="s">
        <v>2402</v>
      </c>
    </row>
    <row r="7" spans="1:5" ht="28.8">
      <c r="A7" s="735" t="s">
        <v>1699</v>
      </c>
      <c r="B7" s="736" t="s">
        <v>2403</v>
      </c>
    </row>
    <row r="8" spans="1:5" ht="45">
      <c r="A8" s="735" t="s">
        <v>2291</v>
      </c>
      <c r="B8" s="736" t="s">
        <v>2404</v>
      </c>
    </row>
    <row r="9" spans="1:5" ht="28.8">
      <c r="A9" s="735" t="s">
        <v>2293</v>
      </c>
      <c r="B9" s="736" t="s">
        <v>2405</v>
      </c>
    </row>
    <row r="10" spans="1:5">
      <c r="A10" s="735" t="s">
        <v>2406</v>
      </c>
      <c r="B10" s="736" t="s">
        <v>2407</v>
      </c>
    </row>
    <row r="11" spans="1:5" ht="28.8">
      <c r="A11" s="735" t="s">
        <v>2296</v>
      </c>
      <c r="B11" s="736" t="s">
        <v>2408</v>
      </c>
    </row>
    <row r="12" spans="1:5" ht="43.2">
      <c r="A12" s="735" t="s">
        <v>1859</v>
      </c>
      <c r="B12" s="736" t="s">
        <v>2409</v>
      </c>
    </row>
    <row r="13" spans="1:5" ht="28.8">
      <c r="A13" s="735" t="s">
        <v>2306</v>
      </c>
      <c r="B13" s="736" t="s">
        <v>2410</v>
      </c>
    </row>
    <row r="14" spans="1:5" ht="28.8">
      <c r="A14" s="735" t="s">
        <v>2307</v>
      </c>
      <c r="B14" s="736" t="s">
        <v>2411</v>
      </c>
    </row>
    <row r="15" spans="1:5" ht="28.8">
      <c r="A15" s="735" t="s">
        <v>2308</v>
      </c>
      <c r="B15" s="736" t="s">
        <v>2412</v>
      </c>
    </row>
    <row r="16" spans="1:5">
      <c r="A16" s="735" t="s">
        <v>1889</v>
      </c>
      <c r="B16" s="736" t="s">
        <v>2413</v>
      </c>
    </row>
    <row r="17" spans="1:2" ht="28.8">
      <c r="A17" s="735" t="s">
        <v>1911</v>
      </c>
      <c r="B17" s="736" t="s">
        <v>2414</v>
      </c>
    </row>
    <row r="18" spans="1:2">
      <c r="A18" s="735" t="s">
        <v>1938</v>
      </c>
      <c r="B18" s="736" t="s">
        <v>2415</v>
      </c>
    </row>
  </sheetData>
  <hyperlinks>
    <hyperlink ref="C1" location="'Cover Sheets'!A18" display="(Back to Worksheet Links)" xr:uid="{26BE3D26-BB31-47C3-9419-53EB253381E1}"/>
  </hyperlinks>
  <pageMargins left="0.7" right="0.7" top="0.75" bottom="0.75" header="0.3" footer="0.3"/>
  <pageSetup scale="83" orientation="portrait" verticalDpi="1200"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0"/>
  <sheetViews>
    <sheetView view="pageBreakPreview" zoomScaleNormal="100" zoomScaleSheetLayoutView="100" workbookViewId="0"/>
  </sheetViews>
  <sheetFormatPr defaultColWidth="13.109375" defaultRowHeight="14.4"/>
  <cols>
    <col min="1" max="1" width="13.109375" style="243"/>
    <col min="2" max="2" width="89.44140625" style="243" bestFit="1" customWidth="1"/>
    <col min="3" max="3" width="14.88671875" style="243" customWidth="1"/>
    <col min="4" max="4" width="41.5546875" style="243" bestFit="1" customWidth="1"/>
    <col min="5" max="16384" width="13.109375" style="243"/>
  </cols>
  <sheetData>
    <row r="1" spans="1:4">
      <c r="A1" s="246" t="str">
        <f>'Cover Sheets'!A10:D10</f>
        <v>WAPA-UGP 2018 Rate True-up Calculation</v>
      </c>
      <c r="B1" s="404"/>
      <c r="C1" s="286"/>
      <c r="D1" s="659" t="s">
        <v>2543</v>
      </c>
    </row>
    <row r="2" spans="1:4">
      <c r="A2" s="648" t="s">
        <v>2488</v>
      </c>
      <c r="B2" s="555"/>
      <c r="C2" s="287"/>
      <c r="D2" s="288"/>
    </row>
    <row r="3" spans="1:4">
      <c r="A3" s="60" t="str">
        <f>'Summary-TrueUp'!A3</f>
        <v>12 Months Ending 09/30/2018 True-up</v>
      </c>
      <c r="B3" s="287"/>
      <c r="C3" s="287"/>
      <c r="D3" s="288"/>
    </row>
    <row r="4" spans="1:4">
      <c r="A4" s="60"/>
      <c r="B4" s="250" t="s">
        <v>2</v>
      </c>
      <c r="C4" s="251" t="s">
        <v>1410</v>
      </c>
      <c r="D4" s="252" t="s">
        <v>1169</v>
      </c>
    </row>
    <row r="5" spans="1:4" ht="15" thickBot="1">
      <c r="A5" s="253" t="s">
        <v>1335</v>
      </c>
      <c r="B5" s="254">
        <v>-1</v>
      </c>
      <c r="C5" s="254">
        <v>-2</v>
      </c>
      <c r="D5" s="255">
        <v>-3</v>
      </c>
    </row>
    <row r="6" spans="1:4">
      <c r="A6" s="289">
        <v>1</v>
      </c>
      <c r="B6" s="290" t="s">
        <v>1334</v>
      </c>
      <c r="C6" s="297">
        <f>'WS4-CostData'!K121</f>
        <v>10878077.960000001</v>
      </c>
      <c r="D6" s="294" t="s">
        <v>2580</v>
      </c>
    </row>
    <row r="7" spans="1:4">
      <c r="A7" s="289">
        <f t="shared" ref="A7:A20" si="0">A6+1</f>
        <v>2</v>
      </c>
      <c r="B7" s="290" t="s">
        <v>1327</v>
      </c>
      <c r="C7" s="297">
        <f>'WS4-CostData'!K98</f>
        <v>187223.74573673302</v>
      </c>
      <c r="D7" s="294" t="s">
        <v>2581</v>
      </c>
    </row>
    <row r="8" spans="1:4">
      <c r="A8" s="289">
        <f t="shared" si="0"/>
        <v>3</v>
      </c>
      <c r="B8" s="290" t="s">
        <v>1322</v>
      </c>
      <c r="C8" s="297">
        <f>'WS4-CostData'!K41</f>
        <v>302196.77705159964</v>
      </c>
      <c r="D8" s="294" t="s">
        <v>2582</v>
      </c>
    </row>
    <row r="9" spans="1:4">
      <c r="A9" s="289">
        <f t="shared" si="0"/>
        <v>4</v>
      </c>
      <c r="B9" s="290" t="s">
        <v>1319</v>
      </c>
      <c r="C9" s="297">
        <v>0</v>
      </c>
      <c r="D9" s="294" t="s">
        <v>1409</v>
      </c>
    </row>
    <row r="10" spans="1:4" ht="41.4">
      <c r="A10" s="289">
        <f t="shared" si="0"/>
        <v>5</v>
      </c>
      <c r="B10" s="290" t="s">
        <v>1317</v>
      </c>
      <c r="C10" s="297">
        <v>0</v>
      </c>
      <c r="D10" s="310" t="s">
        <v>1408</v>
      </c>
    </row>
    <row r="11" spans="1:4">
      <c r="A11" s="289">
        <f t="shared" si="0"/>
        <v>6</v>
      </c>
      <c r="B11" s="290" t="s">
        <v>1315</v>
      </c>
      <c r="C11" s="292"/>
      <c r="D11" s="294"/>
    </row>
    <row r="12" spans="1:4">
      <c r="A12" s="289">
        <f t="shared" si="0"/>
        <v>7</v>
      </c>
      <c r="B12" s="295" t="s">
        <v>1314</v>
      </c>
      <c r="C12" s="301">
        <f>'WS4-CostData'!K62</f>
        <v>4.942300168199476E-2</v>
      </c>
      <c r="D12" s="294" t="s">
        <v>2615</v>
      </c>
    </row>
    <row r="13" spans="1:4">
      <c r="A13" s="289">
        <f t="shared" si="0"/>
        <v>8</v>
      </c>
      <c r="B13" s="295" t="s">
        <v>1298</v>
      </c>
      <c r="C13" s="297">
        <f>'WS4-CostData'!C20</f>
        <v>6941672.2199390354</v>
      </c>
      <c r="D13" s="294" t="s">
        <v>2614</v>
      </c>
    </row>
    <row r="14" spans="1:4">
      <c r="A14" s="289">
        <f t="shared" si="0"/>
        <v>9</v>
      </c>
      <c r="B14" s="295" t="s">
        <v>1304</v>
      </c>
      <c r="C14" s="297">
        <f>C12*C13</f>
        <v>343078.27780190326</v>
      </c>
      <c r="D14" s="294" t="s">
        <v>1407</v>
      </c>
    </row>
    <row r="15" spans="1:4">
      <c r="A15" s="289">
        <f t="shared" si="0"/>
        <v>10</v>
      </c>
      <c r="B15" s="290" t="s">
        <v>1301</v>
      </c>
      <c r="C15" s="301"/>
      <c r="D15" s="302"/>
    </row>
    <row r="16" spans="1:4" ht="15" thickBot="1">
      <c r="A16" s="289">
        <f t="shared" si="0"/>
        <v>11</v>
      </c>
      <c r="B16" s="306" t="s">
        <v>1296</v>
      </c>
      <c r="C16" s="308">
        <f>C6+C7+C8+C14</f>
        <v>11710576.760590237</v>
      </c>
      <c r="D16" s="309" t="s">
        <v>2613</v>
      </c>
    </row>
    <row r="17" spans="1:4">
      <c r="A17" s="289">
        <f t="shared" si="0"/>
        <v>12</v>
      </c>
      <c r="B17" s="313" t="s">
        <v>1430</v>
      </c>
      <c r="C17" s="314">
        <f>C16*C20</f>
        <v>867166.07105518447</v>
      </c>
      <c r="D17" s="399" t="s">
        <v>2625</v>
      </c>
    </row>
    <row r="18" spans="1:4">
      <c r="A18" s="289">
        <f t="shared" si="0"/>
        <v>13</v>
      </c>
      <c r="B18" s="313" t="s">
        <v>1433</v>
      </c>
      <c r="C18" s="314">
        <f>C16-C17</f>
        <v>10843410.689535052</v>
      </c>
      <c r="D18" s="676" t="s">
        <v>1432</v>
      </c>
    </row>
    <row r="19" spans="1:4">
      <c r="A19" s="289">
        <f t="shared" si="0"/>
        <v>14</v>
      </c>
      <c r="B19" s="573"/>
      <c r="C19" s="573"/>
      <c r="D19" s="399"/>
    </row>
    <row r="20" spans="1:4" s="572" customFormat="1" thickBot="1">
      <c r="A20" s="253">
        <f t="shared" si="0"/>
        <v>15</v>
      </c>
      <c r="B20" s="400" t="s">
        <v>1431</v>
      </c>
      <c r="C20" s="677">
        <f>'WS8-TranFac'!F506/'WS8-TranFac'!I506</f>
        <v>7.4049817424319375E-2</v>
      </c>
      <c r="D20" s="401" t="s">
        <v>2616</v>
      </c>
    </row>
  </sheetData>
  <hyperlinks>
    <hyperlink ref="D1" location="'Cover Sheets'!A18" display="(Back to Worksheet Links)" xr:uid="{00000000-0004-0000-0D00-000000000000}"/>
  </hyperlinks>
  <pageMargins left="0.7" right="0.7" top="0.75" bottom="0.75" header="0.3" footer="0.3"/>
  <pageSetup scale="77" fitToHeight="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31"/>
  <sheetViews>
    <sheetView view="pageBreakPreview" zoomScaleNormal="100" zoomScaleSheetLayoutView="100" workbookViewId="0"/>
  </sheetViews>
  <sheetFormatPr defaultColWidth="9.109375" defaultRowHeight="13.8"/>
  <cols>
    <col min="1" max="1" width="22.109375" style="245" customWidth="1"/>
    <col min="2" max="2" width="16.6640625" style="245" customWidth="1"/>
    <col min="3" max="3" width="76.109375" style="245" bestFit="1" customWidth="1"/>
    <col min="4" max="4" width="27.88671875" style="245" customWidth="1"/>
    <col min="5" max="5" width="22.5546875" style="528" bestFit="1" customWidth="1"/>
    <col min="6" max="6" width="16.5546875" style="245" customWidth="1"/>
    <col min="7" max="7" width="15" style="433" customWidth="1"/>
    <col min="8" max="8" width="22.5546875" style="245" customWidth="1"/>
    <col min="9" max="9" width="17.5546875" style="434" customWidth="1"/>
    <col min="10" max="10" width="12.6640625" style="245" bestFit="1" customWidth="1"/>
    <col min="11" max="11" width="11.5546875" style="245" bestFit="1" customWidth="1"/>
    <col min="12" max="16384" width="9.109375" style="245"/>
  </cols>
  <sheetData>
    <row r="1" spans="1:14" ht="14.4">
      <c r="A1" s="246" t="str">
        <f>'Cover Sheets'!A10:D10</f>
        <v>WAPA-UGP 2018 Rate True-up Calculation</v>
      </c>
      <c r="B1" s="444"/>
      <c r="C1" s="660" t="s">
        <v>2543</v>
      </c>
      <c r="D1" s="247"/>
      <c r="E1" s="518"/>
      <c r="F1" s="247"/>
      <c r="G1" s="440"/>
      <c r="H1" s="247"/>
      <c r="I1" s="441"/>
    </row>
    <row r="2" spans="1:14">
      <c r="A2" s="649" t="s">
        <v>2489</v>
      </c>
      <c r="B2" s="445"/>
      <c r="C2" s="248"/>
      <c r="D2" s="248"/>
      <c r="E2" s="519"/>
      <c r="F2" s="248"/>
      <c r="G2" s="424"/>
      <c r="H2" s="248"/>
      <c r="I2" s="425"/>
    </row>
    <row r="3" spans="1:14">
      <c r="A3" s="249" t="str">
        <f>'Summary-TrueUp'!A3</f>
        <v>12 Months Ending 09/30/2018 True-up</v>
      </c>
      <c r="B3" s="445"/>
      <c r="C3" s="248"/>
      <c r="D3" s="248"/>
      <c r="E3" s="519"/>
      <c r="F3" s="248"/>
      <c r="G3" s="424"/>
      <c r="H3" s="248"/>
      <c r="I3" s="425"/>
    </row>
    <row r="4" spans="1:14" s="3" customFormat="1" ht="42.75" customHeight="1">
      <c r="A4" s="442" t="s">
        <v>2370</v>
      </c>
      <c r="B4" s="446" t="s">
        <v>1</v>
      </c>
      <c r="C4" s="315" t="s">
        <v>2</v>
      </c>
      <c r="D4" s="315" t="s">
        <v>1338</v>
      </c>
      <c r="E4" s="520" t="s">
        <v>4</v>
      </c>
      <c r="F4" s="436"/>
      <c r="G4" s="437" t="s">
        <v>2334</v>
      </c>
      <c r="H4" s="437" t="s">
        <v>2335</v>
      </c>
      <c r="I4" s="438" t="s">
        <v>2369</v>
      </c>
      <c r="J4" s="7"/>
      <c r="N4" s="7"/>
    </row>
    <row r="5" spans="1:14" ht="15" customHeight="1">
      <c r="A5" s="410"/>
      <c r="B5" s="447" t="s">
        <v>553</v>
      </c>
      <c r="C5" s="443" t="s">
        <v>554</v>
      </c>
      <c r="D5" s="316" t="s">
        <v>2470</v>
      </c>
      <c r="E5" s="521">
        <f>E41</f>
        <v>6006058.1099999985</v>
      </c>
      <c r="F5" s="317"/>
      <c r="G5" s="318">
        <v>0</v>
      </c>
      <c r="H5" s="318">
        <f>I5-E5</f>
        <v>-1501514.5274999989</v>
      </c>
      <c r="I5" s="319">
        <f>I41</f>
        <v>4504543.5824999996</v>
      </c>
      <c r="J5" s="418"/>
      <c r="L5" s="10"/>
      <c r="M5" s="10"/>
      <c r="N5" s="10"/>
    </row>
    <row r="6" spans="1:14">
      <c r="A6" s="410"/>
      <c r="B6" s="447" t="s">
        <v>555</v>
      </c>
      <c r="C6" s="316" t="s">
        <v>2331</v>
      </c>
      <c r="D6" s="316" t="s">
        <v>2470</v>
      </c>
      <c r="E6" s="521">
        <f>E48+E53</f>
        <v>2542599.7899999996</v>
      </c>
      <c r="F6" s="320"/>
      <c r="G6" s="318">
        <v>0</v>
      </c>
      <c r="H6" s="318">
        <f>I6-E6</f>
        <v>-720132.67026999965</v>
      </c>
      <c r="I6" s="319">
        <f>I48+I53</f>
        <v>1822467.1197299999</v>
      </c>
      <c r="J6" s="419"/>
      <c r="L6" s="10"/>
      <c r="M6" s="10"/>
      <c r="N6" s="14"/>
    </row>
    <row r="7" spans="1:14" ht="14.4" thickBot="1">
      <c r="A7" s="411"/>
      <c r="B7" s="448" t="s">
        <v>1371</v>
      </c>
      <c r="C7" s="321" t="s">
        <v>2332</v>
      </c>
      <c r="D7" s="321" t="s">
        <v>2470</v>
      </c>
      <c r="E7" s="522">
        <f>E97+E130</f>
        <v>12430495.109999999</v>
      </c>
      <c r="F7" s="322"/>
      <c r="G7" s="323">
        <v>0</v>
      </c>
      <c r="H7" s="323">
        <f>I7-E7</f>
        <v>-3854499.916824</v>
      </c>
      <c r="I7" s="324">
        <f>I97+I130</f>
        <v>8575995.1931759994</v>
      </c>
      <c r="J7" s="419"/>
      <c r="L7" s="10"/>
      <c r="M7" s="10"/>
      <c r="N7" s="14"/>
    </row>
    <row r="8" spans="1:14">
      <c r="A8" s="325"/>
      <c r="B8" s="447"/>
      <c r="C8" s="327"/>
      <c r="D8" s="327"/>
      <c r="E8" s="523">
        <f>SUM(E5:E7)</f>
        <v>20979153.009999998</v>
      </c>
      <c r="F8" s="328">
        <f>SUM(F5:F7)</f>
        <v>0</v>
      </c>
      <c r="G8" s="330">
        <f>SUM(G5:G7)</f>
        <v>0</v>
      </c>
      <c r="H8" s="329">
        <f>SUM(H5:H7)</f>
        <v>-6076147.1145939985</v>
      </c>
      <c r="I8" s="391">
        <f>SUM(I5:I7)</f>
        <v>14903005.895405998</v>
      </c>
      <c r="J8" s="13"/>
      <c r="K8" s="419"/>
      <c r="L8" s="10"/>
      <c r="M8" s="10"/>
      <c r="N8" s="14"/>
    </row>
    <row r="9" spans="1:14" ht="24" customHeight="1">
      <c r="A9" s="420" t="s">
        <v>2371</v>
      </c>
      <c r="B9" s="446" t="s">
        <v>1</v>
      </c>
      <c r="C9" s="315" t="s">
        <v>2</v>
      </c>
      <c r="D9" s="315" t="s">
        <v>2333</v>
      </c>
      <c r="E9" s="524" t="s">
        <v>2338</v>
      </c>
      <c r="F9" s="421" t="s">
        <v>2329</v>
      </c>
      <c r="G9" s="422" t="s">
        <v>2337</v>
      </c>
      <c r="H9" s="333" t="s">
        <v>2328</v>
      </c>
      <c r="I9" s="435" t="s">
        <v>2336</v>
      </c>
    </row>
    <row r="10" spans="1:14">
      <c r="A10" s="402"/>
      <c r="B10" s="516" t="s">
        <v>1339</v>
      </c>
      <c r="C10" s="439" t="s">
        <v>1340</v>
      </c>
      <c r="D10" s="316" t="s">
        <v>1340</v>
      </c>
      <c r="E10" s="521">
        <f>298.8</f>
        <v>298.8</v>
      </c>
      <c r="F10" s="423">
        <v>0.75</v>
      </c>
      <c r="G10" s="424">
        <f t="shared" ref="G10:G40" si="0">F10*E10</f>
        <v>224.10000000000002</v>
      </c>
      <c r="H10" s="423">
        <v>0.75</v>
      </c>
      <c r="I10" s="425">
        <f>E10*H10</f>
        <v>224.10000000000002</v>
      </c>
    </row>
    <row r="11" spans="1:14">
      <c r="A11" s="402"/>
      <c r="B11" s="516" t="s">
        <v>1339</v>
      </c>
      <c r="C11" s="439" t="s">
        <v>1341</v>
      </c>
      <c r="D11" s="316" t="s">
        <v>1342</v>
      </c>
      <c r="E11" s="521">
        <f>9789.59</f>
        <v>9789.59</v>
      </c>
      <c r="F11" s="423">
        <v>0.75</v>
      </c>
      <c r="G11" s="424">
        <f t="shared" si="0"/>
        <v>7342.1925000000001</v>
      </c>
      <c r="H11" s="423">
        <v>0.75</v>
      </c>
      <c r="I11" s="425">
        <f t="shared" ref="I11:I40" si="1">E11*H11</f>
        <v>7342.1925000000001</v>
      </c>
    </row>
    <row r="12" spans="1:14">
      <c r="A12" s="402"/>
      <c r="B12" s="516" t="s">
        <v>1339</v>
      </c>
      <c r="C12" s="439" t="s">
        <v>1343</v>
      </c>
      <c r="D12" s="316" t="s">
        <v>1342</v>
      </c>
      <c r="E12" s="521">
        <f>1538.62</f>
        <v>1538.62</v>
      </c>
      <c r="F12" s="423">
        <v>0.75</v>
      </c>
      <c r="G12" s="424">
        <f t="shared" si="0"/>
        <v>1153.9649999999999</v>
      </c>
      <c r="H12" s="423">
        <v>0.75</v>
      </c>
      <c r="I12" s="425">
        <f t="shared" si="1"/>
        <v>1153.9649999999999</v>
      </c>
    </row>
    <row r="13" spans="1:14">
      <c r="A13" s="402"/>
      <c r="B13" s="516" t="s">
        <v>1339</v>
      </c>
      <c r="C13" s="439" t="s">
        <v>1344</v>
      </c>
      <c r="D13" s="316" t="s">
        <v>1345</v>
      </c>
      <c r="E13" s="521">
        <f>295485.92</f>
        <v>295485.92</v>
      </c>
      <c r="F13" s="423">
        <v>0.75</v>
      </c>
      <c r="G13" s="424">
        <f t="shared" si="0"/>
        <v>221614.44</v>
      </c>
      <c r="H13" s="423">
        <v>0.75</v>
      </c>
      <c r="I13" s="425">
        <f t="shared" si="1"/>
        <v>221614.44</v>
      </c>
    </row>
    <row r="14" spans="1:14">
      <c r="A14" s="402"/>
      <c r="B14" s="516" t="s">
        <v>1339</v>
      </c>
      <c r="C14" s="439" t="s">
        <v>1340</v>
      </c>
      <c r="D14" s="316" t="s">
        <v>1340</v>
      </c>
      <c r="E14" s="521">
        <f>57816.18</f>
        <v>57816.18</v>
      </c>
      <c r="F14" s="423">
        <v>0.75</v>
      </c>
      <c r="G14" s="424">
        <f t="shared" si="0"/>
        <v>43362.135000000002</v>
      </c>
      <c r="H14" s="423">
        <v>0.75</v>
      </c>
      <c r="I14" s="425">
        <f t="shared" si="1"/>
        <v>43362.135000000002</v>
      </c>
    </row>
    <row r="15" spans="1:14">
      <c r="A15" s="402"/>
      <c r="B15" s="516" t="s">
        <v>1339</v>
      </c>
      <c r="C15" s="439" t="s">
        <v>1340</v>
      </c>
      <c r="D15" s="316" t="s">
        <v>2248</v>
      </c>
      <c r="E15" s="521">
        <f>5246.19</f>
        <v>5246.19</v>
      </c>
      <c r="F15" s="423">
        <v>0.75</v>
      </c>
      <c r="G15" s="424">
        <f t="shared" si="0"/>
        <v>3934.6424999999999</v>
      </c>
      <c r="H15" s="423">
        <v>0.75</v>
      </c>
      <c r="I15" s="425">
        <f t="shared" si="1"/>
        <v>3934.6424999999999</v>
      </c>
    </row>
    <row r="16" spans="1:14">
      <c r="A16" s="402"/>
      <c r="B16" s="516" t="s">
        <v>1339</v>
      </c>
      <c r="C16" s="439" t="s">
        <v>2277</v>
      </c>
      <c r="D16" s="316" t="s">
        <v>2248</v>
      </c>
      <c r="E16" s="521">
        <f>17479.6</f>
        <v>17479.599999999999</v>
      </c>
      <c r="F16" s="423">
        <v>0.75</v>
      </c>
      <c r="G16" s="424">
        <f t="shared" si="0"/>
        <v>13109.699999999999</v>
      </c>
      <c r="H16" s="423">
        <v>0.75</v>
      </c>
      <c r="I16" s="425">
        <f t="shared" si="1"/>
        <v>13109.699999999999</v>
      </c>
    </row>
    <row r="17" spans="1:9">
      <c r="A17" s="402"/>
      <c r="B17" s="516" t="s">
        <v>1339</v>
      </c>
      <c r="C17" s="439" t="s">
        <v>1360</v>
      </c>
      <c r="D17" s="316" t="s">
        <v>1360</v>
      </c>
      <c r="E17" s="521">
        <f>122582.16</f>
        <v>122582.16</v>
      </c>
      <c r="F17" s="423">
        <v>0.75</v>
      </c>
      <c r="G17" s="424">
        <f t="shared" si="0"/>
        <v>91936.62</v>
      </c>
      <c r="H17" s="423">
        <v>0.75</v>
      </c>
      <c r="I17" s="425">
        <f t="shared" si="1"/>
        <v>91936.62</v>
      </c>
    </row>
    <row r="18" spans="1:9">
      <c r="A18" s="402"/>
      <c r="B18" s="516" t="s">
        <v>1339</v>
      </c>
      <c r="C18" s="439" t="s">
        <v>1360</v>
      </c>
      <c r="D18" s="316" t="s">
        <v>1360</v>
      </c>
      <c r="E18" s="521">
        <f>12407.04</f>
        <v>12407.04</v>
      </c>
      <c r="F18" s="423">
        <v>0.75</v>
      </c>
      <c r="G18" s="424">
        <f t="shared" si="0"/>
        <v>9305.2800000000007</v>
      </c>
      <c r="H18" s="423">
        <v>0.75</v>
      </c>
      <c r="I18" s="425">
        <f t="shared" si="1"/>
        <v>9305.2800000000007</v>
      </c>
    </row>
    <row r="19" spans="1:9">
      <c r="A19" s="402"/>
      <c r="B19" s="516" t="s">
        <v>1339</v>
      </c>
      <c r="C19" s="439" t="s">
        <v>1346</v>
      </c>
      <c r="D19" s="316" t="s">
        <v>1347</v>
      </c>
      <c r="E19" s="521">
        <f>20216.81</f>
        <v>20216.810000000001</v>
      </c>
      <c r="F19" s="423">
        <v>0.75</v>
      </c>
      <c r="G19" s="424">
        <f t="shared" si="0"/>
        <v>15162.607500000002</v>
      </c>
      <c r="H19" s="423">
        <v>0.75</v>
      </c>
      <c r="I19" s="425">
        <f t="shared" si="1"/>
        <v>15162.607500000002</v>
      </c>
    </row>
    <row r="20" spans="1:9">
      <c r="A20" s="402"/>
      <c r="B20" s="516" t="s">
        <v>1339</v>
      </c>
      <c r="C20" s="439" t="s">
        <v>1341</v>
      </c>
      <c r="D20" s="316" t="s">
        <v>1342</v>
      </c>
      <c r="E20" s="521">
        <f>54137.52</f>
        <v>54137.52</v>
      </c>
      <c r="F20" s="423">
        <v>0.75</v>
      </c>
      <c r="G20" s="424">
        <f t="shared" si="0"/>
        <v>40603.14</v>
      </c>
      <c r="H20" s="423">
        <v>0.75</v>
      </c>
      <c r="I20" s="425">
        <f t="shared" si="1"/>
        <v>40603.14</v>
      </c>
    </row>
    <row r="21" spans="1:9">
      <c r="A21" s="402"/>
      <c r="B21" s="516" t="s">
        <v>1339</v>
      </c>
      <c r="C21" s="439" t="s">
        <v>1348</v>
      </c>
      <c r="D21" s="316" t="s">
        <v>1349</v>
      </c>
      <c r="E21" s="521">
        <f>531049.1</f>
        <v>531049.1</v>
      </c>
      <c r="F21" s="423">
        <v>0.75</v>
      </c>
      <c r="G21" s="424">
        <f t="shared" si="0"/>
        <v>398286.82499999995</v>
      </c>
      <c r="H21" s="423">
        <v>0.75</v>
      </c>
      <c r="I21" s="425">
        <f t="shared" si="1"/>
        <v>398286.82499999995</v>
      </c>
    </row>
    <row r="22" spans="1:9">
      <c r="A22" s="402"/>
      <c r="B22" s="516" t="s">
        <v>1339</v>
      </c>
      <c r="C22" s="439" t="s">
        <v>1348</v>
      </c>
      <c r="D22" s="316" t="s">
        <v>1350</v>
      </c>
      <c r="E22" s="521">
        <f>90309.47</f>
        <v>90309.47</v>
      </c>
      <c r="F22" s="423">
        <v>0.75</v>
      </c>
      <c r="G22" s="424">
        <f t="shared" si="0"/>
        <v>67732.102500000008</v>
      </c>
      <c r="H22" s="423">
        <v>0.75</v>
      </c>
      <c r="I22" s="425">
        <f t="shared" si="1"/>
        <v>67732.102500000008</v>
      </c>
    </row>
    <row r="23" spans="1:9">
      <c r="A23" s="402"/>
      <c r="B23" s="516" t="s">
        <v>1339</v>
      </c>
      <c r="C23" s="439" t="s">
        <v>1351</v>
      </c>
      <c r="D23" s="316" t="s">
        <v>1352</v>
      </c>
      <c r="E23" s="521">
        <f>54257.11</f>
        <v>54257.11</v>
      </c>
      <c r="F23" s="423">
        <v>0.75</v>
      </c>
      <c r="G23" s="424">
        <f t="shared" si="0"/>
        <v>40692.832500000004</v>
      </c>
      <c r="H23" s="423">
        <v>0.75</v>
      </c>
      <c r="I23" s="425">
        <f t="shared" si="1"/>
        <v>40692.832500000004</v>
      </c>
    </row>
    <row r="24" spans="1:9">
      <c r="A24" s="402"/>
      <c r="B24" s="516" t="s">
        <v>1339</v>
      </c>
      <c r="C24" s="439" t="s">
        <v>1351</v>
      </c>
      <c r="D24" s="316" t="s">
        <v>1353</v>
      </c>
      <c r="E24" s="521">
        <f>475745.99</f>
        <v>475745.99</v>
      </c>
      <c r="F24" s="423">
        <v>0.75</v>
      </c>
      <c r="G24" s="424">
        <f t="shared" si="0"/>
        <v>356809.49249999999</v>
      </c>
      <c r="H24" s="423">
        <v>0.75</v>
      </c>
      <c r="I24" s="425">
        <f t="shared" si="1"/>
        <v>356809.49249999999</v>
      </c>
    </row>
    <row r="25" spans="1:9">
      <c r="A25" s="402"/>
      <c r="B25" s="516" t="s">
        <v>1339</v>
      </c>
      <c r="C25" s="439" t="s">
        <v>1354</v>
      </c>
      <c r="D25" s="316" t="s">
        <v>1355</v>
      </c>
      <c r="E25" s="521">
        <f>95962.39</f>
        <v>95962.39</v>
      </c>
      <c r="F25" s="423">
        <v>0.75</v>
      </c>
      <c r="G25" s="424">
        <f t="shared" si="0"/>
        <v>71971.792499999996</v>
      </c>
      <c r="H25" s="423">
        <v>0.75</v>
      </c>
      <c r="I25" s="425">
        <f t="shared" si="1"/>
        <v>71971.792499999996</v>
      </c>
    </row>
    <row r="26" spans="1:9">
      <c r="A26" s="402"/>
      <c r="B26" s="516" t="s">
        <v>1339</v>
      </c>
      <c r="C26" s="439" t="s">
        <v>1346</v>
      </c>
      <c r="D26" s="316" t="s">
        <v>1356</v>
      </c>
      <c r="E26" s="521">
        <f>12679.49</f>
        <v>12679.49</v>
      </c>
      <c r="F26" s="423">
        <v>0.75</v>
      </c>
      <c r="G26" s="424">
        <f t="shared" si="0"/>
        <v>9509.6175000000003</v>
      </c>
      <c r="H26" s="423">
        <v>0.75</v>
      </c>
      <c r="I26" s="425">
        <f t="shared" si="1"/>
        <v>9509.6175000000003</v>
      </c>
    </row>
    <row r="27" spans="1:9">
      <c r="A27" s="402"/>
      <c r="B27" s="516" t="s">
        <v>1339</v>
      </c>
      <c r="C27" s="439" t="s">
        <v>1346</v>
      </c>
      <c r="D27" s="316" t="s">
        <v>1357</v>
      </c>
      <c r="E27" s="521">
        <f>1022154.12</f>
        <v>1022154.12</v>
      </c>
      <c r="F27" s="423">
        <v>0.75</v>
      </c>
      <c r="G27" s="424">
        <f t="shared" si="0"/>
        <v>766615.59</v>
      </c>
      <c r="H27" s="423">
        <v>0.75</v>
      </c>
      <c r="I27" s="425">
        <f t="shared" si="1"/>
        <v>766615.59</v>
      </c>
    </row>
    <row r="28" spans="1:9">
      <c r="A28" s="402"/>
      <c r="B28" s="516" t="s">
        <v>1339</v>
      </c>
      <c r="C28" s="439" t="s">
        <v>1346</v>
      </c>
      <c r="D28" s="316" t="s">
        <v>1358</v>
      </c>
      <c r="E28" s="521">
        <f>122476.25</f>
        <v>122476.25</v>
      </c>
      <c r="F28" s="423">
        <v>0.75</v>
      </c>
      <c r="G28" s="424">
        <f t="shared" si="0"/>
        <v>91857.1875</v>
      </c>
      <c r="H28" s="423">
        <v>0.75</v>
      </c>
      <c r="I28" s="425">
        <f t="shared" si="1"/>
        <v>91857.1875</v>
      </c>
    </row>
    <row r="29" spans="1:9">
      <c r="A29" s="402"/>
      <c r="B29" s="516" t="s">
        <v>1339</v>
      </c>
      <c r="C29" s="439" t="s">
        <v>1359</v>
      </c>
      <c r="D29" s="316" t="s">
        <v>1360</v>
      </c>
      <c r="E29" s="521">
        <f>733679.47</f>
        <v>733679.47</v>
      </c>
      <c r="F29" s="423">
        <v>0.75</v>
      </c>
      <c r="G29" s="424">
        <f t="shared" si="0"/>
        <v>550259.60250000004</v>
      </c>
      <c r="H29" s="423">
        <v>0.75</v>
      </c>
      <c r="I29" s="425">
        <f t="shared" si="1"/>
        <v>550259.60250000004</v>
      </c>
    </row>
    <row r="30" spans="1:9">
      <c r="A30" s="402"/>
      <c r="B30" s="516" t="s">
        <v>1339</v>
      </c>
      <c r="C30" s="439" t="s">
        <v>1359</v>
      </c>
      <c r="D30" s="316" t="s">
        <v>1361</v>
      </c>
      <c r="E30" s="521">
        <f>35291.83</f>
        <v>35291.83</v>
      </c>
      <c r="F30" s="423">
        <v>0.75</v>
      </c>
      <c r="G30" s="424">
        <f t="shared" si="0"/>
        <v>26468.872500000001</v>
      </c>
      <c r="H30" s="423">
        <v>0.75</v>
      </c>
      <c r="I30" s="425">
        <f t="shared" si="1"/>
        <v>26468.872500000001</v>
      </c>
    </row>
    <row r="31" spans="1:9">
      <c r="A31" s="402"/>
      <c r="B31" s="516" t="s">
        <v>1339</v>
      </c>
      <c r="C31" s="439" t="s">
        <v>1359</v>
      </c>
      <c r="D31" s="316" t="s">
        <v>1362</v>
      </c>
      <c r="E31" s="521">
        <f>13959.4</f>
        <v>13959.4</v>
      </c>
      <c r="F31" s="423">
        <v>0.75</v>
      </c>
      <c r="G31" s="424">
        <f t="shared" si="0"/>
        <v>10469.549999999999</v>
      </c>
      <c r="H31" s="423">
        <v>0.75</v>
      </c>
      <c r="I31" s="425">
        <f t="shared" si="1"/>
        <v>10469.549999999999</v>
      </c>
    </row>
    <row r="32" spans="1:9">
      <c r="A32" s="402"/>
      <c r="B32" s="516" t="s">
        <v>1339</v>
      </c>
      <c r="C32" s="439" t="s">
        <v>1363</v>
      </c>
      <c r="D32" s="316" t="s">
        <v>1364</v>
      </c>
      <c r="E32" s="521">
        <f>53112.38</f>
        <v>53112.38</v>
      </c>
      <c r="F32" s="423">
        <v>0.75</v>
      </c>
      <c r="G32" s="424">
        <f t="shared" si="0"/>
        <v>39834.284999999996</v>
      </c>
      <c r="H32" s="423">
        <v>0.75</v>
      </c>
      <c r="I32" s="425">
        <f t="shared" si="1"/>
        <v>39834.284999999996</v>
      </c>
    </row>
    <row r="33" spans="1:9">
      <c r="A33" s="402"/>
      <c r="B33" s="516" t="s">
        <v>1339</v>
      </c>
      <c r="C33" s="439" t="s">
        <v>1365</v>
      </c>
      <c r="D33" s="316" t="s">
        <v>1366</v>
      </c>
      <c r="E33" s="521">
        <f>184306.99</f>
        <v>184306.99</v>
      </c>
      <c r="F33" s="423">
        <v>0.75</v>
      </c>
      <c r="G33" s="424">
        <f t="shared" si="0"/>
        <v>138230.24249999999</v>
      </c>
      <c r="H33" s="423">
        <v>0.75</v>
      </c>
      <c r="I33" s="425">
        <f t="shared" si="1"/>
        <v>138230.24249999999</v>
      </c>
    </row>
    <row r="34" spans="1:9">
      <c r="A34" s="402"/>
      <c r="B34" s="516" t="s">
        <v>1339</v>
      </c>
      <c r="C34" s="439" t="s">
        <v>1365</v>
      </c>
      <c r="D34" s="316" t="s">
        <v>1367</v>
      </c>
      <c r="E34" s="521">
        <f>97180.43</f>
        <v>97180.43</v>
      </c>
      <c r="F34" s="423">
        <v>0.75</v>
      </c>
      <c r="G34" s="424">
        <f t="shared" si="0"/>
        <v>72885.322499999995</v>
      </c>
      <c r="H34" s="423">
        <v>0.75</v>
      </c>
      <c r="I34" s="425">
        <f t="shared" si="1"/>
        <v>72885.322499999995</v>
      </c>
    </row>
    <row r="35" spans="1:9">
      <c r="A35" s="402"/>
      <c r="B35" s="516" t="s">
        <v>1339</v>
      </c>
      <c r="C35" s="439" t="s">
        <v>1365</v>
      </c>
      <c r="D35" s="316" t="s">
        <v>1368</v>
      </c>
      <c r="E35" s="521">
        <f>28884.55</f>
        <v>28884.55</v>
      </c>
      <c r="F35" s="423">
        <v>0.75</v>
      </c>
      <c r="G35" s="424">
        <f t="shared" si="0"/>
        <v>21663.412499999999</v>
      </c>
      <c r="H35" s="423">
        <v>0.75</v>
      </c>
      <c r="I35" s="425">
        <f t="shared" si="1"/>
        <v>21663.412499999999</v>
      </c>
    </row>
    <row r="36" spans="1:9">
      <c r="A36" s="402"/>
      <c r="B36" s="516" t="s">
        <v>1339</v>
      </c>
      <c r="C36" s="439" t="s">
        <v>1365</v>
      </c>
      <c r="D36" s="316" t="s">
        <v>1369</v>
      </c>
      <c r="E36" s="521">
        <f>41065.94</f>
        <v>41065.94</v>
      </c>
      <c r="F36" s="423">
        <v>0.75</v>
      </c>
      <c r="G36" s="424">
        <f t="shared" si="0"/>
        <v>30799.455000000002</v>
      </c>
      <c r="H36" s="423">
        <v>0.75</v>
      </c>
      <c r="I36" s="425">
        <f t="shared" si="1"/>
        <v>30799.455000000002</v>
      </c>
    </row>
    <row r="37" spans="1:9">
      <c r="A37" s="402"/>
      <c r="B37" s="516" t="s">
        <v>1339</v>
      </c>
      <c r="C37" s="439" t="s">
        <v>1348</v>
      </c>
      <c r="D37" s="316" t="s">
        <v>1349</v>
      </c>
      <c r="E37" s="521">
        <f>1320912.96</f>
        <v>1320912.96</v>
      </c>
      <c r="F37" s="423">
        <v>0.75</v>
      </c>
      <c r="G37" s="424">
        <f t="shared" si="0"/>
        <v>990684.72</v>
      </c>
      <c r="H37" s="423">
        <v>0.75</v>
      </c>
      <c r="I37" s="425">
        <f t="shared" si="1"/>
        <v>990684.72</v>
      </c>
    </row>
    <row r="38" spans="1:9">
      <c r="A38" s="402"/>
      <c r="B38" s="516" t="s">
        <v>1339</v>
      </c>
      <c r="C38" s="439" t="s">
        <v>1340</v>
      </c>
      <c r="D38" s="316" t="s">
        <v>1340</v>
      </c>
      <c r="E38" s="521">
        <f>454812.77</f>
        <v>454812.77</v>
      </c>
      <c r="F38" s="423">
        <v>0.75</v>
      </c>
      <c r="G38" s="424">
        <f t="shared" si="0"/>
        <v>341109.57750000001</v>
      </c>
      <c r="H38" s="423">
        <v>0.75</v>
      </c>
      <c r="I38" s="425">
        <f t="shared" si="1"/>
        <v>341109.57750000001</v>
      </c>
    </row>
    <row r="39" spans="1:9">
      <c r="A39" s="402"/>
      <c r="B39" s="516" t="s">
        <v>553</v>
      </c>
      <c r="C39" s="439" t="s">
        <v>1364</v>
      </c>
      <c r="D39" s="316" t="s">
        <v>1364</v>
      </c>
      <c r="E39" s="521">
        <f>40641.57</f>
        <v>40641.57</v>
      </c>
      <c r="F39" s="423">
        <v>0.75</v>
      </c>
      <c r="G39" s="424">
        <f t="shared" si="0"/>
        <v>30481.177499999998</v>
      </c>
      <c r="H39" s="423">
        <v>0.75</v>
      </c>
      <c r="I39" s="425">
        <f t="shared" si="1"/>
        <v>30481.177499999998</v>
      </c>
    </row>
    <row r="40" spans="1:9">
      <c r="A40" s="402"/>
      <c r="B40" s="516" t="s">
        <v>553</v>
      </c>
      <c r="C40" s="439" t="s">
        <v>1340</v>
      </c>
      <c r="D40" s="316" t="s">
        <v>1340</v>
      </c>
      <c r="E40" s="521">
        <f>577.47</f>
        <v>577.47</v>
      </c>
      <c r="F40" s="423">
        <v>0.75</v>
      </c>
      <c r="G40" s="424">
        <f t="shared" si="0"/>
        <v>433.10250000000002</v>
      </c>
      <c r="H40" s="423">
        <v>0.75</v>
      </c>
      <c r="I40" s="425">
        <f t="shared" si="1"/>
        <v>433.10250000000002</v>
      </c>
    </row>
    <row r="41" spans="1:9" ht="14.4" thickBot="1">
      <c r="A41" s="402"/>
      <c r="B41" s="516"/>
      <c r="C41" s="513" t="s">
        <v>961</v>
      </c>
      <c r="D41" s="426"/>
      <c r="E41" s="525">
        <f>SUM(E10:E40)</f>
        <v>6006058.1099999985</v>
      </c>
      <c r="F41" s="427"/>
      <c r="G41" s="390">
        <f>SUM(G10:G40)</f>
        <v>4504543.5824999996</v>
      </c>
      <c r="H41" s="427"/>
      <c r="I41" s="326">
        <f>SUM(I10:I40)</f>
        <v>4504543.5824999996</v>
      </c>
    </row>
    <row r="42" spans="1:9" ht="14.4" thickTop="1">
      <c r="A42" s="402"/>
      <c r="B42" s="516" t="s">
        <v>555</v>
      </c>
      <c r="C42" s="439" t="s">
        <v>1363</v>
      </c>
      <c r="D42" s="316" t="s">
        <v>1370</v>
      </c>
      <c r="E42" s="521">
        <f>559892.23</f>
        <v>559892.23</v>
      </c>
      <c r="F42" s="423">
        <v>0.52300000000000002</v>
      </c>
      <c r="G42" s="424">
        <f t="shared" ref="G42:G47" si="2">F42*E42</f>
        <v>292823.63628999999</v>
      </c>
      <c r="H42" s="423">
        <v>0.66779999999999995</v>
      </c>
      <c r="I42" s="425">
        <f t="shared" ref="I42:I47" si="3">E42*H42</f>
        <v>373896.03119399998</v>
      </c>
    </row>
    <row r="43" spans="1:9">
      <c r="A43" s="402"/>
      <c r="B43" s="516" t="s">
        <v>555</v>
      </c>
      <c r="C43" s="439" t="s">
        <v>1340</v>
      </c>
      <c r="D43" s="316" t="s">
        <v>1340</v>
      </c>
      <c r="E43" s="521">
        <f>33279.98</f>
        <v>33279.980000000003</v>
      </c>
      <c r="F43" s="423">
        <v>0.52300000000000002</v>
      </c>
      <c r="G43" s="424">
        <f t="shared" si="2"/>
        <v>17405.429540000001</v>
      </c>
      <c r="H43" s="423">
        <v>0.66779999999999995</v>
      </c>
      <c r="I43" s="425">
        <f t="shared" si="3"/>
        <v>22224.370643999999</v>
      </c>
    </row>
    <row r="44" spans="1:9">
      <c r="A44" s="402"/>
      <c r="B44" s="516" t="s">
        <v>555</v>
      </c>
      <c r="C44" s="439" t="s">
        <v>1399</v>
      </c>
      <c r="D44" s="316" t="s">
        <v>2399</v>
      </c>
      <c r="E44" s="521">
        <f>276283.57</f>
        <v>276283.57</v>
      </c>
      <c r="F44" s="423">
        <v>0.52300000000000002</v>
      </c>
      <c r="G44" s="424">
        <f t="shared" si="2"/>
        <v>144496.30711000002</v>
      </c>
      <c r="H44" s="423">
        <v>0.66779999999999995</v>
      </c>
      <c r="I44" s="425">
        <f t="shared" si="3"/>
        <v>184502.16804599998</v>
      </c>
    </row>
    <row r="45" spans="1:9">
      <c r="A45" s="402"/>
      <c r="B45" s="516" t="s">
        <v>555</v>
      </c>
      <c r="C45" s="439" t="s">
        <v>2278</v>
      </c>
      <c r="D45" s="316" t="s">
        <v>1342</v>
      </c>
      <c r="E45" s="521">
        <f>153427.83</f>
        <v>153427.82999999999</v>
      </c>
      <c r="F45" s="423">
        <v>0.52300000000000002</v>
      </c>
      <c r="G45" s="424">
        <f t="shared" si="2"/>
        <v>80242.755089999991</v>
      </c>
      <c r="H45" s="423">
        <v>0.66779999999999995</v>
      </c>
      <c r="I45" s="425">
        <f t="shared" si="3"/>
        <v>102459.10487399998</v>
      </c>
    </row>
    <row r="46" spans="1:9">
      <c r="A46" s="402"/>
      <c r="B46" s="516" t="s">
        <v>555</v>
      </c>
      <c r="C46" s="439" t="s">
        <v>1340</v>
      </c>
      <c r="D46" s="316" t="s">
        <v>1340</v>
      </c>
      <c r="E46" s="521">
        <f>2051.63</f>
        <v>2051.63</v>
      </c>
      <c r="F46" s="423">
        <v>0.52300000000000002</v>
      </c>
      <c r="G46" s="424">
        <f t="shared" si="2"/>
        <v>1073.0024900000001</v>
      </c>
      <c r="H46" s="423">
        <v>0.66779999999999995</v>
      </c>
      <c r="I46" s="425">
        <f t="shared" si="3"/>
        <v>1370.078514</v>
      </c>
    </row>
    <row r="47" spans="1:9">
      <c r="A47" s="402"/>
      <c r="B47" s="516" t="s">
        <v>555</v>
      </c>
      <c r="C47" s="439" t="s">
        <v>1340</v>
      </c>
      <c r="D47" s="316" t="s">
        <v>1340</v>
      </c>
      <c r="E47" s="521">
        <f>2835.11</f>
        <v>2835.11</v>
      </c>
      <c r="F47" s="423">
        <v>0.52300000000000002</v>
      </c>
      <c r="G47" s="424">
        <f t="shared" si="2"/>
        <v>1482.7625300000002</v>
      </c>
      <c r="H47" s="423">
        <v>0.66779999999999995</v>
      </c>
      <c r="I47" s="425">
        <f t="shared" si="3"/>
        <v>1893.286458</v>
      </c>
    </row>
    <row r="48" spans="1:9" ht="14.4" thickBot="1">
      <c r="A48" s="402"/>
      <c r="B48" s="516"/>
      <c r="C48" s="513" t="s">
        <v>961</v>
      </c>
      <c r="D48" s="426"/>
      <c r="E48" s="525">
        <f>SUM(E42:E47)</f>
        <v>1027770.35</v>
      </c>
      <c r="F48" s="427"/>
      <c r="G48" s="390">
        <f>SUM(G42:G47)</f>
        <v>537523.89304999996</v>
      </c>
      <c r="H48" s="427"/>
      <c r="I48" s="326">
        <f>SUM(I42:I47)</f>
        <v>686345.03972999996</v>
      </c>
    </row>
    <row r="49" spans="1:9" ht="14.4" thickTop="1">
      <c r="A49" s="402"/>
      <c r="B49" s="516" t="s">
        <v>555</v>
      </c>
      <c r="C49" s="439" t="s">
        <v>1366</v>
      </c>
      <c r="D49" s="316" t="s">
        <v>1367</v>
      </c>
      <c r="E49" s="521">
        <f>267248.89</f>
        <v>267248.89</v>
      </c>
      <c r="F49" s="423">
        <v>0.75</v>
      </c>
      <c r="G49" s="424">
        <f>F49*E49</f>
        <v>200436.66750000001</v>
      </c>
      <c r="H49" s="423">
        <v>0.75</v>
      </c>
      <c r="I49" s="425">
        <f>E49*H49</f>
        <v>200436.66750000001</v>
      </c>
    </row>
    <row r="50" spans="1:9">
      <c r="A50" s="402"/>
      <c r="B50" s="516" t="s">
        <v>555</v>
      </c>
      <c r="C50" s="439" t="s">
        <v>1340</v>
      </c>
      <c r="D50" s="316" t="s">
        <v>1340</v>
      </c>
      <c r="E50" s="521">
        <v>16354</v>
      </c>
      <c r="F50" s="423">
        <v>0.75</v>
      </c>
      <c r="G50" s="424">
        <f>F50*E50</f>
        <v>12265.5</v>
      </c>
      <c r="H50" s="423">
        <v>0.75</v>
      </c>
      <c r="I50" s="425">
        <f>E50*H50</f>
        <v>12265.5</v>
      </c>
    </row>
    <row r="51" spans="1:9">
      <c r="A51" s="402"/>
      <c r="B51" s="516" t="s">
        <v>555</v>
      </c>
      <c r="C51" s="439" t="s">
        <v>1357</v>
      </c>
      <c r="D51" s="316" t="s">
        <v>1357</v>
      </c>
      <c r="E51" s="521">
        <v>1215753.6399999999</v>
      </c>
      <c r="F51" s="423">
        <v>0.75</v>
      </c>
      <c r="G51" s="424">
        <f>F51*E51</f>
        <v>911815.23</v>
      </c>
      <c r="H51" s="423">
        <v>0.75</v>
      </c>
      <c r="I51" s="425">
        <f>E51*H51</f>
        <v>911815.23</v>
      </c>
    </row>
    <row r="52" spans="1:9">
      <c r="A52" s="402"/>
      <c r="B52" s="516" t="s">
        <v>555</v>
      </c>
      <c r="C52" s="439" t="s">
        <v>1340</v>
      </c>
      <c r="D52" s="316" t="s">
        <v>1340</v>
      </c>
      <c r="E52" s="521">
        <v>15472.91</v>
      </c>
      <c r="F52" s="423">
        <v>0.75</v>
      </c>
      <c r="G52" s="424">
        <f>F52*E52</f>
        <v>11604.682499999999</v>
      </c>
      <c r="H52" s="423">
        <v>0.75</v>
      </c>
      <c r="I52" s="425">
        <f>E52*H52</f>
        <v>11604.682499999999</v>
      </c>
    </row>
    <row r="53" spans="1:9" ht="14.4" thickBot="1">
      <c r="A53" s="402"/>
      <c r="B53" s="516"/>
      <c r="C53" s="513" t="s">
        <v>961</v>
      </c>
      <c r="D53" s="426"/>
      <c r="E53" s="525">
        <f>SUM(E49:E52)</f>
        <v>1514829.4399999997</v>
      </c>
      <c r="F53" s="427"/>
      <c r="G53" s="390">
        <f>SUM(G49:G52)</f>
        <v>1136122.08</v>
      </c>
      <c r="H53" s="426"/>
      <c r="I53" s="326">
        <f>SUM(I49:I52)</f>
        <v>1136122.08</v>
      </c>
    </row>
    <row r="54" spans="1:9" ht="14.4" thickTop="1">
      <c r="A54" s="402"/>
      <c r="B54" s="516" t="s">
        <v>1371</v>
      </c>
      <c r="C54" s="510" t="s">
        <v>1372</v>
      </c>
      <c r="D54" s="316" t="s">
        <v>1373</v>
      </c>
      <c r="E54" s="521">
        <f>134174.04</f>
        <v>134174.04</v>
      </c>
      <c r="F54" s="423">
        <v>0.75</v>
      </c>
      <c r="G54" s="424">
        <f>E54*F54</f>
        <v>100630.53</v>
      </c>
      <c r="H54" s="423">
        <v>0.75</v>
      </c>
      <c r="I54" s="425">
        <f>E54*H54</f>
        <v>100630.53</v>
      </c>
    </row>
    <row r="55" spans="1:9">
      <c r="A55" s="249"/>
      <c r="B55" s="516" t="s">
        <v>1371</v>
      </c>
      <c r="C55" s="510" t="s">
        <v>2321</v>
      </c>
      <c r="D55" s="316" t="s">
        <v>1367</v>
      </c>
      <c r="E55" s="521">
        <f>59005.31</f>
        <v>59005.31</v>
      </c>
      <c r="F55" s="423">
        <v>0.75</v>
      </c>
      <c r="G55" s="424">
        <f t="shared" ref="G55:G96" si="4">E55*F55</f>
        <v>44253.982499999998</v>
      </c>
      <c r="H55" s="423">
        <v>0.75</v>
      </c>
      <c r="I55" s="425">
        <f t="shared" ref="I55:I96" si="5">E55*H55</f>
        <v>44253.982499999998</v>
      </c>
    </row>
    <row r="56" spans="1:9">
      <c r="A56" s="249"/>
      <c r="B56" s="516" t="s">
        <v>1371</v>
      </c>
      <c r="C56" s="510" t="s">
        <v>1374</v>
      </c>
      <c r="D56" s="316" t="s">
        <v>1357</v>
      </c>
      <c r="E56" s="521">
        <f>119667.35</f>
        <v>119667.35</v>
      </c>
      <c r="F56" s="423">
        <v>0.75</v>
      </c>
      <c r="G56" s="424">
        <f t="shared" si="4"/>
        <v>89750.512500000012</v>
      </c>
      <c r="H56" s="423">
        <v>0.75</v>
      </c>
      <c r="I56" s="425">
        <f t="shared" si="5"/>
        <v>89750.512500000012</v>
      </c>
    </row>
    <row r="57" spans="1:9">
      <c r="A57" s="249"/>
      <c r="B57" s="516" t="s">
        <v>1371</v>
      </c>
      <c r="C57" s="510" t="s">
        <v>1375</v>
      </c>
      <c r="D57" s="316" t="s">
        <v>1376</v>
      </c>
      <c r="E57" s="521">
        <f>19292.2</f>
        <v>19292.2</v>
      </c>
      <c r="F57" s="423">
        <v>0.75</v>
      </c>
      <c r="G57" s="424">
        <f t="shared" si="4"/>
        <v>14469.150000000001</v>
      </c>
      <c r="H57" s="423">
        <v>0.75</v>
      </c>
      <c r="I57" s="425">
        <f t="shared" si="5"/>
        <v>14469.150000000001</v>
      </c>
    </row>
    <row r="58" spans="1:9">
      <c r="A58" s="249"/>
      <c r="B58" s="516" t="s">
        <v>1371</v>
      </c>
      <c r="C58" s="510" t="s">
        <v>1365</v>
      </c>
      <c r="D58" s="316" t="s">
        <v>1366</v>
      </c>
      <c r="E58" s="521">
        <f>53164.52</f>
        <v>53164.52</v>
      </c>
      <c r="F58" s="423">
        <v>0.75</v>
      </c>
      <c r="G58" s="424">
        <f t="shared" si="4"/>
        <v>39873.39</v>
      </c>
      <c r="H58" s="423">
        <v>0.75</v>
      </c>
      <c r="I58" s="425">
        <f t="shared" si="5"/>
        <v>39873.39</v>
      </c>
    </row>
    <row r="59" spans="1:9">
      <c r="A59" s="249"/>
      <c r="B59" s="516" t="s">
        <v>1371</v>
      </c>
      <c r="C59" s="510" t="s">
        <v>1365</v>
      </c>
      <c r="D59" s="316" t="s">
        <v>1367</v>
      </c>
      <c r="E59" s="521">
        <f>307465.42</f>
        <v>307465.42</v>
      </c>
      <c r="F59" s="423">
        <v>0.75</v>
      </c>
      <c r="G59" s="424">
        <f t="shared" si="4"/>
        <v>230599.065</v>
      </c>
      <c r="H59" s="423">
        <v>0.75</v>
      </c>
      <c r="I59" s="425">
        <f t="shared" si="5"/>
        <v>230599.065</v>
      </c>
    </row>
    <row r="60" spans="1:9">
      <c r="A60" s="249"/>
      <c r="B60" s="516" t="s">
        <v>1371</v>
      </c>
      <c r="C60" s="510" t="s">
        <v>1365</v>
      </c>
      <c r="D60" s="316" t="s">
        <v>1373</v>
      </c>
      <c r="E60" s="521">
        <f>12819.56</f>
        <v>12819.56</v>
      </c>
      <c r="F60" s="423">
        <v>0.75</v>
      </c>
      <c r="G60" s="424">
        <f t="shared" si="4"/>
        <v>9614.67</v>
      </c>
      <c r="H60" s="423">
        <v>0.75</v>
      </c>
      <c r="I60" s="425">
        <f t="shared" si="5"/>
        <v>9614.67</v>
      </c>
    </row>
    <row r="61" spans="1:9">
      <c r="A61" s="249"/>
      <c r="B61" s="516" t="s">
        <v>1371</v>
      </c>
      <c r="C61" s="510" t="s">
        <v>1365</v>
      </c>
      <c r="D61" s="316" t="s">
        <v>1369</v>
      </c>
      <c r="E61" s="521">
        <f>415983</f>
        <v>415983</v>
      </c>
      <c r="F61" s="423">
        <v>0.75</v>
      </c>
      <c r="G61" s="424">
        <f t="shared" si="4"/>
        <v>311987.25</v>
      </c>
      <c r="H61" s="423">
        <v>0.75</v>
      </c>
      <c r="I61" s="425">
        <f t="shared" si="5"/>
        <v>311987.25</v>
      </c>
    </row>
    <row r="62" spans="1:9">
      <c r="A62" s="249"/>
      <c r="B62" s="516" t="s">
        <v>1371</v>
      </c>
      <c r="C62" s="510" t="s">
        <v>1340</v>
      </c>
      <c r="D62" s="316" t="s">
        <v>1340</v>
      </c>
      <c r="E62" s="521">
        <f>150136.1</f>
        <v>150136.1</v>
      </c>
      <c r="F62" s="423">
        <v>0.75</v>
      </c>
      <c r="G62" s="424">
        <f t="shared" si="4"/>
        <v>112602.07500000001</v>
      </c>
      <c r="H62" s="423">
        <v>0.75</v>
      </c>
      <c r="I62" s="425">
        <f t="shared" si="5"/>
        <v>112602.07500000001</v>
      </c>
    </row>
    <row r="63" spans="1:9">
      <c r="A63" s="249"/>
      <c r="B63" s="516" t="s">
        <v>1371</v>
      </c>
      <c r="C63" s="510" t="s">
        <v>1340</v>
      </c>
      <c r="D63" s="316" t="s">
        <v>1340</v>
      </c>
      <c r="E63" s="521">
        <f>2533.43</f>
        <v>2533.4299999999998</v>
      </c>
      <c r="F63" s="423">
        <v>0.75</v>
      </c>
      <c r="G63" s="424">
        <f t="shared" si="4"/>
        <v>1900.0724999999998</v>
      </c>
      <c r="H63" s="423">
        <v>0.75</v>
      </c>
      <c r="I63" s="425">
        <f t="shared" si="5"/>
        <v>1900.0724999999998</v>
      </c>
    </row>
    <row r="64" spans="1:9">
      <c r="A64" s="249"/>
      <c r="B64" s="516" t="s">
        <v>1371</v>
      </c>
      <c r="C64" s="510" t="s">
        <v>1363</v>
      </c>
      <c r="D64" s="316" t="s">
        <v>1370</v>
      </c>
      <c r="E64" s="521">
        <f>31657.69</f>
        <v>31657.69</v>
      </c>
      <c r="F64" s="423">
        <v>0.75</v>
      </c>
      <c r="G64" s="424">
        <f t="shared" si="4"/>
        <v>23743.267499999998</v>
      </c>
      <c r="H64" s="423">
        <v>0.75</v>
      </c>
      <c r="I64" s="425">
        <f t="shared" si="5"/>
        <v>23743.267499999998</v>
      </c>
    </row>
    <row r="65" spans="1:9">
      <c r="A65" s="249"/>
      <c r="B65" s="516" t="s">
        <v>1371</v>
      </c>
      <c r="C65" s="510" t="s">
        <v>1359</v>
      </c>
      <c r="D65" s="316" t="s">
        <v>1360</v>
      </c>
      <c r="E65" s="521">
        <f>85009.25</f>
        <v>85009.25</v>
      </c>
      <c r="F65" s="423">
        <v>0.75</v>
      </c>
      <c r="G65" s="424">
        <f t="shared" si="4"/>
        <v>63756.9375</v>
      </c>
      <c r="H65" s="423">
        <v>0.75</v>
      </c>
      <c r="I65" s="425">
        <f t="shared" si="5"/>
        <v>63756.9375</v>
      </c>
    </row>
    <row r="66" spans="1:9">
      <c r="A66" s="249"/>
      <c r="B66" s="516" t="s">
        <v>1371</v>
      </c>
      <c r="C66" s="510" t="s">
        <v>1366</v>
      </c>
      <c r="D66" s="316" t="s">
        <v>1367</v>
      </c>
      <c r="E66" s="521">
        <f>108684.58</f>
        <v>108684.58</v>
      </c>
      <c r="F66" s="423">
        <v>0.75</v>
      </c>
      <c r="G66" s="424">
        <f t="shared" si="4"/>
        <v>81513.434999999998</v>
      </c>
      <c r="H66" s="423">
        <v>0.75</v>
      </c>
      <c r="I66" s="425">
        <f t="shared" si="5"/>
        <v>81513.434999999998</v>
      </c>
    </row>
    <row r="67" spans="1:9">
      <c r="A67" s="249"/>
      <c r="B67" s="516" t="s">
        <v>1371</v>
      </c>
      <c r="C67" s="510" t="s">
        <v>1366</v>
      </c>
      <c r="D67" s="316" t="s">
        <v>1369</v>
      </c>
      <c r="E67" s="521">
        <f>1933.73</f>
        <v>1933.73</v>
      </c>
      <c r="F67" s="423">
        <v>0.75</v>
      </c>
      <c r="G67" s="424">
        <f t="shared" si="4"/>
        <v>1450.2975000000001</v>
      </c>
      <c r="H67" s="423">
        <v>0.75</v>
      </c>
      <c r="I67" s="425">
        <f t="shared" si="5"/>
        <v>1450.2975000000001</v>
      </c>
    </row>
    <row r="68" spans="1:9">
      <c r="A68" s="249"/>
      <c r="B68" s="516" t="s">
        <v>1371</v>
      </c>
      <c r="C68" s="510" t="s">
        <v>1366</v>
      </c>
      <c r="D68" s="316" t="s">
        <v>1366</v>
      </c>
      <c r="E68" s="521">
        <f>38122.92</f>
        <v>38122.92</v>
      </c>
      <c r="F68" s="423">
        <v>0.75</v>
      </c>
      <c r="G68" s="424">
        <f t="shared" si="4"/>
        <v>28592.19</v>
      </c>
      <c r="H68" s="423">
        <v>0.75</v>
      </c>
      <c r="I68" s="425">
        <f t="shared" si="5"/>
        <v>28592.19</v>
      </c>
    </row>
    <row r="69" spans="1:9">
      <c r="A69" s="249"/>
      <c r="B69" s="516" t="s">
        <v>1371</v>
      </c>
      <c r="C69" s="510" t="s">
        <v>1340</v>
      </c>
      <c r="D69" s="316" t="s">
        <v>1340</v>
      </c>
      <c r="E69" s="521">
        <f>23485.53</f>
        <v>23485.53</v>
      </c>
      <c r="F69" s="423">
        <v>0.75</v>
      </c>
      <c r="G69" s="424">
        <f t="shared" si="4"/>
        <v>17614.147499999999</v>
      </c>
      <c r="H69" s="423">
        <v>0.75</v>
      </c>
      <c r="I69" s="425">
        <f t="shared" si="5"/>
        <v>17614.147499999999</v>
      </c>
    </row>
    <row r="70" spans="1:9">
      <c r="A70" s="249"/>
      <c r="B70" s="516" t="s">
        <v>1371</v>
      </c>
      <c r="C70" s="510" t="s">
        <v>2323</v>
      </c>
      <c r="D70" s="316" t="s">
        <v>1367</v>
      </c>
      <c r="E70" s="521">
        <f>25031.95</f>
        <v>25031.95</v>
      </c>
      <c r="F70" s="423">
        <v>0.75</v>
      </c>
      <c r="G70" s="424">
        <f t="shared" si="4"/>
        <v>18773.962500000001</v>
      </c>
      <c r="H70" s="423">
        <v>0.75</v>
      </c>
      <c r="I70" s="425">
        <f t="shared" si="5"/>
        <v>18773.962500000001</v>
      </c>
    </row>
    <row r="71" spans="1:9">
      <c r="A71" s="249"/>
      <c r="B71" s="516" t="s">
        <v>1371</v>
      </c>
      <c r="C71" s="510" t="s">
        <v>2324</v>
      </c>
      <c r="D71" s="316" t="s">
        <v>1340</v>
      </c>
      <c r="E71" s="521">
        <f>513.75</f>
        <v>513.75</v>
      </c>
      <c r="F71" s="423">
        <v>0.75</v>
      </c>
      <c r="G71" s="424">
        <f t="shared" si="4"/>
        <v>385.3125</v>
      </c>
      <c r="H71" s="423">
        <v>0.75</v>
      </c>
      <c r="I71" s="425">
        <f t="shared" si="5"/>
        <v>385.3125</v>
      </c>
    </row>
    <row r="72" spans="1:9">
      <c r="A72" s="249"/>
      <c r="B72" s="516" t="s">
        <v>1371</v>
      </c>
      <c r="C72" s="510" t="s">
        <v>1340</v>
      </c>
      <c r="D72" s="316" t="s">
        <v>1340</v>
      </c>
      <c r="E72" s="521">
        <f>18649.85</f>
        <v>18649.849999999999</v>
      </c>
      <c r="F72" s="423">
        <v>0.75</v>
      </c>
      <c r="G72" s="424">
        <f t="shared" si="4"/>
        <v>13987.387499999999</v>
      </c>
      <c r="H72" s="423">
        <v>0.75</v>
      </c>
      <c r="I72" s="425">
        <f t="shared" si="5"/>
        <v>13987.387499999999</v>
      </c>
    </row>
    <row r="73" spans="1:9">
      <c r="A73" s="249"/>
      <c r="B73" s="516" t="s">
        <v>1371</v>
      </c>
      <c r="C73" s="510" t="s">
        <v>2322</v>
      </c>
      <c r="D73" s="316" t="s">
        <v>1373</v>
      </c>
      <c r="E73" s="521">
        <f>2849.9</f>
        <v>2849.9</v>
      </c>
      <c r="F73" s="423">
        <v>0.75</v>
      </c>
      <c r="G73" s="424">
        <f t="shared" si="4"/>
        <v>2137.4250000000002</v>
      </c>
      <c r="H73" s="423">
        <v>0.75</v>
      </c>
      <c r="I73" s="425">
        <f t="shared" si="5"/>
        <v>2137.4250000000002</v>
      </c>
    </row>
    <row r="74" spans="1:9">
      <c r="A74" s="249"/>
      <c r="B74" s="516" t="s">
        <v>1371</v>
      </c>
      <c r="C74" s="510" t="s">
        <v>2325</v>
      </c>
      <c r="D74" s="316" t="s">
        <v>1373</v>
      </c>
      <c r="E74" s="521">
        <f>6624.56</f>
        <v>6624.56</v>
      </c>
      <c r="F74" s="423">
        <v>0.75</v>
      </c>
      <c r="G74" s="424">
        <f t="shared" si="4"/>
        <v>4968.42</v>
      </c>
      <c r="H74" s="423">
        <v>0.75</v>
      </c>
      <c r="I74" s="425">
        <f t="shared" si="5"/>
        <v>4968.42</v>
      </c>
    </row>
    <row r="75" spans="1:9">
      <c r="A75" s="249"/>
      <c r="B75" s="516" t="s">
        <v>1371</v>
      </c>
      <c r="C75" s="510" t="s">
        <v>1377</v>
      </c>
      <c r="D75" s="316" t="s">
        <v>1378</v>
      </c>
      <c r="E75" s="521">
        <f>98002.74</f>
        <v>98002.74</v>
      </c>
      <c r="F75" s="423">
        <v>0.75</v>
      </c>
      <c r="G75" s="424">
        <f t="shared" si="4"/>
        <v>73502.055000000008</v>
      </c>
      <c r="H75" s="423">
        <v>0.75</v>
      </c>
      <c r="I75" s="425">
        <f t="shared" si="5"/>
        <v>73502.055000000008</v>
      </c>
    </row>
    <row r="76" spans="1:9">
      <c r="A76" s="249"/>
      <c r="B76" s="516" t="s">
        <v>1371</v>
      </c>
      <c r="C76" s="510" t="s">
        <v>1340</v>
      </c>
      <c r="D76" s="316" t="s">
        <v>1340</v>
      </c>
      <c r="E76" s="521">
        <f>3247.51</f>
        <v>3247.51</v>
      </c>
      <c r="F76" s="423">
        <v>0.75</v>
      </c>
      <c r="G76" s="424">
        <f t="shared" si="4"/>
        <v>2435.6325000000002</v>
      </c>
      <c r="H76" s="423">
        <v>0.75</v>
      </c>
      <c r="I76" s="425">
        <f t="shared" si="5"/>
        <v>2435.6325000000002</v>
      </c>
    </row>
    <row r="77" spans="1:9">
      <c r="A77" s="249"/>
      <c r="B77" s="516" t="s">
        <v>1371</v>
      </c>
      <c r="C77" s="510" t="s">
        <v>1359</v>
      </c>
      <c r="D77" s="316" t="s">
        <v>1360</v>
      </c>
      <c r="E77" s="521">
        <f>226333.26</f>
        <v>226333.26</v>
      </c>
      <c r="F77" s="423">
        <v>0.75</v>
      </c>
      <c r="G77" s="424">
        <f t="shared" si="4"/>
        <v>169749.94500000001</v>
      </c>
      <c r="H77" s="423">
        <v>0.75</v>
      </c>
      <c r="I77" s="425">
        <f t="shared" si="5"/>
        <v>169749.94500000001</v>
      </c>
    </row>
    <row r="78" spans="1:9">
      <c r="A78" s="249"/>
      <c r="B78" s="516" t="s">
        <v>1371</v>
      </c>
      <c r="C78" s="510" t="s">
        <v>1340</v>
      </c>
      <c r="D78" s="316" t="s">
        <v>1340</v>
      </c>
      <c r="E78" s="521">
        <f>13470.93</f>
        <v>13470.93</v>
      </c>
      <c r="F78" s="423">
        <v>0.75</v>
      </c>
      <c r="G78" s="424">
        <f t="shared" si="4"/>
        <v>10103.1975</v>
      </c>
      <c r="H78" s="423">
        <v>0.75</v>
      </c>
      <c r="I78" s="425">
        <f t="shared" si="5"/>
        <v>10103.1975</v>
      </c>
    </row>
    <row r="79" spans="1:9">
      <c r="A79" s="249"/>
      <c r="B79" s="516" t="s">
        <v>1371</v>
      </c>
      <c r="C79" s="510" t="s">
        <v>1379</v>
      </c>
      <c r="D79" s="316" t="s">
        <v>1370</v>
      </c>
      <c r="E79" s="521">
        <f>70114.66</f>
        <v>70114.66</v>
      </c>
      <c r="F79" s="423">
        <v>0.75</v>
      </c>
      <c r="G79" s="424">
        <f t="shared" si="4"/>
        <v>52585.995000000003</v>
      </c>
      <c r="H79" s="423">
        <v>0.75</v>
      </c>
      <c r="I79" s="425">
        <f t="shared" si="5"/>
        <v>52585.995000000003</v>
      </c>
    </row>
    <row r="80" spans="1:9">
      <c r="A80" s="249"/>
      <c r="B80" s="516" t="s">
        <v>1371</v>
      </c>
      <c r="C80" s="510" t="s">
        <v>1340</v>
      </c>
      <c r="D80" s="316" t="s">
        <v>1340</v>
      </c>
      <c r="E80" s="521">
        <f>1421.38</f>
        <v>1421.38</v>
      </c>
      <c r="F80" s="423">
        <v>0.75</v>
      </c>
      <c r="G80" s="424">
        <f t="shared" si="4"/>
        <v>1066.0350000000001</v>
      </c>
      <c r="H80" s="423">
        <v>0.75</v>
      </c>
      <c r="I80" s="425">
        <f t="shared" si="5"/>
        <v>1066.0350000000001</v>
      </c>
    </row>
    <row r="81" spans="1:9">
      <c r="A81" s="249"/>
      <c r="B81" s="516" t="s">
        <v>1371</v>
      </c>
      <c r="C81" s="510" t="s">
        <v>1380</v>
      </c>
      <c r="D81" s="316" t="s">
        <v>1370</v>
      </c>
      <c r="E81" s="521">
        <f>61004.73</f>
        <v>61004.73</v>
      </c>
      <c r="F81" s="423">
        <v>0.75</v>
      </c>
      <c r="G81" s="424">
        <f t="shared" si="4"/>
        <v>45753.547500000001</v>
      </c>
      <c r="H81" s="423">
        <v>0.75</v>
      </c>
      <c r="I81" s="425">
        <f t="shared" si="5"/>
        <v>45753.547500000001</v>
      </c>
    </row>
    <row r="82" spans="1:9">
      <c r="A82" s="249"/>
      <c r="B82" s="516" t="s">
        <v>1371</v>
      </c>
      <c r="C82" s="510" t="s">
        <v>2320</v>
      </c>
      <c r="D82" s="316" t="s">
        <v>1357</v>
      </c>
      <c r="E82" s="521">
        <f>202050</f>
        <v>202050</v>
      </c>
      <c r="F82" s="423">
        <v>0.75</v>
      </c>
      <c r="G82" s="424">
        <f t="shared" si="4"/>
        <v>151537.5</v>
      </c>
      <c r="H82" s="423">
        <v>0.75</v>
      </c>
      <c r="I82" s="425">
        <f t="shared" si="5"/>
        <v>151537.5</v>
      </c>
    </row>
    <row r="83" spans="1:9">
      <c r="A83" s="249"/>
      <c r="B83" s="516" t="s">
        <v>1371</v>
      </c>
      <c r="C83" s="510" t="s">
        <v>1340</v>
      </c>
      <c r="D83" s="316" t="s">
        <v>1340</v>
      </c>
      <c r="E83" s="521">
        <f>6760.85</f>
        <v>6760.85</v>
      </c>
      <c r="F83" s="423">
        <v>0.75</v>
      </c>
      <c r="G83" s="424">
        <f t="shared" si="4"/>
        <v>5070.6375000000007</v>
      </c>
      <c r="H83" s="423">
        <v>0.75</v>
      </c>
      <c r="I83" s="425">
        <f t="shared" si="5"/>
        <v>5070.6375000000007</v>
      </c>
    </row>
    <row r="84" spans="1:9">
      <c r="A84" s="249"/>
      <c r="B84" s="516" t="s">
        <v>1371</v>
      </c>
      <c r="C84" s="510" t="s">
        <v>1357</v>
      </c>
      <c r="D84" s="316" t="s">
        <v>1358</v>
      </c>
      <c r="E84" s="521">
        <f>121027.36</f>
        <v>121027.36</v>
      </c>
      <c r="F84" s="423">
        <v>0.75</v>
      </c>
      <c r="G84" s="424">
        <f t="shared" si="4"/>
        <v>90770.52</v>
      </c>
      <c r="H84" s="423">
        <v>0.75</v>
      </c>
      <c r="I84" s="425">
        <f t="shared" si="5"/>
        <v>90770.52</v>
      </c>
    </row>
    <row r="85" spans="1:9">
      <c r="A85" s="249"/>
      <c r="B85" s="516" t="s">
        <v>1371</v>
      </c>
      <c r="C85" s="510" t="s">
        <v>1340</v>
      </c>
      <c r="D85" s="316" t="s">
        <v>1340</v>
      </c>
      <c r="E85" s="521">
        <f>2483.93</f>
        <v>2483.9299999999998</v>
      </c>
      <c r="F85" s="423">
        <v>0.75</v>
      </c>
      <c r="G85" s="424">
        <f t="shared" si="4"/>
        <v>1862.9474999999998</v>
      </c>
      <c r="H85" s="423">
        <v>0.75</v>
      </c>
      <c r="I85" s="425">
        <f t="shared" si="5"/>
        <v>1862.9474999999998</v>
      </c>
    </row>
    <row r="86" spans="1:9">
      <c r="A86" s="249"/>
      <c r="B86" s="516" t="s">
        <v>1371</v>
      </c>
      <c r="C86" s="510" t="s">
        <v>1381</v>
      </c>
      <c r="D86" s="316" t="s">
        <v>1355</v>
      </c>
      <c r="E86" s="521">
        <f>454503.96</f>
        <v>454503.96</v>
      </c>
      <c r="F86" s="423">
        <v>0.75</v>
      </c>
      <c r="G86" s="424">
        <f t="shared" si="4"/>
        <v>340877.97000000003</v>
      </c>
      <c r="H86" s="423">
        <v>0.75</v>
      </c>
      <c r="I86" s="425">
        <f t="shared" si="5"/>
        <v>340877.97000000003</v>
      </c>
    </row>
    <row r="87" spans="1:9">
      <c r="A87" s="249"/>
      <c r="B87" s="516" t="s">
        <v>1371</v>
      </c>
      <c r="C87" s="510" t="s">
        <v>1340</v>
      </c>
      <c r="D87" s="316" t="s">
        <v>1340</v>
      </c>
      <c r="E87" s="521">
        <f>12877</f>
        <v>12877</v>
      </c>
      <c r="F87" s="423">
        <v>0.75</v>
      </c>
      <c r="G87" s="424">
        <f t="shared" si="4"/>
        <v>9657.75</v>
      </c>
      <c r="H87" s="423">
        <v>0.75</v>
      </c>
      <c r="I87" s="425">
        <f t="shared" si="5"/>
        <v>9657.75</v>
      </c>
    </row>
    <row r="88" spans="1:9">
      <c r="A88" s="249"/>
      <c r="B88" s="516" t="s">
        <v>1371</v>
      </c>
      <c r="C88" s="510" t="s">
        <v>1382</v>
      </c>
      <c r="D88" s="316" t="s">
        <v>1357</v>
      </c>
      <c r="E88" s="521">
        <f>20216.8</f>
        <v>20216.8</v>
      </c>
      <c r="F88" s="423">
        <v>0.75</v>
      </c>
      <c r="G88" s="424">
        <f t="shared" si="4"/>
        <v>15162.599999999999</v>
      </c>
      <c r="H88" s="423">
        <v>0.75</v>
      </c>
      <c r="I88" s="425">
        <f t="shared" si="5"/>
        <v>15162.599999999999</v>
      </c>
    </row>
    <row r="89" spans="1:9">
      <c r="A89" s="249"/>
      <c r="B89" s="516" t="s">
        <v>1371</v>
      </c>
      <c r="C89" s="510" t="s">
        <v>1340</v>
      </c>
      <c r="D89" s="316" t="s">
        <v>1340</v>
      </c>
      <c r="E89" s="521">
        <f>1978.87</f>
        <v>1978.87</v>
      </c>
      <c r="F89" s="423">
        <v>0.75</v>
      </c>
      <c r="G89" s="424">
        <f t="shared" si="4"/>
        <v>1484.1524999999999</v>
      </c>
      <c r="H89" s="423">
        <v>0.75</v>
      </c>
      <c r="I89" s="425">
        <f t="shared" si="5"/>
        <v>1484.1524999999999</v>
      </c>
    </row>
    <row r="90" spans="1:9">
      <c r="A90" s="249"/>
      <c r="B90" s="516" t="s">
        <v>1371</v>
      </c>
      <c r="C90" s="510" t="s">
        <v>1383</v>
      </c>
      <c r="D90" s="316" t="s">
        <v>1361</v>
      </c>
      <c r="E90" s="521">
        <f>36320.07</f>
        <v>36320.07</v>
      </c>
      <c r="F90" s="423">
        <v>0.75</v>
      </c>
      <c r="G90" s="424">
        <f t="shared" si="4"/>
        <v>27240.052499999998</v>
      </c>
      <c r="H90" s="423">
        <v>0.75</v>
      </c>
      <c r="I90" s="425">
        <f t="shared" si="5"/>
        <v>27240.052499999998</v>
      </c>
    </row>
    <row r="91" spans="1:9">
      <c r="A91" s="249"/>
      <c r="B91" s="516" t="s">
        <v>1371</v>
      </c>
      <c r="C91" s="510" t="s">
        <v>1340</v>
      </c>
      <c r="D91" s="316" t="s">
        <v>1340</v>
      </c>
      <c r="E91" s="521">
        <f>630.74</f>
        <v>630.74</v>
      </c>
      <c r="F91" s="423">
        <v>0.75</v>
      </c>
      <c r="G91" s="424">
        <f t="shared" si="4"/>
        <v>473.05500000000001</v>
      </c>
      <c r="H91" s="423">
        <v>0.75</v>
      </c>
      <c r="I91" s="425">
        <f t="shared" si="5"/>
        <v>473.05500000000001</v>
      </c>
    </row>
    <row r="92" spans="1:9">
      <c r="A92" s="249"/>
      <c r="B92" s="516" t="s">
        <v>1371</v>
      </c>
      <c r="C92" s="510" t="s">
        <v>1384</v>
      </c>
      <c r="D92" s="316" t="s">
        <v>1357</v>
      </c>
      <c r="E92" s="521">
        <f>23846.74</f>
        <v>23846.74</v>
      </c>
      <c r="F92" s="423">
        <v>0.75</v>
      </c>
      <c r="G92" s="424">
        <f t="shared" si="4"/>
        <v>17885.055</v>
      </c>
      <c r="H92" s="423">
        <v>0.75</v>
      </c>
      <c r="I92" s="425">
        <f t="shared" si="5"/>
        <v>17885.055</v>
      </c>
    </row>
    <row r="93" spans="1:9">
      <c r="A93" s="249"/>
      <c r="B93" s="516" t="s">
        <v>1371</v>
      </c>
      <c r="C93" s="510" t="s">
        <v>1385</v>
      </c>
      <c r="D93" s="316" t="s">
        <v>1386</v>
      </c>
      <c r="E93" s="521">
        <f>57731</f>
        <v>57731</v>
      </c>
      <c r="F93" s="423">
        <v>0.75</v>
      </c>
      <c r="G93" s="424">
        <f t="shared" si="4"/>
        <v>43298.25</v>
      </c>
      <c r="H93" s="423">
        <v>0.75</v>
      </c>
      <c r="I93" s="425">
        <f t="shared" si="5"/>
        <v>43298.25</v>
      </c>
    </row>
    <row r="94" spans="1:9">
      <c r="A94" s="249"/>
      <c r="B94" s="516" t="s">
        <v>1371</v>
      </c>
      <c r="C94" s="510" t="s">
        <v>1363</v>
      </c>
      <c r="D94" s="316" t="s">
        <v>1364</v>
      </c>
      <c r="E94" s="521">
        <f>144190.32</f>
        <v>144190.32</v>
      </c>
      <c r="F94" s="423">
        <v>0.75</v>
      </c>
      <c r="G94" s="424">
        <f t="shared" si="4"/>
        <v>108142.74</v>
      </c>
      <c r="H94" s="423">
        <v>0.75</v>
      </c>
      <c r="I94" s="425">
        <f t="shared" si="5"/>
        <v>108142.74</v>
      </c>
    </row>
    <row r="95" spans="1:9">
      <c r="A95" s="249"/>
      <c r="B95" s="516" t="s">
        <v>1371</v>
      </c>
      <c r="C95" s="510" t="s">
        <v>1364</v>
      </c>
      <c r="D95" s="316" t="s">
        <v>1364</v>
      </c>
      <c r="E95" s="521">
        <f>167020.06</f>
        <v>167020.06</v>
      </c>
      <c r="F95" s="423">
        <v>0.75</v>
      </c>
      <c r="G95" s="424">
        <f t="shared" si="4"/>
        <v>125265.045</v>
      </c>
      <c r="H95" s="423">
        <v>0.75</v>
      </c>
      <c r="I95" s="425">
        <f t="shared" si="5"/>
        <v>125265.045</v>
      </c>
    </row>
    <row r="96" spans="1:9">
      <c r="A96" s="249"/>
      <c r="B96" s="516" t="s">
        <v>1371</v>
      </c>
      <c r="C96" s="510" t="s">
        <v>1340</v>
      </c>
      <c r="D96" s="316" t="s">
        <v>1340</v>
      </c>
      <c r="E96" s="521">
        <f>2373.14</f>
        <v>2373.14</v>
      </c>
      <c r="F96" s="423">
        <v>0.75</v>
      </c>
      <c r="G96" s="424">
        <f t="shared" si="4"/>
        <v>1779.855</v>
      </c>
      <c r="H96" s="423">
        <v>0.75</v>
      </c>
      <c r="I96" s="425">
        <f t="shared" si="5"/>
        <v>1779.855</v>
      </c>
    </row>
    <row r="97" spans="1:9" s="428" customFormat="1" ht="14.4" thickBot="1">
      <c r="A97" s="249"/>
      <c r="B97" s="516"/>
      <c r="C97" s="514" t="s">
        <v>961</v>
      </c>
      <c r="D97" s="426"/>
      <c r="E97" s="525">
        <f>SUM(E54:E96)</f>
        <v>3344410.69</v>
      </c>
      <c r="F97" s="427"/>
      <c r="G97" s="390">
        <f>SUM(G54:G96)</f>
        <v>2508308.0175000005</v>
      </c>
      <c r="H97" s="426"/>
      <c r="I97" s="326">
        <f>SUM(I54:I96)</f>
        <v>2508308.0175000005</v>
      </c>
    </row>
    <row r="98" spans="1:9" ht="14.4" thickTop="1">
      <c r="A98" s="249"/>
      <c r="B98" s="516" t="s">
        <v>1371</v>
      </c>
      <c r="C98" s="510" t="s">
        <v>1387</v>
      </c>
      <c r="D98" s="316" t="s">
        <v>1388</v>
      </c>
      <c r="E98" s="521">
        <f>636801.91</f>
        <v>636801.91</v>
      </c>
      <c r="F98" s="423">
        <v>0.52300000000000002</v>
      </c>
      <c r="G98" s="424">
        <f>E98*F98</f>
        <v>333047.39893000002</v>
      </c>
      <c r="H98" s="423">
        <v>0.66779999999999995</v>
      </c>
      <c r="I98" s="425">
        <f>E98*H98</f>
        <v>425256.31549800001</v>
      </c>
    </row>
    <row r="99" spans="1:9">
      <c r="A99" s="249"/>
      <c r="B99" s="516" t="s">
        <v>1371</v>
      </c>
      <c r="C99" s="510" t="s">
        <v>1340</v>
      </c>
      <c r="D99" s="316" t="s">
        <v>1340</v>
      </c>
      <c r="E99" s="521">
        <f>3422.21</f>
        <v>3422.21</v>
      </c>
      <c r="F99" s="423">
        <v>0.52300000000000002</v>
      </c>
      <c r="G99" s="424">
        <f t="shared" ref="G99:G129" si="6">E99*F99</f>
        <v>1789.81583</v>
      </c>
      <c r="H99" s="423">
        <v>0.66779999999999995</v>
      </c>
      <c r="I99" s="425">
        <f t="shared" ref="I99:I129" si="7">E99*H99</f>
        <v>2285.351838</v>
      </c>
    </row>
    <row r="100" spans="1:9">
      <c r="A100" s="249"/>
      <c r="B100" s="516" t="s">
        <v>1371</v>
      </c>
      <c r="C100" s="510" t="s">
        <v>1389</v>
      </c>
      <c r="D100" s="316" t="s">
        <v>1390</v>
      </c>
      <c r="E100" s="521">
        <f>152203.76</f>
        <v>152203.76</v>
      </c>
      <c r="F100" s="423">
        <v>0.52300000000000002</v>
      </c>
      <c r="G100" s="424">
        <f t="shared" si="6"/>
        <v>79602.566480000009</v>
      </c>
      <c r="H100" s="423">
        <v>0.66779999999999995</v>
      </c>
      <c r="I100" s="425">
        <f t="shared" si="7"/>
        <v>101641.67092799999</v>
      </c>
    </row>
    <row r="101" spans="1:9">
      <c r="A101" s="249"/>
      <c r="B101" s="516" t="s">
        <v>1371</v>
      </c>
      <c r="C101" s="510" t="s">
        <v>1391</v>
      </c>
      <c r="D101" s="316" t="s">
        <v>1392</v>
      </c>
      <c r="E101" s="521">
        <f>41538.31</f>
        <v>41538.31</v>
      </c>
      <c r="F101" s="423">
        <v>0.52300000000000002</v>
      </c>
      <c r="G101" s="424">
        <f t="shared" si="6"/>
        <v>21724.53613</v>
      </c>
      <c r="H101" s="423">
        <v>0.66779999999999995</v>
      </c>
      <c r="I101" s="425">
        <f t="shared" si="7"/>
        <v>27739.283417999995</v>
      </c>
    </row>
    <row r="102" spans="1:9">
      <c r="A102" s="249"/>
      <c r="B102" s="516" t="s">
        <v>1371</v>
      </c>
      <c r="C102" s="510" t="s">
        <v>1340</v>
      </c>
      <c r="D102" s="316" t="s">
        <v>1340</v>
      </c>
      <c r="E102" s="521">
        <f>6304.24</f>
        <v>6304.24</v>
      </c>
      <c r="F102" s="423">
        <v>0.52300000000000002</v>
      </c>
      <c r="G102" s="424">
        <f t="shared" si="6"/>
        <v>3297.1175200000002</v>
      </c>
      <c r="H102" s="423">
        <v>0.66779999999999995</v>
      </c>
      <c r="I102" s="425">
        <f t="shared" si="7"/>
        <v>4209.9714719999993</v>
      </c>
    </row>
    <row r="103" spans="1:9">
      <c r="A103" s="249"/>
      <c r="B103" s="516" t="s">
        <v>1371</v>
      </c>
      <c r="C103" s="510" t="s">
        <v>1359</v>
      </c>
      <c r="D103" s="316" t="s">
        <v>1393</v>
      </c>
      <c r="E103" s="521">
        <f>20893.47</f>
        <v>20893.47</v>
      </c>
      <c r="F103" s="423">
        <v>0.52300000000000002</v>
      </c>
      <c r="G103" s="424">
        <f t="shared" si="6"/>
        <v>10927.284810000001</v>
      </c>
      <c r="H103" s="423">
        <v>0.66779999999999995</v>
      </c>
      <c r="I103" s="425">
        <f t="shared" si="7"/>
        <v>13952.659266000001</v>
      </c>
    </row>
    <row r="104" spans="1:9">
      <c r="A104" s="249"/>
      <c r="B104" s="516" t="s">
        <v>1371</v>
      </c>
      <c r="C104" s="510" t="s">
        <v>1359</v>
      </c>
      <c r="D104" s="316" t="s">
        <v>1394</v>
      </c>
      <c r="E104" s="521">
        <f>20481.87</f>
        <v>20481.87</v>
      </c>
      <c r="F104" s="423">
        <v>0.52300000000000002</v>
      </c>
      <c r="G104" s="424">
        <f t="shared" si="6"/>
        <v>10712.01801</v>
      </c>
      <c r="H104" s="423">
        <v>0.66779999999999995</v>
      </c>
      <c r="I104" s="425">
        <f t="shared" si="7"/>
        <v>13677.792785999998</v>
      </c>
    </row>
    <row r="105" spans="1:9">
      <c r="A105" s="249"/>
      <c r="B105" s="516" t="s">
        <v>1371</v>
      </c>
      <c r="C105" s="510" t="s">
        <v>1340</v>
      </c>
      <c r="D105" s="316" t="s">
        <v>1340</v>
      </c>
      <c r="E105" s="521">
        <f>405078.07</f>
        <v>405078.07</v>
      </c>
      <c r="F105" s="423">
        <v>0.52300000000000002</v>
      </c>
      <c r="G105" s="424">
        <f t="shared" si="6"/>
        <v>211855.83061</v>
      </c>
      <c r="H105" s="423">
        <v>0.66779999999999995</v>
      </c>
      <c r="I105" s="425">
        <f t="shared" si="7"/>
        <v>270511.13514599996</v>
      </c>
    </row>
    <row r="106" spans="1:9">
      <c r="A106" s="249"/>
      <c r="B106" s="516" t="s">
        <v>1371</v>
      </c>
      <c r="C106" s="510" t="s">
        <v>1395</v>
      </c>
      <c r="D106" s="316" t="s">
        <v>1396</v>
      </c>
      <c r="E106" s="521">
        <f>651815.82</f>
        <v>651815.81999999995</v>
      </c>
      <c r="F106" s="423">
        <v>0.52300000000000002</v>
      </c>
      <c r="G106" s="424">
        <f t="shared" si="6"/>
        <v>340899.67385999998</v>
      </c>
      <c r="H106" s="423">
        <v>0.66779999999999995</v>
      </c>
      <c r="I106" s="425">
        <f t="shared" ref="I106:I113" si="8">E106*H106</f>
        <v>435282.60459599993</v>
      </c>
    </row>
    <row r="107" spans="1:9">
      <c r="A107" s="249"/>
      <c r="B107" s="516" t="s">
        <v>1371</v>
      </c>
      <c r="C107" s="510" t="s">
        <v>1340</v>
      </c>
      <c r="D107" s="316" t="s">
        <v>1340</v>
      </c>
      <c r="E107" s="521">
        <f>39508.27</f>
        <v>39508.269999999997</v>
      </c>
      <c r="F107" s="423">
        <v>0.52300000000000002</v>
      </c>
      <c r="G107" s="424">
        <f t="shared" si="6"/>
        <v>20662.825209999999</v>
      </c>
      <c r="H107" s="423">
        <v>0.66779999999999995</v>
      </c>
      <c r="I107" s="425">
        <f t="shared" si="8"/>
        <v>26383.622705999995</v>
      </c>
    </row>
    <row r="108" spans="1:9">
      <c r="A108" s="249"/>
      <c r="B108" s="516" t="s">
        <v>1371</v>
      </c>
      <c r="C108" s="510" t="s">
        <v>1340</v>
      </c>
      <c r="D108" s="316" t="s">
        <v>1340</v>
      </c>
      <c r="E108" s="521">
        <f>1653.98</f>
        <v>1653.98</v>
      </c>
      <c r="F108" s="423">
        <v>0.52300000000000002</v>
      </c>
      <c r="G108" s="424">
        <f t="shared" si="6"/>
        <v>865.03154000000006</v>
      </c>
      <c r="H108" s="423">
        <v>0.66779999999999995</v>
      </c>
      <c r="I108" s="425">
        <f t="shared" si="8"/>
        <v>1104.527844</v>
      </c>
    </row>
    <row r="109" spans="1:9">
      <c r="A109" s="249"/>
      <c r="B109" s="516" t="s">
        <v>1371</v>
      </c>
      <c r="C109" s="510" t="s">
        <v>1351</v>
      </c>
      <c r="D109" s="316"/>
      <c r="E109" s="521">
        <v>695369.41</v>
      </c>
      <c r="F109" s="423">
        <v>0.52300000000000002</v>
      </c>
      <c r="G109" s="424">
        <f t="shared" si="6"/>
        <v>363678.20143000002</v>
      </c>
      <c r="H109" s="423">
        <v>0.66779999999999995</v>
      </c>
      <c r="I109" s="425">
        <f t="shared" si="8"/>
        <v>464367.69199799997</v>
      </c>
    </row>
    <row r="110" spans="1:9">
      <c r="A110" s="249"/>
      <c r="B110" s="516" t="s">
        <v>1371</v>
      </c>
      <c r="C110" s="510" t="s">
        <v>1340</v>
      </c>
      <c r="D110" s="316" t="s">
        <v>1340</v>
      </c>
      <c r="E110" s="521">
        <v>20639.32</v>
      </c>
      <c r="F110" s="423">
        <v>0.52300000000000002</v>
      </c>
      <c r="G110" s="424">
        <f t="shared" si="6"/>
        <v>10794.36436</v>
      </c>
      <c r="H110" s="423">
        <v>0.66779999999999995</v>
      </c>
      <c r="I110" s="425">
        <f t="shared" si="8"/>
        <v>13782.937895999999</v>
      </c>
    </row>
    <row r="111" spans="1:9">
      <c r="A111" s="249"/>
      <c r="B111" s="516" t="s">
        <v>1371</v>
      </c>
      <c r="C111" s="510" t="s">
        <v>1348</v>
      </c>
      <c r="D111" s="316"/>
      <c r="E111" s="521">
        <v>822160.39</v>
      </c>
      <c r="F111" s="423">
        <v>0.52300000000000002</v>
      </c>
      <c r="G111" s="424">
        <f t="shared" si="6"/>
        <v>429989.88397000002</v>
      </c>
      <c r="H111" s="423">
        <v>0.66779999999999995</v>
      </c>
      <c r="I111" s="425">
        <f t="shared" si="8"/>
        <v>549038.70844199997</v>
      </c>
    </row>
    <row r="112" spans="1:9">
      <c r="A112" s="249"/>
      <c r="B112" s="516" t="s">
        <v>1371</v>
      </c>
      <c r="C112" s="510" t="s">
        <v>1340</v>
      </c>
      <c r="D112" s="316" t="s">
        <v>1340</v>
      </c>
      <c r="E112" s="521">
        <v>10941.32</v>
      </c>
      <c r="F112" s="423">
        <v>0.52300000000000002</v>
      </c>
      <c r="G112" s="424">
        <f t="shared" si="6"/>
        <v>5722.3103600000004</v>
      </c>
      <c r="H112" s="423">
        <v>0.66779999999999995</v>
      </c>
      <c r="I112" s="425">
        <f t="shared" si="8"/>
        <v>7306.613495999999</v>
      </c>
    </row>
    <row r="113" spans="1:9">
      <c r="A113" s="249"/>
      <c r="B113" s="516" t="s">
        <v>1371</v>
      </c>
      <c r="C113" s="510" t="s">
        <v>1351</v>
      </c>
      <c r="D113" s="316" t="s">
        <v>1397</v>
      </c>
      <c r="E113" s="521">
        <f>15702.99</f>
        <v>15702.99</v>
      </c>
      <c r="F113" s="423">
        <v>0.52300000000000002</v>
      </c>
      <c r="G113" s="424">
        <f t="shared" si="6"/>
        <v>8212.663770000001</v>
      </c>
      <c r="H113" s="423">
        <v>0.66779999999999995</v>
      </c>
      <c r="I113" s="425">
        <f t="shared" si="8"/>
        <v>10486.456721999999</v>
      </c>
    </row>
    <row r="114" spans="1:9">
      <c r="A114" s="249"/>
      <c r="B114" s="516" t="s">
        <v>1371</v>
      </c>
      <c r="C114" s="510" t="s">
        <v>1340</v>
      </c>
      <c r="D114" s="316" t="s">
        <v>1340</v>
      </c>
      <c r="E114" s="521">
        <f>8042.02</f>
        <v>8042.02</v>
      </c>
      <c r="F114" s="423">
        <v>0.52300000000000002</v>
      </c>
      <c r="G114" s="424">
        <f t="shared" si="6"/>
        <v>4205.9764600000008</v>
      </c>
      <c r="H114" s="423">
        <v>0.66779999999999995</v>
      </c>
      <c r="I114" s="425">
        <f t="shared" si="7"/>
        <v>5370.4609559999999</v>
      </c>
    </row>
    <row r="115" spans="1:9">
      <c r="A115" s="249"/>
      <c r="B115" s="516" t="s">
        <v>1371</v>
      </c>
      <c r="C115" s="510" t="s">
        <v>1340</v>
      </c>
      <c r="D115" s="316" t="s">
        <v>1340</v>
      </c>
      <c r="E115" s="521">
        <f>8042</f>
        <v>8042</v>
      </c>
      <c r="F115" s="423">
        <v>0.52300000000000002</v>
      </c>
      <c r="G115" s="424">
        <f t="shared" si="6"/>
        <v>4205.9660000000003</v>
      </c>
      <c r="H115" s="423">
        <v>0.66779999999999995</v>
      </c>
      <c r="I115" s="425">
        <f t="shared" si="7"/>
        <v>5370.4475999999995</v>
      </c>
    </row>
    <row r="116" spans="1:9">
      <c r="A116" s="249"/>
      <c r="B116" s="516" t="s">
        <v>1371</v>
      </c>
      <c r="C116" s="510" t="s">
        <v>1348</v>
      </c>
      <c r="D116" s="316" t="s">
        <v>1398</v>
      </c>
      <c r="E116" s="521">
        <f>81569.43</f>
        <v>81569.429999999993</v>
      </c>
      <c r="F116" s="423">
        <v>0.52300000000000002</v>
      </c>
      <c r="G116" s="424">
        <f t="shared" si="6"/>
        <v>42660.811889999997</v>
      </c>
      <c r="H116" s="423">
        <v>0.66779999999999995</v>
      </c>
      <c r="I116" s="425">
        <f t="shared" si="7"/>
        <v>54472.065353999991</v>
      </c>
    </row>
    <row r="117" spans="1:9">
      <c r="A117" s="249"/>
      <c r="B117" s="516" t="s">
        <v>1371</v>
      </c>
      <c r="C117" s="510" t="s">
        <v>1348</v>
      </c>
      <c r="D117" s="316" t="s">
        <v>1399</v>
      </c>
      <c r="E117" s="521">
        <f>81569.42</f>
        <v>81569.42</v>
      </c>
      <c r="F117" s="423">
        <v>0.52300000000000002</v>
      </c>
      <c r="G117" s="424">
        <f t="shared" si="6"/>
        <v>42660.806660000002</v>
      </c>
      <c r="H117" s="423">
        <v>0.66779999999999995</v>
      </c>
      <c r="I117" s="425">
        <f t="shared" si="7"/>
        <v>54472.058675999993</v>
      </c>
    </row>
    <row r="118" spans="1:9">
      <c r="A118" s="249"/>
      <c r="B118" s="516" t="s">
        <v>1371</v>
      </c>
      <c r="C118" s="510" t="s">
        <v>1348</v>
      </c>
      <c r="D118" s="316" t="s">
        <v>1398</v>
      </c>
      <c r="E118" s="521">
        <f>818051.19</f>
        <v>818051.19</v>
      </c>
      <c r="F118" s="423">
        <v>0.52300000000000002</v>
      </c>
      <c r="G118" s="424">
        <f t="shared" si="6"/>
        <v>427840.77236999996</v>
      </c>
      <c r="H118" s="423">
        <v>0.66779999999999995</v>
      </c>
      <c r="I118" s="425">
        <f t="shared" si="7"/>
        <v>546294.58468199987</v>
      </c>
    </row>
    <row r="119" spans="1:9">
      <c r="A119" s="249"/>
      <c r="B119" s="516" t="s">
        <v>1371</v>
      </c>
      <c r="C119" s="510" t="s">
        <v>1340</v>
      </c>
      <c r="D119" s="316" t="s">
        <v>1340</v>
      </c>
      <c r="E119" s="521">
        <f>66516.55</f>
        <v>66516.55</v>
      </c>
      <c r="F119" s="423">
        <v>0.52300000000000002</v>
      </c>
      <c r="G119" s="424">
        <f t="shared" si="6"/>
        <v>34788.155650000001</v>
      </c>
      <c r="H119" s="423">
        <v>0.66779999999999995</v>
      </c>
      <c r="I119" s="425">
        <f t="shared" si="7"/>
        <v>44419.752090000002</v>
      </c>
    </row>
    <row r="120" spans="1:9">
      <c r="A120" s="249"/>
      <c r="B120" s="516" t="s">
        <v>1371</v>
      </c>
      <c r="C120" s="510" t="s">
        <v>1363</v>
      </c>
      <c r="D120" s="316" t="s">
        <v>1370</v>
      </c>
      <c r="E120" s="521">
        <f>146114.62</f>
        <v>146114.62</v>
      </c>
      <c r="F120" s="423">
        <v>0.52300000000000002</v>
      </c>
      <c r="G120" s="424">
        <f t="shared" si="6"/>
        <v>76417.946259999997</v>
      </c>
      <c r="H120" s="423">
        <v>0.66779999999999995</v>
      </c>
      <c r="I120" s="425">
        <f t="shared" si="7"/>
        <v>97575.343235999986</v>
      </c>
    </row>
    <row r="121" spans="1:9">
      <c r="A121" s="249"/>
      <c r="B121" s="516" t="s">
        <v>1371</v>
      </c>
      <c r="C121" s="510" t="s">
        <v>2326</v>
      </c>
      <c r="D121" s="316" t="s">
        <v>1340</v>
      </c>
      <c r="E121" s="521">
        <f>1844.89</f>
        <v>1844.89</v>
      </c>
      <c r="F121" s="423">
        <v>0.52300000000000002</v>
      </c>
      <c r="G121" s="424">
        <f t="shared" si="6"/>
        <v>964.87747000000013</v>
      </c>
      <c r="H121" s="423">
        <v>0.66779999999999995</v>
      </c>
      <c r="I121" s="425">
        <f t="shared" si="7"/>
        <v>1232.017542</v>
      </c>
    </row>
    <row r="122" spans="1:9">
      <c r="A122" s="249"/>
      <c r="B122" s="516" t="s">
        <v>1371</v>
      </c>
      <c r="C122" s="510" t="s">
        <v>2327</v>
      </c>
      <c r="D122" s="316" t="s">
        <v>1340</v>
      </c>
      <c r="E122" s="521">
        <f>3844.64</f>
        <v>3844.64</v>
      </c>
      <c r="F122" s="423">
        <v>0.52300000000000002</v>
      </c>
      <c r="G122" s="424">
        <f t="shared" si="6"/>
        <v>2010.7467200000001</v>
      </c>
      <c r="H122" s="423">
        <v>0.66779999999999995</v>
      </c>
      <c r="I122" s="425">
        <f t="shared" si="7"/>
        <v>2567.4505919999997</v>
      </c>
    </row>
    <row r="123" spans="1:9">
      <c r="A123" s="249"/>
      <c r="B123" s="516" t="s">
        <v>1371</v>
      </c>
      <c r="C123" s="510" t="s">
        <v>1348</v>
      </c>
      <c r="D123" s="316" t="s">
        <v>1400</v>
      </c>
      <c r="E123" s="521">
        <f>220907.89</f>
        <v>220907.89</v>
      </c>
      <c r="F123" s="423">
        <v>0.52300000000000002</v>
      </c>
      <c r="G123" s="424">
        <f t="shared" si="6"/>
        <v>115534.82647000001</v>
      </c>
      <c r="H123" s="423">
        <v>0.66779999999999995</v>
      </c>
      <c r="I123" s="425">
        <f t="shared" si="7"/>
        <v>147522.28894199998</v>
      </c>
    </row>
    <row r="124" spans="1:9">
      <c r="A124" s="249"/>
      <c r="B124" s="516" t="s">
        <v>1371</v>
      </c>
      <c r="C124" s="510" t="s">
        <v>1340</v>
      </c>
      <c r="D124" s="316" t="s">
        <v>1340</v>
      </c>
      <c r="E124" s="521">
        <f>5014.67</f>
        <v>5014.67</v>
      </c>
      <c r="F124" s="423">
        <v>0.52300000000000002</v>
      </c>
      <c r="G124" s="424">
        <f t="shared" si="6"/>
        <v>2622.6724100000001</v>
      </c>
      <c r="H124" s="423">
        <v>0.66779999999999995</v>
      </c>
      <c r="I124" s="425">
        <f t="shared" si="7"/>
        <v>3348.7966259999998</v>
      </c>
    </row>
    <row r="125" spans="1:9">
      <c r="A125" s="249"/>
      <c r="B125" s="516" t="s">
        <v>1371</v>
      </c>
      <c r="C125" s="510" t="s">
        <v>1401</v>
      </c>
      <c r="D125" s="316" t="s">
        <v>1402</v>
      </c>
      <c r="E125" s="521">
        <f>219050.16</f>
        <v>219050.16</v>
      </c>
      <c r="F125" s="423">
        <v>0.52300000000000002</v>
      </c>
      <c r="G125" s="424">
        <f t="shared" si="6"/>
        <v>114563.23368</v>
      </c>
      <c r="H125" s="423">
        <v>0.66779999999999995</v>
      </c>
      <c r="I125" s="425">
        <f t="shared" si="7"/>
        <v>146281.69684799999</v>
      </c>
    </row>
    <row r="126" spans="1:9">
      <c r="A126" s="249"/>
      <c r="B126" s="516" t="s">
        <v>1371</v>
      </c>
      <c r="C126" s="510" t="s">
        <v>1340</v>
      </c>
      <c r="D126" s="316" t="s">
        <v>1340</v>
      </c>
      <c r="E126" s="521">
        <f>285734.43</f>
        <v>285734.43</v>
      </c>
      <c r="F126" s="423">
        <v>0.52300000000000002</v>
      </c>
      <c r="G126" s="424">
        <f t="shared" si="6"/>
        <v>149439.10689</v>
      </c>
      <c r="H126" s="423">
        <v>0.66779999999999995</v>
      </c>
      <c r="I126" s="425">
        <f t="shared" si="7"/>
        <v>190813.45235399998</v>
      </c>
    </row>
    <row r="127" spans="1:9">
      <c r="A127" s="249"/>
      <c r="B127" s="516" t="s">
        <v>1371</v>
      </c>
      <c r="C127" s="510" t="s">
        <v>1403</v>
      </c>
      <c r="D127" s="316" t="s">
        <v>1404</v>
      </c>
      <c r="E127" s="521">
        <f>1929776.32</f>
        <v>1929776.32</v>
      </c>
      <c r="F127" s="423">
        <v>0.52300000000000002</v>
      </c>
      <c r="G127" s="424">
        <f t="shared" si="6"/>
        <v>1009273.0153600001</v>
      </c>
      <c r="H127" s="423">
        <v>0.66779999999999995</v>
      </c>
      <c r="I127" s="425">
        <f t="shared" si="7"/>
        <v>1288704.626496</v>
      </c>
    </row>
    <row r="128" spans="1:9">
      <c r="A128" s="249"/>
      <c r="B128" s="516" t="s">
        <v>1371</v>
      </c>
      <c r="C128" s="510" t="s">
        <v>1405</v>
      </c>
      <c r="D128" s="316" t="s">
        <v>1404</v>
      </c>
      <c r="E128" s="521">
        <f>303096.04</f>
        <v>303096.03999999998</v>
      </c>
      <c r="F128" s="423">
        <v>0.52300000000000002</v>
      </c>
      <c r="G128" s="424">
        <f t="shared" si="6"/>
        <v>158519.22891999999</v>
      </c>
      <c r="H128" s="423">
        <v>0.66779999999999995</v>
      </c>
      <c r="I128" s="425">
        <f t="shared" si="7"/>
        <v>202407.53551199997</v>
      </c>
    </row>
    <row r="129" spans="1:9">
      <c r="A129" s="249"/>
      <c r="B129" s="516" t="s">
        <v>1371</v>
      </c>
      <c r="C129" s="515" t="s">
        <v>1406</v>
      </c>
      <c r="D129" s="511" t="s">
        <v>1404</v>
      </c>
      <c r="E129" s="526">
        <f>1362394.81</f>
        <v>1362394.81</v>
      </c>
      <c r="F129" s="423">
        <v>0.52300000000000002</v>
      </c>
      <c r="G129" s="424">
        <f t="shared" si="6"/>
        <v>712532.48563000001</v>
      </c>
      <c r="H129" s="423">
        <v>0.66779999999999995</v>
      </c>
      <c r="I129" s="425">
        <f t="shared" si="7"/>
        <v>909807.25411799992</v>
      </c>
    </row>
    <row r="130" spans="1:9" ht="14.4" thickBot="1">
      <c r="A130" s="429"/>
      <c r="B130" s="517"/>
      <c r="C130" s="512" t="s">
        <v>961</v>
      </c>
      <c r="D130" s="270"/>
      <c r="E130" s="527">
        <f>SUM(E98:E129)</f>
        <v>9086084.4199999999</v>
      </c>
      <c r="F130" s="430"/>
      <c r="G130" s="431">
        <f>SUM(G98:G129)</f>
        <v>4752022.1516600009</v>
      </c>
      <c r="H130" s="430"/>
      <c r="I130" s="432">
        <f>SUM(I98:I129)</f>
        <v>6067687.1756759994</v>
      </c>
    </row>
    <row r="131" spans="1:9">
      <c r="B131" s="428"/>
    </row>
  </sheetData>
  <hyperlinks>
    <hyperlink ref="C1" location="'Cover Sheets'!A18" display="(Back to Worksheet Links)" xr:uid="{00000000-0004-0000-0E00-000000000000}"/>
  </hyperlinks>
  <pageMargins left="0.7" right="0.7" top="0.75" bottom="0.75" header="0.3" footer="0.3"/>
  <pageSetup scale="52"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17"/>
  <sheetViews>
    <sheetView view="pageBreakPreview" zoomScaleNormal="100" zoomScaleSheetLayoutView="100" workbookViewId="0"/>
  </sheetViews>
  <sheetFormatPr defaultColWidth="9.109375" defaultRowHeight="13.8"/>
  <cols>
    <col min="1" max="1" width="9.109375" style="245"/>
    <col min="2" max="2" width="45.88671875" style="245" bestFit="1" customWidth="1"/>
    <col min="3" max="3" width="38.5546875" style="245" customWidth="1"/>
    <col min="4" max="4" width="27.109375" style="245" customWidth="1"/>
    <col min="5" max="16384" width="9.109375" style="245"/>
  </cols>
  <sheetData>
    <row r="1" spans="1:4" ht="14.4">
      <c r="A1" s="246" t="str">
        <f>'Cover Sheets'!A10:D10</f>
        <v>WAPA-UGP 2018 Rate True-up Calculation</v>
      </c>
      <c r="B1" s="247"/>
      <c r="C1" s="660" t="s">
        <v>2543</v>
      </c>
      <c r="D1" s="271"/>
    </row>
    <row r="2" spans="1:4">
      <c r="A2" s="648" t="s">
        <v>2490</v>
      </c>
      <c r="B2" s="248"/>
      <c r="C2" s="248"/>
      <c r="D2" s="272"/>
    </row>
    <row r="3" spans="1:4">
      <c r="A3" s="249" t="str">
        <f>'Summary-TrueUp'!A3</f>
        <v>12 Months Ending 09/30/2018 True-up</v>
      </c>
      <c r="B3" s="248"/>
      <c r="C3" s="248"/>
      <c r="D3" s="272"/>
    </row>
    <row r="4" spans="1:4">
      <c r="A4" s="60"/>
      <c r="B4" s="250" t="s">
        <v>2</v>
      </c>
      <c r="C4" s="251" t="s">
        <v>1423</v>
      </c>
      <c r="D4" s="252" t="s">
        <v>1169</v>
      </c>
    </row>
    <row r="5" spans="1:4" ht="14.4" thickBot="1">
      <c r="A5" s="253" t="s">
        <v>1335</v>
      </c>
      <c r="B5" s="254">
        <v>-1</v>
      </c>
      <c r="C5" s="254">
        <v>-2</v>
      </c>
      <c r="D5" s="255">
        <v>-3</v>
      </c>
    </row>
    <row r="6" spans="1:4">
      <c r="A6" s="279">
        <v>1</v>
      </c>
      <c r="B6" s="259" t="s">
        <v>1412</v>
      </c>
      <c r="C6" s="258">
        <f>'WS2-AllocFactor'!E35</f>
        <v>0.14490656007321057</v>
      </c>
      <c r="D6" s="265" t="s">
        <v>2617</v>
      </c>
    </row>
    <row r="7" spans="1:4" ht="14.4" thickBot="1">
      <c r="A7" s="279">
        <v>2</v>
      </c>
      <c r="B7" s="280" t="s">
        <v>1413</v>
      </c>
      <c r="C7" s="260">
        <f>'WS2-AllocFactor'!E36</f>
        <v>530092117.79723716</v>
      </c>
      <c r="D7" s="265" t="s">
        <v>2618</v>
      </c>
    </row>
    <row r="8" spans="1:4" ht="14.4" thickTop="1">
      <c r="A8" s="279">
        <v>3</v>
      </c>
      <c r="B8" s="280" t="s">
        <v>1414</v>
      </c>
      <c r="C8" s="261">
        <f>C6*C7</f>
        <v>76813825.311920762</v>
      </c>
      <c r="D8" s="273" t="s">
        <v>1415</v>
      </c>
    </row>
    <row r="9" spans="1:4" ht="14.4" thickBot="1">
      <c r="A9" s="279">
        <v>4</v>
      </c>
      <c r="B9" s="280" t="s">
        <v>1416</v>
      </c>
      <c r="C9" s="531">
        <v>2286000</v>
      </c>
      <c r="D9" s="265" t="s">
        <v>1164</v>
      </c>
    </row>
    <row r="10" spans="1:4" ht="14.4" thickTop="1">
      <c r="A10" s="279">
        <v>5</v>
      </c>
      <c r="B10" s="259" t="s">
        <v>1424</v>
      </c>
      <c r="C10" s="263">
        <f>C8/C9</f>
        <v>33.601848342922466</v>
      </c>
      <c r="D10" s="273" t="s">
        <v>1418</v>
      </c>
    </row>
    <row r="11" spans="1:4">
      <c r="A11" s="279">
        <v>6</v>
      </c>
      <c r="B11" s="259" t="s">
        <v>1425</v>
      </c>
      <c r="C11" s="281">
        <f>8861</f>
        <v>8861</v>
      </c>
      <c r="D11" s="265" t="s">
        <v>1164</v>
      </c>
    </row>
    <row r="12" spans="1:4">
      <c r="A12" s="279">
        <v>7</v>
      </c>
      <c r="B12" s="259" t="s">
        <v>1426</v>
      </c>
      <c r="C12" s="282">
        <f>C11*C10</f>
        <v>297745.97816663596</v>
      </c>
      <c r="D12" s="273" t="s">
        <v>2624</v>
      </c>
    </row>
    <row r="13" spans="1:4">
      <c r="A13" s="279">
        <v>8</v>
      </c>
      <c r="B13" s="259" t="s">
        <v>1427</v>
      </c>
      <c r="C13" s="283">
        <v>0</v>
      </c>
      <c r="D13" s="265" t="s">
        <v>1162</v>
      </c>
    </row>
    <row r="14" spans="1:4">
      <c r="A14" s="279">
        <v>9</v>
      </c>
      <c r="B14" s="259" t="s">
        <v>1428</v>
      </c>
      <c r="C14" s="282">
        <f>C12+C13</f>
        <v>297745.97816663596</v>
      </c>
      <c r="D14" s="273"/>
    </row>
    <row r="15" spans="1:4">
      <c r="A15" s="284" t="s">
        <v>1434</v>
      </c>
      <c r="B15" s="259" t="s">
        <v>2621</v>
      </c>
      <c r="C15" s="248"/>
      <c r="D15" s="272"/>
    </row>
    <row r="16" spans="1:4">
      <c r="A16" s="284" t="s">
        <v>1163</v>
      </c>
      <c r="B16" s="285" t="s">
        <v>1429</v>
      </c>
      <c r="C16" s="248"/>
      <c r="D16" s="272"/>
    </row>
    <row r="17" spans="1:4" ht="14.4" thickBot="1">
      <c r="A17" s="311" t="s">
        <v>1435</v>
      </c>
      <c r="B17" s="312" t="s">
        <v>2339</v>
      </c>
      <c r="C17" s="270"/>
      <c r="D17" s="274"/>
    </row>
  </sheetData>
  <hyperlinks>
    <hyperlink ref="C1" location="'Cover Sheets'!A18" display="(Back to Worksheet Links)" xr:uid="{00000000-0004-0000-0F00-000000000000}"/>
  </hyperlinks>
  <pageMargins left="0.7" right="0.7" top="0.75" bottom="0.75" header="0.3" footer="0.3"/>
  <pageSetup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0"/>
  <sheetViews>
    <sheetView view="pageBreakPreview" zoomScaleNormal="100" zoomScaleSheetLayoutView="100" workbookViewId="0"/>
  </sheetViews>
  <sheetFormatPr defaultColWidth="9.109375" defaultRowHeight="13.8"/>
  <cols>
    <col min="1" max="1" width="9.109375" style="245"/>
    <col min="2" max="2" width="44.33203125" style="245" customWidth="1"/>
    <col min="3" max="3" width="39.33203125" style="245" customWidth="1"/>
    <col min="4" max="4" width="18.6640625" style="245" customWidth="1"/>
    <col min="5" max="16384" width="9.109375" style="245"/>
  </cols>
  <sheetData>
    <row r="1" spans="1:4" ht="14.4">
      <c r="A1" s="246" t="str">
        <f>'Cover Sheets'!A10:D10</f>
        <v>WAPA-UGP 2018 Rate True-up Calculation</v>
      </c>
      <c r="B1" s="247"/>
      <c r="C1" s="660" t="s">
        <v>2543</v>
      </c>
      <c r="D1" s="271"/>
    </row>
    <row r="2" spans="1:4">
      <c r="A2" s="648" t="s">
        <v>2491</v>
      </c>
      <c r="B2" s="248"/>
      <c r="C2" s="248"/>
      <c r="D2" s="272"/>
    </row>
    <row r="3" spans="1:4">
      <c r="A3" s="249" t="str">
        <f>'Summary-TrueUp'!A3</f>
        <v>12 Months Ending 09/30/2018 True-up</v>
      </c>
      <c r="B3" s="248"/>
      <c r="C3" s="248"/>
      <c r="D3" s="272"/>
    </row>
    <row r="4" spans="1:4">
      <c r="A4" s="60"/>
      <c r="B4" s="250" t="s">
        <v>2</v>
      </c>
      <c r="C4" s="251" t="s">
        <v>1411</v>
      </c>
      <c r="D4" s="252" t="s">
        <v>1169</v>
      </c>
    </row>
    <row r="5" spans="1:4" ht="14.4" thickBot="1">
      <c r="A5" s="253" t="s">
        <v>1335</v>
      </c>
      <c r="B5" s="254">
        <v>-1</v>
      </c>
      <c r="C5" s="254">
        <v>-2</v>
      </c>
      <c r="D5" s="255">
        <v>-3</v>
      </c>
    </row>
    <row r="6" spans="1:4">
      <c r="A6" s="256">
        <v>1</v>
      </c>
      <c r="B6" s="257" t="s">
        <v>1412</v>
      </c>
      <c r="C6" s="277">
        <f>'WS2-AllocFactor'!E35</f>
        <v>0.14490656007321057</v>
      </c>
      <c r="D6" s="265" t="s">
        <v>2617</v>
      </c>
    </row>
    <row r="7" spans="1:4" ht="14.4" thickBot="1">
      <c r="A7" s="256">
        <v>2</v>
      </c>
      <c r="B7" s="259" t="s">
        <v>1413</v>
      </c>
      <c r="C7" s="278">
        <f>'WS2-AllocFactor'!E36</f>
        <v>530092117.79723716</v>
      </c>
      <c r="D7" s="265" t="s">
        <v>2618</v>
      </c>
    </row>
    <row r="8" spans="1:4" ht="14.4" thickTop="1">
      <c r="A8" s="256">
        <v>3</v>
      </c>
      <c r="B8" s="259" t="s">
        <v>1414</v>
      </c>
      <c r="C8" s="261">
        <f>C6*C7</f>
        <v>76813825.311920762</v>
      </c>
      <c r="D8" s="273" t="s">
        <v>1415</v>
      </c>
    </row>
    <row r="9" spans="1:4" ht="14.4" thickBot="1">
      <c r="A9" s="256">
        <v>4</v>
      </c>
      <c r="B9" s="262" t="s">
        <v>1416</v>
      </c>
      <c r="C9" s="416">
        <v>2286000</v>
      </c>
      <c r="D9" s="265" t="s">
        <v>1164</v>
      </c>
    </row>
    <row r="10" spans="1:4" ht="14.4" thickTop="1">
      <c r="A10" s="256">
        <v>5</v>
      </c>
      <c r="B10" s="262" t="s">
        <v>1417</v>
      </c>
      <c r="C10" s="263">
        <f>C8/C9</f>
        <v>33.601848342922466</v>
      </c>
      <c r="D10" s="273" t="s">
        <v>1418</v>
      </c>
    </row>
    <row r="11" spans="1:4">
      <c r="A11" s="256">
        <v>7</v>
      </c>
      <c r="B11" s="264" t="s">
        <v>1419</v>
      </c>
      <c r="C11" s="417">
        <v>161000</v>
      </c>
      <c r="D11" s="265" t="s">
        <v>1163</v>
      </c>
    </row>
    <row r="12" spans="1:4">
      <c r="A12" s="256">
        <v>8</v>
      </c>
      <c r="B12" s="264" t="s">
        <v>1420</v>
      </c>
      <c r="C12" s="417">
        <f>97500</f>
        <v>97500</v>
      </c>
      <c r="D12" s="265" t="s">
        <v>1162</v>
      </c>
    </row>
    <row r="13" spans="1:4">
      <c r="A13" s="256">
        <v>9</v>
      </c>
      <c r="B13" s="264" t="s">
        <v>1421</v>
      </c>
      <c r="C13" s="266">
        <f xml:space="preserve"> (0.03*C11) + (0.03 *C12)</f>
        <v>7755</v>
      </c>
      <c r="D13" s="273" t="s">
        <v>2620</v>
      </c>
    </row>
    <row r="14" spans="1:4">
      <c r="A14" s="256">
        <v>10</v>
      </c>
      <c r="B14" s="264" t="s">
        <v>2471</v>
      </c>
      <c r="C14" s="650">
        <v>0</v>
      </c>
      <c r="D14" s="265" t="s">
        <v>1160</v>
      </c>
    </row>
    <row r="15" spans="1:4">
      <c r="A15" s="256">
        <v>11</v>
      </c>
      <c r="B15" s="275" t="s">
        <v>1422</v>
      </c>
      <c r="C15" s="276">
        <f>C10*C13+C14</f>
        <v>260582.33389936373</v>
      </c>
      <c r="D15" s="273" t="s">
        <v>2472</v>
      </c>
    </row>
    <row r="16" spans="1:4">
      <c r="A16" s="267" t="s">
        <v>1164</v>
      </c>
      <c r="B16" s="268" t="s">
        <v>2621</v>
      </c>
      <c r="C16" s="248"/>
      <c r="D16" s="272"/>
    </row>
    <row r="17" spans="1:4">
      <c r="A17" s="267" t="s">
        <v>1163</v>
      </c>
      <c r="B17" s="268" t="s">
        <v>2622</v>
      </c>
      <c r="C17" s="248"/>
      <c r="D17" s="272"/>
    </row>
    <row r="18" spans="1:4">
      <c r="A18" s="267" t="s">
        <v>1162</v>
      </c>
      <c r="B18" s="248" t="s">
        <v>2623</v>
      </c>
      <c r="C18" s="248"/>
      <c r="D18" s="272"/>
    </row>
    <row r="19" spans="1:4">
      <c r="A19" s="267" t="s">
        <v>1161</v>
      </c>
      <c r="B19" s="248" t="s">
        <v>2340</v>
      </c>
      <c r="C19" s="248"/>
      <c r="D19" s="272"/>
    </row>
    <row r="20" spans="1:4" ht="14.4" thickBot="1">
      <c r="A20" s="269" t="s">
        <v>1160</v>
      </c>
      <c r="B20" s="270" t="s">
        <v>2473</v>
      </c>
      <c r="C20" s="270"/>
      <c r="D20" s="274"/>
    </row>
  </sheetData>
  <hyperlinks>
    <hyperlink ref="C1" location="'Cover Sheets'!A18" display="(Back to Worksheet Links)" xr:uid="{00000000-0004-0000-1000-000000000000}"/>
  </hyperlinks>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4"/>
  <sheetViews>
    <sheetView view="pageBreakPreview" topLeftCell="A25" zoomScaleNormal="100" zoomScaleSheetLayoutView="100" workbookViewId="0"/>
  </sheetViews>
  <sheetFormatPr defaultRowHeight="14.4"/>
  <cols>
    <col min="1" max="1" width="9.109375" style="662"/>
    <col min="2" max="2" width="55.33203125" customWidth="1"/>
    <col min="3" max="3" width="23" customWidth="1"/>
    <col min="4" max="5" width="18.6640625" customWidth="1"/>
    <col min="6" max="6" width="18.6640625" style="636" customWidth="1"/>
    <col min="7" max="7" width="23.5546875" customWidth="1"/>
    <col min="8" max="8" width="36" customWidth="1"/>
    <col min="9" max="9" width="15.33203125" bestFit="1" customWidth="1"/>
    <col min="10" max="10" width="14.5546875" bestFit="1" customWidth="1"/>
    <col min="11" max="11" width="24.109375" bestFit="1" customWidth="1"/>
    <col min="13" max="13" width="13.33203125" bestFit="1" customWidth="1"/>
  </cols>
  <sheetData>
    <row r="1" spans="1:14">
      <c r="A1" s="246" t="str">
        <f>'Cover Sheets'!A10:D10</f>
        <v>WAPA-UGP 2018 Rate True-up Calculation</v>
      </c>
      <c r="B1" s="645"/>
      <c r="C1" s="660" t="s">
        <v>2634</v>
      </c>
      <c r="D1" s="645"/>
      <c r="E1" s="645"/>
      <c r="F1" s="663"/>
      <c r="G1" s="646"/>
    </row>
    <row r="2" spans="1:14">
      <c r="A2" s="738" t="s">
        <v>2515</v>
      </c>
      <c r="B2" s="612"/>
      <c r="C2" s="612"/>
      <c r="D2" s="612"/>
      <c r="E2" s="612"/>
      <c r="F2" s="635"/>
      <c r="G2" s="647"/>
    </row>
    <row r="3" spans="1:14">
      <c r="A3" s="738" t="s">
        <v>2478</v>
      </c>
      <c r="B3" s="612"/>
      <c r="C3" s="612"/>
      <c r="D3" s="612"/>
      <c r="E3" s="612"/>
      <c r="F3" s="635"/>
      <c r="G3" s="647"/>
    </row>
    <row r="4" spans="1:14" ht="18" customHeight="1">
      <c r="A4" s="332"/>
      <c r="B4" s="757" t="s">
        <v>1172</v>
      </c>
      <c r="C4" s="757"/>
      <c r="D4" s="757"/>
      <c r="E4" s="757"/>
      <c r="F4" s="757"/>
      <c r="G4" s="758"/>
    </row>
    <row r="5" spans="1:14" ht="13.2" customHeight="1" thickBot="1">
      <c r="A5" s="336"/>
      <c r="B5" s="759" t="s">
        <v>1441</v>
      </c>
      <c r="C5" s="759"/>
      <c r="D5" s="759"/>
      <c r="E5" s="759"/>
      <c r="F5" s="759"/>
      <c r="G5" s="760"/>
    </row>
    <row r="6" spans="1:14" s="392" customFormat="1" ht="52.2" customHeight="1">
      <c r="A6" s="332"/>
      <c r="B6" s="247"/>
      <c r="C6" s="247"/>
      <c r="D6" s="596" t="s">
        <v>3</v>
      </c>
      <c r="E6" s="596" t="s">
        <v>3</v>
      </c>
      <c r="F6" s="630"/>
      <c r="G6" s="597" t="s">
        <v>2361</v>
      </c>
      <c r="H6" s="396"/>
      <c r="I6" s="397"/>
      <c r="J6" s="397"/>
      <c r="K6" s="396"/>
      <c r="L6" s="396"/>
    </row>
    <row r="7" spans="1:14" s="392" customFormat="1" ht="27.6">
      <c r="A7" s="664" t="s">
        <v>0</v>
      </c>
      <c r="B7" s="620" t="s">
        <v>1442</v>
      </c>
      <c r="C7" s="620" t="s">
        <v>2468</v>
      </c>
      <c r="D7" s="598" t="s">
        <v>2359</v>
      </c>
      <c r="E7" s="598" t="s">
        <v>2360</v>
      </c>
      <c r="F7" s="631" t="s">
        <v>1059</v>
      </c>
      <c r="G7" s="599" t="s">
        <v>1437</v>
      </c>
      <c r="H7" s="396"/>
      <c r="I7" s="393"/>
      <c r="J7" s="393"/>
      <c r="K7" s="396"/>
      <c r="L7" s="396"/>
    </row>
    <row r="8" spans="1:14">
      <c r="A8" s="332">
        <v>1</v>
      </c>
      <c r="B8" s="621" t="s">
        <v>2545</v>
      </c>
      <c r="C8" s="621" t="s">
        <v>2544</v>
      </c>
      <c r="D8" s="600">
        <f>150606142</f>
        <v>150606142</v>
      </c>
      <c r="E8" s="600">
        <f>'WS1-RateBase'!H7</f>
        <v>154435547.01260826</v>
      </c>
      <c r="F8" s="632"/>
      <c r="G8" s="601">
        <f t="shared" ref="G8:G14" si="0">E8-D8</f>
        <v>3829405.0126082599</v>
      </c>
      <c r="H8" s="389"/>
      <c r="I8" s="398"/>
      <c r="J8" s="398"/>
      <c r="K8" s="398"/>
      <c r="L8" s="398"/>
      <c r="M8" s="244"/>
      <c r="N8" s="244"/>
    </row>
    <row r="9" spans="1:14">
      <c r="A9" s="332">
        <v>2</v>
      </c>
      <c r="B9" s="439" t="s">
        <v>2454</v>
      </c>
      <c r="C9" s="54" t="s">
        <v>2546</v>
      </c>
      <c r="D9" s="602">
        <v>-5064000</v>
      </c>
      <c r="E9" s="628">
        <f>'WS3-RevCredits'!H33+'WS3-RevCredits'!H19</f>
        <v>-7306408.5549999988</v>
      </c>
      <c r="F9" s="640">
        <v>1</v>
      </c>
      <c r="G9" s="603">
        <f t="shared" si="0"/>
        <v>-2242408.5549999988</v>
      </c>
      <c r="H9" s="389"/>
      <c r="I9" s="398"/>
      <c r="J9" s="398"/>
      <c r="K9" s="398"/>
      <c r="L9" s="398"/>
      <c r="M9" s="244"/>
      <c r="N9" s="244"/>
    </row>
    <row r="10" spans="1:14">
      <c r="A10" s="332">
        <v>3</v>
      </c>
      <c r="B10" s="439" t="s">
        <v>2455</v>
      </c>
      <c r="C10" s="54" t="s">
        <v>2547</v>
      </c>
      <c r="D10" s="602">
        <v>-747000</v>
      </c>
      <c r="E10" s="602">
        <f>'WS3-RevCredits'!H47</f>
        <v>-2717421.5900000003</v>
      </c>
      <c r="F10" s="632">
        <v>1</v>
      </c>
      <c r="G10" s="603">
        <f t="shared" si="0"/>
        <v>-1970421.5900000003</v>
      </c>
      <c r="H10" s="389"/>
      <c r="I10" s="398"/>
      <c r="J10" s="398"/>
      <c r="K10" s="398"/>
      <c r="L10" s="398"/>
      <c r="M10" s="244"/>
      <c r="N10" s="244"/>
    </row>
    <row r="11" spans="1:14">
      <c r="A11" s="332">
        <v>4</v>
      </c>
      <c r="B11" s="439" t="s">
        <v>2456</v>
      </c>
      <c r="C11" s="54" t="s">
        <v>2548</v>
      </c>
      <c r="D11" s="602">
        <v>0</v>
      </c>
      <c r="E11" s="602">
        <f>'WS3-RevCredits'!H61+'WS3-RevCredits'!H75</f>
        <v>-1146980.3900000001</v>
      </c>
      <c r="F11" s="632">
        <v>1</v>
      </c>
      <c r="G11" s="603">
        <f t="shared" si="0"/>
        <v>-1146980.3900000001</v>
      </c>
      <c r="H11" s="389"/>
      <c r="I11" s="398"/>
      <c r="J11" s="398"/>
      <c r="K11" s="398"/>
      <c r="L11" s="398"/>
      <c r="M11" s="244"/>
      <c r="N11" s="244"/>
    </row>
    <row r="12" spans="1:14">
      <c r="A12" s="332">
        <v>5</v>
      </c>
      <c r="B12" s="439" t="s">
        <v>2457</v>
      </c>
      <c r="C12" s="54" t="s">
        <v>2549</v>
      </c>
      <c r="D12" s="602">
        <v>-11607518</v>
      </c>
      <c r="E12" s="623">
        <f>-('WS12-SSCD'!C16)</f>
        <v>-11710576.760590237</v>
      </c>
      <c r="F12" s="632">
        <v>1</v>
      </c>
      <c r="G12" s="603">
        <f t="shared" si="0"/>
        <v>-103058.76059023663</v>
      </c>
      <c r="H12" s="389"/>
      <c r="I12" s="398"/>
      <c r="J12" s="398"/>
      <c r="K12" s="398"/>
      <c r="L12" s="398"/>
      <c r="M12" s="244"/>
      <c r="N12" s="244"/>
    </row>
    <row r="13" spans="1:14">
      <c r="A13" s="332">
        <v>6</v>
      </c>
      <c r="B13" s="439" t="s">
        <v>2458</v>
      </c>
      <c r="C13" s="54" t="s">
        <v>2611</v>
      </c>
      <c r="D13" s="602">
        <v>-103100</v>
      </c>
      <c r="E13" s="602">
        <f>'WS3-RevCredits'!H103</f>
        <v>-79567.280000000013</v>
      </c>
      <c r="F13" s="632">
        <v>1</v>
      </c>
      <c r="G13" s="603">
        <f t="shared" si="0"/>
        <v>23532.719999999987</v>
      </c>
      <c r="H13" s="389"/>
      <c r="I13" s="398"/>
      <c r="J13" s="398"/>
      <c r="K13" s="398"/>
      <c r="L13" s="398"/>
      <c r="M13" s="244"/>
      <c r="N13" s="244"/>
    </row>
    <row r="14" spans="1:14">
      <c r="A14" s="332">
        <v>7</v>
      </c>
      <c r="B14" s="439" t="s">
        <v>2459</v>
      </c>
      <c r="C14" s="439"/>
      <c r="D14" s="602">
        <v>0</v>
      </c>
      <c r="E14" s="602">
        <v>0</v>
      </c>
      <c r="F14" s="632">
        <v>1</v>
      </c>
      <c r="G14" s="603">
        <f t="shared" si="0"/>
        <v>0</v>
      </c>
      <c r="H14" s="389"/>
      <c r="I14" s="398"/>
      <c r="J14" s="398"/>
      <c r="K14" s="398"/>
      <c r="L14" s="398"/>
      <c r="M14" s="244"/>
      <c r="N14" s="244"/>
    </row>
    <row r="15" spans="1:14" ht="15" thickBot="1">
      <c r="A15" s="332">
        <v>8</v>
      </c>
      <c r="B15" s="426" t="s">
        <v>2241</v>
      </c>
      <c r="C15" s="426" t="s">
        <v>2444</v>
      </c>
      <c r="D15" s="604">
        <f>SUM(D9:D14)</f>
        <v>-17521618</v>
      </c>
      <c r="E15" s="604">
        <f>SUM(E9:E14)</f>
        <v>-22960954.575590238</v>
      </c>
      <c r="F15" s="637"/>
      <c r="G15" s="605">
        <f>SUM(G9:G14)</f>
        <v>-5439336.575590237</v>
      </c>
      <c r="H15" s="389"/>
      <c r="I15" s="398"/>
      <c r="J15" s="398"/>
      <c r="K15" s="398"/>
      <c r="L15" s="398"/>
      <c r="M15" s="244"/>
      <c r="N15" s="244"/>
    </row>
    <row r="16" spans="1:14" ht="15" thickTop="1">
      <c r="A16" s="332">
        <v>9</v>
      </c>
      <c r="B16" s="248" t="s">
        <v>2242</v>
      </c>
      <c r="C16" s="248" t="s">
        <v>2551</v>
      </c>
      <c r="D16" s="602">
        <f>195354</f>
        <v>195354</v>
      </c>
      <c r="E16" s="602">
        <f>D16</f>
        <v>195354</v>
      </c>
      <c r="F16" s="638"/>
      <c r="G16" s="603">
        <f>D16-E16</f>
        <v>0</v>
      </c>
      <c r="H16" s="389"/>
      <c r="I16" s="398"/>
      <c r="J16" s="398"/>
      <c r="K16" s="398"/>
      <c r="L16" s="398"/>
      <c r="M16" s="244"/>
      <c r="N16" s="244"/>
    </row>
    <row r="17" spans="1:14" ht="15" thickBot="1">
      <c r="A17" s="332">
        <v>10</v>
      </c>
      <c r="B17" s="513" t="s">
        <v>2550</v>
      </c>
      <c r="C17" s="513" t="s">
        <v>2444</v>
      </c>
      <c r="D17" s="606">
        <f>D8+D15+D16</f>
        <v>133279878</v>
      </c>
      <c r="E17" s="606">
        <f>E8+E15+E16</f>
        <v>131669946.43701802</v>
      </c>
      <c r="F17" s="639"/>
      <c r="G17" s="607">
        <f>E17-D17</f>
        <v>-1609931.5629819781</v>
      </c>
      <c r="H17" s="389"/>
      <c r="I17" s="398"/>
      <c r="J17" s="398"/>
      <c r="K17" s="398"/>
      <c r="L17" s="398"/>
      <c r="M17" s="244"/>
      <c r="N17" s="244"/>
    </row>
    <row r="18" spans="1:14" ht="15" thickTop="1">
      <c r="A18" s="332">
        <v>11</v>
      </c>
      <c r="B18" s="679" t="s">
        <v>2362</v>
      </c>
      <c r="C18" s="679"/>
      <c r="D18" s="602">
        <f>-133279878</f>
        <v>-133279878</v>
      </c>
      <c r="E18" s="602">
        <f>'WS3-RevCredits'!H117</f>
        <v>-133422939.92000002</v>
      </c>
      <c r="F18" s="638"/>
      <c r="G18" s="603">
        <f>E18-D18</f>
        <v>-143061.92000001669</v>
      </c>
      <c r="H18" s="408"/>
      <c r="I18" s="398"/>
      <c r="J18" s="398"/>
      <c r="K18" s="398"/>
      <c r="L18" s="398"/>
      <c r="M18" s="244"/>
      <c r="N18" s="244"/>
    </row>
    <row r="19" spans="1:14" ht="15" thickBot="1">
      <c r="A19" s="332">
        <v>12</v>
      </c>
      <c r="B19" s="426" t="s">
        <v>2534</v>
      </c>
      <c r="C19" s="426"/>
      <c r="D19" s="604">
        <f>D8+D15+D16+D18</f>
        <v>0</v>
      </c>
      <c r="E19" s="604">
        <f>E8+E15+E16+E18</f>
        <v>-1752993.4829819947</v>
      </c>
      <c r="F19" s="637"/>
      <c r="G19" s="607">
        <f>G17+G18</f>
        <v>-1752993.4829819947</v>
      </c>
      <c r="H19" s="389"/>
      <c r="I19" s="398"/>
      <c r="J19" s="398"/>
      <c r="K19" s="398"/>
      <c r="L19" s="398"/>
      <c r="M19" s="244"/>
      <c r="N19" s="244"/>
    </row>
    <row r="20" spans="1:14" ht="15" thickTop="1">
      <c r="A20" s="332">
        <v>13</v>
      </c>
      <c r="B20" s="622"/>
      <c r="C20" s="622"/>
      <c r="D20" s="393"/>
      <c r="E20" s="393"/>
      <c r="F20" s="633"/>
      <c r="G20" s="608"/>
    </row>
    <row r="21" spans="1:14">
      <c r="A21" s="332">
        <v>14</v>
      </c>
      <c r="B21" s="248" t="s">
        <v>2552</v>
      </c>
      <c r="C21" s="248" t="s">
        <v>2553</v>
      </c>
      <c r="D21" s="393"/>
      <c r="E21" s="655">
        <f>'WS5-BPUz'!M19</f>
        <v>0</v>
      </c>
      <c r="F21" s="633"/>
      <c r="G21" s="608"/>
    </row>
    <row r="22" spans="1:14">
      <c r="A22" s="332">
        <v>15</v>
      </c>
      <c r="B22" s="248" t="s">
        <v>2461</v>
      </c>
      <c r="C22" s="248" t="s">
        <v>2555</v>
      </c>
      <c r="D22" s="393"/>
      <c r="E22" s="655">
        <f>0</f>
        <v>0</v>
      </c>
      <c r="F22" s="633"/>
      <c r="G22" s="608"/>
    </row>
    <row r="23" spans="1:14">
      <c r="A23" s="332">
        <v>16</v>
      </c>
      <c r="B23" s="248" t="s">
        <v>2462</v>
      </c>
      <c r="C23" s="248" t="s">
        <v>2556</v>
      </c>
      <c r="D23" s="393"/>
      <c r="E23" s="656">
        <f>E21+E22</f>
        <v>0</v>
      </c>
      <c r="F23" s="633"/>
      <c r="G23" s="608"/>
    </row>
    <row r="24" spans="1:14">
      <c r="A24" s="332">
        <v>17</v>
      </c>
      <c r="B24" s="248" t="s">
        <v>2463</v>
      </c>
      <c r="C24" s="248"/>
      <c r="D24" s="393"/>
      <c r="E24" s="393"/>
      <c r="F24" s="633"/>
      <c r="G24" s="608"/>
    </row>
    <row r="25" spans="1:14">
      <c r="A25" s="332">
        <v>18</v>
      </c>
      <c r="B25" s="248" t="s">
        <v>2464</v>
      </c>
      <c r="C25" s="248" t="s">
        <v>2559</v>
      </c>
      <c r="D25" s="393"/>
      <c r="E25" s="393"/>
      <c r="F25" s="633"/>
      <c r="G25" s="608"/>
    </row>
    <row r="26" spans="1:14">
      <c r="A26" s="332">
        <v>19</v>
      </c>
      <c r="B26" s="622"/>
      <c r="C26" s="622"/>
      <c r="D26" s="393"/>
      <c r="E26" s="393"/>
      <c r="F26" s="633"/>
      <c r="G26" s="608"/>
    </row>
    <row r="27" spans="1:14">
      <c r="A27" s="332">
        <v>20</v>
      </c>
      <c r="B27" s="248" t="s">
        <v>2465</v>
      </c>
      <c r="C27" s="248" t="s">
        <v>2557</v>
      </c>
      <c r="D27" s="393"/>
      <c r="E27" s="657">
        <f>'WS6-BPUr'!M19</f>
        <v>0</v>
      </c>
      <c r="F27" s="633"/>
      <c r="G27" s="608"/>
    </row>
    <row r="28" spans="1:14">
      <c r="A28" s="332">
        <v>21</v>
      </c>
      <c r="B28" s="248" t="s">
        <v>2461</v>
      </c>
      <c r="C28" s="248" t="s">
        <v>2555</v>
      </c>
      <c r="D28" s="393"/>
      <c r="E28" s="657">
        <v>0</v>
      </c>
      <c r="F28" s="633"/>
      <c r="G28" s="608"/>
    </row>
    <row r="29" spans="1:14">
      <c r="A29" s="332">
        <v>22</v>
      </c>
      <c r="B29" s="248" t="s">
        <v>2466</v>
      </c>
      <c r="C29" s="248" t="s">
        <v>2556</v>
      </c>
      <c r="D29" s="393"/>
      <c r="E29" s="657">
        <f>E27-E28</f>
        <v>0</v>
      </c>
      <c r="F29" s="633"/>
      <c r="G29" s="608"/>
    </row>
    <row r="30" spans="1:14">
      <c r="A30" s="332">
        <v>23</v>
      </c>
      <c r="B30" s="248" t="s">
        <v>2463</v>
      </c>
      <c r="C30" s="248"/>
      <c r="D30" s="393"/>
      <c r="E30" s="393"/>
      <c r="F30" s="633"/>
      <c r="G30" s="608"/>
    </row>
    <row r="31" spans="1:14">
      <c r="A31" s="332">
        <v>24</v>
      </c>
      <c r="B31" s="248" t="s">
        <v>2467</v>
      </c>
      <c r="C31" s="248" t="s">
        <v>2558</v>
      </c>
      <c r="D31" s="393"/>
      <c r="E31" s="393"/>
      <c r="F31" s="633"/>
      <c r="G31" s="608"/>
    </row>
    <row r="32" spans="1:14">
      <c r="A32" s="332">
        <v>25</v>
      </c>
      <c r="B32" s="622"/>
      <c r="C32" s="622"/>
      <c r="D32" s="393"/>
      <c r="E32" s="393"/>
      <c r="F32" s="633"/>
      <c r="G32" s="608"/>
    </row>
    <row r="33" spans="1:7">
      <c r="A33" s="332">
        <v>26</v>
      </c>
      <c r="B33" s="248" t="s">
        <v>2460</v>
      </c>
      <c r="C33" s="248" t="s">
        <v>2560</v>
      </c>
      <c r="D33" s="393"/>
      <c r="E33" s="393"/>
      <c r="F33" s="633"/>
      <c r="G33" s="608"/>
    </row>
    <row r="34" spans="1:7">
      <c r="A34" s="332">
        <v>27</v>
      </c>
      <c r="B34" s="622"/>
      <c r="C34" s="622"/>
      <c r="D34" s="393"/>
      <c r="E34" s="393"/>
      <c r="F34" s="633"/>
      <c r="G34" s="608"/>
    </row>
    <row r="35" spans="1:7">
      <c r="A35" s="332">
        <v>28</v>
      </c>
      <c r="B35" s="622"/>
      <c r="C35" s="622"/>
      <c r="D35" s="393"/>
      <c r="E35" s="393"/>
      <c r="F35" s="633"/>
      <c r="G35" s="608"/>
    </row>
    <row r="36" spans="1:7">
      <c r="A36" s="332">
        <v>29</v>
      </c>
      <c r="B36" s="622"/>
      <c r="C36" s="622"/>
      <c r="D36" s="393"/>
      <c r="E36" s="393"/>
      <c r="F36" s="633"/>
      <c r="G36" s="608"/>
    </row>
    <row r="37" spans="1:7">
      <c r="A37" s="332">
        <v>30</v>
      </c>
      <c r="B37" s="622"/>
      <c r="C37" s="622"/>
      <c r="D37" s="393"/>
      <c r="E37" s="393"/>
      <c r="F37" s="633"/>
      <c r="G37" s="608"/>
    </row>
    <row r="38" spans="1:7">
      <c r="A38" s="332">
        <v>31</v>
      </c>
      <c r="B38" s="622"/>
      <c r="C38" s="622"/>
      <c r="D38" s="393"/>
      <c r="E38" s="393"/>
      <c r="F38" s="633"/>
      <c r="G38" s="608"/>
    </row>
    <row r="39" spans="1:7">
      <c r="A39" s="332">
        <v>32</v>
      </c>
      <c r="B39" s="622"/>
      <c r="C39" s="622"/>
      <c r="D39" s="393"/>
      <c r="E39" s="393"/>
      <c r="F39" s="633"/>
      <c r="G39" s="608"/>
    </row>
    <row r="40" spans="1:7">
      <c r="A40" s="332">
        <v>33</v>
      </c>
      <c r="B40" s="622"/>
      <c r="C40" s="622"/>
      <c r="D40" s="393"/>
      <c r="E40" s="393"/>
      <c r="F40" s="633"/>
      <c r="G40" s="608"/>
    </row>
    <row r="41" spans="1:7">
      <c r="A41" s="332">
        <v>34</v>
      </c>
      <c r="B41" s="622"/>
      <c r="C41" s="622"/>
      <c r="D41" s="393"/>
      <c r="E41" s="393"/>
      <c r="F41" s="633"/>
      <c r="G41" s="608"/>
    </row>
    <row r="42" spans="1:7">
      <c r="A42" s="332">
        <v>35</v>
      </c>
      <c r="B42" s="622"/>
      <c r="C42" s="622"/>
      <c r="D42" s="393"/>
      <c r="E42" s="393"/>
      <c r="F42" s="633"/>
      <c r="G42" s="608"/>
    </row>
    <row r="43" spans="1:7">
      <c r="A43" s="332">
        <v>36</v>
      </c>
      <c r="B43" s="622"/>
      <c r="C43" s="622"/>
      <c r="D43" s="393"/>
      <c r="E43" s="393"/>
      <c r="F43" s="633"/>
      <c r="G43" s="608"/>
    </row>
    <row r="44" spans="1:7" ht="31.5" customHeight="1">
      <c r="A44" s="332">
        <v>37</v>
      </c>
      <c r="B44" s="666" t="s">
        <v>2363</v>
      </c>
      <c r="C44" s="666" t="s">
        <v>2612</v>
      </c>
      <c r="D44" s="666"/>
      <c r="E44" s="624">
        <f>'WS12-SSCD'!C18</f>
        <v>10843410.689535052</v>
      </c>
      <c r="F44" s="641"/>
      <c r="G44" s="609"/>
    </row>
    <row r="45" spans="1:7">
      <c r="A45" s="332">
        <v>38</v>
      </c>
      <c r="B45" s="666" t="s">
        <v>2364</v>
      </c>
      <c r="C45" s="666" t="s">
        <v>2561</v>
      </c>
      <c r="D45" s="666"/>
      <c r="E45" s="625">
        <f>'WS3-RevCredits'!H89</f>
        <v>-9248596.3500000015</v>
      </c>
      <c r="F45" s="641"/>
      <c r="G45" s="610"/>
    </row>
    <row r="46" spans="1:7" ht="27" customHeight="1" thickBot="1">
      <c r="A46" s="332">
        <v>39</v>
      </c>
      <c r="B46" s="667" t="s">
        <v>2535</v>
      </c>
      <c r="C46" s="667" t="s">
        <v>2565</v>
      </c>
      <c r="D46" s="667"/>
      <c r="E46" s="626">
        <f>E44+E45</f>
        <v>1594814.3395350501</v>
      </c>
      <c r="F46" s="642"/>
      <c r="G46" s="611"/>
    </row>
    <row r="47" spans="1:7" ht="42" customHeight="1" thickTop="1">
      <c r="A47" s="332">
        <v>40</v>
      </c>
      <c r="B47" s="666" t="s">
        <v>2365</v>
      </c>
      <c r="C47" s="666" t="s">
        <v>2562</v>
      </c>
      <c r="D47" s="666"/>
      <c r="E47" s="624">
        <f>'WS14-Reg'!C14</f>
        <v>297745.97816663596</v>
      </c>
      <c r="F47" s="638"/>
      <c r="G47" s="609"/>
    </row>
    <row r="48" spans="1:7">
      <c r="A48" s="332">
        <v>41</v>
      </c>
      <c r="B48" s="668" t="s">
        <v>2366</v>
      </c>
      <c r="C48" s="668" t="s">
        <v>2563</v>
      </c>
      <c r="D48" s="668"/>
      <c r="E48" s="625">
        <f>-188791</f>
        <v>-188791</v>
      </c>
      <c r="F48" s="641"/>
      <c r="G48" s="610"/>
    </row>
    <row r="49" spans="1:7" ht="25.5" customHeight="1" thickBot="1">
      <c r="A49" s="332">
        <v>42</v>
      </c>
      <c r="B49" s="667" t="s">
        <v>2630</v>
      </c>
      <c r="C49" s="667" t="s">
        <v>2564</v>
      </c>
      <c r="D49" s="667"/>
      <c r="E49" s="626">
        <f>E47+E48</f>
        <v>108954.97816663596</v>
      </c>
      <c r="F49" s="642"/>
      <c r="G49" s="611"/>
    </row>
    <row r="50" spans="1:7" ht="29.25" customHeight="1" thickTop="1">
      <c r="A50" s="332">
        <v>43</v>
      </c>
      <c r="B50" s="666" t="s">
        <v>2367</v>
      </c>
      <c r="C50" s="666" t="s">
        <v>2566</v>
      </c>
      <c r="D50" s="666"/>
      <c r="E50" s="624">
        <f>'WS15-Res'!C15</f>
        <v>260582.33389936373</v>
      </c>
      <c r="F50" s="638"/>
      <c r="G50" s="609"/>
    </row>
    <row r="51" spans="1:7" ht="26.25" customHeight="1">
      <c r="A51" s="332">
        <v>44</v>
      </c>
      <c r="B51" s="669" t="s">
        <v>2366</v>
      </c>
      <c r="C51" s="669" t="s">
        <v>2567</v>
      </c>
      <c r="D51" s="669"/>
      <c r="E51" s="629">
        <f>-174628</f>
        <v>-174628</v>
      </c>
      <c r="F51" s="632"/>
      <c r="G51" s="610"/>
    </row>
    <row r="52" spans="1:7" ht="27" customHeight="1">
      <c r="A52" s="332">
        <v>45</v>
      </c>
      <c r="B52" s="621" t="s">
        <v>2536</v>
      </c>
      <c r="C52" s="621" t="s">
        <v>2568</v>
      </c>
      <c r="D52" s="621"/>
      <c r="E52" s="627">
        <f>E50+E51</f>
        <v>85954.33389936373</v>
      </c>
      <c r="F52" s="634"/>
      <c r="G52" s="608"/>
    </row>
    <row r="53" spans="1:7">
      <c r="A53" s="332">
        <v>46</v>
      </c>
      <c r="B53" s="248" t="s">
        <v>2368</v>
      </c>
      <c r="C53" s="248"/>
      <c r="D53" s="612"/>
      <c r="E53" s="439"/>
      <c r="F53" s="632"/>
      <c r="G53" s="613"/>
    </row>
    <row r="54" spans="1:7" ht="15" thickBot="1">
      <c r="A54" s="336"/>
      <c r="B54" s="614"/>
      <c r="C54" s="614"/>
      <c r="D54" s="614"/>
      <c r="E54" s="614"/>
      <c r="F54" s="665"/>
      <c r="G54" s="615"/>
    </row>
  </sheetData>
  <mergeCells count="2">
    <mergeCell ref="B4:G4"/>
    <mergeCell ref="B5:G5"/>
  </mergeCells>
  <hyperlinks>
    <hyperlink ref="C1" location="'Cover Sheets'!A18" display="Back to Worksheet Links" xr:uid="{3AAF7972-001D-4E29-8AF7-3FE72FE24E68}"/>
  </hyperlinks>
  <printOptions horizontalCentered="1" verticalCentered="1"/>
  <pageMargins left="0.7" right="0.7" top="0.75" bottom="0.75" header="0.3" footer="0.3"/>
  <pageSetup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74"/>
  <sheetViews>
    <sheetView view="pageBreakPreview" zoomScale="115" zoomScaleNormal="75" zoomScaleSheetLayoutView="115" workbookViewId="0"/>
  </sheetViews>
  <sheetFormatPr defaultColWidth="9.109375" defaultRowHeight="13.8"/>
  <cols>
    <col min="1" max="1" width="7.6640625" style="35" customWidth="1"/>
    <col min="2" max="2" width="53.44140625" style="35" customWidth="1"/>
    <col min="3" max="3" width="25.44140625" style="35" customWidth="1"/>
    <col min="4" max="4" width="20" style="35" customWidth="1"/>
    <col min="5" max="5" width="13.109375" style="38" customWidth="1"/>
    <col min="6" max="6" width="14.109375" style="37" customWidth="1"/>
    <col min="7" max="7" width="7.88671875" style="35" customWidth="1"/>
    <col min="8" max="8" width="18.33203125" style="35" customWidth="1"/>
    <col min="9" max="9" width="15.5546875" style="35" customWidth="1"/>
    <col min="10" max="10" width="34" style="36" customWidth="1"/>
    <col min="11" max="11" width="21.33203125" style="36" customWidth="1"/>
    <col min="12" max="12" width="20.88671875" style="36" customWidth="1"/>
    <col min="13" max="13" width="19.6640625" style="36" customWidth="1"/>
    <col min="14" max="14" width="22.44140625" style="36" customWidth="1"/>
    <col min="15" max="15" width="15.5546875" style="36" customWidth="1"/>
    <col min="16" max="16384" width="9.109375" style="35"/>
  </cols>
  <sheetData>
    <row r="1" spans="1:12" ht="14.4">
      <c r="A1" s="239" t="str">
        <f>'Cover Sheets'!A10:D10</f>
        <v>WAPA-UGP 2018 Rate True-up Calculation</v>
      </c>
      <c r="B1" s="80"/>
      <c r="C1" s="658" t="s">
        <v>2543</v>
      </c>
      <c r="D1" s="238"/>
      <c r="E1" s="232"/>
      <c r="F1" s="237"/>
      <c r="G1" s="237"/>
      <c r="H1" s="237"/>
      <c r="I1" s="237"/>
      <c r="J1" s="39"/>
    </row>
    <row r="2" spans="1:12">
      <c r="A2" s="174" t="s">
        <v>2479</v>
      </c>
      <c r="B2" s="96"/>
      <c r="C2" s="236"/>
      <c r="D2" s="235"/>
      <c r="E2" s="231"/>
      <c r="F2" s="234"/>
      <c r="G2" s="228"/>
      <c r="H2" s="234"/>
      <c r="I2" s="234"/>
      <c r="J2" s="39"/>
      <c r="L2" s="39"/>
    </row>
    <row r="3" spans="1:12">
      <c r="A3" s="54" t="s">
        <v>2591</v>
      </c>
      <c r="B3" s="96"/>
      <c r="C3" s="236"/>
      <c r="D3" s="235"/>
      <c r="E3" s="231"/>
      <c r="F3" s="234"/>
      <c r="G3" s="228"/>
      <c r="H3" s="234"/>
      <c r="I3" s="234"/>
      <c r="J3" s="39"/>
      <c r="L3" s="39"/>
    </row>
    <row r="4" spans="1:12">
      <c r="A4" s="405" t="str">
        <f>'Summary-TrueUp'!A3</f>
        <v>12 Months Ending 09/30/2018 True-up</v>
      </c>
      <c r="B4" s="236"/>
      <c r="C4" s="236"/>
      <c r="D4" s="235"/>
      <c r="E4" s="231"/>
      <c r="F4" s="234"/>
      <c r="G4" s="228"/>
      <c r="H4" s="233" t="s">
        <v>1171</v>
      </c>
      <c r="I4" s="234"/>
      <c r="J4" s="39"/>
      <c r="L4" s="39"/>
    </row>
    <row r="5" spans="1:12">
      <c r="A5" s="232" t="s">
        <v>1170</v>
      </c>
      <c r="B5" s="228"/>
      <c r="C5" s="233" t="s">
        <v>1169</v>
      </c>
      <c r="D5" s="233" t="s">
        <v>1168</v>
      </c>
      <c r="F5" s="233" t="s">
        <v>1167</v>
      </c>
      <c r="G5" s="228"/>
      <c r="H5" s="233" t="s">
        <v>1166</v>
      </c>
      <c r="I5" s="228"/>
      <c r="J5" s="39"/>
      <c r="L5" s="39"/>
    </row>
    <row r="6" spans="1:12" ht="14.4" thickBot="1">
      <c r="A6" s="89" t="s">
        <v>1165</v>
      </c>
      <c r="B6" s="232" t="s">
        <v>1164</v>
      </c>
      <c r="C6" s="232" t="s">
        <v>1163</v>
      </c>
      <c r="D6" s="232" t="s">
        <v>1162</v>
      </c>
      <c r="E6" s="231"/>
      <c r="F6" s="230" t="s">
        <v>1161</v>
      </c>
      <c r="G6" s="228"/>
      <c r="H6" s="229" t="s">
        <v>1160</v>
      </c>
      <c r="I6" s="228"/>
      <c r="J6" s="39"/>
      <c r="L6" s="39"/>
    </row>
    <row r="7" spans="1:12" ht="14.4" thickBot="1">
      <c r="A7" s="139">
        <v>1</v>
      </c>
      <c r="B7" s="227" t="s">
        <v>1159</v>
      </c>
      <c r="C7" s="226" t="str">
        <f>"(L"&amp;A91&amp;")"</f>
        <v>(L70)</v>
      </c>
      <c r="D7" s="225"/>
      <c r="E7" s="224"/>
      <c r="F7" s="134"/>
      <c r="G7" s="135"/>
      <c r="H7" s="223">
        <f>+H91</f>
        <v>154435547.01260826</v>
      </c>
      <c r="I7" s="222"/>
      <c r="J7" s="39"/>
      <c r="L7" s="39"/>
    </row>
    <row r="8" spans="1:12" ht="14.4" thickTop="1">
      <c r="A8" s="65">
        <f>A7+1</f>
        <v>2</v>
      </c>
      <c r="B8" s="59" t="s">
        <v>1014</v>
      </c>
      <c r="C8" s="221" t="s">
        <v>1158</v>
      </c>
      <c r="D8" s="220"/>
      <c r="E8" s="192"/>
      <c r="F8" s="76"/>
      <c r="G8" s="55"/>
      <c r="H8" s="617">
        <f>('Summary-TrueUp'!E15)</f>
        <v>-22960954.575590238</v>
      </c>
      <c r="I8" s="53"/>
      <c r="J8" s="39"/>
      <c r="L8" s="39"/>
    </row>
    <row r="9" spans="1:12">
      <c r="A9" s="65">
        <f>A8+1</f>
        <v>3</v>
      </c>
      <c r="B9" s="59" t="s">
        <v>1157</v>
      </c>
      <c r="C9" s="218"/>
      <c r="D9" s="55"/>
      <c r="E9" s="189"/>
      <c r="F9" s="76"/>
      <c r="G9" s="55"/>
      <c r="H9" s="219">
        <v>195354</v>
      </c>
      <c r="I9" s="53"/>
      <c r="J9" s="39"/>
      <c r="L9" s="39"/>
    </row>
    <row r="10" spans="1:12">
      <c r="A10" s="65">
        <f>A9+1</f>
        <v>4</v>
      </c>
      <c r="B10" s="412" t="s">
        <v>2460</v>
      </c>
      <c r="C10" s="218"/>
      <c r="D10" s="55"/>
      <c r="E10" s="189"/>
      <c r="F10" s="76"/>
      <c r="G10" s="55"/>
      <c r="H10" s="219">
        <v>0</v>
      </c>
      <c r="I10" s="53"/>
      <c r="J10" s="39"/>
      <c r="L10" s="39"/>
    </row>
    <row r="11" spans="1:12" ht="14.4" thickBot="1">
      <c r="A11" s="65">
        <f>A10+1</f>
        <v>5</v>
      </c>
      <c r="B11" s="77" t="s">
        <v>1156</v>
      </c>
      <c r="C11" s="184" t="str">
        <f>"(L"&amp;A7&amp;" + L"&amp;A8&amp;" + L"&amp;A9&amp;" + L"&amp;A10&amp;")"</f>
        <v>(L1 + L2 + L3 + L4)</v>
      </c>
      <c r="D11" s="217" t="s">
        <v>240</v>
      </c>
      <c r="E11" s="183"/>
      <c r="F11" s="70"/>
      <c r="G11" s="47"/>
      <c r="H11" s="216">
        <f>+H7+H8+H9</f>
        <v>131669946.43701802</v>
      </c>
      <c r="I11" s="180"/>
      <c r="J11" s="39"/>
      <c r="L11" s="39"/>
    </row>
    <row r="12" spans="1:12">
      <c r="A12" s="139"/>
      <c r="B12" s="138" t="s">
        <v>1155</v>
      </c>
      <c r="C12" s="215"/>
      <c r="D12" s="215"/>
      <c r="E12" s="214"/>
      <c r="F12" s="213"/>
      <c r="G12" s="212"/>
      <c r="H12" s="211" t="s">
        <v>1154</v>
      </c>
      <c r="I12" s="210"/>
      <c r="J12" s="39"/>
      <c r="L12" s="39"/>
    </row>
    <row r="13" spans="1:12">
      <c r="A13" s="65"/>
      <c r="B13" s="80" t="s">
        <v>1153</v>
      </c>
      <c r="C13" s="166" t="s">
        <v>1152</v>
      </c>
      <c r="D13" s="166"/>
      <c r="E13" s="192"/>
      <c r="F13" s="155"/>
      <c r="G13" s="191"/>
      <c r="H13" s="54"/>
      <c r="I13" s="66"/>
      <c r="J13" s="39"/>
      <c r="L13" s="39"/>
    </row>
    <row r="14" spans="1:12">
      <c r="A14" s="65">
        <f>A11+1</f>
        <v>6</v>
      </c>
      <c r="B14" s="80" t="s">
        <v>1058</v>
      </c>
      <c r="C14" s="194" t="s">
        <v>2593</v>
      </c>
      <c r="D14" s="209">
        <f>'WS4-CostData'!C9+'WS4-CostData'!E9+'WS4-CostData'!G9</f>
        <v>1122773597.0711999</v>
      </c>
      <c r="E14" s="192" t="s">
        <v>487</v>
      </c>
      <c r="F14" s="171" t="s">
        <v>240</v>
      </c>
      <c r="G14" s="191"/>
      <c r="H14" s="54" t="s">
        <v>240</v>
      </c>
      <c r="I14" s="66"/>
    </row>
    <row r="15" spans="1:12">
      <c r="A15" s="65">
        <f>A14+1</f>
        <v>7</v>
      </c>
      <c r="B15" s="80" t="s">
        <v>1057</v>
      </c>
      <c r="C15" s="194" t="s">
        <v>2594</v>
      </c>
      <c r="D15" s="209">
        <f>'WS4-CostData'!K8</f>
        <v>1428641954.3317072</v>
      </c>
      <c r="E15" s="192" t="s">
        <v>1060</v>
      </c>
      <c r="F15" s="171">
        <f>H104</f>
        <v>1</v>
      </c>
      <c r="G15" s="191"/>
      <c r="H15" s="56">
        <f>+F15*D15</f>
        <v>1428641954.3317072</v>
      </c>
      <c r="I15" s="66"/>
    </row>
    <row r="16" spans="1:12">
      <c r="A16" s="65">
        <f>A15+1</f>
        <v>8</v>
      </c>
      <c r="B16" s="80" t="s">
        <v>1056</v>
      </c>
      <c r="C16" s="194" t="s">
        <v>2598</v>
      </c>
      <c r="D16" s="209">
        <f>'WS4-CostData'!C7-'WS4-CostData'!C8-'WS4-CostData'!C9</f>
        <v>53561034.054592967</v>
      </c>
      <c r="E16" s="192" t="s">
        <v>487</v>
      </c>
      <c r="F16" s="171" t="s">
        <v>240</v>
      </c>
      <c r="G16" s="191"/>
      <c r="H16" s="56" t="s">
        <v>240</v>
      </c>
      <c r="I16" s="208"/>
    </row>
    <row r="17" spans="1:12" ht="27.6">
      <c r="A17" s="65">
        <f>A16+1</f>
        <v>9</v>
      </c>
      <c r="B17" s="110" t="s">
        <v>1151</v>
      </c>
      <c r="C17" s="201" t="s">
        <v>1150</v>
      </c>
      <c r="D17" s="394">
        <v>0</v>
      </c>
      <c r="E17" s="199" t="s">
        <v>1100</v>
      </c>
      <c r="F17" s="198">
        <f>H112</f>
        <v>1</v>
      </c>
      <c r="G17" s="197"/>
      <c r="H17" s="196">
        <f>+F17*D17</f>
        <v>0</v>
      </c>
      <c r="I17" s="66"/>
    </row>
    <row r="18" spans="1:12">
      <c r="A18" s="65">
        <f>A17+1</f>
        <v>10</v>
      </c>
      <c r="B18" s="80" t="s">
        <v>1113</v>
      </c>
      <c r="C18" s="166"/>
      <c r="D18" s="395">
        <v>0</v>
      </c>
      <c r="E18" s="192" t="s">
        <v>1035</v>
      </c>
      <c r="F18" s="171">
        <f>I125</f>
        <v>0</v>
      </c>
      <c r="G18" s="191"/>
      <c r="H18" s="56">
        <f>+F18*D18</f>
        <v>0</v>
      </c>
      <c r="I18" s="66"/>
    </row>
    <row r="19" spans="1:12">
      <c r="A19" s="65">
        <f>A18+1</f>
        <v>11</v>
      </c>
      <c r="B19" s="80" t="s">
        <v>1149</v>
      </c>
      <c r="C19" s="166" t="str">
        <f>"(sum L"&amp;A14&amp;" : "&amp;A18&amp;")"</f>
        <v>(sum L6 : 10)</v>
      </c>
      <c r="D19" s="150">
        <f>SUM(D14:D18)</f>
        <v>2604976585.4575005</v>
      </c>
      <c r="E19" s="192" t="s">
        <v>1148</v>
      </c>
      <c r="F19" s="202">
        <f>IF(H19&gt;0,H19/D19,0)</f>
        <v>0.54842794453785892</v>
      </c>
      <c r="G19" s="191"/>
      <c r="H19" s="147">
        <f>SUM(H14:H18)</f>
        <v>1428641954.3317072</v>
      </c>
      <c r="I19" s="206"/>
    </row>
    <row r="20" spans="1:12">
      <c r="A20" s="65"/>
      <c r="B20" s="80" t="s">
        <v>1147</v>
      </c>
      <c r="C20" s="157"/>
      <c r="D20" s="166"/>
      <c r="E20" s="203"/>
      <c r="F20" s="155"/>
      <c r="G20" s="54"/>
      <c r="H20" s="155"/>
      <c r="I20" s="161"/>
    </row>
    <row r="21" spans="1:12">
      <c r="A21" s="65">
        <f>A19+1</f>
        <v>12</v>
      </c>
      <c r="B21" s="96" t="str">
        <f>+B14</f>
        <v xml:space="preserve">  Production</v>
      </c>
      <c r="C21" s="194" t="s">
        <v>2595</v>
      </c>
      <c r="D21" s="166">
        <f>'WS4-CostData'!C16+'WS4-CostData'!G16</f>
        <v>585679193.1716882</v>
      </c>
      <c r="E21" s="192" t="str">
        <f>+E14</f>
        <v>NA</v>
      </c>
      <c r="F21" s="171" t="str">
        <f>+F14</f>
        <v xml:space="preserve"> </v>
      </c>
      <c r="G21" s="191"/>
      <c r="H21" s="56" t="s">
        <v>240</v>
      </c>
      <c r="I21" s="161"/>
    </row>
    <row r="22" spans="1:12">
      <c r="A22" s="65">
        <f>A21+1</f>
        <v>13</v>
      </c>
      <c r="B22" s="96" t="str">
        <f>+B15</f>
        <v xml:space="preserve">  Transmission</v>
      </c>
      <c r="C22" s="194" t="s">
        <v>2596</v>
      </c>
      <c r="D22" s="166">
        <f>'WS4-CostData'!C15+'WS4-CostData'!E15+'WS4-CostData'!G15</f>
        <v>693338313.67936575</v>
      </c>
      <c r="E22" s="192" t="str">
        <f>+E15</f>
        <v>TP</v>
      </c>
      <c r="F22" s="171">
        <f>H104</f>
        <v>1</v>
      </c>
      <c r="G22" s="191"/>
      <c r="H22" s="56">
        <f>+F22*D22</f>
        <v>693338313.67936575</v>
      </c>
      <c r="I22" s="161"/>
    </row>
    <row r="23" spans="1:12">
      <c r="A23" s="65">
        <f>A22+1</f>
        <v>14</v>
      </c>
      <c r="B23" s="96" t="str">
        <f>+B16</f>
        <v xml:space="preserve">  Distribution</v>
      </c>
      <c r="C23" s="194" t="s">
        <v>2597</v>
      </c>
      <c r="D23" s="166">
        <f>'WS4-CostData'!C14-'WS4-CostData'!C16-'WS4-CostData'!C15</f>
        <v>25894062.558891177</v>
      </c>
      <c r="E23" s="192" t="str">
        <f>+E16</f>
        <v>NA</v>
      </c>
      <c r="F23" s="171" t="str">
        <f>+F16</f>
        <v xml:space="preserve"> </v>
      </c>
      <c r="G23" s="191"/>
      <c r="H23" s="56" t="s">
        <v>240</v>
      </c>
      <c r="I23" s="161"/>
    </row>
    <row r="24" spans="1:12" ht="27.6">
      <c r="A24" s="65">
        <f>A23+1</f>
        <v>15</v>
      </c>
      <c r="B24" s="207" t="str">
        <f>+B17</f>
        <v xml:space="preserve">  General &amp; Intangible</v>
      </c>
      <c r="C24" s="201" t="s">
        <v>1146</v>
      </c>
      <c r="D24" s="200">
        <v>0</v>
      </c>
      <c r="E24" s="199" t="str">
        <f>+E17</f>
        <v>W/S</v>
      </c>
      <c r="F24" s="198">
        <f>+F17</f>
        <v>1</v>
      </c>
      <c r="G24" s="197"/>
      <c r="H24" s="196">
        <f>+F24*D24</f>
        <v>0</v>
      </c>
      <c r="I24" s="161"/>
    </row>
    <row r="25" spans="1:12">
      <c r="A25" s="65">
        <f>A24+1</f>
        <v>16</v>
      </c>
      <c r="B25" s="96" t="str">
        <f>+B18</f>
        <v xml:space="preserve">  Common</v>
      </c>
      <c r="C25" s="166"/>
      <c r="D25" s="204">
        <v>0</v>
      </c>
      <c r="E25" s="192" t="str">
        <f>+E18</f>
        <v>CE</v>
      </c>
      <c r="F25" s="171">
        <f>+F18</f>
        <v>0</v>
      </c>
      <c r="G25" s="191"/>
      <c r="H25" s="56">
        <f>+F25*D25</f>
        <v>0</v>
      </c>
      <c r="I25" s="66"/>
    </row>
    <row r="26" spans="1:12">
      <c r="A26" s="65">
        <f>A25+1</f>
        <v>17</v>
      </c>
      <c r="B26" s="80" t="s">
        <v>1145</v>
      </c>
      <c r="C26" s="157" t="str">
        <f>"(sum L"&amp;A21&amp;" : "&amp;A25&amp;")"</f>
        <v>(sum L12 : 16)</v>
      </c>
      <c r="D26" s="150">
        <f>SUM(D21:D25)</f>
        <v>1304911569.409945</v>
      </c>
      <c r="E26" s="203"/>
      <c r="F26" s="155"/>
      <c r="G26" s="191"/>
      <c r="H26" s="147">
        <f>SUM(H21:H25)</f>
        <v>693338313.67936575</v>
      </c>
      <c r="I26" s="206"/>
    </row>
    <row r="27" spans="1:12">
      <c r="A27" s="65"/>
      <c r="B27" s="80" t="s">
        <v>1144</v>
      </c>
      <c r="C27" s="166"/>
      <c r="D27" s="166"/>
      <c r="E27" s="192"/>
      <c r="F27" s="155"/>
      <c r="G27" s="54"/>
      <c r="H27" s="155"/>
      <c r="I27" s="161"/>
    </row>
    <row r="28" spans="1:12">
      <c r="A28" s="65">
        <f>A26+1</f>
        <v>18</v>
      </c>
      <c r="B28" s="96" t="str">
        <f>+B21</f>
        <v xml:space="preserve">  Production</v>
      </c>
      <c r="C28" s="166" t="str">
        <f>"(L"&amp;A14&amp; " - L"&amp;A21&amp;")"</f>
        <v>(L6 - L12)</v>
      </c>
      <c r="D28" s="166">
        <f>D14-D21</f>
        <v>537094403.89951169</v>
      </c>
      <c r="E28" s="192"/>
      <c r="F28" s="202"/>
      <c r="G28" s="191"/>
      <c r="H28" s="56" t="s">
        <v>240</v>
      </c>
      <c r="I28" s="161"/>
    </row>
    <row r="29" spans="1:12">
      <c r="A29" s="65">
        <f>A28+1</f>
        <v>19</v>
      </c>
      <c r="B29" s="96" t="str">
        <f>+B22</f>
        <v xml:space="preserve">  Transmission</v>
      </c>
      <c r="C29" s="166" t="str">
        <f>"(L"&amp;A15&amp;" - L"&amp;A22&amp;")"</f>
        <v>(L7 - L13)</v>
      </c>
      <c r="D29" s="166">
        <f>D15-D22</f>
        <v>735303640.65234149</v>
      </c>
      <c r="E29" s="192"/>
      <c r="F29" s="171"/>
      <c r="G29" s="191"/>
      <c r="H29" s="56">
        <f>H15-H22</f>
        <v>735303640.65234149</v>
      </c>
      <c r="I29" s="161"/>
    </row>
    <row r="30" spans="1:12">
      <c r="A30" s="65">
        <f>A29+1</f>
        <v>20</v>
      </c>
      <c r="B30" s="96" t="str">
        <f>+B23</f>
        <v xml:space="preserve">  Distribution</v>
      </c>
      <c r="C30" s="166" t="str">
        <f>"(L"&amp;A16&amp;" - L"&amp;A23&amp;")"</f>
        <v>(L8 - L14)</v>
      </c>
      <c r="D30" s="166">
        <f>D16-D23</f>
        <v>27666971.49570179</v>
      </c>
      <c r="E30" s="192"/>
      <c r="F30" s="202"/>
      <c r="G30" s="191"/>
      <c r="H30" s="56" t="s">
        <v>240</v>
      </c>
      <c r="I30" s="161"/>
    </row>
    <row r="31" spans="1:12">
      <c r="A31" s="65">
        <f>A30+1</f>
        <v>21</v>
      </c>
      <c r="B31" s="96" t="str">
        <f>+B24</f>
        <v xml:space="preserve">  General &amp; Intangible</v>
      </c>
      <c r="C31" s="166" t="str">
        <f>"(L"&amp;A17&amp;" - L"&amp;A24&amp;")"</f>
        <v>(L9 - L15)</v>
      </c>
      <c r="D31" s="166">
        <f>D17-D24</f>
        <v>0</v>
      </c>
      <c r="E31" s="192"/>
      <c r="F31" s="202"/>
      <c r="G31" s="191"/>
      <c r="H31" s="56">
        <f>H17-H24</f>
        <v>0</v>
      </c>
      <c r="I31" s="66"/>
    </row>
    <row r="32" spans="1:12">
      <c r="A32" s="65">
        <f>A31+1</f>
        <v>22</v>
      </c>
      <c r="B32" s="96" t="str">
        <f>+B25</f>
        <v xml:space="preserve">  Common</v>
      </c>
      <c r="C32" s="166" t="str">
        <f>"(L"&amp;A18&amp;" - L"&amp;A25&amp;")"</f>
        <v>(L10 - L16)</v>
      </c>
      <c r="D32" s="166">
        <f>D18-D25</f>
        <v>0</v>
      </c>
      <c r="E32" s="192"/>
      <c r="F32" s="202"/>
      <c r="G32" s="191"/>
      <c r="H32" s="56">
        <f>H18-H25</f>
        <v>0</v>
      </c>
      <c r="I32" s="66"/>
      <c r="J32" s="39"/>
      <c r="L32" s="39"/>
    </row>
    <row r="33" spans="1:21">
      <c r="A33" s="65">
        <f>A32+1</f>
        <v>23</v>
      </c>
      <c r="B33" s="80" t="s">
        <v>1143</v>
      </c>
      <c r="C33" s="166" t="str">
        <f>"(sum L"&amp;A28&amp;" : "&amp;A32&amp;")"</f>
        <v>(sum L18 : 22)</v>
      </c>
      <c r="D33" s="150">
        <f>SUM(D28:D32)</f>
        <v>1300065016.047555</v>
      </c>
      <c r="E33" s="192" t="s">
        <v>1142</v>
      </c>
      <c r="F33" s="202">
        <f>IF(H33&gt;0,H33/D33,0)</f>
        <v>0.56558989864045761</v>
      </c>
      <c r="G33" s="191"/>
      <c r="H33" s="147">
        <f>SUM(H28:H32)</f>
        <v>735303640.65234149</v>
      </c>
      <c r="I33" s="206"/>
      <c r="J33" s="39"/>
      <c r="L33" s="39"/>
    </row>
    <row r="34" spans="1:21">
      <c r="A34" s="65"/>
      <c r="B34" s="80" t="s">
        <v>1141</v>
      </c>
      <c r="C34" s="157" t="s">
        <v>1140</v>
      </c>
      <c r="D34" s="166"/>
      <c r="E34" s="203"/>
      <c r="F34" s="155"/>
      <c r="G34" s="54"/>
      <c r="H34" s="155"/>
      <c r="I34" s="66"/>
      <c r="J34" s="39"/>
      <c r="L34" s="39"/>
    </row>
    <row r="35" spans="1:21">
      <c r="A35" s="65">
        <f>A33+1</f>
        <v>24</v>
      </c>
      <c r="B35" s="80" t="s">
        <v>1139</v>
      </c>
      <c r="C35" s="166" t="s">
        <v>1087</v>
      </c>
      <c r="D35" s="204">
        <v>0</v>
      </c>
      <c r="E35" s="192"/>
      <c r="F35" s="171">
        <v>0</v>
      </c>
      <c r="G35" s="191"/>
      <c r="H35" s="56">
        <v>0</v>
      </c>
      <c r="I35" s="66"/>
      <c r="J35" s="39"/>
      <c r="L35" s="39"/>
    </row>
    <row r="36" spans="1:21">
      <c r="A36" s="65">
        <f t="shared" ref="A36:A41" si="0">A35+1</f>
        <v>25</v>
      </c>
      <c r="B36" s="80" t="s">
        <v>1138</v>
      </c>
      <c r="C36" s="166" t="s">
        <v>1087</v>
      </c>
      <c r="D36" s="204">
        <v>0</v>
      </c>
      <c r="E36" s="192" t="s">
        <v>1084</v>
      </c>
      <c r="F36" s="171">
        <f>+F33</f>
        <v>0.56558989864045761</v>
      </c>
      <c r="G36" s="191"/>
      <c r="H36" s="56">
        <f>D36*F36</f>
        <v>0</v>
      </c>
      <c r="I36" s="161"/>
      <c r="J36" s="39"/>
      <c r="L36" s="39"/>
    </row>
    <row r="37" spans="1:21">
      <c r="A37" s="65">
        <f t="shared" si="0"/>
        <v>26</v>
      </c>
      <c r="B37" s="80" t="s">
        <v>1137</v>
      </c>
      <c r="C37" s="166" t="s">
        <v>1087</v>
      </c>
      <c r="D37" s="204">
        <v>0</v>
      </c>
      <c r="E37" s="192" t="s">
        <v>1084</v>
      </c>
      <c r="F37" s="171">
        <f>+F36</f>
        <v>0.56558989864045761</v>
      </c>
      <c r="G37" s="191"/>
      <c r="H37" s="56">
        <f>D37*F37</f>
        <v>0</v>
      </c>
      <c r="I37" s="205"/>
      <c r="J37" s="39"/>
      <c r="L37" s="39"/>
    </row>
    <row r="38" spans="1:21">
      <c r="A38" s="65">
        <f t="shared" si="0"/>
        <v>27</v>
      </c>
      <c r="B38" s="80" t="s">
        <v>1136</v>
      </c>
      <c r="C38" s="166"/>
      <c r="D38" s="204">
        <v>0</v>
      </c>
      <c r="E38" s="192" t="str">
        <f>+E37</f>
        <v>NP</v>
      </c>
      <c r="F38" s="171">
        <f>+F37</f>
        <v>0.56558989864045761</v>
      </c>
      <c r="G38" s="191"/>
      <c r="H38" s="56">
        <f>D38*F38</f>
        <v>0</v>
      </c>
      <c r="I38" s="161"/>
      <c r="J38" s="39"/>
      <c r="L38" s="39"/>
    </row>
    <row r="39" spans="1:21">
      <c r="A39" s="65">
        <f t="shared" si="0"/>
        <v>28</v>
      </c>
      <c r="B39" s="80" t="s">
        <v>1135</v>
      </c>
      <c r="C39" s="166" t="s">
        <v>1087</v>
      </c>
      <c r="D39" s="204">
        <v>0</v>
      </c>
      <c r="E39" s="192" t="s">
        <v>1084</v>
      </c>
      <c r="F39" s="171">
        <f>+F37</f>
        <v>0.56558989864045761</v>
      </c>
      <c r="G39" s="191"/>
      <c r="H39" s="56">
        <f>D39*F39</f>
        <v>0</v>
      </c>
      <c r="I39" s="53"/>
      <c r="J39" s="39"/>
      <c r="L39" s="39"/>
    </row>
    <row r="40" spans="1:21">
      <c r="A40" s="65">
        <f t="shared" si="0"/>
        <v>29</v>
      </c>
      <c r="B40" s="80" t="s">
        <v>1134</v>
      </c>
      <c r="C40" s="166" t="str">
        <f>"(sum L"&amp;A35&amp;" : "&amp;A39&amp;")"</f>
        <v>(sum L24 : 28)</v>
      </c>
      <c r="D40" s="150">
        <f>SUM(D35:D39)</f>
        <v>0</v>
      </c>
      <c r="E40" s="192"/>
      <c r="F40" s="155"/>
      <c r="G40" s="191"/>
      <c r="H40" s="147">
        <f>SUM(H35:H39)</f>
        <v>0</v>
      </c>
      <c r="I40" s="170"/>
      <c r="J40" s="39"/>
      <c r="L40" s="39"/>
    </row>
    <row r="41" spans="1:21">
      <c r="A41" s="65">
        <f t="shared" si="0"/>
        <v>30</v>
      </c>
      <c r="B41" s="80" t="s">
        <v>1133</v>
      </c>
      <c r="C41" s="157" t="s">
        <v>1132</v>
      </c>
      <c r="D41" s="204">
        <v>0</v>
      </c>
      <c r="E41" s="203" t="str">
        <f>+E22</f>
        <v>TP</v>
      </c>
      <c r="F41" s="171">
        <f>+F22</f>
        <v>1</v>
      </c>
      <c r="G41" s="54"/>
      <c r="H41" s="155">
        <f>+F41*D41</f>
        <v>0</v>
      </c>
      <c r="I41" s="53"/>
      <c r="J41" s="39"/>
      <c r="L41" s="39"/>
    </row>
    <row r="42" spans="1:21">
      <c r="A42" s="65"/>
      <c r="B42" s="80" t="s">
        <v>1131</v>
      </c>
      <c r="C42" s="194" t="s">
        <v>1130</v>
      </c>
      <c r="D42" s="166"/>
      <c r="E42" s="192"/>
      <c r="F42" s="155"/>
      <c r="G42" s="191"/>
      <c r="H42" s="56"/>
      <c r="I42" s="85"/>
      <c r="J42" s="39"/>
    </row>
    <row r="43" spans="1:21">
      <c r="A43" s="65">
        <f>A41+1</f>
        <v>31</v>
      </c>
      <c r="B43" s="80" t="s">
        <v>1129</v>
      </c>
      <c r="C43" s="166" t="s">
        <v>1128</v>
      </c>
      <c r="D43" s="166">
        <f>D62/8</f>
        <v>23795535.929999996</v>
      </c>
      <c r="E43" s="192"/>
      <c r="F43" s="202"/>
      <c r="G43" s="191"/>
      <c r="H43" s="56">
        <v>0</v>
      </c>
      <c r="I43" s="195"/>
      <c r="J43" s="39"/>
      <c r="L43" s="39"/>
    </row>
    <row r="44" spans="1:21" ht="27.6">
      <c r="A44" s="65">
        <f>A43+1</f>
        <v>32</v>
      </c>
      <c r="B44" s="110" t="s">
        <v>1127</v>
      </c>
      <c r="C44" s="201" t="s">
        <v>1126</v>
      </c>
      <c r="D44" s="200">
        <v>0</v>
      </c>
      <c r="E44" s="199" t="s">
        <v>943</v>
      </c>
      <c r="F44" s="198">
        <f>H105</f>
        <v>0</v>
      </c>
      <c r="G44" s="197"/>
      <c r="H44" s="196">
        <f>+F44*D44</f>
        <v>0</v>
      </c>
      <c r="I44" s="195"/>
      <c r="J44" s="39"/>
      <c r="L44" s="39"/>
    </row>
    <row r="45" spans="1:21">
      <c r="A45" s="65">
        <f>A44+1</f>
        <v>33</v>
      </c>
      <c r="B45" s="80" t="s">
        <v>1125</v>
      </c>
      <c r="C45" s="194" t="s">
        <v>1124</v>
      </c>
      <c r="D45" s="193">
        <v>0</v>
      </c>
      <c r="E45" s="192" t="s">
        <v>728</v>
      </c>
      <c r="F45" s="171">
        <f>+F19</f>
        <v>0.54842794453785892</v>
      </c>
      <c r="G45" s="191"/>
      <c r="H45" s="56">
        <f>+F45*D45</f>
        <v>0</v>
      </c>
      <c r="I45" s="82"/>
      <c r="J45" s="39"/>
      <c r="L45" s="39"/>
    </row>
    <row r="46" spans="1:21">
      <c r="A46" s="65">
        <f>A45+1</f>
        <v>34</v>
      </c>
      <c r="B46" s="80" t="s">
        <v>1123</v>
      </c>
      <c r="C46" s="166" t="str">
        <f>"(sum L"&amp;A43&amp;" : "&amp;A45&amp;")"</f>
        <v>(sum L31 : 33)</v>
      </c>
      <c r="D46" s="190">
        <f>D43+D44+D45</f>
        <v>23795535.929999996</v>
      </c>
      <c r="E46" s="189"/>
      <c r="F46" s="188"/>
      <c r="G46" s="187"/>
      <c r="H46" s="186">
        <f>H43+H44+H45</f>
        <v>0</v>
      </c>
      <c r="I46" s="185"/>
      <c r="J46" s="39"/>
      <c r="L46" s="39"/>
    </row>
    <row r="47" spans="1:21" ht="14.4" thickBot="1">
      <c r="A47" s="73">
        <f>A46+1</f>
        <v>35</v>
      </c>
      <c r="B47" s="77" t="s">
        <v>1122</v>
      </c>
      <c r="C47" s="184" t="str">
        <f>"(sum L "&amp;A33&amp;", "&amp;A40&amp;", "&amp;A41&amp;", "&amp;A46&amp;")"</f>
        <v>(sum L 23, 29, 30, 34)</v>
      </c>
      <c r="D47" s="184">
        <f>+D46+D41+D40+D33</f>
        <v>1323860551.977555</v>
      </c>
      <c r="E47" s="183"/>
      <c r="F47" s="182"/>
      <c r="G47" s="181"/>
      <c r="H47" s="70">
        <f>+H46+H41+H40+H33</f>
        <v>735303640.65234149</v>
      </c>
      <c r="I47" s="180"/>
      <c r="J47" s="39"/>
      <c r="L47" s="41"/>
    </row>
    <row r="48" spans="1:21">
      <c r="A48" s="139"/>
      <c r="B48" s="137" t="s">
        <v>511</v>
      </c>
      <c r="C48" s="179"/>
      <c r="D48" s="179"/>
      <c r="E48" s="178"/>
      <c r="F48" s="176"/>
      <c r="G48" s="177"/>
      <c r="H48" s="176"/>
      <c r="I48" s="175"/>
      <c r="M48" s="40"/>
      <c r="N48" s="40"/>
      <c r="O48" s="40"/>
      <c r="P48" s="174"/>
      <c r="Q48" s="174"/>
      <c r="R48" s="174"/>
      <c r="S48" s="174"/>
      <c r="T48" s="174"/>
      <c r="U48" s="174"/>
    </row>
    <row r="49" spans="1:9">
      <c r="A49" s="65"/>
      <c r="B49" s="80" t="s">
        <v>1121</v>
      </c>
      <c r="C49" s="151" t="s">
        <v>2587</v>
      </c>
      <c r="D49" s="151"/>
      <c r="E49" s="149"/>
      <c r="F49" s="158"/>
      <c r="G49" s="80"/>
      <c r="H49" s="158"/>
      <c r="I49" s="66"/>
    </row>
    <row r="50" spans="1:9" s="169" customFormat="1">
      <c r="A50" s="65">
        <f>A47+1</f>
        <v>36</v>
      </c>
      <c r="B50" s="80" t="s">
        <v>1109</v>
      </c>
      <c r="C50" s="194" t="s">
        <v>2599</v>
      </c>
      <c r="D50" s="157">
        <f>'WS4-CostData'!C122</f>
        <v>67527563.679999977</v>
      </c>
      <c r="E50" s="149" t="s">
        <v>1047</v>
      </c>
      <c r="F50" s="171">
        <f>H117</f>
        <v>0.95268383678158763</v>
      </c>
      <c r="G50" s="54"/>
      <c r="H50" s="155">
        <f>+F50*D50</f>
        <v>64332418.455175363</v>
      </c>
      <c r="I50" s="66"/>
    </row>
    <row r="51" spans="1:9">
      <c r="A51" s="65">
        <f>A50+1</f>
        <v>37</v>
      </c>
      <c r="B51" s="80" t="s">
        <v>1108</v>
      </c>
      <c r="C51" s="194" t="s">
        <v>2600</v>
      </c>
      <c r="D51" s="157">
        <f>'WS4-CostData'!E122</f>
        <v>46417098.880000003</v>
      </c>
      <c r="E51" s="149" t="s">
        <v>1043</v>
      </c>
      <c r="F51" s="171">
        <f>H120</f>
        <v>1.2462434576061851E-2</v>
      </c>
      <c r="G51" s="54"/>
      <c r="H51" s="155">
        <f>+F51*D51</f>
        <v>578470.05800259381</v>
      </c>
      <c r="I51" s="66"/>
    </row>
    <row r="52" spans="1:9">
      <c r="A52" s="65">
        <f>A51+1</f>
        <v>38</v>
      </c>
      <c r="B52" s="80" t="s">
        <v>1107</v>
      </c>
      <c r="C52" s="194" t="s">
        <v>2601</v>
      </c>
      <c r="D52" s="157">
        <f>'WS4-CostData'!G122</f>
        <v>46743530</v>
      </c>
      <c r="E52" s="149" t="s">
        <v>1039</v>
      </c>
      <c r="F52" s="171">
        <f>H123</f>
        <v>5.716043741470056E-2</v>
      </c>
      <c r="G52" s="54"/>
      <c r="H52" s="155">
        <f>+F52*D52</f>
        <v>2671880.6211071783</v>
      </c>
      <c r="I52" s="66"/>
    </row>
    <row r="53" spans="1:9">
      <c r="A53" s="65">
        <f>A52+1</f>
        <v>39</v>
      </c>
      <c r="B53" s="80" t="s">
        <v>1120</v>
      </c>
      <c r="C53" s="151" t="s">
        <v>1119</v>
      </c>
      <c r="D53" s="157"/>
      <c r="E53" s="149" t="s">
        <v>487</v>
      </c>
      <c r="F53" s="171">
        <v>1</v>
      </c>
      <c r="G53" s="54"/>
      <c r="H53" s="155">
        <f>+F53*D53</f>
        <v>0</v>
      </c>
      <c r="I53" s="66"/>
    </row>
    <row r="54" spans="1:9">
      <c r="A54" s="65"/>
      <c r="B54" s="80" t="s">
        <v>1118</v>
      </c>
      <c r="C54" s="151" t="s">
        <v>2588</v>
      </c>
      <c r="D54" s="157"/>
      <c r="E54" s="156"/>
      <c r="F54" s="158"/>
      <c r="G54" s="80"/>
      <c r="H54" s="158"/>
      <c r="I54" s="66"/>
    </row>
    <row r="55" spans="1:9">
      <c r="A55" s="65">
        <f>A53+1</f>
        <v>40</v>
      </c>
      <c r="B55" s="80" t="s">
        <v>1109</v>
      </c>
      <c r="C55" s="194" t="s">
        <v>2602</v>
      </c>
      <c r="D55" s="157">
        <f>'WS4-CostData'!C95</f>
        <v>19762043.349999998</v>
      </c>
      <c r="E55" s="149" t="str">
        <f>E50</f>
        <v>PTP/UGP</v>
      </c>
      <c r="F55" s="171">
        <f>F50</f>
        <v>0.95268383678158763</v>
      </c>
      <c r="G55" s="54"/>
      <c r="H55" s="155">
        <f t="shared" ref="H55:H61" si="1">+F55*D55</f>
        <v>18826979.281322058</v>
      </c>
      <c r="I55" s="161"/>
    </row>
    <row r="56" spans="1:9">
      <c r="A56" s="65">
        <f t="shared" ref="A56:A62" si="2">A55+1</f>
        <v>41</v>
      </c>
      <c r="B56" s="80" t="s">
        <v>1108</v>
      </c>
      <c r="C56" s="194" t="s">
        <v>2603</v>
      </c>
      <c r="D56" s="157">
        <f>'WS4-CostData'!E95</f>
        <v>9914051.5299999993</v>
      </c>
      <c r="E56" s="149" t="str">
        <f>E51</f>
        <v>PTP/RMR</v>
      </c>
      <c r="F56" s="171">
        <f>F51</f>
        <v>1.2462434576061851E-2</v>
      </c>
      <c r="G56" s="54"/>
      <c r="H56" s="155">
        <f t="shared" si="1"/>
        <v>123553.21857633088</v>
      </c>
      <c r="I56" s="161"/>
    </row>
    <row r="57" spans="1:9">
      <c r="A57" s="65">
        <f t="shared" si="2"/>
        <v>42</v>
      </c>
      <c r="B57" s="80" t="s">
        <v>1117</v>
      </c>
      <c r="C57" s="157"/>
      <c r="D57" s="172">
        <v>0</v>
      </c>
      <c r="E57" s="149" t="s">
        <v>1100</v>
      </c>
      <c r="F57" s="171">
        <f>H112</f>
        <v>1</v>
      </c>
      <c r="G57" s="54"/>
      <c r="H57" s="155">
        <f t="shared" si="1"/>
        <v>0</v>
      </c>
      <c r="I57" s="161"/>
    </row>
    <row r="58" spans="1:9">
      <c r="A58" s="65">
        <f t="shared" si="2"/>
        <v>43</v>
      </c>
      <c r="B58" s="80" t="s">
        <v>1116</v>
      </c>
      <c r="C58" s="157" t="s">
        <v>1114</v>
      </c>
      <c r="D58" s="172">
        <v>0</v>
      </c>
      <c r="E58" s="149" t="str">
        <f>+E57</f>
        <v>W/S</v>
      </c>
      <c r="F58" s="171">
        <f>H112</f>
        <v>1</v>
      </c>
      <c r="G58" s="54"/>
      <c r="H58" s="155">
        <f t="shared" si="1"/>
        <v>0</v>
      </c>
      <c r="I58" s="161"/>
    </row>
    <row r="59" spans="1:9">
      <c r="A59" s="65">
        <f t="shared" si="2"/>
        <v>44</v>
      </c>
      <c r="B59" s="80" t="s">
        <v>1115</v>
      </c>
      <c r="C59" s="157" t="s">
        <v>1114</v>
      </c>
      <c r="D59" s="172">
        <v>0</v>
      </c>
      <c r="E59" s="149" t="s">
        <v>943</v>
      </c>
      <c r="F59" s="171">
        <f>H105</f>
        <v>0</v>
      </c>
      <c r="G59" s="54"/>
      <c r="H59" s="155">
        <f t="shared" si="1"/>
        <v>0</v>
      </c>
      <c r="I59" s="161"/>
    </row>
    <row r="60" spans="1:9">
      <c r="A60" s="65">
        <f t="shared" si="2"/>
        <v>45</v>
      </c>
      <c r="B60" s="80" t="s">
        <v>1113</v>
      </c>
      <c r="C60" s="157"/>
      <c r="D60" s="172">
        <v>0</v>
      </c>
      <c r="E60" s="149" t="s">
        <v>1035</v>
      </c>
      <c r="F60" s="171">
        <f>I125</f>
        <v>0</v>
      </c>
      <c r="G60" s="54"/>
      <c r="H60" s="155">
        <f t="shared" si="1"/>
        <v>0</v>
      </c>
      <c r="I60" s="66"/>
    </row>
    <row r="61" spans="1:9">
      <c r="A61" s="65">
        <f t="shared" si="2"/>
        <v>46</v>
      </c>
      <c r="B61" s="80" t="s">
        <v>1112</v>
      </c>
      <c r="C61" s="157"/>
      <c r="D61" s="173">
        <v>0</v>
      </c>
      <c r="E61" s="149" t="s">
        <v>487</v>
      </c>
      <c r="F61" s="171">
        <v>1</v>
      </c>
      <c r="G61" s="54"/>
      <c r="H61" s="155">
        <f t="shared" si="1"/>
        <v>0</v>
      </c>
      <c r="I61" s="66"/>
    </row>
    <row r="62" spans="1:9" ht="27.6">
      <c r="A62" s="65">
        <f t="shared" si="2"/>
        <v>47</v>
      </c>
      <c r="B62" s="80" t="s">
        <v>1111</v>
      </c>
      <c r="C62" s="165" t="str">
        <f>"(sum L "&amp;A50&amp;", "&amp;A51&amp;", "&amp;A52&amp;", "&amp;A55&amp;", "&amp;A56&amp;", "&amp;A59&amp;", "&amp;A60&amp;" less "&amp;A53&amp;", "&amp;A57&amp;", "&amp;A58&amp;")"</f>
        <v>(sum L 36, 37, 38, 40, 41, 44, 45 less 39, 42, 43)</v>
      </c>
      <c r="D62" s="150">
        <f>+D50+D51+D52-D53+D55+D56-D57-D58+D59+D60+D61</f>
        <v>190364287.43999997</v>
      </c>
      <c r="E62" s="149"/>
      <c r="F62" s="155"/>
      <c r="G62" s="54"/>
      <c r="H62" s="147">
        <f>+H50+H51+H52-H53+H55+H56-H57-H58+H59+H60+H61</f>
        <v>86533301.634183526</v>
      </c>
      <c r="I62" s="170"/>
    </row>
    <row r="63" spans="1:9">
      <c r="A63" s="65"/>
      <c r="B63" s="80" t="s">
        <v>1110</v>
      </c>
      <c r="C63" s="157"/>
      <c r="D63" s="166"/>
      <c r="E63" s="79"/>
      <c r="F63" s="155"/>
      <c r="G63" s="54"/>
      <c r="H63" s="155"/>
      <c r="I63" s="161"/>
    </row>
    <row r="64" spans="1:9">
      <c r="A64" s="65">
        <f>A62+1</f>
        <v>48</v>
      </c>
      <c r="B64" s="96" t="str">
        <f>+B49</f>
        <v xml:space="preserve">  Transmission </v>
      </c>
      <c r="C64" s="151" t="s">
        <v>2589</v>
      </c>
      <c r="D64" s="157"/>
      <c r="E64" s="149"/>
      <c r="F64" s="171"/>
      <c r="G64" s="54"/>
      <c r="H64" s="155"/>
      <c r="I64" s="161"/>
    </row>
    <row r="65" spans="1:15">
      <c r="A65" s="65">
        <f t="shared" ref="A65:A70" si="3">A64+1</f>
        <v>49</v>
      </c>
      <c r="B65" s="80" t="s">
        <v>1109</v>
      </c>
      <c r="C65" s="194" t="s">
        <v>2604</v>
      </c>
      <c r="D65" s="159">
        <f>'WS4-CostData'!C38</f>
        <v>31897801.130000003</v>
      </c>
      <c r="E65" s="149" t="str">
        <f>E50</f>
        <v>PTP/UGP</v>
      </c>
      <c r="F65" s="171">
        <f>F50</f>
        <v>0.95268383678158763</v>
      </c>
      <c r="G65" s="54"/>
      <c r="H65" s="155">
        <f>+F65*D65</f>
        <v>30388519.565424465</v>
      </c>
      <c r="I65" s="161"/>
    </row>
    <row r="66" spans="1:15">
      <c r="A66" s="65">
        <f t="shared" si="3"/>
        <v>50</v>
      </c>
      <c r="B66" s="80" t="s">
        <v>1108</v>
      </c>
      <c r="C66" s="194" t="s">
        <v>2605</v>
      </c>
      <c r="D66" s="159">
        <f>'WS4-CostData'!E38</f>
        <v>19115399.030000001</v>
      </c>
      <c r="E66" s="149" t="str">
        <f>E51</f>
        <v>PTP/RMR</v>
      </c>
      <c r="F66" s="171">
        <f>F51</f>
        <v>1.2462434576061851E-2</v>
      </c>
      <c r="G66" s="54"/>
      <c r="H66" s="155">
        <f>+F66*D66</f>
        <v>238224.40980669117</v>
      </c>
      <c r="I66" s="161"/>
    </row>
    <row r="67" spans="1:15">
      <c r="A67" s="65">
        <f t="shared" si="3"/>
        <v>51</v>
      </c>
      <c r="B67" s="80" t="s">
        <v>1107</v>
      </c>
      <c r="C67" s="194" t="s">
        <v>2606</v>
      </c>
      <c r="D67" s="159">
        <f>'WS4-CostData'!G38</f>
        <v>15118338</v>
      </c>
      <c r="E67" s="149" t="s">
        <v>1039</v>
      </c>
      <c r="F67" s="171">
        <f>F52</f>
        <v>5.716043741470056E-2</v>
      </c>
      <c r="G67" s="54"/>
      <c r="H67" s="155">
        <f>+F67*D67</f>
        <v>864170.81306328927</v>
      </c>
      <c r="I67" s="161"/>
    </row>
    <row r="68" spans="1:15">
      <c r="A68" s="65">
        <f t="shared" si="3"/>
        <v>52</v>
      </c>
      <c r="B68" s="80" t="s">
        <v>1106</v>
      </c>
      <c r="C68" s="151"/>
      <c r="D68" s="172">
        <v>0</v>
      </c>
      <c r="E68" s="149" t="s">
        <v>1100</v>
      </c>
      <c r="F68" s="171">
        <f>H112</f>
        <v>1</v>
      </c>
      <c r="G68" s="54"/>
      <c r="H68" s="155">
        <f>+F68*D68</f>
        <v>0</v>
      </c>
      <c r="I68" s="161"/>
    </row>
    <row r="69" spans="1:15">
      <c r="A69" s="65">
        <f t="shared" si="3"/>
        <v>53</v>
      </c>
      <c r="B69" s="96" t="str">
        <f>+B60</f>
        <v xml:space="preserve">  Common</v>
      </c>
      <c r="C69" s="157"/>
      <c r="D69" s="172">
        <v>0</v>
      </c>
      <c r="E69" s="149" t="s">
        <v>1035</v>
      </c>
      <c r="F69" s="171">
        <f>+F60</f>
        <v>0</v>
      </c>
      <c r="G69" s="54"/>
      <c r="H69" s="155">
        <f>+F69*D69</f>
        <v>0</v>
      </c>
      <c r="I69" s="161"/>
      <c r="J69" s="41"/>
      <c r="L69" s="41"/>
    </row>
    <row r="70" spans="1:15">
      <c r="A70" s="65">
        <f t="shared" si="3"/>
        <v>54</v>
      </c>
      <c r="B70" s="80" t="s">
        <v>1105</v>
      </c>
      <c r="C70" s="157" t="str">
        <f>"(sum L"&amp;A64&amp;" : "&amp;A69&amp;")"</f>
        <v>(sum L48 : 53)</v>
      </c>
      <c r="D70" s="150">
        <f>SUM(D64:D69)</f>
        <v>66131538.160000004</v>
      </c>
      <c r="E70" s="149"/>
      <c r="F70" s="155"/>
      <c r="G70" s="54"/>
      <c r="H70" s="147">
        <f>SUM(H64:H69)</f>
        <v>31490914.788294446</v>
      </c>
      <c r="I70" s="170"/>
      <c r="J70" s="41"/>
      <c r="L70" s="41"/>
    </row>
    <row r="71" spans="1:15">
      <c r="A71" s="65"/>
      <c r="B71" s="80" t="s">
        <v>1104</v>
      </c>
      <c r="C71" s="151" t="s">
        <v>1103</v>
      </c>
      <c r="D71" s="166"/>
      <c r="E71" s="79"/>
      <c r="F71" s="155"/>
      <c r="G71" s="54"/>
      <c r="H71" s="155"/>
      <c r="I71" s="66"/>
      <c r="J71" s="41"/>
      <c r="L71" s="41"/>
    </row>
    <row r="72" spans="1:15" s="169" customFormat="1">
      <c r="A72" s="65"/>
      <c r="B72" s="80" t="s">
        <v>1102</v>
      </c>
      <c r="C72" s="151"/>
      <c r="D72" s="151"/>
      <c r="E72" s="149"/>
      <c r="F72" s="158"/>
      <c r="G72" s="54"/>
      <c r="H72" s="158"/>
      <c r="I72" s="82"/>
      <c r="J72" s="41"/>
      <c r="K72" s="36"/>
      <c r="L72" s="41"/>
      <c r="M72" s="45"/>
      <c r="N72" s="45"/>
      <c r="O72" s="45"/>
    </row>
    <row r="73" spans="1:15">
      <c r="A73" s="65">
        <f>A70+1</f>
        <v>55</v>
      </c>
      <c r="B73" s="80" t="s">
        <v>1101</v>
      </c>
      <c r="C73" s="157"/>
      <c r="D73" s="159">
        <v>0</v>
      </c>
      <c r="E73" s="149" t="s">
        <v>1100</v>
      </c>
      <c r="F73" s="148">
        <f>+F68</f>
        <v>1</v>
      </c>
      <c r="G73" s="54"/>
      <c r="H73" s="155">
        <f>+F73*D73</f>
        <v>0</v>
      </c>
      <c r="I73" s="82"/>
      <c r="J73" s="41"/>
      <c r="L73" s="41"/>
    </row>
    <row r="74" spans="1:15">
      <c r="A74" s="65">
        <f>A73+1</f>
        <v>56</v>
      </c>
      <c r="B74" s="80" t="s">
        <v>1099</v>
      </c>
      <c r="C74" s="157"/>
      <c r="D74" s="159">
        <v>0</v>
      </c>
      <c r="E74" s="149" t="str">
        <f>+E73</f>
        <v>W/S</v>
      </c>
      <c r="F74" s="148">
        <f>+F73</f>
        <v>1</v>
      </c>
      <c r="G74" s="54"/>
      <c r="H74" s="155">
        <f>+F74*D74</f>
        <v>0</v>
      </c>
      <c r="I74" s="82"/>
      <c r="J74" s="168"/>
      <c r="K74" s="45"/>
      <c r="L74" s="168"/>
    </row>
    <row r="75" spans="1:15">
      <c r="A75" s="65"/>
      <c r="B75" s="80" t="s">
        <v>1098</v>
      </c>
      <c r="C75" s="157"/>
      <c r="D75" s="151"/>
      <c r="E75" s="149"/>
      <c r="F75" s="158"/>
      <c r="G75" s="54"/>
      <c r="H75" s="158"/>
      <c r="I75" s="82"/>
      <c r="J75" s="41"/>
      <c r="L75" s="41"/>
    </row>
    <row r="76" spans="1:15">
      <c r="A76" s="65">
        <f>A74+1</f>
        <v>57</v>
      </c>
      <c r="B76" s="80" t="s">
        <v>1097</v>
      </c>
      <c r="C76" s="157"/>
      <c r="D76" s="159">
        <v>0</v>
      </c>
      <c r="E76" s="149" t="s">
        <v>728</v>
      </c>
      <c r="F76" s="148">
        <f>+F19</f>
        <v>0.54842794453785892</v>
      </c>
      <c r="G76" s="54"/>
      <c r="H76" s="155">
        <f>+F76*D76</f>
        <v>0</v>
      </c>
      <c r="I76" s="82"/>
      <c r="J76" s="41"/>
      <c r="L76" s="41"/>
    </row>
    <row r="77" spans="1:15">
      <c r="A77" s="65">
        <f>A76+1</f>
        <v>58</v>
      </c>
      <c r="B77" s="80" t="s">
        <v>1096</v>
      </c>
      <c r="C77" s="157"/>
      <c r="D77" s="159">
        <v>0</v>
      </c>
      <c r="E77" s="149"/>
      <c r="F77" s="148">
        <v>0</v>
      </c>
      <c r="G77" s="54"/>
      <c r="H77" s="155">
        <v>0</v>
      </c>
      <c r="I77" s="82"/>
      <c r="J77" s="41"/>
      <c r="L77" s="41"/>
    </row>
    <row r="78" spans="1:15">
      <c r="A78" s="65">
        <f>A77+1</f>
        <v>59</v>
      </c>
      <c r="B78" s="80" t="s">
        <v>1095</v>
      </c>
      <c r="C78" s="157"/>
      <c r="D78" s="159">
        <v>0</v>
      </c>
      <c r="E78" s="149" t="str">
        <f>+E76</f>
        <v>GP</v>
      </c>
      <c r="F78" s="148">
        <f>+F76</f>
        <v>0.54842794453785892</v>
      </c>
      <c r="G78" s="54"/>
      <c r="H78" s="155">
        <f>+F78*D78</f>
        <v>0</v>
      </c>
      <c r="I78" s="82"/>
      <c r="J78" s="41"/>
      <c r="L78" s="41"/>
    </row>
    <row r="79" spans="1:15">
      <c r="A79" s="65">
        <f>A78+1</f>
        <v>60</v>
      </c>
      <c r="B79" s="80" t="s">
        <v>1094</v>
      </c>
      <c r="C79" s="157"/>
      <c r="D79" s="159">
        <v>0</v>
      </c>
      <c r="E79" s="149" t="s">
        <v>728</v>
      </c>
      <c r="F79" s="148">
        <f>+F78</f>
        <v>0.54842794453785892</v>
      </c>
      <c r="G79" s="54"/>
      <c r="H79" s="155">
        <f>+F79*D79</f>
        <v>0</v>
      </c>
      <c r="I79" s="82"/>
      <c r="J79" s="41"/>
      <c r="L79" s="41"/>
    </row>
    <row r="80" spans="1:15">
      <c r="A80" s="65">
        <f>A79+1</f>
        <v>61</v>
      </c>
      <c r="B80" s="80" t="s">
        <v>1093</v>
      </c>
      <c r="C80" s="157" t="str">
        <f>"(sum L "&amp;A73&amp;" : "&amp;A79&amp;")"</f>
        <v>(sum L 55 : 60)</v>
      </c>
      <c r="D80" s="150">
        <f>SUM(D73:D79)</f>
        <v>0</v>
      </c>
      <c r="E80" s="149"/>
      <c r="F80" s="148"/>
      <c r="G80" s="54"/>
      <c r="H80" s="147">
        <f>SUM(H73:H79)</f>
        <v>0</v>
      </c>
      <c r="I80" s="167"/>
      <c r="J80" s="41"/>
      <c r="L80" s="41"/>
    </row>
    <row r="81" spans="1:12">
      <c r="A81" s="65"/>
      <c r="B81" s="80" t="s">
        <v>1092</v>
      </c>
      <c r="C81" s="153" t="s">
        <v>1091</v>
      </c>
      <c r="D81" s="166"/>
      <c r="E81" s="79" t="s">
        <v>487</v>
      </c>
      <c r="F81" s="148"/>
      <c r="G81" s="54"/>
      <c r="H81" s="155"/>
      <c r="I81" s="82"/>
      <c r="J81" s="41"/>
      <c r="L81" s="41"/>
    </row>
    <row r="82" spans="1:12">
      <c r="A82" s="65">
        <f>A80+1</f>
        <v>62</v>
      </c>
      <c r="B82" s="154" t="s">
        <v>1090</v>
      </c>
      <c r="C82" s="165"/>
      <c r="D82" s="164">
        <f>IF(D161&gt;0,1-(((1-D162)*(1-D161))/(1-D162*D161*D163)),0)</f>
        <v>0</v>
      </c>
      <c r="E82" s="149"/>
      <c r="F82" s="148"/>
      <c r="G82" s="54"/>
      <c r="H82" s="158"/>
      <c r="I82" s="66"/>
      <c r="J82" s="41"/>
      <c r="L82" s="41"/>
    </row>
    <row r="83" spans="1:12" ht="15">
      <c r="A83" s="65">
        <f>A82+1</f>
        <v>63</v>
      </c>
      <c r="B83" s="80" t="s">
        <v>1089</v>
      </c>
      <c r="C83" s="165"/>
      <c r="D83" s="164">
        <f>IF(H136&gt;0,(D82/(1-D82))*(1-H134/H136),0)</f>
        <v>0</v>
      </c>
      <c r="E83" s="149"/>
      <c r="F83" s="163"/>
      <c r="G83" s="54"/>
      <c r="H83" s="158"/>
      <c r="I83" s="82"/>
      <c r="J83" s="41"/>
      <c r="L83" s="41"/>
    </row>
    <row r="84" spans="1:12" ht="27.6">
      <c r="A84" s="65"/>
      <c r="B84" s="162" t="str">
        <f>"     where WCLTD= (line "&amp;A134&amp;") and R= (line "&amp;A136&amp;") and FIT, SIT &amp; p are as given in footnote I."</f>
        <v xml:space="preserve">     where WCLTD= (line 101) and R= (line 103) and FIT, SIT &amp; p are as given in footnote I.</v>
      </c>
      <c r="C84" s="157"/>
      <c r="D84" s="157"/>
      <c r="E84" s="149"/>
      <c r="F84" s="148"/>
      <c r="G84" s="54"/>
      <c r="H84" s="158"/>
      <c r="I84" s="161"/>
      <c r="J84" s="41"/>
      <c r="L84" s="41"/>
    </row>
    <row r="85" spans="1:12">
      <c r="A85" s="65">
        <f>A83+1</f>
        <v>64</v>
      </c>
      <c r="B85" s="154" t="str">
        <f>"      1 / (1 - T)  = (from line "&amp;A82&amp;")"</f>
        <v xml:space="preserve">      1 / (1 - T)  = (from line 62)</v>
      </c>
      <c r="C85" s="157"/>
      <c r="D85" s="160">
        <f>IF(D82&gt;0,1/(1-D82),0)</f>
        <v>0</v>
      </c>
      <c r="E85" s="149"/>
      <c r="F85" s="148"/>
      <c r="G85" s="54"/>
      <c r="H85" s="158"/>
      <c r="I85" s="53"/>
      <c r="J85" s="41"/>
      <c r="L85" s="41"/>
    </row>
    <row r="86" spans="1:12">
      <c r="A86" s="65">
        <f t="shared" ref="A86:A91" si="4">A85+1</f>
        <v>65</v>
      </c>
      <c r="B86" s="80" t="s">
        <v>1088</v>
      </c>
      <c r="C86" s="157" t="s">
        <v>1087</v>
      </c>
      <c r="D86" s="159">
        <v>0</v>
      </c>
      <c r="E86" s="149"/>
      <c r="F86" s="148"/>
      <c r="G86" s="54"/>
      <c r="H86" s="158">
        <v>0</v>
      </c>
      <c r="I86" s="53"/>
      <c r="J86" s="39"/>
      <c r="L86" s="41"/>
    </row>
    <row r="87" spans="1:12">
      <c r="A87" s="65">
        <f t="shared" si="4"/>
        <v>66</v>
      </c>
      <c r="B87" s="154" t="s">
        <v>1086</v>
      </c>
      <c r="C87" s="153" t="str">
        <f>"(L"&amp;A83&amp;" * L"&amp;A90&amp;")"</f>
        <v>(L63 * L69)</v>
      </c>
      <c r="D87" s="157">
        <f>D83*D90</f>
        <v>0</v>
      </c>
      <c r="E87" s="149" t="s">
        <v>487</v>
      </c>
      <c r="F87" s="148"/>
      <c r="G87" s="54"/>
      <c r="H87" s="155">
        <f>D83*H90</f>
        <v>0</v>
      </c>
      <c r="I87" s="53"/>
      <c r="J87" s="39"/>
      <c r="L87" s="39"/>
    </row>
    <row r="88" spans="1:12">
      <c r="A88" s="65">
        <f t="shared" si="4"/>
        <v>67</v>
      </c>
      <c r="B88" s="80" t="s">
        <v>1085</v>
      </c>
      <c r="C88" s="153" t="str">
        <f>"(L"&amp;A85&amp;" * L"&amp;A86&amp;")"</f>
        <v>(L64 * L65)</v>
      </c>
      <c r="D88" s="157">
        <f>D85*D86</f>
        <v>0</v>
      </c>
      <c r="E88" s="156" t="s">
        <v>1084</v>
      </c>
      <c r="F88" s="148">
        <f>F33</f>
        <v>0.56558989864045761</v>
      </c>
      <c r="G88" s="54"/>
      <c r="H88" s="155">
        <f>F88*D88</f>
        <v>0</v>
      </c>
      <c r="I88" s="53"/>
      <c r="J88" s="39"/>
      <c r="L88" s="39"/>
    </row>
    <row r="89" spans="1:12">
      <c r="A89" s="65">
        <f t="shared" si="4"/>
        <v>68</v>
      </c>
      <c r="B89" s="154" t="s">
        <v>1083</v>
      </c>
      <c r="C89" s="153" t="str">
        <f>"(L"&amp;A87&amp;" + L"&amp;A88&amp;")"</f>
        <v>(L66 + L67)</v>
      </c>
      <c r="D89" s="152">
        <f>+D87+D88</f>
        <v>0</v>
      </c>
      <c r="E89" s="79" t="s">
        <v>240</v>
      </c>
      <c r="F89" s="148" t="s">
        <v>240</v>
      </c>
      <c r="G89" s="54"/>
      <c r="H89" s="147">
        <f>+H87+H88</f>
        <v>0</v>
      </c>
      <c r="I89" s="146"/>
      <c r="J89" s="39"/>
      <c r="L89" s="39"/>
    </row>
    <row r="90" spans="1:12">
      <c r="A90" s="65">
        <f t="shared" si="4"/>
        <v>69</v>
      </c>
      <c r="B90" s="80" t="s">
        <v>1082</v>
      </c>
      <c r="C90" s="151" t="str">
        <f>"(L"&amp;A47&amp;" * L"&amp;A136&amp;")"</f>
        <v>(L35 * L103)</v>
      </c>
      <c r="D90" s="150">
        <f>+$H136*D47</f>
        <v>65555943.896214426</v>
      </c>
      <c r="E90" s="149" t="s">
        <v>487</v>
      </c>
      <c r="F90" s="148"/>
      <c r="G90" s="54"/>
      <c r="H90" s="147">
        <f>+$H136*H47</f>
        <v>36411330.590130284</v>
      </c>
      <c r="I90" s="146"/>
      <c r="J90" s="39"/>
      <c r="L90" s="41"/>
    </row>
    <row r="91" spans="1:12" ht="14.4" thickBot="1">
      <c r="A91" s="73">
        <f t="shared" si="4"/>
        <v>70</v>
      </c>
      <c r="B91" s="77" t="s">
        <v>1081</v>
      </c>
      <c r="C91" s="145" t="str">
        <f>"(sum L"&amp;A62&amp;", "&amp;A70&amp;" ,"&amp;A80&amp;", "&amp;A89&amp;", "&amp;A90&amp;")"</f>
        <v>(sum L47, 54 ,61, 68, 69)</v>
      </c>
      <c r="D91" s="144">
        <f>+D90+D89+D80+D70+D62</f>
        <v>322051769.49621439</v>
      </c>
      <c r="E91" s="143"/>
      <c r="F91" s="142"/>
      <c r="G91" s="47"/>
      <c r="H91" s="141">
        <f>+H90+H89+H80+H70+H62</f>
        <v>154435547.01260826</v>
      </c>
      <c r="I91" s="140"/>
      <c r="J91" s="41"/>
      <c r="L91" s="41"/>
    </row>
    <row r="92" spans="1:12">
      <c r="A92" s="139"/>
      <c r="B92" s="137"/>
      <c r="C92" s="138" t="s">
        <v>1080</v>
      </c>
      <c r="D92" s="137"/>
      <c r="E92" s="136"/>
      <c r="F92" s="134"/>
      <c r="G92" s="135"/>
      <c r="H92" s="134"/>
      <c r="I92" s="133"/>
      <c r="J92" s="43"/>
      <c r="L92" s="43"/>
    </row>
    <row r="93" spans="1:12">
      <c r="A93" s="65"/>
      <c r="B93" s="80" t="s">
        <v>1079</v>
      </c>
      <c r="C93" s="55"/>
      <c r="D93" s="55"/>
      <c r="E93" s="57"/>
      <c r="F93" s="76"/>
      <c r="G93" s="55"/>
      <c r="H93" s="76"/>
      <c r="I93" s="66"/>
      <c r="J93" s="41"/>
      <c r="L93" s="43" t="s">
        <v>240</v>
      </c>
    </row>
    <row r="94" spans="1:12">
      <c r="A94" s="65">
        <f>A91+1</f>
        <v>71</v>
      </c>
      <c r="B94" s="59" t="s">
        <v>1078</v>
      </c>
      <c r="C94" s="55" t="str">
        <f>"(L"&amp;A15&amp;", C3)"</f>
        <v>(L7, C3)</v>
      </c>
      <c r="D94" s="54"/>
      <c r="E94" s="79"/>
      <c r="F94" s="56"/>
      <c r="G94" s="54"/>
      <c r="H94" s="56">
        <f>+D15</f>
        <v>1428641954.3317072</v>
      </c>
      <c r="I94" s="66"/>
      <c r="J94" s="41"/>
      <c r="L94" s="41"/>
    </row>
    <row r="95" spans="1:12">
      <c r="A95" s="65">
        <f>A94+1</f>
        <v>72</v>
      </c>
      <c r="B95" s="59" t="s">
        <v>1077</v>
      </c>
      <c r="C95" s="80" t="s">
        <v>1076</v>
      </c>
      <c r="D95" s="80"/>
      <c r="E95" s="89"/>
      <c r="F95" s="88"/>
      <c r="G95" s="80"/>
      <c r="H95" s="132">
        <v>0</v>
      </c>
      <c r="I95" s="66"/>
      <c r="J95" s="41"/>
      <c r="L95" s="41"/>
    </row>
    <row r="96" spans="1:12" ht="14.4" thickBot="1">
      <c r="A96" s="65">
        <f>A95+1</f>
        <v>73</v>
      </c>
      <c r="B96" s="51" t="s">
        <v>1075</v>
      </c>
      <c r="C96" s="48" t="s">
        <v>1074</v>
      </c>
      <c r="D96" s="47"/>
      <c r="E96" s="79"/>
      <c r="F96" s="56"/>
      <c r="G96" s="54"/>
      <c r="H96" s="131">
        <v>0</v>
      </c>
      <c r="I96" s="82"/>
      <c r="J96" s="41"/>
      <c r="L96" s="41"/>
    </row>
    <row r="97" spans="1:12">
      <c r="A97" s="65">
        <f>A96+1</f>
        <v>74</v>
      </c>
      <c r="B97" s="59" t="s">
        <v>1073</v>
      </c>
      <c r="C97" s="55" t="str">
        <f>"(L"&amp;A94&amp;" less L"&amp;A95&amp;" and L"&amp;A96&amp;")"</f>
        <v>(L71 less L72 and L73)</v>
      </c>
      <c r="D97" s="54"/>
      <c r="E97" s="79"/>
      <c r="F97" s="56"/>
      <c r="G97" s="54"/>
      <c r="H97" s="56">
        <f>H94-H95-H96</f>
        <v>1428641954.3317072</v>
      </c>
      <c r="I97" s="82"/>
      <c r="J97" s="41"/>
      <c r="L97" s="41"/>
    </row>
    <row r="98" spans="1:12">
      <c r="A98" s="65">
        <f>A97+1</f>
        <v>75</v>
      </c>
      <c r="B98" s="59" t="s">
        <v>1072</v>
      </c>
      <c r="C98" s="55" t="str">
        <f>"(L"&amp;A97&amp;" / L"&amp;A94&amp;")"</f>
        <v>(L74 / L71)</v>
      </c>
      <c r="D98" s="128"/>
      <c r="E98" s="130"/>
      <c r="F98" s="129"/>
      <c r="G98" s="54" t="s">
        <v>1071</v>
      </c>
      <c r="H98" s="123">
        <f>IF(H94&gt;0,H97/H94,0)</f>
        <v>1</v>
      </c>
      <c r="I98" s="82"/>
      <c r="J98" s="41"/>
      <c r="L98" s="41"/>
    </row>
    <row r="99" spans="1:12">
      <c r="A99" s="65"/>
      <c r="B99" s="80" t="s">
        <v>1070</v>
      </c>
      <c r="C99" s="80"/>
      <c r="D99" s="80"/>
      <c r="E99" s="89"/>
      <c r="F99" s="88"/>
      <c r="G99" s="80"/>
      <c r="H99" s="80"/>
      <c r="I99" s="66"/>
      <c r="J99" s="41"/>
      <c r="L99" s="41"/>
    </row>
    <row r="100" spans="1:12">
      <c r="A100" s="65">
        <f>A98+1</f>
        <v>76</v>
      </c>
      <c r="B100" s="80" t="s">
        <v>1069</v>
      </c>
      <c r="C100" s="55" t="str">
        <f>"(sum L"&amp;A50&amp;" to L"&amp;A52&amp;", C3)"</f>
        <v>(sum L36 to L38, C3)</v>
      </c>
      <c r="D100" s="55"/>
      <c r="E100" s="57"/>
      <c r="F100" s="76"/>
      <c r="G100" s="55"/>
      <c r="H100" s="54"/>
      <c r="I100" s="66"/>
      <c r="J100" s="41"/>
      <c r="L100" s="41"/>
    </row>
    <row r="101" spans="1:12" ht="14.4" thickBot="1">
      <c r="A101" s="65">
        <f>A100+1</f>
        <v>77</v>
      </c>
      <c r="B101" s="51" t="s">
        <v>1068</v>
      </c>
      <c r="C101" s="48" t="s">
        <v>1067</v>
      </c>
      <c r="D101" s="47"/>
      <c r="E101" s="71"/>
      <c r="F101" s="56"/>
      <c r="G101" s="54"/>
      <c r="H101" s="86">
        <v>0</v>
      </c>
      <c r="I101" s="66"/>
      <c r="J101" s="41"/>
      <c r="L101" s="41"/>
    </row>
    <row r="102" spans="1:12">
      <c r="A102" s="65">
        <f>A101+1</f>
        <v>78</v>
      </c>
      <c r="B102" s="59" t="s">
        <v>1066</v>
      </c>
      <c r="C102" s="127" t="str">
        <f>"(L"&amp;A100&amp;" - L"&amp;A101&amp;")"</f>
        <v>(L76 - L77)</v>
      </c>
      <c r="D102" s="128"/>
      <c r="E102" s="130"/>
      <c r="F102" s="129"/>
      <c r="G102" s="128"/>
      <c r="H102" s="56">
        <f>+H100-H101</f>
        <v>0</v>
      </c>
      <c r="I102" s="66"/>
      <c r="J102" s="41"/>
      <c r="L102" s="41"/>
    </row>
    <row r="103" spans="1:12" ht="25.5" customHeight="1">
      <c r="A103" s="415">
        <f>A102+1</f>
        <v>79</v>
      </c>
      <c r="B103" s="414" t="s">
        <v>1065</v>
      </c>
      <c r="C103" s="127" t="str">
        <f>"(L"&amp;A102&amp;"/ L"&amp;A100&amp;")"</f>
        <v>(L78/ L76)</v>
      </c>
      <c r="D103" s="54"/>
      <c r="E103" s="79"/>
      <c r="F103" s="56"/>
      <c r="G103" s="54"/>
      <c r="H103" s="123">
        <f>IF(H100&gt;0,H102/H100,0)</f>
        <v>0</v>
      </c>
      <c r="I103" s="66"/>
      <c r="J103" s="43"/>
      <c r="L103" s="43" t="s">
        <v>240</v>
      </c>
    </row>
    <row r="104" spans="1:12">
      <c r="A104" s="65">
        <f>A103+1</f>
        <v>80</v>
      </c>
      <c r="B104" s="59" t="s">
        <v>1064</v>
      </c>
      <c r="C104" s="55" t="str">
        <f>"(L"&amp;A98&amp;")"</f>
        <v>(L75)</v>
      </c>
      <c r="D104" s="54"/>
      <c r="E104" s="79"/>
      <c r="F104" s="56"/>
      <c r="G104" s="59" t="s">
        <v>1060</v>
      </c>
      <c r="H104" s="123">
        <f>H98</f>
        <v>1</v>
      </c>
      <c r="I104" s="66"/>
      <c r="J104" s="43"/>
      <c r="L104" s="43"/>
    </row>
    <row r="105" spans="1:12">
      <c r="A105" s="65">
        <f>A104+1</f>
        <v>81</v>
      </c>
      <c r="B105" s="59" t="s">
        <v>1063</v>
      </c>
      <c r="C105" s="127" t="str">
        <f>"(L"&amp;A104&amp;" * L"&amp;A103&amp;")"</f>
        <v>(L80 * L79)</v>
      </c>
      <c r="D105" s="55"/>
      <c r="E105" s="57"/>
      <c r="F105" s="76"/>
      <c r="G105" s="59" t="s">
        <v>1062</v>
      </c>
      <c r="H105" s="116">
        <f>+H104*H103</f>
        <v>0</v>
      </c>
      <c r="I105" s="66"/>
      <c r="J105" s="43"/>
      <c r="L105" s="43"/>
    </row>
    <row r="106" spans="1:12">
      <c r="A106" s="65"/>
      <c r="B106" s="80" t="s">
        <v>1061</v>
      </c>
      <c r="C106" s="54"/>
      <c r="D106" s="54"/>
      <c r="E106" s="79"/>
      <c r="F106" s="56"/>
      <c r="G106" s="54"/>
      <c r="H106" s="54"/>
      <c r="I106" s="66"/>
      <c r="J106" s="43"/>
      <c r="L106" s="126"/>
    </row>
    <row r="107" spans="1:12" ht="14.4" thickBot="1">
      <c r="A107" s="65"/>
      <c r="B107" s="96"/>
      <c r="C107" s="47"/>
      <c r="D107" s="71" t="s">
        <v>1024</v>
      </c>
      <c r="E107" s="71" t="s">
        <v>1060</v>
      </c>
      <c r="F107" s="70" t="s">
        <v>1059</v>
      </c>
      <c r="G107" s="54"/>
      <c r="H107" s="54"/>
      <c r="I107" s="66"/>
      <c r="J107" s="43"/>
      <c r="L107" s="43"/>
    </row>
    <row r="108" spans="1:12">
      <c r="A108" s="65">
        <f>A105+1</f>
        <v>82</v>
      </c>
      <c r="B108" s="80" t="s">
        <v>1058</v>
      </c>
      <c r="C108" s="54"/>
      <c r="D108" s="117">
        <v>0</v>
      </c>
      <c r="E108" s="125">
        <v>0</v>
      </c>
      <c r="F108" s="56">
        <f>D108*E108</f>
        <v>0</v>
      </c>
      <c r="G108" s="54"/>
      <c r="H108" s="54"/>
      <c r="I108" s="66"/>
      <c r="J108" s="43"/>
      <c r="L108" s="43"/>
    </row>
    <row r="109" spans="1:12">
      <c r="A109" s="65">
        <f>A108+1</f>
        <v>83</v>
      </c>
      <c r="B109" s="80" t="s">
        <v>1057</v>
      </c>
      <c r="C109" s="54"/>
      <c r="D109" s="117">
        <f>'WS4-CostData'!C96</f>
        <v>18826979.281322058</v>
      </c>
      <c r="E109" s="125">
        <f>+H104</f>
        <v>1</v>
      </c>
      <c r="F109" s="56">
        <f>D109*E109</f>
        <v>18826979.281322058</v>
      </c>
      <c r="G109" s="54"/>
      <c r="H109" s="54"/>
      <c r="I109" s="66"/>
      <c r="J109" s="43"/>
      <c r="L109" s="43"/>
    </row>
    <row r="110" spans="1:12">
      <c r="A110" s="65">
        <f>A109+1</f>
        <v>84</v>
      </c>
      <c r="B110" s="80" t="s">
        <v>1056</v>
      </c>
      <c r="C110" s="54"/>
      <c r="D110" s="117">
        <v>0</v>
      </c>
      <c r="E110" s="125">
        <v>0</v>
      </c>
      <c r="F110" s="56">
        <f>D110*E110</f>
        <v>0</v>
      </c>
      <c r="G110" s="54"/>
      <c r="H110" s="79" t="s">
        <v>1055</v>
      </c>
      <c r="I110" s="66"/>
      <c r="J110" s="43"/>
      <c r="L110" s="43"/>
    </row>
    <row r="111" spans="1:12" ht="14.4" thickBot="1">
      <c r="A111" s="65">
        <f>A110+1</f>
        <v>85</v>
      </c>
      <c r="B111" s="80" t="s">
        <v>1054</v>
      </c>
      <c r="C111" s="54"/>
      <c r="D111" s="114">
        <v>0</v>
      </c>
      <c r="E111" s="125">
        <v>0</v>
      </c>
      <c r="F111" s="70">
        <f>D111*E111</f>
        <v>0</v>
      </c>
      <c r="G111" s="54"/>
      <c r="H111" s="95" t="s">
        <v>1053</v>
      </c>
      <c r="I111" s="66"/>
      <c r="J111" s="43"/>
      <c r="L111" s="43"/>
    </row>
    <row r="112" spans="1:12">
      <c r="A112" s="65">
        <f>A111+1</f>
        <v>86</v>
      </c>
      <c r="B112" s="80" t="s">
        <v>1028</v>
      </c>
      <c r="C112" s="54" t="str">
        <f>"(sum L"&amp;A108&amp;" to L"&amp;A111&amp;")"</f>
        <v>(sum L82 to L85)</v>
      </c>
      <c r="D112" s="54">
        <f>SUM(D108:D111)</f>
        <v>18826979.281322058</v>
      </c>
      <c r="E112" s="79"/>
      <c r="F112" s="56">
        <f>SUM(F108:F111)</f>
        <v>18826979.281322058</v>
      </c>
      <c r="G112" s="89" t="s">
        <v>1038</v>
      </c>
      <c r="H112" s="123">
        <f>IF(F112&gt;0,F112/D112,0)</f>
        <v>1</v>
      </c>
      <c r="I112" s="66"/>
      <c r="J112" s="41"/>
      <c r="L112" s="43"/>
    </row>
    <row r="113" spans="1:12">
      <c r="A113" s="65"/>
      <c r="B113" s="80" t="s">
        <v>1052</v>
      </c>
      <c r="C113" s="54" t="s">
        <v>1051</v>
      </c>
      <c r="D113" s="54"/>
      <c r="E113" s="79"/>
      <c r="F113" s="56"/>
      <c r="G113" s="54"/>
      <c r="H113" s="54"/>
      <c r="I113" s="66"/>
      <c r="J113" s="43"/>
      <c r="L113" s="43"/>
    </row>
    <row r="114" spans="1:12" ht="14.4" thickBot="1">
      <c r="A114" s="65"/>
      <c r="B114" s="96"/>
      <c r="C114" s="47"/>
      <c r="D114" s="71" t="s">
        <v>1024</v>
      </c>
      <c r="E114" s="79"/>
      <c r="F114" s="56"/>
      <c r="G114" s="54"/>
      <c r="H114" s="124"/>
      <c r="I114" s="66"/>
      <c r="J114" s="41"/>
      <c r="L114" s="43"/>
    </row>
    <row r="115" spans="1:12">
      <c r="A115" s="65">
        <f>A112+1</f>
        <v>87</v>
      </c>
      <c r="B115" s="80" t="s">
        <v>1050</v>
      </c>
      <c r="C115" s="54"/>
      <c r="D115" s="54">
        <f>'WS4-CostData'!C8</f>
        <v>1351360274.4842072</v>
      </c>
      <c r="E115" s="79"/>
      <c r="F115" s="88"/>
      <c r="G115" s="80"/>
      <c r="H115" s="80"/>
      <c r="I115" s="82"/>
      <c r="J115" s="41"/>
      <c r="L115" s="43"/>
    </row>
    <row r="116" spans="1:12">
      <c r="A116" s="65">
        <f t="shared" ref="A116:A123" si="5">A115+1</f>
        <v>88</v>
      </c>
      <c r="B116" s="80" t="s">
        <v>1049</v>
      </c>
      <c r="C116" s="54"/>
      <c r="D116" s="54">
        <f>'WS4-CostData'!C7</f>
        <v>1418477171.8700001</v>
      </c>
      <c r="E116" s="79"/>
      <c r="F116" s="56"/>
      <c r="G116" s="54"/>
      <c r="H116" s="124"/>
      <c r="I116" s="82"/>
      <c r="J116" s="43"/>
      <c r="L116" s="41"/>
    </row>
    <row r="117" spans="1:12">
      <c r="A117" s="65">
        <f t="shared" si="5"/>
        <v>89</v>
      </c>
      <c r="B117" s="80" t="s">
        <v>1048</v>
      </c>
      <c r="C117" s="55" t="str">
        <f>"(L"&amp;A115&amp;" / L"&amp;A116&amp;")"</f>
        <v>(L87 / L88)</v>
      </c>
      <c r="D117" s="54"/>
      <c r="E117" s="79"/>
      <c r="F117" s="56" t="s">
        <v>1047</v>
      </c>
      <c r="G117" s="79" t="s">
        <v>1038</v>
      </c>
      <c r="H117" s="123">
        <f>D115/D116</f>
        <v>0.95268383678158763</v>
      </c>
      <c r="I117" s="66"/>
      <c r="J117" s="41"/>
      <c r="L117" s="43"/>
    </row>
    <row r="118" spans="1:12">
      <c r="A118" s="65">
        <f t="shared" si="5"/>
        <v>90</v>
      </c>
      <c r="B118" s="80" t="s">
        <v>1046</v>
      </c>
      <c r="C118" s="54"/>
      <c r="D118" s="54">
        <f>'WS4-CostData'!E8</f>
        <v>10034426.5875</v>
      </c>
      <c r="E118" s="79"/>
      <c r="F118" s="56"/>
      <c r="G118" s="54"/>
      <c r="H118" s="56"/>
      <c r="I118" s="66"/>
      <c r="J118" s="39"/>
      <c r="L118" s="41"/>
    </row>
    <row r="119" spans="1:12">
      <c r="A119" s="65">
        <f t="shared" si="5"/>
        <v>91</v>
      </c>
      <c r="B119" s="80" t="s">
        <v>1045</v>
      </c>
      <c r="C119" s="54"/>
      <c r="D119" s="54">
        <f>'WS4-CostData'!E7</f>
        <v>805173862.79999995</v>
      </c>
      <c r="E119" s="79"/>
      <c r="F119" s="56"/>
      <c r="G119" s="54"/>
      <c r="H119" s="123"/>
      <c r="I119" s="66"/>
      <c r="J119" s="39"/>
      <c r="L119" s="41"/>
    </row>
    <row r="120" spans="1:12">
      <c r="A120" s="65">
        <f t="shared" si="5"/>
        <v>92</v>
      </c>
      <c r="B120" s="80" t="s">
        <v>1044</v>
      </c>
      <c r="C120" s="55" t="str">
        <f>"(L"&amp;A118&amp;" / L"&amp;A119&amp;")"</f>
        <v>(L90 / L91)</v>
      </c>
      <c r="D120" s="80"/>
      <c r="E120" s="79"/>
      <c r="F120" s="56" t="s">
        <v>1043</v>
      </c>
      <c r="G120" s="79" t="s">
        <v>1038</v>
      </c>
      <c r="H120" s="123">
        <f>D118/D119</f>
        <v>1.2462434576061851E-2</v>
      </c>
      <c r="I120" s="66"/>
      <c r="J120" s="39"/>
      <c r="L120" s="41"/>
    </row>
    <row r="121" spans="1:12">
      <c r="A121" s="65">
        <f t="shared" si="5"/>
        <v>93</v>
      </c>
      <c r="B121" s="80" t="s">
        <v>1042</v>
      </c>
      <c r="C121" s="54"/>
      <c r="D121" s="54">
        <f>'WS4-CostData'!G8</f>
        <v>67247253.260000005</v>
      </c>
      <c r="E121" s="79"/>
      <c r="F121" s="56"/>
      <c r="G121" s="54"/>
      <c r="H121" s="56"/>
      <c r="I121" s="66"/>
      <c r="J121" s="39"/>
      <c r="L121" s="41"/>
    </row>
    <row r="122" spans="1:12">
      <c r="A122" s="65">
        <f t="shared" si="5"/>
        <v>94</v>
      </c>
      <c r="B122" s="80" t="s">
        <v>1041</v>
      </c>
      <c r="C122" s="54"/>
      <c r="D122" s="54">
        <f>'WS4-CostData'!G7</f>
        <v>1176464987</v>
      </c>
      <c r="E122" s="79"/>
      <c r="F122" s="56"/>
      <c r="G122" s="54"/>
      <c r="H122" s="123"/>
      <c r="I122" s="66"/>
      <c r="J122" s="39"/>
      <c r="L122" s="41"/>
    </row>
    <row r="123" spans="1:12">
      <c r="A123" s="65">
        <f t="shared" si="5"/>
        <v>95</v>
      </c>
      <c r="B123" s="80" t="s">
        <v>1040</v>
      </c>
      <c r="C123" s="55" t="str">
        <f>"(L"&amp;A121&amp;" / L"&amp;A122&amp;")"</f>
        <v>(L93 / L94)</v>
      </c>
      <c r="D123" s="80"/>
      <c r="E123" s="79"/>
      <c r="F123" s="56" t="s">
        <v>1039</v>
      </c>
      <c r="G123" s="79" t="s">
        <v>1038</v>
      </c>
      <c r="H123" s="123">
        <f>D121/D122</f>
        <v>5.716043741470056E-2</v>
      </c>
      <c r="I123" s="66"/>
      <c r="J123" s="39"/>
      <c r="L123" s="41"/>
    </row>
    <row r="124" spans="1:12">
      <c r="A124" s="65"/>
      <c r="B124" s="80" t="s">
        <v>1037</v>
      </c>
      <c r="C124" s="54" t="s">
        <v>1036</v>
      </c>
      <c r="D124" s="54"/>
      <c r="E124" s="79"/>
      <c r="F124" s="56"/>
      <c r="G124" s="54"/>
      <c r="H124" s="56"/>
      <c r="I124" s="122" t="s">
        <v>1035</v>
      </c>
      <c r="J124" s="39"/>
      <c r="L124" s="41"/>
    </row>
    <row r="125" spans="1:12">
      <c r="A125" s="65"/>
      <c r="B125" s="96"/>
      <c r="C125" s="54"/>
      <c r="D125" s="121" t="s">
        <v>1024</v>
      </c>
      <c r="E125" s="79"/>
      <c r="F125" s="56" t="s">
        <v>1034</v>
      </c>
      <c r="G125" s="118" t="s">
        <v>240</v>
      </c>
      <c r="H125" s="120" t="s">
        <v>1033</v>
      </c>
      <c r="I125" s="119">
        <f>H127*F127</f>
        <v>0</v>
      </c>
      <c r="J125" s="39"/>
      <c r="L125" s="41"/>
    </row>
    <row r="126" spans="1:12">
      <c r="A126" s="65">
        <f>A123+1</f>
        <v>96</v>
      </c>
      <c r="B126" s="80" t="s">
        <v>1032</v>
      </c>
      <c r="C126" s="54"/>
      <c r="D126" s="117">
        <v>0</v>
      </c>
      <c r="E126" s="79"/>
      <c r="F126" s="76" t="str">
        <f>"(L"&amp;A126&amp;" / L"&amp;A129&amp;")"</f>
        <v>(L96 / L99)</v>
      </c>
      <c r="G126" s="118"/>
      <c r="H126" s="89" t="str">
        <f>"(L"&amp;A112&amp;")"</f>
        <v>(L86)</v>
      </c>
      <c r="I126" s="82"/>
      <c r="J126" s="39"/>
      <c r="L126" s="43"/>
    </row>
    <row r="127" spans="1:12">
      <c r="A127" s="65">
        <f>A126+1</f>
        <v>97</v>
      </c>
      <c r="B127" s="80" t="s">
        <v>1031</v>
      </c>
      <c r="C127" s="54"/>
      <c r="D127" s="117">
        <v>0</v>
      </c>
      <c r="E127" s="79"/>
      <c r="F127" s="116">
        <f>IF(D129&gt;0,D126/D129,0)</f>
        <v>0</v>
      </c>
      <c r="G127" s="79" t="s">
        <v>1030</v>
      </c>
      <c r="H127" s="115">
        <f>H112</f>
        <v>1</v>
      </c>
      <c r="I127" s="82"/>
      <c r="J127" s="39"/>
    </row>
    <row r="128" spans="1:12" ht="14.4" thickBot="1">
      <c r="A128" s="65">
        <f>A127+1</f>
        <v>98</v>
      </c>
      <c r="B128" s="77" t="s">
        <v>1029</v>
      </c>
      <c r="C128" s="47"/>
      <c r="D128" s="114">
        <v>0</v>
      </c>
      <c r="E128" s="79"/>
      <c r="F128" s="56" t="s">
        <v>240</v>
      </c>
      <c r="G128" s="54"/>
      <c r="H128" s="54"/>
      <c r="I128" s="82"/>
      <c r="J128" s="39"/>
      <c r="L128" s="43"/>
    </row>
    <row r="129" spans="1:23">
      <c r="A129" s="65">
        <f>A128+1</f>
        <v>99</v>
      </c>
      <c r="B129" s="80" t="s">
        <v>1028</v>
      </c>
      <c r="C129" s="54" t="str">
        <f>"(sum L"&amp;A126&amp;" to L"&amp;A128&amp;")"</f>
        <v>(sum L96 to L98)</v>
      </c>
      <c r="D129" s="54">
        <f>D126+D127+D128</f>
        <v>0</v>
      </c>
      <c r="E129" s="79"/>
      <c r="F129" s="56"/>
      <c r="G129" s="54"/>
      <c r="H129" s="54"/>
      <c r="I129" s="82"/>
    </row>
    <row r="130" spans="1:23" ht="14.4" thickBot="1">
      <c r="A130" s="65"/>
      <c r="B130" s="80" t="s">
        <v>1027</v>
      </c>
      <c r="C130" s="54"/>
      <c r="D130" s="71" t="s">
        <v>1024</v>
      </c>
      <c r="E130" s="79"/>
      <c r="F130" s="56"/>
      <c r="G130" s="54"/>
      <c r="H130" s="80"/>
      <c r="I130" s="113"/>
    </row>
    <row r="131" spans="1:23">
      <c r="A131" s="65">
        <f>A129+1</f>
        <v>100</v>
      </c>
      <c r="B131" s="54" t="s">
        <v>2592</v>
      </c>
      <c r="C131" s="55"/>
      <c r="D131" s="112">
        <f>('WS4-CostData'!C59*'WS4-CostData'!C12)+('WS4-CostData'!E59*'WS4-CostData'!E12)+('WS4-CostData'!G59*'WS4-CostData'!G12)</f>
        <v>44064182.822756186</v>
      </c>
      <c r="E131" s="79"/>
      <c r="F131" s="56"/>
      <c r="G131" s="54"/>
      <c r="H131" s="54"/>
      <c r="I131" s="82"/>
      <c r="P131" s="44"/>
      <c r="Q131" s="102"/>
      <c r="R131" s="104"/>
      <c r="S131" s="104"/>
      <c r="T131" s="104"/>
      <c r="U131" s="90"/>
      <c r="W131" s="90"/>
    </row>
    <row r="132" spans="1:23">
      <c r="A132" s="65"/>
      <c r="B132" s="96"/>
      <c r="C132" s="54"/>
      <c r="D132" s="54"/>
      <c r="E132" s="79"/>
      <c r="F132" s="56" t="s">
        <v>1026</v>
      </c>
      <c r="G132" s="54"/>
      <c r="H132" s="54"/>
      <c r="I132" s="109" t="s">
        <v>1025</v>
      </c>
      <c r="P132" s="44"/>
      <c r="Q132" s="102"/>
      <c r="R132" s="104"/>
      <c r="S132" s="104"/>
      <c r="T132" s="104"/>
      <c r="U132" s="90"/>
      <c r="W132" s="90"/>
    </row>
    <row r="133" spans="1:23" ht="14.4" thickBot="1">
      <c r="A133" s="65"/>
      <c r="B133" s="96"/>
      <c r="C133" s="55"/>
      <c r="D133" s="95" t="s">
        <v>1024</v>
      </c>
      <c r="E133" s="95" t="s">
        <v>1023</v>
      </c>
      <c r="F133" s="111" t="s">
        <v>1022</v>
      </c>
      <c r="G133" s="54"/>
      <c r="H133" s="95" t="s">
        <v>1021</v>
      </c>
      <c r="I133" s="82"/>
      <c r="P133" s="44"/>
      <c r="Q133" s="102"/>
      <c r="R133" s="104"/>
      <c r="S133" s="104"/>
      <c r="T133" s="104"/>
      <c r="U133" s="90"/>
      <c r="W133" s="90"/>
    </row>
    <row r="134" spans="1:23" ht="27.6">
      <c r="A134" s="65">
        <f>A131+1</f>
        <v>101</v>
      </c>
      <c r="B134" s="80" t="s">
        <v>1020</v>
      </c>
      <c r="C134" s="110" t="s">
        <v>2607</v>
      </c>
      <c r="D134" s="54">
        <f>('WS4-CostData'!C57*'WS4-CostData'!C12)+('WS4-CostData'!E57*'WS4-CostData'!E12)+('WS4-CostData'!G57*'WS4-CostData'!G12)</f>
        <v>889848119.44020367</v>
      </c>
      <c r="E134" s="107">
        <f>IF($D$136&gt;0,D134/$D$136,0)</f>
        <v>1</v>
      </c>
      <c r="F134" s="106">
        <f>IF(D131&gt;0,D131/D134,0)</f>
        <v>4.9518768270788292E-2</v>
      </c>
      <c r="G134" s="80"/>
      <c r="H134" s="106">
        <f>F134*E134</f>
        <v>4.9518768270788292E-2</v>
      </c>
      <c r="I134" s="109" t="s">
        <v>1019</v>
      </c>
      <c r="P134" s="44"/>
      <c r="Q134" s="102"/>
      <c r="R134" s="104"/>
      <c r="S134" s="104"/>
      <c r="T134" s="104"/>
      <c r="U134" s="90"/>
      <c r="W134" s="90"/>
    </row>
    <row r="135" spans="1:23" ht="14.4" thickBot="1">
      <c r="A135" s="65">
        <f>A134+1</f>
        <v>102</v>
      </c>
      <c r="B135" s="80" t="s">
        <v>1018</v>
      </c>
      <c r="C135" s="55"/>
      <c r="D135" s="47">
        <v>0</v>
      </c>
      <c r="E135" s="107">
        <f>IF($D$136&gt;0,D135/$D$136,0)</f>
        <v>0</v>
      </c>
      <c r="F135" s="106">
        <f>H137</f>
        <v>0.12379999999999999</v>
      </c>
      <c r="G135" s="80"/>
      <c r="H135" s="108">
        <f>F135*E135</f>
        <v>0</v>
      </c>
      <c r="I135" s="82"/>
      <c r="P135" s="44"/>
      <c r="Q135" s="102"/>
      <c r="R135" s="104"/>
      <c r="S135" s="104"/>
      <c r="T135" s="104"/>
      <c r="U135" s="90"/>
      <c r="W135" s="90"/>
    </row>
    <row r="136" spans="1:23">
      <c r="A136" s="65">
        <f>A135+1</f>
        <v>103</v>
      </c>
      <c r="B136" s="80" t="s">
        <v>1017</v>
      </c>
      <c r="C136" s="54" t="str">
        <f>"(sum L"&amp;A134&amp;" to L"&amp;A135&amp;")"</f>
        <v>(sum L101 to L102)</v>
      </c>
      <c r="D136" s="54">
        <f>SUM(D134:D135)</f>
        <v>889848119.44020367</v>
      </c>
      <c r="E136" s="107">
        <f>IF($D$136&gt;0,D136/$D$136,0)</f>
        <v>1</v>
      </c>
      <c r="F136" s="106"/>
      <c r="G136" s="80"/>
      <c r="H136" s="106">
        <f>SUM(H134:H135)</f>
        <v>4.9518768270788292E-2</v>
      </c>
      <c r="I136" s="82"/>
      <c r="P136" s="44"/>
      <c r="Q136" s="102"/>
      <c r="R136" s="104"/>
      <c r="S136" s="104"/>
      <c r="T136" s="104"/>
      <c r="U136" s="90"/>
      <c r="W136" s="90"/>
    </row>
    <row r="137" spans="1:23">
      <c r="A137" s="65">
        <f>A136+1</f>
        <v>104</v>
      </c>
      <c r="B137" s="80"/>
      <c r="C137" s="80"/>
      <c r="D137" s="80"/>
      <c r="E137" s="79"/>
      <c r="F137" s="56"/>
      <c r="G137" s="88" t="s">
        <v>1016</v>
      </c>
      <c r="H137" s="105">
        <v>0.12379999999999999</v>
      </c>
      <c r="I137" s="82"/>
      <c r="P137" s="44"/>
      <c r="Q137" s="102"/>
      <c r="R137" s="104"/>
      <c r="S137" s="104"/>
      <c r="T137" s="104"/>
      <c r="U137" s="90"/>
      <c r="W137" s="90"/>
    </row>
    <row r="138" spans="1:23">
      <c r="A138" s="65">
        <f>A137+1</f>
        <v>105</v>
      </c>
      <c r="B138" s="80"/>
      <c r="C138" s="80"/>
      <c r="D138" s="80"/>
      <c r="E138" s="89"/>
      <c r="F138" s="88"/>
      <c r="G138" s="89" t="s">
        <v>1015</v>
      </c>
      <c r="H138" s="103">
        <f>IF(H136&gt;0,H136/F134,0)</f>
        <v>1</v>
      </c>
      <c r="I138" s="82"/>
      <c r="P138" s="102" t="s">
        <v>240</v>
      </c>
      <c r="Q138" s="101"/>
      <c r="R138" s="100"/>
      <c r="S138" s="99"/>
      <c r="T138" s="90"/>
      <c r="V138" s="90"/>
    </row>
    <row r="139" spans="1:23">
      <c r="A139" s="65"/>
      <c r="B139" s="80" t="s">
        <v>1014</v>
      </c>
      <c r="C139" s="55"/>
      <c r="D139" s="55"/>
      <c r="E139" s="57"/>
      <c r="F139" s="76"/>
      <c r="G139" s="55"/>
      <c r="H139" s="76"/>
      <c r="I139" s="82"/>
      <c r="P139" s="98"/>
      <c r="Q139" s="97"/>
      <c r="R139" s="97"/>
      <c r="S139" s="44"/>
      <c r="T139" s="90"/>
      <c r="V139" s="90"/>
    </row>
    <row r="140" spans="1:23" ht="14.4" thickBot="1">
      <c r="A140" s="65"/>
      <c r="B140" s="96"/>
      <c r="C140" s="96"/>
      <c r="D140" s="96"/>
      <c r="E140" s="57"/>
      <c r="F140" s="76"/>
      <c r="G140" s="96"/>
      <c r="H140" s="95" t="s">
        <v>1013</v>
      </c>
      <c r="I140" s="82"/>
      <c r="P140" s="92"/>
      <c r="Q140" s="44"/>
      <c r="R140" s="44"/>
      <c r="S140" s="91"/>
      <c r="T140" s="90"/>
      <c r="V140" s="90"/>
    </row>
    <row r="141" spans="1:23">
      <c r="A141" s="65"/>
      <c r="B141" s="80" t="s">
        <v>1012</v>
      </c>
      <c r="C141" s="55"/>
      <c r="D141" s="55"/>
      <c r="E141" s="57"/>
      <c r="F141" s="94" t="s">
        <v>240</v>
      </c>
      <c r="G141" s="87"/>
      <c r="H141" s="93"/>
      <c r="I141" s="82"/>
      <c r="P141" s="92"/>
      <c r="Q141" s="44"/>
      <c r="R141" s="44"/>
      <c r="S141" s="91"/>
      <c r="T141" s="90"/>
      <c r="V141" s="90"/>
    </row>
    <row r="142" spans="1:23">
      <c r="A142" s="65">
        <f>A138+1</f>
        <v>106</v>
      </c>
      <c r="B142" s="80" t="s">
        <v>1011</v>
      </c>
      <c r="C142" s="55" t="s">
        <v>1010</v>
      </c>
      <c r="D142" s="55"/>
      <c r="E142" s="89"/>
      <c r="F142" s="88"/>
      <c r="G142" s="87"/>
      <c r="H142" s="83">
        <v>0</v>
      </c>
      <c r="I142" s="82"/>
    </row>
    <row r="143" spans="1:23" ht="14.4" thickBot="1">
      <c r="A143" s="65">
        <f t="shared" ref="A143:A149" si="6">A142+1</f>
        <v>107</v>
      </c>
      <c r="B143" s="77" t="s">
        <v>1009</v>
      </c>
      <c r="C143" s="55"/>
      <c r="D143" s="80"/>
      <c r="E143" s="57"/>
      <c r="F143" s="76"/>
      <c r="G143" s="55"/>
      <c r="H143" s="86">
        <v>0</v>
      </c>
      <c r="I143" s="85"/>
    </row>
    <row r="144" spans="1:23">
      <c r="A144" s="65">
        <f t="shared" si="6"/>
        <v>108</v>
      </c>
      <c r="B144" s="80" t="s">
        <v>1008</v>
      </c>
      <c r="C144" s="55"/>
      <c r="D144" s="80"/>
      <c r="E144" s="57"/>
      <c r="F144" s="76"/>
      <c r="G144" s="55"/>
      <c r="H144" s="56">
        <f>+H142-H143</f>
        <v>0</v>
      </c>
      <c r="I144" s="85"/>
    </row>
    <row r="145" spans="1:12">
      <c r="A145" s="65">
        <f t="shared" si="6"/>
        <v>109</v>
      </c>
      <c r="B145" s="80" t="s">
        <v>1007</v>
      </c>
      <c r="C145" s="55" t="s">
        <v>1006</v>
      </c>
      <c r="D145" s="80"/>
      <c r="E145" s="57"/>
      <c r="F145" s="84"/>
      <c r="G145" s="55"/>
      <c r="H145" s="83">
        <f>-('Summary-TrueUp'!E13)</f>
        <v>79567.280000000013</v>
      </c>
      <c r="I145" s="82"/>
    </row>
    <row r="146" spans="1:12">
      <c r="A146" s="65">
        <f t="shared" si="6"/>
        <v>110</v>
      </c>
      <c r="B146" s="80" t="s">
        <v>1005</v>
      </c>
      <c r="C146" s="55"/>
      <c r="D146" s="55"/>
      <c r="E146" s="57"/>
      <c r="F146" s="76"/>
      <c r="G146" s="55"/>
      <c r="H146" s="81">
        <v>0</v>
      </c>
      <c r="I146" s="74"/>
    </row>
    <row r="147" spans="1:12">
      <c r="A147" s="65">
        <f t="shared" si="6"/>
        <v>111</v>
      </c>
      <c r="B147" s="80" t="s">
        <v>1004</v>
      </c>
      <c r="C147" s="54"/>
      <c r="D147" s="54"/>
      <c r="E147" s="79"/>
      <c r="F147" s="56"/>
      <c r="G147" s="54"/>
      <c r="H147" s="78">
        <v>0</v>
      </c>
      <c r="I147" s="74"/>
    </row>
    <row r="148" spans="1:12" ht="14.4" thickBot="1">
      <c r="A148" s="65">
        <f t="shared" si="6"/>
        <v>112</v>
      </c>
      <c r="B148" s="77" t="s">
        <v>1003</v>
      </c>
      <c r="C148" s="48"/>
      <c r="D148" s="55"/>
      <c r="E148" s="57"/>
      <c r="F148" s="76"/>
      <c r="G148" s="55"/>
      <c r="H148" s="75">
        <v>0</v>
      </c>
      <c r="I148" s="74"/>
    </row>
    <row r="149" spans="1:12" ht="14.4" thickBot="1">
      <c r="A149" s="73">
        <f t="shared" si="6"/>
        <v>113</v>
      </c>
      <c r="B149" s="72" t="str">
        <f>+B144</f>
        <v xml:space="preserve">  Total of (a)-(b)</v>
      </c>
      <c r="C149" s="50"/>
      <c r="D149" s="47"/>
      <c r="E149" s="71"/>
      <c r="F149" s="70"/>
      <c r="G149" s="48"/>
      <c r="H149" s="69">
        <f>+H147-H148</f>
        <v>0</v>
      </c>
      <c r="I149" s="68"/>
    </row>
    <row r="150" spans="1:12">
      <c r="A150" s="62" t="s">
        <v>1002</v>
      </c>
      <c r="B150" s="765" t="s">
        <v>1001</v>
      </c>
      <c r="C150" s="765"/>
      <c r="D150" s="765"/>
      <c r="E150" s="765"/>
      <c r="F150" s="765"/>
      <c r="G150" s="765"/>
      <c r="H150" s="765"/>
      <c r="I150" s="766"/>
      <c r="J150" s="41"/>
      <c r="L150" s="41"/>
    </row>
    <row r="151" spans="1:12" ht="14.4" thickBot="1">
      <c r="A151" s="67" t="s">
        <v>1000</v>
      </c>
      <c r="B151" s="765" t="s">
        <v>999</v>
      </c>
      <c r="C151" s="765"/>
      <c r="D151" s="765"/>
      <c r="E151" s="765"/>
      <c r="F151" s="765"/>
      <c r="G151" s="765"/>
      <c r="H151" s="765"/>
      <c r="I151" s="766"/>
      <c r="J151" s="41"/>
      <c r="L151" s="41"/>
    </row>
    <row r="152" spans="1:12">
      <c r="A152" s="62" t="s">
        <v>998</v>
      </c>
      <c r="B152" s="765" t="s">
        <v>997</v>
      </c>
      <c r="C152" s="765"/>
      <c r="D152" s="765"/>
      <c r="E152" s="765"/>
      <c r="F152" s="765"/>
      <c r="G152" s="765"/>
      <c r="H152" s="765"/>
      <c r="I152" s="766"/>
      <c r="J152" s="41"/>
      <c r="L152" s="41"/>
    </row>
    <row r="153" spans="1:12" ht="25.5" customHeight="1">
      <c r="A153" s="61" t="s">
        <v>996</v>
      </c>
      <c r="B153" s="761" t="s">
        <v>995</v>
      </c>
      <c r="C153" s="761"/>
      <c r="D153" s="761"/>
      <c r="E153" s="761"/>
      <c r="F153" s="761"/>
      <c r="G153" s="761"/>
      <c r="H153" s="761"/>
      <c r="I153" s="762"/>
      <c r="J153" s="41"/>
      <c r="L153" s="41"/>
    </row>
    <row r="154" spans="1:12">
      <c r="A154" s="62" t="s">
        <v>994</v>
      </c>
      <c r="B154" s="763" t="s">
        <v>993</v>
      </c>
      <c r="C154" s="763"/>
      <c r="D154" s="763"/>
      <c r="E154" s="763"/>
      <c r="F154" s="763"/>
      <c r="G154" s="763"/>
      <c r="H154" s="763"/>
      <c r="I154" s="764"/>
      <c r="J154" s="41"/>
      <c r="L154" s="41"/>
    </row>
    <row r="155" spans="1:12" ht="25.5" customHeight="1">
      <c r="A155" s="61" t="s">
        <v>992</v>
      </c>
      <c r="B155" s="761" t="str">
        <f>"Cash Working Capital assigned to transmission is one-eighth of O&amp;M allocated to transmission at line "&amp;A62&amp;" column 5.  Prepayments are the electric related prepayments booked to Account No. 165 and reported in the Other Assets Section of the Balance Sheet."</f>
        <v>Cash Working Capital assigned to transmission is one-eighth of O&amp;M allocated to transmission at line 47 column 5.  Prepayments are the electric related prepayments booked to Account No. 165 and reported in the Other Assets Section of the Balance Sheet.</v>
      </c>
      <c r="C155" s="761"/>
      <c r="D155" s="761"/>
      <c r="E155" s="761"/>
      <c r="F155" s="761"/>
      <c r="G155" s="761"/>
      <c r="H155" s="761"/>
      <c r="I155" s="762"/>
      <c r="J155" s="41"/>
      <c r="L155" s="41"/>
    </row>
    <row r="156" spans="1:12" ht="25.5" customHeight="1">
      <c r="A156" s="61" t="s">
        <v>11</v>
      </c>
      <c r="B156" s="761" t="s">
        <v>2586</v>
      </c>
      <c r="C156" s="761"/>
      <c r="D156" s="761"/>
      <c r="E156" s="761"/>
      <c r="F156" s="761"/>
      <c r="G156" s="761"/>
      <c r="H156" s="761"/>
      <c r="I156" s="762"/>
      <c r="J156" s="41"/>
      <c r="L156" s="41"/>
    </row>
    <row r="157" spans="1:12">
      <c r="A157" s="62" t="s">
        <v>991</v>
      </c>
      <c r="B157" s="763" t="s">
        <v>2585</v>
      </c>
      <c r="C157" s="763"/>
      <c r="D157" s="763"/>
      <c r="E157" s="763"/>
      <c r="F157" s="763"/>
      <c r="G157" s="763"/>
      <c r="H157" s="763"/>
      <c r="I157" s="764"/>
      <c r="J157" s="41"/>
      <c r="L157" s="41"/>
    </row>
    <row r="158" spans="1:12" ht="25.5" customHeight="1">
      <c r="A158" s="61" t="s">
        <v>990</v>
      </c>
      <c r="B158" s="761" t="str">
        <f>"Line "&amp;A58&amp;" - EPRI Annual Membership Dues, all Regulatory Commission Expenses, and non-safety related advertising.  Line "&amp;A59&amp;" - Regulatory Commission Expenses directly related to transmission service, ISO filings, or transmission siting."</f>
        <v>Line 43 - EPRI Annual Membership Dues, all Regulatory Commission Expenses, and non-safety related advertising.  Line 44 - Regulatory Commission Expenses directly related to transmission service, ISO filings, or transmission siting.</v>
      </c>
      <c r="C158" s="761"/>
      <c r="D158" s="761"/>
      <c r="E158" s="761"/>
      <c r="F158" s="761"/>
      <c r="G158" s="761"/>
      <c r="H158" s="761"/>
      <c r="I158" s="762"/>
      <c r="J158" s="41"/>
      <c r="L158" s="41"/>
    </row>
    <row r="159" spans="1:12" ht="25.5" customHeight="1">
      <c r="A159" s="61" t="s">
        <v>989</v>
      </c>
      <c r="B159" s="761" t="s">
        <v>988</v>
      </c>
      <c r="C159" s="761"/>
      <c r="D159" s="761"/>
      <c r="E159" s="761"/>
      <c r="F159" s="761"/>
      <c r="G159" s="761"/>
      <c r="H159" s="761"/>
      <c r="I159" s="762"/>
      <c r="J159" s="41"/>
      <c r="L159" s="41"/>
    </row>
    <row r="160" spans="1:12">
      <c r="A160" s="62" t="s">
        <v>987</v>
      </c>
      <c r="B160" s="59" t="s">
        <v>986</v>
      </c>
      <c r="C160" s="55"/>
      <c r="D160" s="55"/>
      <c r="E160" s="57"/>
      <c r="F160" s="56"/>
      <c r="G160" s="55"/>
      <c r="H160" s="54"/>
      <c r="I160" s="66"/>
      <c r="J160" s="41"/>
      <c r="L160" s="41"/>
    </row>
    <row r="161" spans="1:12">
      <c r="A161" s="62" t="s">
        <v>240</v>
      </c>
      <c r="B161" s="59" t="s">
        <v>985</v>
      </c>
      <c r="C161" s="59" t="s">
        <v>984</v>
      </c>
      <c r="D161" s="64">
        <v>0</v>
      </c>
      <c r="E161" s="57"/>
      <c r="F161" s="56"/>
      <c r="G161" s="55"/>
      <c r="H161" s="54"/>
      <c r="I161" s="66"/>
      <c r="J161" s="41"/>
      <c r="L161" s="41"/>
    </row>
    <row r="162" spans="1:12">
      <c r="A162" s="65"/>
      <c r="B162" s="55"/>
      <c r="C162" s="59" t="s">
        <v>983</v>
      </c>
      <c r="D162" s="64">
        <v>0</v>
      </c>
      <c r="E162" s="767" t="s">
        <v>982</v>
      </c>
      <c r="F162" s="767"/>
      <c r="G162" s="767"/>
      <c r="H162" s="767"/>
      <c r="I162" s="768"/>
      <c r="J162" s="41"/>
      <c r="L162" s="41"/>
    </row>
    <row r="163" spans="1:12">
      <c r="A163" s="65"/>
      <c r="B163" s="55"/>
      <c r="C163" s="59" t="s">
        <v>981</v>
      </c>
      <c r="D163" s="64">
        <v>0</v>
      </c>
      <c r="E163" s="767" t="s">
        <v>980</v>
      </c>
      <c r="F163" s="767"/>
      <c r="G163" s="767"/>
      <c r="H163" s="767"/>
      <c r="I163" s="768"/>
      <c r="J163" s="41"/>
      <c r="L163" s="41"/>
    </row>
    <row r="164" spans="1:12">
      <c r="A164" s="62" t="s">
        <v>979</v>
      </c>
      <c r="B164" s="763" t="s">
        <v>978</v>
      </c>
      <c r="C164" s="763"/>
      <c r="D164" s="763"/>
      <c r="E164" s="763"/>
      <c r="F164" s="763"/>
      <c r="G164" s="763"/>
      <c r="H164" s="763"/>
      <c r="I164" s="764"/>
      <c r="J164" s="41"/>
      <c r="L164" s="41"/>
    </row>
    <row r="165" spans="1:12">
      <c r="A165" s="61" t="s">
        <v>977</v>
      </c>
      <c r="B165" s="761" t="s">
        <v>976</v>
      </c>
      <c r="C165" s="761"/>
      <c r="D165" s="761"/>
      <c r="E165" s="761"/>
      <c r="F165" s="761"/>
      <c r="G165" s="761"/>
      <c r="H165" s="761"/>
      <c r="I165" s="762"/>
      <c r="J165" s="41"/>
      <c r="L165" s="41"/>
    </row>
    <row r="166" spans="1:12" ht="25.5" customHeight="1">
      <c r="A166" s="61" t="s">
        <v>975</v>
      </c>
      <c r="B166" s="761" t="s">
        <v>974</v>
      </c>
      <c r="C166" s="761"/>
      <c r="D166" s="761"/>
      <c r="E166" s="761"/>
      <c r="F166" s="761"/>
      <c r="G166" s="761"/>
      <c r="H166" s="761"/>
      <c r="I166" s="762"/>
      <c r="J166" s="41"/>
      <c r="L166" s="41"/>
    </row>
    <row r="167" spans="1:12">
      <c r="A167" s="61" t="s">
        <v>973</v>
      </c>
      <c r="B167" s="761" t="s">
        <v>972</v>
      </c>
      <c r="C167" s="761"/>
      <c r="D167" s="761"/>
      <c r="E167" s="761"/>
      <c r="F167" s="761"/>
      <c r="G167" s="761"/>
      <c r="H167" s="761"/>
      <c r="I167" s="762"/>
      <c r="J167" s="42"/>
      <c r="L167" s="41"/>
    </row>
    <row r="168" spans="1:12">
      <c r="A168" s="62" t="s">
        <v>971</v>
      </c>
      <c r="B168" s="763" t="s">
        <v>970</v>
      </c>
      <c r="C168" s="763"/>
      <c r="D168" s="763"/>
      <c r="E168" s="763"/>
      <c r="F168" s="763"/>
      <c r="G168" s="763"/>
      <c r="H168" s="763"/>
      <c r="I168" s="764"/>
      <c r="J168" s="63"/>
      <c r="L168" s="41"/>
    </row>
    <row r="169" spans="1:12" ht="25.5" customHeight="1">
      <c r="A169" s="61" t="s">
        <v>969</v>
      </c>
      <c r="B169" s="761" t="str">
        <f>"Debt cost rate = long-term interest (line "&amp;A131&amp;") / long term debt (line "&amp;A134&amp;").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100) / long term debt (line 101).  The Proprietary Capital Cost rate is implicit, a residual calculation after TIER is determined. TIER will be supported in the filing and no change in TIER may be made absent a filing with the ISO and the FERC, if the entity is under FERC's jurisdiction.</v>
      </c>
      <c r="C169" s="761"/>
      <c r="D169" s="761"/>
      <c r="E169" s="761"/>
      <c r="F169" s="761"/>
      <c r="G169" s="761"/>
      <c r="H169" s="761"/>
      <c r="I169" s="762"/>
      <c r="L169" s="41"/>
    </row>
    <row r="170" spans="1:12">
      <c r="A170" s="62" t="s">
        <v>968</v>
      </c>
      <c r="B170" s="763" t="str">
        <f>"Line "&amp;A142&amp;" must equal zero since all short-term power sales must be unbundled and the transmission component reflected in Account No. 456 and all other uses are to be included in the divisor."</f>
        <v>Line 106 must equal zero since all short-term power sales must be unbundled and the transmission component reflected in Account No. 456 and all other uses are to be included in the divisor.</v>
      </c>
      <c r="C170" s="763"/>
      <c r="D170" s="763"/>
      <c r="E170" s="763"/>
      <c r="F170" s="763"/>
      <c r="G170" s="763"/>
      <c r="H170" s="763"/>
      <c r="I170" s="764"/>
      <c r="L170" s="41"/>
    </row>
    <row r="171" spans="1:12">
      <c r="A171" s="62" t="s">
        <v>967</v>
      </c>
      <c r="B171" s="763" t="s">
        <v>966</v>
      </c>
      <c r="C171" s="763"/>
      <c r="D171" s="763"/>
      <c r="E171" s="763"/>
      <c r="F171" s="763"/>
      <c r="G171" s="763"/>
      <c r="H171" s="763"/>
      <c r="I171" s="764"/>
      <c r="L171" s="41"/>
    </row>
    <row r="172" spans="1:12" ht="25.5" customHeight="1">
      <c r="A172" s="61" t="s">
        <v>965</v>
      </c>
      <c r="B172" s="761" t="s">
        <v>2584</v>
      </c>
      <c r="C172" s="761"/>
      <c r="D172" s="761"/>
      <c r="E172" s="761"/>
      <c r="F172" s="761"/>
      <c r="G172" s="761"/>
      <c r="H172" s="761"/>
      <c r="I172" s="762"/>
      <c r="J172" s="41"/>
    </row>
    <row r="173" spans="1:12">
      <c r="A173" s="60"/>
      <c r="B173" s="59" t="s">
        <v>964</v>
      </c>
      <c r="C173" s="58"/>
      <c r="D173" s="55"/>
      <c r="E173" s="57"/>
      <c r="F173" s="56"/>
      <c r="G173" s="55"/>
      <c r="H173" s="54"/>
      <c r="I173" s="53"/>
      <c r="J173" s="41"/>
    </row>
    <row r="174" spans="1:12" ht="14.4" thickBot="1">
      <c r="A174" s="52"/>
      <c r="B174" s="51"/>
      <c r="C174" s="48"/>
      <c r="D174" s="48"/>
      <c r="E174" s="50"/>
      <c r="F174" s="49"/>
      <c r="G174" s="48"/>
      <c r="H174" s="47"/>
      <c r="I174" s="46"/>
      <c r="J174" s="39"/>
      <c r="L174" s="39"/>
    </row>
  </sheetData>
  <mergeCells count="21">
    <mergeCell ref="B159:I159"/>
    <mergeCell ref="E162:I162"/>
    <mergeCell ref="B170:I170"/>
    <mergeCell ref="B171:I171"/>
    <mergeCell ref="E163:I163"/>
    <mergeCell ref="B172:I172"/>
    <mergeCell ref="B164:I164"/>
    <mergeCell ref="B165:I165"/>
    <mergeCell ref="B166:I166"/>
    <mergeCell ref="B167:I167"/>
    <mergeCell ref="B168:I168"/>
    <mergeCell ref="B169:I169"/>
    <mergeCell ref="B155:I155"/>
    <mergeCell ref="B156:I156"/>
    <mergeCell ref="B157:I157"/>
    <mergeCell ref="B158:I158"/>
    <mergeCell ref="B150:I150"/>
    <mergeCell ref="B151:I151"/>
    <mergeCell ref="B152:I152"/>
    <mergeCell ref="B153:I153"/>
    <mergeCell ref="B154:I154"/>
  </mergeCells>
  <hyperlinks>
    <hyperlink ref="C1" location="'Cover Sheets'!A18" display="(Back to Worksheet Links)" xr:uid="{00000000-0004-0000-0200-000000000000}"/>
  </hyperlinks>
  <pageMargins left="0.56999999999999995" right="0.3" top="0.5" bottom="0.25" header="0.28000000000000003" footer="0.08"/>
  <pageSetup scale="53" orientation="portrait" r:id="rId1"/>
  <headerFooter alignWithMargins="0">
    <oddFooter>&amp;R&amp;A</oddFooter>
  </headerFooter>
  <rowBreaks count="1" manualBreakCount="1">
    <brk id="91"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view="pageBreakPreview" zoomScale="90" zoomScaleNormal="100" zoomScaleSheetLayoutView="90" workbookViewId="0"/>
  </sheetViews>
  <sheetFormatPr defaultColWidth="13.109375" defaultRowHeight="14.4"/>
  <cols>
    <col min="1" max="1" width="13.109375" style="243"/>
    <col min="2" max="2" width="89.44140625" style="243" bestFit="1" customWidth="1"/>
    <col min="3" max="7" width="13.109375" style="243"/>
    <col min="8" max="8" width="44.6640625" style="243" bestFit="1" customWidth="1"/>
    <col min="9" max="16384" width="13.109375" style="243"/>
  </cols>
  <sheetData>
    <row r="1" spans="1:8">
      <c r="A1" s="595" t="str">
        <f>'Cover Sheets'!A10:D10</f>
        <v>WAPA-UGP 2018 Rate True-up Calculation</v>
      </c>
      <c r="B1" s="404"/>
      <c r="C1" s="286"/>
      <c r="D1" s="286"/>
      <c r="E1" s="286"/>
      <c r="F1" s="286"/>
      <c r="G1" s="286"/>
      <c r="H1" s="751" t="s">
        <v>2543</v>
      </c>
    </row>
    <row r="2" spans="1:8">
      <c r="A2" s="60" t="s">
        <v>2514</v>
      </c>
      <c r="B2" s="287"/>
      <c r="C2" s="287"/>
      <c r="D2" s="287"/>
      <c r="E2" s="287"/>
      <c r="F2" s="287"/>
      <c r="G2" s="287"/>
      <c r="H2" s="750"/>
    </row>
    <row r="3" spans="1:8">
      <c r="A3" s="60" t="str">
        <f>'Summary-TrueUp'!A3</f>
        <v>12 Months Ending 09/30/2018 True-up</v>
      </c>
      <c r="B3" s="287"/>
      <c r="C3" s="287"/>
      <c r="D3" s="287"/>
      <c r="E3" s="287"/>
      <c r="F3" s="287"/>
      <c r="G3" s="287"/>
      <c r="H3" s="288"/>
    </row>
    <row r="4" spans="1:8" ht="41.4">
      <c r="A4" s="60"/>
      <c r="B4" s="250" t="s">
        <v>2</v>
      </c>
      <c r="C4" s="251" t="s">
        <v>1171</v>
      </c>
      <c r="D4" s="250" t="s">
        <v>1337</v>
      </c>
      <c r="E4" s="251" t="s">
        <v>1336</v>
      </c>
      <c r="F4" s="251" t="s">
        <v>2442</v>
      </c>
      <c r="G4" s="251" t="s">
        <v>2443</v>
      </c>
      <c r="H4" s="252" t="s">
        <v>1169</v>
      </c>
    </row>
    <row r="5" spans="1:8" ht="15" thickBot="1">
      <c r="A5" s="253" t="s">
        <v>1335</v>
      </c>
      <c r="B5" s="254">
        <v>-1</v>
      </c>
      <c r="C5" s="254">
        <v>-2</v>
      </c>
      <c r="D5" s="254">
        <v>-3</v>
      </c>
      <c r="E5" s="254">
        <v>-4</v>
      </c>
      <c r="F5" s="254">
        <v>-4</v>
      </c>
      <c r="G5" s="254">
        <v>-5</v>
      </c>
      <c r="H5" s="255">
        <v>-5</v>
      </c>
    </row>
    <row r="6" spans="1:8">
      <c r="A6" s="289">
        <v>1</v>
      </c>
      <c r="B6" s="290" t="s">
        <v>1334</v>
      </c>
      <c r="C6" s="291"/>
      <c r="D6" s="292"/>
      <c r="E6" s="293"/>
      <c r="F6" s="292"/>
      <c r="G6" s="292"/>
      <c r="H6" s="294"/>
    </row>
    <row r="7" spans="1:8">
      <c r="A7" s="289">
        <f t="shared" ref="A7:A37" si="0">A6+1</f>
        <v>2</v>
      </c>
      <c r="B7" s="295" t="s">
        <v>1333</v>
      </c>
      <c r="C7" s="296">
        <f>'WS4-CostData'!K123</f>
        <v>67582769.134285137</v>
      </c>
      <c r="D7" s="297">
        <f>'WS4-CostData'!K124</f>
        <v>87333963.307197183</v>
      </c>
      <c r="E7" s="297">
        <f>'WS4-CostData'!G124</f>
        <v>44071649.378892824</v>
      </c>
      <c r="F7" s="297">
        <v>0</v>
      </c>
      <c r="G7" s="297">
        <v>0</v>
      </c>
      <c r="H7" s="294" t="s">
        <v>2580</v>
      </c>
    </row>
    <row r="8" spans="1:8">
      <c r="A8" s="289">
        <f t="shared" si="0"/>
        <v>3</v>
      </c>
      <c r="B8" s="295" t="s">
        <v>1332</v>
      </c>
      <c r="C8" s="296">
        <v>0</v>
      </c>
      <c r="D8" s="297">
        <v>0</v>
      </c>
      <c r="E8" s="297">
        <v>0</v>
      </c>
      <c r="F8" s="297">
        <v>0</v>
      </c>
      <c r="G8" s="297">
        <v>0</v>
      </c>
      <c r="H8" s="294"/>
    </row>
    <row r="9" spans="1:8">
      <c r="A9" s="289">
        <f t="shared" si="0"/>
        <v>4</v>
      </c>
      <c r="B9" s="295" t="s">
        <v>1331</v>
      </c>
      <c r="C9" s="296">
        <f>SUM(C7:C8)</f>
        <v>67582769.134285137</v>
      </c>
      <c r="D9" s="297">
        <f>SUM(D7:D8)</f>
        <v>87333963.307197183</v>
      </c>
      <c r="E9" s="297">
        <f>SUM(E7:E8)</f>
        <v>44071649.378892824</v>
      </c>
      <c r="F9" s="297">
        <f>SUM(F7:F8)</f>
        <v>0</v>
      </c>
      <c r="G9" s="297">
        <f>SUM(G7:G8)</f>
        <v>0</v>
      </c>
      <c r="H9" s="294" t="s">
        <v>1330</v>
      </c>
    </row>
    <row r="10" spans="1:8" ht="15" thickBot="1">
      <c r="A10" s="289">
        <f t="shared" si="0"/>
        <v>5</v>
      </c>
      <c r="B10" s="295" t="s">
        <v>1298</v>
      </c>
      <c r="C10" s="296">
        <f>'WS4-CostData'!K18</f>
        <v>735303640.65234137</v>
      </c>
      <c r="D10" s="297">
        <f>'WS4-CostData'!K19</f>
        <v>700476664.44951177</v>
      </c>
      <c r="E10" s="297">
        <f>'WS4-CostData'!G19</f>
        <v>530092117.79723716</v>
      </c>
      <c r="F10" s="297">
        <v>0</v>
      </c>
      <c r="G10" s="297">
        <v>0</v>
      </c>
      <c r="H10" s="294" t="s">
        <v>2579</v>
      </c>
    </row>
    <row r="11" spans="1:8" ht="15" thickBot="1">
      <c r="A11" s="289">
        <f t="shared" si="0"/>
        <v>6</v>
      </c>
      <c r="B11" s="295" t="s">
        <v>1329</v>
      </c>
      <c r="C11" s="298">
        <f>+C9/C10</f>
        <v>9.1911375652006216E-2</v>
      </c>
      <c r="D11" s="299">
        <f>+D9/D10</f>
        <v>0.12467790540293144</v>
      </c>
      <c r="E11" s="299">
        <f>+E9/E10</f>
        <v>8.3139605172832337E-2</v>
      </c>
      <c r="F11" s="299" t="e">
        <f>+F9/F10</f>
        <v>#DIV/0!</v>
      </c>
      <c r="G11" s="299" t="e">
        <f>+G9/G10</f>
        <v>#DIV/0!</v>
      </c>
      <c r="H11" s="294" t="s">
        <v>1328</v>
      </c>
    </row>
    <row r="12" spans="1:8">
      <c r="A12" s="289">
        <f t="shared" si="0"/>
        <v>7</v>
      </c>
      <c r="B12" s="290" t="s">
        <v>1327</v>
      </c>
      <c r="C12" s="291"/>
      <c r="D12" s="292"/>
      <c r="E12" s="292"/>
      <c r="F12" s="292"/>
      <c r="G12" s="292"/>
      <c r="H12" s="294"/>
    </row>
    <row r="13" spans="1:8">
      <c r="A13" s="289">
        <f t="shared" si="0"/>
        <v>8</v>
      </c>
      <c r="B13" s="295" t="s">
        <v>1326</v>
      </c>
      <c r="C13" s="296">
        <f>'WS4-CostData'!K96</f>
        <v>18950532.499898389</v>
      </c>
      <c r="D13" s="297">
        <f>'WS4-CostData'!K97</f>
        <v>188858.56192150369</v>
      </c>
      <c r="E13" s="297">
        <f>'WS4-CostData'!G97</f>
        <v>0</v>
      </c>
      <c r="F13" s="297">
        <v>0</v>
      </c>
      <c r="G13" s="297">
        <v>0</v>
      </c>
      <c r="H13" s="294" t="s">
        <v>2581</v>
      </c>
    </row>
    <row r="14" spans="1:8" ht="15" thickBot="1">
      <c r="A14" s="289">
        <f t="shared" si="0"/>
        <v>9</v>
      </c>
      <c r="B14" s="295" t="s">
        <v>1325</v>
      </c>
      <c r="C14" s="296">
        <f>C10</f>
        <v>735303640.65234137</v>
      </c>
      <c r="D14" s="297">
        <f>D10</f>
        <v>700476664.44951177</v>
      </c>
      <c r="E14" s="297">
        <f>E10</f>
        <v>530092117.79723716</v>
      </c>
      <c r="F14" s="297">
        <f>F10</f>
        <v>0</v>
      </c>
      <c r="G14" s="297">
        <f>G10</f>
        <v>0</v>
      </c>
      <c r="H14" s="294" t="s">
        <v>1297</v>
      </c>
    </row>
    <row r="15" spans="1:8" ht="15" thickBot="1">
      <c r="A15" s="289">
        <f t="shared" si="0"/>
        <v>10</v>
      </c>
      <c r="B15" s="295" t="s">
        <v>1324</v>
      </c>
      <c r="C15" s="298">
        <f>+C13/C14</f>
        <v>2.577239041423213E-2</v>
      </c>
      <c r="D15" s="299">
        <f>+D13/D14</f>
        <v>2.6961435192123526E-4</v>
      </c>
      <c r="E15" s="299">
        <f>+E13/E14</f>
        <v>0</v>
      </c>
      <c r="F15" s="299" t="e">
        <f>+F13/F14</f>
        <v>#DIV/0!</v>
      </c>
      <c r="G15" s="299" t="e">
        <f>+G13/G14</f>
        <v>#DIV/0!</v>
      </c>
      <c r="H15" s="294" t="s">
        <v>1323</v>
      </c>
    </row>
    <row r="16" spans="1:8">
      <c r="A16" s="289">
        <f t="shared" si="0"/>
        <v>11</v>
      </c>
      <c r="B16" s="290" t="s">
        <v>1322</v>
      </c>
      <c r="C16" s="291"/>
      <c r="D16" s="292"/>
      <c r="E16" s="292"/>
      <c r="F16" s="292"/>
      <c r="G16" s="292"/>
      <c r="H16" s="294"/>
    </row>
    <row r="17" spans="1:8">
      <c r="A17" s="289">
        <f t="shared" si="0"/>
        <v>12</v>
      </c>
      <c r="B17" s="295" t="s">
        <v>1308</v>
      </c>
      <c r="C17" s="297">
        <f>'WS4-CostData'!K39</f>
        <v>31490914.788294446</v>
      </c>
      <c r="D17" s="297">
        <f>'WS4-CostData'!K40</f>
        <v>17783035.391440805</v>
      </c>
      <c r="E17" s="297">
        <f>'WS4-CostData'!G40</f>
        <v>14254167.18693671</v>
      </c>
      <c r="F17" s="297">
        <v>0</v>
      </c>
      <c r="G17" s="297">
        <f>'[2]Cost Data 2020 est'!K49</f>
        <v>157688.57813986941</v>
      </c>
      <c r="H17" s="294" t="s">
        <v>2582</v>
      </c>
    </row>
    <row r="18" spans="1:8" ht="15" thickBot="1">
      <c r="A18" s="289">
        <f t="shared" si="0"/>
        <v>13</v>
      </c>
      <c r="B18" s="295" t="s">
        <v>1298</v>
      </c>
      <c r="C18" s="296">
        <f>C14</f>
        <v>735303640.65234137</v>
      </c>
      <c r="D18" s="297">
        <f>D14</f>
        <v>700476664.44951177</v>
      </c>
      <c r="E18" s="297">
        <f>E14</f>
        <v>530092117.79723716</v>
      </c>
      <c r="F18" s="297">
        <f>F14</f>
        <v>0</v>
      </c>
      <c r="G18" s="297">
        <f>G14</f>
        <v>0</v>
      </c>
      <c r="H18" s="294" t="s">
        <v>1297</v>
      </c>
    </row>
    <row r="19" spans="1:8" ht="15" thickBot="1">
      <c r="A19" s="289">
        <f t="shared" si="0"/>
        <v>14</v>
      </c>
      <c r="B19" s="295" t="s">
        <v>1321</v>
      </c>
      <c r="C19" s="298">
        <f>C17/C18</f>
        <v>4.2827089446145765E-2</v>
      </c>
      <c r="D19" s="299">
        <f>D17/D18</f>
        <v>2.5387048982446942E-2</v>
      </c>
      <c r="E19" s="299">
        <f>E17/E18</f>
        <v>2.688998139826897E-2</v>
      </c>
      <c r="F19" s="299" t="e">
        <f>F17/F18</f>
        <v>#DIV/0!</v>
      </c>
      <c r="G19" s="299" t="e">
        <f>G17/G18</f>
        <v>#DIV/0!</v>
      </c>
      <c r="H19" s="294" t="s">
        <v>1320</v>
      </c>
    </row>
    <row r="20" spans="1:8">
      <c r="A20" s="289">
        <f t="shared" si="0"/>
        <v>15</v>
      </c>
      <c r="B20" s="290" t="s">
        <v>1319</v>
      </c>
      <c r="C20" s="291"/>
      <c r="D20" s="292"/>
      <c r="E20" s="292"/>
      <c r="F20" s="292"/>
      <c r="G20" s="292"/>
      <c r="H20" s="294"/>
    </row>
    <row r="21" spans="1:8">
      <c r="A21" s="289">
        <f t="shared" si="0"/>
        <v>16</v>
      </c>
      <c r="B21" s="295" t="s">
        <v>1318</v>
      </c>
      <c r="C21" s="291"/>
      <c r="D21" s="292"/>
      <c r="E21" s="292"/>
      <c r="F21" s="292"/>
      <c r="G21" s="292"/>
      <c r="H21" s="294"/>
    </row>
    <row r="22" spans="1:8">
      <c r="A22" s="289">
        <f t="shared" si="0"/>
        <v>17</v>
      </c>
      <c r="B22" s="290" t="s">
        <v>1317</v>
      </c>
      <c r="C22" s="291"/>
      <c r="D22" s="292"/>
      <c r="E22" s="292"/>
      <c r="F22" s="292"/>
      <c r="G22" s="292"/>
      <c r="H22" s="294"/>
    </row>
    <row r="23" spans="1:8">
      <c r="A23" s="289">
        <f t="shared" si="0"/>
        <v>18</v>
      </c>
      <c r="B23" s="295" t="s">
        <v>1316</v>
      </c>
      <c r="C23" s="291"/>
      <c r="D23" s="292"/>
      <c r="E23" s="292"/>
      <c r="F23" s="292"/>
      <c r="G23" s="292"/>
      <c r="H23" s="294"/>
    </row>
    <row r="24" spans="1:8" ht="15" thickBot="1">
      <c r="A24" s="289">
        <f t="shared" si="0"/>
        <v>19</v>
      </c>
      <c r="B24" s="290" t="s">
        <v>1315</v>
      </c>
      <c r="C24" s="291"/>
      <c r="D24" s="292"/>
      <c r="E24" s="292"/>
      <c r="F24" s="292"/>
      <c r="G24" s="292"/>
      <c r="H24" s="294"/>
    </row>
    <row r="25" spans="1:8" ht="15" thickBot="1">
      <c r="A25" s="289">
        <f t="shared" si="0"/>
        <v>20</v>
      </c>
      <c r="B25" s="295" t="s">
        <v>1314</v>
      </c>
      <c r="C25" s="298">
        <f>'WS4-CostData'!K62</f>
        <v>4.942300168199476E-2</v>
      </c>
      <c r="D25" s="299">
        <f>'WS4-CostData'!K64</f>
        <v>3.4876973502109249E-2</v>
      </c>
      <c r="E25" s="299">
        <f>'WS4-CostData'!K64</f>
        <v>3.4876973502109249E-2</v>
      </c>
      <c r="F25" s="299">
        <f>C25</f>
        <v>4.942300168199476E-2</v>
      </c>
      <c r="G25" s="299">
        <f>F25</f>
        <v>4.942300168199476E-2</v>
      </c>
      <c r="H25" s="294" t="s">
        <v>2583</v>
      </c>
    </row>
    <row r="26" spans="1:8">
      <c r="A26" s="289">
        <f t="shared" si="0"/>
        <v>21</v>
      </c>
      <c r="B26" s="290" t="s">
        <v>1313</v>
      </c>
      <c r="C26" s="291"/>
      <c r="D26" s="292"/>
      <c r="E26" s="292"/>
      <c r="F26" s="292"/>
      <c r="G26" s="292"/>
      <c r="H26" s="294"/>
    </row>
    <row r="27" spans="1:8">
      <c r="A27" s="289">
        <f t="shared" si="0"/>
        <v>22</v>
      </c>
      <c r="B27" s="295" t="s">
        <v>1312</v>
      </c>
      <c r="C27" s="300">
        <f>C11</f>
        <v>9.1911375652006216E-2</v>
      </c>
      <c r="D27" s="301">
        <f>D11</f>
        <v>0.12467790540293144</v>
      </c>
      <c r="E27" s="301">
        <f>E11</f>
        <v>8.3139605172832337E-2</v>
      </c>
      <c r="F27" s="301" t="e">
        <f>F11</f>
        <v>#DIV/0!</v>
      </c>
      <c r="G27" s="301" t="e">
        <f>G11</f>
        <v>#DIV/0!</v>
      </c>
      <c r="H27" s="294" t="s">
        <v>1311</v>
      </c>
    </row>
    <row r="28" spans="1:8">
      <c r="A28" s="289">
        <f t="shared" si="0"/>
        <v>23</v>
      </c>
      <c r="B28" s="295" t="s">
        <v>1310</v>
      </c>
      <c r="C28" s="300">
        <f>C15</f>
        <v>2.577239041423213E-2</v>
      </c>
      <c r="D28" s="301">
        <f>D15</f>
        <v>2.6961435192123526E-4</v>
      </c>
      <c r="E28" s="301">
        <f>E15</f>
        <v>0</v>
      </c>
      <c r="F28" s="301" t="e">
        <f>F15</f>
        <v>#DIV/0!</v>
      </c>
      <c r="G28" s="301" t="e">
        <f>G15</f>
        <v>#DIV/0!</v>
      </c>
      <c r="H28" s="294" t="s">
        <v>1309</v>
      </c>
    </row>
    <row r="29" spans="1:8">
      <c r="A29" s="289">
        <f t="shared" si="0"/>
        <v>24</v>
      </c>
      <c r="B29" s="295" t="s">
        <v>1308</v>
      </c>
      <c r="C29" s="300">
        <f>C19</f>
        <v>4.2827089446145765E-2</v>
      </c>
      <c r="D29" s="301">
        <f>D19</f>
        <v>2.5387048982446942E-2</v>
      </c>
      <c r="E29" s="301">
        <f>E19</f>
        <v>2.688998139826897E-2</v>
      </c>
      <c r="F29" s="301" t="e">
        <f>F19</f>
        <v>#DIV/0!</v>
      </c>
      <c r="G29" s="301" t="e">
        <f>G19</f>
        <v>#DIV/0!</v>
      </c>
      <c r="H29" s="294" t="s">
        <v>1307</v>
      </c>
    </row>
    <row r="30" spans="1:8">
      <c r="A30" s="289">
        <f t="shared" si="0"/>
        <v>25</v>
      </c>
      <c r="B30" s="295" t="s">
        <v>1306</v>
      </c>
      <c r="C30" s="300">
        <v>0</v>
      </c>
      <c r="D30" s="301">
        <v>0</v>
      </c>
      <c r="E30" s="301">
        <v>0</v>
      </c>
      <c r="F30" s="301">
        <v>0</v>
      </c>
      <c r="G30" s="301">
        <v>0</v>
      </c>
      <c r="H30" s="294"/>
    </row>
    <row r="31" spans="1:8">
      <c r="A31" s="289">
        <f t="shared" si="0"/>
        <v>26</v>
      </c>
      <c r="B31" s="295" t="s">
        <v>1305</v>
      </c>
      <c r="C31" s="300">
        <v>0</v>
      </c>
      <c r="D31" s="301">
        <v>0</v>
      </c>
      <c r="E31" s="301">
        <v>0</v>
      </c>
      <c r="F31" s="301">
        <v>0</v>
      </c>
      <c r="G31" s="301">
        <v>0</v>
      </c>
      <c r="H31" s="294"/>
    </row>
    <row r="32" spans="1:8" ht="15" thickBot="1">
      <c r="A32" s="289">
        <f t="shared" si="0"/>
        <v>27</v>
      </c>
      <c r="B32" s="295" t="s">
        <v>1304</v>
      </c>
      <c r="C32" s="300">
        <f>C25</f>
        <v>4.942300168199476E-2</v>
      </c>
      <c r="D32" s="301">
        <f>D25</f>
        <v>3.4876973502109249E-2</v>
      </c>
      <c r="E32" s="301">
        <f>E25</f>
        <v>3.4876973502109249E-2</v>
      </c>
      <c r="F32" s="301">
        <f>F25</f>
        <v>4.942300168199476E-2</v>
      </c>
      <c r="G32" s="301">
        <f>G25</f>
        <v>4.942300168199476E-2</v>
      </c>
      <c r="H32" s="294" t="s">
        <v>1303</v>
      </c>
    </row>
    <row r="33" spans="1:8" ht="15" thickBot="1">
      <c r="A33" s="289">
        <f t="shared" si="0"/>
        <v>28</v>
      </c>
      <c r="B33" s="295" t="s">
        <v>1302</v>
      </c>
      <c r="C33" s="298">
        <f>SUM(C27:C32)</f>
        <v>0.20993385719437888</v>
      </c>
      <c r="D33" s="299">
        <f>SUM(D27:D32)</f>
        <v>0.18521154223940886</v>
      </c>
      <c r="E33" s="299">
        <f>SUM(E27:E32)</f>
        <v>0.14490656007321057</v>
      </c>
      <c r="F33" s="299" t="e">
        <f>SUM(F27:F32)</f>
        <v>#DIV/0!</v>
      </c>
      <c r="G33" s="299" t="e">
        <f>SUM(G27:G32)</f>
        <v>#DIV/0!</v>
      </c>
      <c r="H33" s="294"/>
    </row>
    <row r="34" spans="1:8">
      <c r="A34" s="289">
        <f t="shared" si="0"/>
        <v>29</v>
      </c>
      <c r="B34" s="290" t="s">
        <v>1301</v>
      </c>
      <c r="C34" s="300"/>
      <c r="D34" s="301"/>
      <c r="E34" s="301"/>
      <c r="F34" s="301"/>
      <c r="G34" s="301"/>
      <c r="H34" s="302"/>
    </row>
    <row r="35" spans="1:8">
      <c r="A35" s="289">
        <f t="shared" si="0"/>
        <v>30</v>
      </c>
      <c r="B35" s="295" t="s">
        <v>1300</v>
      </c>
      <c r="C35" s="300">
        <f>C33</f>
        <v>0.20993385719437888</v>
      </c>
      <c r="D35" s="301">
        <f>D33</f>
        <v>0.18521154223940886</v>
      </c>
      <c r="E35" s="301">
        <f>E33</f>
        <v>0.14490656007321057</v>
      </c>
      <c r="F35" s="301" t="e">
        <f>F33</f>
        <v>#DIV/0!</v>
      </c>
      <c r="G35" s="301" t="e">
        <f>G33</f>
        <v>#DIV/0!</v>
      </c>
      <c r="H35" s="303" t="s">
        <v>1299</v>
      </c>
    </row>
    <row r="36" spans="1:8">
      <c r="A36" s="289">
        <f t="shared" si="0"/>
        <v>31</v>
      </c>
      <c r="B36" s="295" t="s">
        <v>1298</v>
      </c>
      <c r="C36" s="304">
        <f>C10</f>
        <v>735303640.65234137</v>
      </c>
      <c r="D36" s="305">
        <f>D10</f>
        <v>700476664.44951177</v>
      </c>
      <c r="E36" s="305">
        <f>E10</f>
        <v>530092117.79723716</v>
      </c>
      <c r="F36" s="305">
        <f>F10</f>
        <v>0</v>
      </c>
      <c r="G36" s="305">
        <f>G10</f>
        <v>0</v>
      </c>
      <c r="H36" s="294" t="s">
        <v>1297</v>
      </c>
    </row>
    <row r="37" spans="1:8" ht="15" thickBot="1">
      <c r="A37" s="253">
        <f t="shared" si="0"/>
        <v>32</v>
      </c>
      <c r="B37" s="306" t="s">
        <v>1296</v>
      </c>
      <c r="C37" s="307">
        <f>C36*C35</f>
        <v>154365129.49121553</v>
      </c>
      <c r="D37" s="308">
        <f>D36*D35</f>
        <v>129736363.32541098</v>
      </c>
      <c r="E37" s="308">
        <f>E36*E35</f>
        <v>76813825.311920762</v>
      </c>
      <c r="F37" s="308" t="e">
        <f>F36*F35</f>
        <v>#DIV/0!</v>
      </c>
      <c r="G37" s="308" t="e">
        <f>G36*G35</f>
        <v>#DIV/0!</v>
      </c>
      <c r="H37" s="309" t="s">
        <v>1295</v>
      </c>
    </row>
  </sheetData>
  <hyperlinks>
    <hyperlink ref="H1" location="'Cover Sheets'!A18" display="(Back to Worksheet Links)" xr:uid="{00000000-0004-0000-0300-000000000000}"/>
  </hyperlinks>
  <pageMargins left="0.7" right="0.7" top="0.75" bottom="0.75" header="0.3" footer="0.3"/>
  <pageSetup scale="58"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86"/>
  <sheetViews>
    <sheetView view="pageBreakPreview" zoomScaleNormal="100" zoomScaleSheetLayoutView="100" workbookViewId="0"/>
  </sheetViews>
  <sheetFormatPr defaultRowHeight="14.4"/>
  <cols>
    <col min="3" max="3" width="47.88671875" bestFit="1" customWidth="1"/>
    <col min="5" max="5" width="14.88671875" bestFit="1" customWidth="1"/>
    <col min="8" max="8" width="18.33203125" bestFit="1" customWidth="1"/>
    <col min="9" max="10" width="8.5546875" customWidth="1"/>
  </cols>
  <sheetData>
    <row r="1" spans="1:10">
      <c r="A1" s="595" t="str">
        <f>'Cover Sheets'!A10:D10</f>
        <v>WAPA-UGP 2018 Rate True-up Calculation</v>
      </c>
      <c r="B1" s="645"/>
      <c r="C1" s="645"/>
      <c r="D1" s="645"/>
      <c r="E1" s="645"/>
      <c r="F1" s="645"/>
      <c r="G1" s="645"/>
      <c r="H1" s="660" t="s">
        <v>2543</v>
      </c>
      <c r="I1" s="645"/>
      <c r="J1" s="646"/>
    </row>
    <row r="2" spans="1:10">
      <c r="A2" s="249" t="s">
        <v>2480</v>
      </c>
      <c r="B2" s="612"/>
      <c r="C2" s="612"/>
      <c r="D2" s="612"/>
      <c r="E2" s="612"/>
      <c r="F2" s="612"/>
      <c r="G2" s="612"/>
      <c r="H2" s="612"/>
      <c r="I2" s="612"/>
      <c r="J2" s="647"/>
    </row>
    <row r="3" spans="1:10">
      <c r="A3" s="653" t="str">
        <f>'WS1-RateBase'!A4</f>
        <v>12 Months Ending 09/30/2018 True-up</v>
      </c>
      <c r="B3" s="673"/>
      <c r="C3" s="96"/>
      <c r="D3" s="96"/>
      <c r="E3" s="644"/>
      <c r="F3" s="57"/>
      <c r="G3" s="76"/>
      <c r="H3" s="532" t="s">
        <v>1171</v>
      </c>
      <c r="I3" s="76"/>
      <c r="J3" s="195"/>
    </row>
    <row r="4" spans="1:10">
      <c r="A4" s="62" t="s">
        <v>1170</v>
      </c>
      <c r="B4" s="532" t="s">
        <v>2418</v>
      </c>
      <c r="C4" s="532" t="s">
        <v>2417</v>
      </c>
      <c r="D4" s="532" t="s">
        <v>1169</v>
      </c>
      <c r="E4" s="532" t="s">
        <v>1168</v>
      </c>
      <c r="F4" s="532" t="s">
        <v>1167</v>
      </c>
      <c r="G4" s="532" t="s">
        <v>2416</v>
      </c>
      <c r="H4" s="532" t="s">
        <v>1166</v>
      </c>
      <c r="I4" s="55"/>
      <c r="J4" s="53"/>
    </row>
    <row r="5" spans="1:10" ht="15" thickBot="1">
      <c r="A5" s="67" t="s">
        <v>1165</v>
      </c>
      <c r="B5" s="95"/>
      <c r="C5" s="95" t="s">
        <v>1164</v>
      </c>
      <c r="D5" s="95" t="s">
        <v>1163</v>
      </c>
      <c r="E5" s="95" t="s">
        <v>1162</v>
      </c>
      <c r="F5" s="50"/>
      <c r="G5" s="533" t="s">
        <v>1161</v>
      </c>
      <c r="H5" s="533" t="s">
        <v>1160</v>
      </c>
      <c r="I5" s="48"/>
      <c r="J5" s="46"/>
    </row>
    <row r="6" spans="1:10">
      <c r="A6" s="139">
        <v>1</v>
      </c>
      <c r="B6" s="136" t="s">
        <v>2421</v>
      </c>
      <c r="C6" s="545">
        <v>43101</v>
      </c>
      <c r="D6" s="539" t="s">
        <v>2420</v>
      </c>
      <c r="E6" s="550">
        <f>(27610.28+2069.555)</f>
        <v>29679.834999999999</v>
      </c>
      <c r="F6" s="534" t="s">
        <v>487</v>
      </c>
      <c r="G6" s="548">
        <v>1</v>
      </c>
      <c r="H6" s="616">
        <f>E6</f>
        <v>29679.834999999999</v>
      </c>
      <c r="I6" s="135"/>
      <c r="J6" s="535"/>
    </row>
    <row r="7" spans="1:10">
      <c r="A7" s="65">
        <v>2</v>
      </c>
      <c r="B7" s="57" t="s">
        <v>2421</v>
      </c>
      <c r="C7" s="546">
        <v>43132</v>
      </c>
      <c r="D7" s="540" t="s">
        <v>2420</v>
      </c>
      <c r="E7" s="551">
        <f>(21585.68+1958.39)</f>
        <v>23544.07</v>
      </c>
      <c r="F7" s="192" t="s">
        <v>487</v>
      </c>
      <c r="G7" s="536">
        <v>1</v>
      </c>
      <c r="H7" s="617">
        <f t="shared" ref="H7:H18" si="0">E7</f>
        <v>23544.07</v>
      </c>
      <c r="I7" s="55"/>
      <c r="J7" s="53"/>
    </row>
    <row r="8" spans="1:10">
      <c r="A8" s="65">
        <v>3</v>
      </c>
      <c r="B8" s="57" t="s">
        <v>2421</v>
      </c>
      <c r="C8" s="546">
        <v>43160</v>
      </c>
      <c r="D8" s="187" t="s">
        <v>2420</v>
      </c>
      <c r="E8" s="551">
        <f>(20277.52+583.58)</f>
        <v>20861.100000000002</v>
      </c>
      <c r="F8" s="192" t="s">
        <v>487</v>
      </c>
      <c r="G8" s="536">
        <v>1</v>
      </c>
      <c r="H8" s="617">
        <f t="shared" si="0"/>
        <v>20861.100000000002</v>
      </c>
      <c r="I8" s="55"/>
      <c r="J8" s="53"/>
    </row>
    <row r="9" spans="1:10">
      <c r="A9" s="65">
        <v>4</v>
      </c>
      <c r="B9" s="57" t="s">
        <v>2421</v>
      </c>
      <c r="C9" s="546">
        <v>43191</v>
      </c>
      <c r="D9" s="187" t="s">
        <v>2420</v>
      </c>
      <c r="E9" s="551">
        <f>(22135.96+999.43)</f>
        <v>23135.39</v>
      </c>
      <c r="F9" s="192" t="s">
        <v>487</v>
      </c>
      <c r="G9" s="536">
        <v>1</v>
      </c>
      <c r="H9" s="617">
        <f t="shared" si="0"/>
        <v>23135.39</v>
      </c>
      <c r="I9" s="55"/>
      <c r="J9" s="53"/>
    </row>
    <row r="10" spans="1:10">
      <c r="A10" s="65">
        <v>5</v>
      </c>
      <c r="B10" s="57" t="s">
        <v>2421</v>
      </c>
      <c r="C10" s="546">
        <v>43221</v>
      </c>
      <c r="D10" s="187" t="s">
        <v>2420</v>
      </c>
      <c r="E10" s="551">
        <f>(21982.63-205.04)</f>
        <v>21777.59</v>
      </c>
      <c r="F10" s="192" t="s">
        <v>487</v>
      </c>
      <c r="G10" s="536">
        <v>1</v>
      </c>
      <c r="H10" s="617">
        <f t="shared" si="0"/>
        <v>21777.59</v>
      </c>
      <c r="I10" s="55"/>
      <c r="J10" s="53"/>
    </row>
    <row r="11" spans="1:10">
      <c r="A11" s="65">
        <v>6</v>
      </c>
      <c r="B11" s="57" t="s">
        <v>2421</v>
      </c>
      <c r="C11" s="546">
        <v>43252</v>
      </c>
      <c r="D11" s="540" t="s">
        <v>2420</v>
      </c>
      <c r="E11" s="551">
        <f>(20191.41+146.89)</f>
        <v>20338.3</v>
      </c>
      <c r="F11" s="192" t="s">
        <v>487</v>
      </c>
      <c r="G11" s="536">
        <v>1</v>
      </c>
      <c r="H11" s="617">
        <f t="shared" si="0"/>
        <v>20338.3</v>
      </c>
      <c r="I11" s="55"/>
      <c r="J11" s="53"/>
    </row>
    <row r="12" spans="1:10">
      <c r="A12" s="65">
        <v>7</v>
      </c>
      <c r="B12" s="57" t="s">
        <v>2421</v>
      </c>
      <c r="C12" s="546">
        <v>43282</v>
      </c>
      <c r="D12" s="187" t="s">
        <v>2420</v>
      </c>
      <c r="E12" s="551">
        <f>(19944.16-1.49)</f>
        <v>19942.669999999998</v>
      </c>
      <c r="F12" s="192" t="s">
        <v>487</v>
      </c>
      <c r="G12" s="536">
        <v>1</v>
      </c>
      <c r="H12" s="617">
        <f t="shared" si="0"/>
        <v>19942.669999999998</v>
      </c>
      <c r="I12" s="55"/>
      <c r="J12" s="53"/>
    </row>
    <row r="13" spans="1:10">
      <c r="A13" s="65">
        <v>8</v>
      </c>
      <c r="B13" s="57" t="s">
        <v>2421</v>
      </c>
      <c r="C13" s="546">
        <v>43313</v>
      </c>
      <c r="D13" s="187" t="s">
        <v>2420</v>
      </c>
      <c r="E13" s="552">
        <f>(22899.7-16.67)</f>
        <v>22883.030000000002</v>
      </c>
      <c r="F13" s="203" t="s">
        <v>487</v>
      </c>
      <c r="G13" s="536">
        <f>+G12</f>
        <v>1</v>
      </c>
      <c r="H13" s="617">
        <f t="shared" si="0"/>
        <v>22883.030000000002</v>
      </c>
      <c r="I13" s="55"/>
      <c r="J13" s="53"/>
    </row>
    <row r="14" spans="1:10">
      <c r="A14" s="65">
        <v>9</v>
      </c>
      <c r="B14" s="57" t="s">
        <v>2421</v>
      </c>
      <c r="C14" s="546">
        <v>43344</v>
      </c>
      <c r="D14" s="187" t="s">
        <v>2420</v>
      </c>
      <c r="E14" s="552">
        <f>(20241.14-24.09)</f>
        <v>20217.05</v>
      </c>
      <c r="F14" s="203" t="s">
        <v>487</v>
      </c>
      <c r="G14" s="536">
        <v>1</v>
      </c>
      <c r="H14" s="617">
        <f t="shared" si="0"/>
        <v>20217.05</v>
      </c>
      <c r="I14" s="55"/>
      <c r="J14" s="53"/>
    </row>
    <row r="15" spans="1:10">
      <c r="A15" s="65">
        <v>10</v>
      </c>
      <c r="B15" s="57" t="s">
        <v>2421</v>
      </c>
      <c r="C15" s="546">
        <v>43374</v>
      </c>
      <c r="D15" s="540" t="s">
        <v>2420</v>
      </c>
      <c r="E15" s="552">
        <f>(17947.88-2925.2)</f>
        <v>15022.68</v>
      </c>
      <c r="F15" s="542" t="s">
        <v>487</v>
      </c>
      <c r="G15" s="536">
        <v>1</v>
      </c>
      <c r="H15" s="617">
        <f t="shared" si="0"/>
        <v>15022.68</v>
      </c>
      <c r="I15" s="55"/>
      <c r="J15" s="53"/>
    </row>
    <row r="16" spans="1:10">
      <c r="A16" s="65">
        <v>11</v>
      </c>
      <c r="B16" s="57" t="s">
        <v>2421</v>
      </c>
      <c r="C16" s="546">
        <v>43405</v>
      </c>
      <c r="D16" s="187" t="s">
        <v>2420</v>
      </c>
      <c r="E16" s="552">
        <f>(23519.92+2.4)</f>
        <v>23522.32</v>
      </c>
      <c r="F16" s="542" t="s">
        <v>487</v>
      </c>
      <c r="G16" s="536">
        <v>1</v>
      </c>
      <c r="H16" s="617">
        <f t="shared" si="0"/>
        <v>23522.32</v>
      </c>
      <c r="I16" s="55"/>
      <c r="J16" s="53"/>
    </row>
    <row r="17" spans="1:10">
      <c r="A17" s="65">
        <v>12</v>
      </c>
      <c r="B17" s="57" t="s">
        <v>2421</v>
      </c>
      <c r="C17" s="546">
        <v>43435</v>
      </c>
      <c r="D17" s="187" t="s">
        <v>2420</v>
      </c>
      <c r="E17" s="552">
        <f>(20638.28)</f>
        <v>20638.28</v>
      </c>
      <c r="F17" s="189" t="s">
        <v>487</v>
      </c>
      <c r="G17" s="536">
        <v>1</v>
      </c>
      <c r="H17" s="617">
        <f t="shared" si="0"/>
        <v>20638.28</v>
      </c>
      <c r="I17" s="55"/>
      <c r="J17" s="53"/>
    </row>
    <row r="18" spans="1:10">
      <c r="A18" s="65">
        <v>13</v>
      </c>
      <c r="B18" s="57" t="s">
        <v>2421</v>
      </c>
      <c r="C18" s="673" t="s">
        <v>2419</v>
      </c>
      <c r="D18" s="187" t="s">
        <v>2626</v>
      </c>
      <c r="E18" s="553">
        <v>0</v>
      </c>
      <c r="F18" s="542"/>
      <c r="G18" s="536">
        <v>1</v>
      </c>
      <c r="H18" s="618">
        <f t="shared" si="0"/>
        <v>0</v>
      </c>
      <c r="I18" s="537"/>
      <c r="J18" s="538"/>
    </row>
    <row r="19" spans="1:10" ht="15" thickBot="1">
      <c r="A19" s="73">
        <v>14</v>
      </c>
      <c r="B19" s="50"/>
      <c r="C19" s="51" t="s">
        <v>2444</v>
      </c>
      <c r="D19" s="543"/>
      <c r="E19" s="554">
        <f>SUM(E6:E18)</f>
        <v>261562.315</v>
      </c>
      <c r="F19" s="544"/>
      <c r="G19" s="49"/>
      <c r="H19" s="619">
        <f>SUM(H6:H18)</f>
        <v>261562.315</v>
      </c>
      <c r="I19" s="48"/>
      <c r="J19" s="46"/>
    </row>
    <row r="20" spans="1:10">
      <c r="A20" s="139">
        <v>15</v>
      </c>
      <c r="B20" s="136">
        <v>45644</v>
      </c>
      <c r="C20" s="545">
        <v>43101</v>
      </c>
      <c r="D20" s="539" t="s">
        <v>2428</v>
      </c>
      <c r="E20" s="550">
        <v>-596754.27</v>
      </c>
      <c r="F20" s="534" t="s">
        <v>1060</v>
      </c>
      <c r="G20" s="548">
        <v>1</v>
      </c>
      <c r="H20" s="616">
        <f>E20</f>
        <v>-596754.27</v>
      </c>
      <c r="I20" s="135"/>
      <c r="J20" s="535"/>
    </row>
    <row r="21" spans="1:10">
      <c r="A21" s="65">
        <v>16</v>
      </c>
      <c r="B21" s="57">
        <v>45644</v>
      </c>
      <c r="C21" s="546">
        <v>43132</v>
      </c>
      <c r="D21" s="540" t="s">
        <v>2428</v>
      </c>
      <c r="E21" s="551">
        <v>-761096</v>
      </c>
      <c r="F21" s="192" t="s">
        <v>1060</v>
      </c>
      <c r="G21" s="536">
        <v>1</v>
      </c>
      <c r="H21" s="617">
        <f t="shared" ref="H21:H32" si="1">E21</f>
        <v>-761096</v>
      </c>
      <c r="I21" s="55"/>
      <c r="J21" s="53"/>
    </row>
    <row r="22" spans="1:10">
      <c r="A22" s="65">
        <v>17</v>
      </c>
      <c r="B22" s="57">
        <v>45644</v>
      </c>
      <c r="C22" s="546">
        <v>43160</v>
      </c>
      <c r="D22" s="187" t="s">
        <v>2428</v>
      </c>
      <c r="E22" s="551">
        <v>-697111.4</v>
      </c>
      <c r="F22" s="192" t="s">
        <v>1060</v>
      </c>
      <c r="G22" s="536">
        <v>1</v>
      </c>
      <c r="H22" s="617">
        <f t="shared" si="1"/>
        <v>-697111.4</v>
      </c>
      <c r="I22" s="55"/>
      <c r="J22" s="53"/>
    </row>
    <row r="23" spans="1:10">
      <c r="A23" s="65">
        <v>18</v>
      </c>
      <c r="B23" s="57">
        <v>45644</v>
      </c>
      <c r="C23" s="546">
        <v>43191</v>
      </c>
      <c r="D23" s="187" t="s">
        <v>2428</v>
      </c>
      <c r="E23" s="551">
        <v>-602563.02</v>
      </c>
      <c r="F23" s="192" t="s">
        <v>1060</v>
      </c>
      <c r="G23" s="536">
        <v>1</v>
      </c>
      <c r="H23" s="617">
        <f t="shared" si="1"/>
        <v>-602563.02</v>
      </c>
      <c r="I23" s="55"/>
      <c r="J23" s="53"/>
    </row>
    <row r="24" spans="1:10">
      <c r="A24" s="65">
        <v>19</v>
      </c>
      <c r="B24" s="57">
        <v>45644</v>
      </c>
      <c r="C24" s="546">
        <v>43221</v>
      </c>
      <c r="D24" s="187" t="s">
        <v>2428</v>
      </c>
      <c r="E24" s="551">
        <v>-650354.36</v>
      </c>
      <c r="F24" s="192" t="s">
        <v>1060</v>
      </c>
      <c r="G24" s="536">
        <v>1</v>
      </c>
      <c r="H24" s="617">
        <f t="shared" si="1"/>
        <v>-650354.36</v>
      </c>
      <c r="I24" s="55"/>
      <c r="J24" s="53"/>
    </row>
    <row r="25" spans="1:10">
      <c r="A25" s="65">
        <v>20</v>
      </c>
      <c r="B25" s="57">
        <v>45644</v>
      </c>
      <c r="C25" s="546">
        <v>43252</v>
      </c>
      <c r="D25" s="187" t="s">
        <v>2428</v>
      </c>
      <c r="E25" s="551">
        <v>-666902.74</v>
      </c>
      <c r="F25" s="192" t="s">
        <v>1060</v>
      </c>
      <c r="G25" s="536">
        <v>1</v>
      </c>
      <c r="H25" s="617">
        <f t="shared" si="1"/>
        <v>-666902.74</v>
      </c>
      <c r="I25" s="55"/>
      <c r="J25" s="53"/>
    </row>
    <row r="26" spans="1:10">
      <c r="A26" s="65">
        <v>21</v>
      </c>
      <c r="B26" s="57">
        <v>45644</v>
      </c>
      <c r="C26" s="546">
        <v>43282</v>
      </c>
      <c r="D26" s="191" t="s">
        <v>2428</v>
      </c>
      <c r="E26" s="551">
        <v>-633438.74</v>
      </c>
      <c r="F26" s="192" t="s">
        <v>1060</v>
      </c>
      <c r="G26" s="536">
        <v>1</v>
      </c>
      <c r="H26" s="617">
        <f t="shared" si="1"/>
        <v>-633438.74</v>
      </c>
      <c r="I26" s="55"/>
      <c r="J26" s="53"/>
    </row>
    <row r="27" spans="1:10">
      <c r="A27" s="65">
        <v>22</v>
      </c>
      <c r="B27" s="57">
        <v>45644</v>
      </c>
      <c r="C27" s="546">
        <v>43313</v>
      </c>
      <c r="D27" s="166" t="s">
        <v>2428</v>
      </c>
      <c r="E27" s="552">
        <v>-663497.80000000005</v>
      </c>
      <c r="F27" s="203" t="str">
        <f>+F26</f>
        <v>TP</v>
      </c>
      <c r="G27" s="536">
        <f>+G26</f>
        <v>1</v>
      </c>
      <c r="H27" s="617">
        <f t="shared" si="1"/>
        <v>-663497.80000000005</v>
      </c>
      <c r="I27" s="55"/>
      <c r="J27" s="53"/>
    </row>
    <row r="28" spans="1:10">
      <c r="A28" s="65">
        <v>23</v>
      </c>
      <c r="B28" s="57">
        <v>45644</v>
      </c>
      <c r="C28" s="546">
        <v>43344</v>
      </c>
      <c r="D28" s="166" t="s">
        <v>2428</v>
      </c>
      <c r="E28" s="552">
        <v>-651866.1</v>
      </c>
      <c r="F28" s="203" t="s">
        <v>1060</v>
      </c>
      <c r="G28" s="536">
        <v>1</v>
      </c>
      <c r="H28" s="617">
        <f t="shared" si="1"/>
        <v>-651866.1</v>
      </c>
      <c r="I28" s="55"/>
      <c r="J28" s="53"/>
    </row>
    <row r="29" spans="1:10">
      <c r="A29" s="65">
        <v>24</v>
      </c>
      <c r="B29" s="57">
        <v>45644</v>
      </c>
      <c r="C29" s="546">
        <v>43374</v>
      </c>
      <c r="D29" s="218" t="s">
        <v>2428</v>
      </c>
      <c r="E29" s="552">
        <v>-555940.62</v>
      </c>
      <c r="F29" s="542" t="s">
        <v>1060</v>
      </c>
      <c r="G29" s="536">
        <v>1</v>
      </c>
      <c r="H29" s="617">
        <f t="shared" si="1"/>
        <v>-555940.62</v>
      </c>
      <c r="I29" s="55"/>
      <c r="J29" s="53"/>
    </row>
    <row r="30" spans="1:10">
      <c r="A30" s="65">
        <v>25</v>
      </c>
      <c r="B30" s="57">
        <v>45644</v>
      </c>
      <c r="C30" s="546">
        <v>43405</v>
      </c>
      <c r="D30" s="218" t="s">
        <v>2428</v>
      </c>
      <c r="E30" s="552">
        <v>-534587.55000000005</v>
      </c>
      <c r="F30" s="542" t="s">
        <v>1060</v>
      </c>
      <c r="G30" s="536">
        <v>1</v>
      </c>
      <c r="H30" s="617">
        <f t="shared" si="1"/>
        <v>-534587.55000000005</v>
      </c>
      <c r="I30" s="55"/>
      <c r="J30" s="53"/>
    </row>
    <row r="31" spans="1:10">
      <c r="A31" s="65">
        <v>26</v>
      </c>
      <c r="B31" s="57">
        <v>45644</v>
      </c>
      <c r="C31" s="546">
        <v>43435</v>
      </c>
      <c r="D31" s="218" t="s">
        <v>2428</v>
      </c>
      <c r="E31" s="552">
        <v>-553858.27</v>
      </c>
      <c r="F31" s="189" t="s">
        <v>1060</v>
      </c>
      <c r="G31" s="536">
        <v>1</v>
      </c>
      <c r="H31" s="617">
        <f t="shared" si="1"/>
        <v>-553858.27</v>
      </c>
      <c r="I31" s="55"/>
      <c r="J31" s="53"/>
    </row>
    <row r="32" spans="1:10">
      <c r="A32" s="65">
        <v>27</v>
      </c>
      <c r="B32" s="57">
        <v>45644</v>
      </c>
      <c r="C32" s="673" t="s">
        <v>2419</v>
      </c>
      <c r="D32" s="218" t="s">
        <v>2428</v>
      </c>
      <c r="E32" s="553">
        <v>0</v>
      </c>
      <c r="F32" s="542"/>
      <c r="G32" s="536">
        <v>1</v>
      </c>
      <c r="H32" s="618">
        <f t="shared" si="1"/>
        <v>0</v>
      </c>
      <c r="I32" s="537"/>
      <c r="J32" s="538"/>
    </row>
    <row r="33" spans="1:10" ht="15" thickBot="1">
      <c r="A33" s="73">
        <v>28</v>
      </c>
      <c r="B33" s="50"/>
      <c r="C33" s="51" t="s">
        <v>2444</v>
      </c>
      <c r="D33" s="543"/>
      <c r="E33" s="554">
        <f>SUM(E20:E32)</f>
        <v>-7567970.8699999992</v>
      </c>
      <c r="F33" s="544"/>
      <c r="G33" s="49"/>
      <c r="H33" s="619">
        <f>SUM(H20:H32)</f>
        <v>-7567970.8699999992</v>
      </c>
      <c r="I33" s="48"/>
      <c r="J33" s="46"/>
    </row>
    <row r="34" spans="1:10">
      <c r="A34" s="139">
        <v>29</v>
      </c>
      <c r="B34" s="136">
        <v>45645</v>
      </c>
      <c r="C34" s="545">
        <v>43101</v>
      </c>
      <c r="D34" s="539" t="s">
        <v>2428</v>
      </c>
      <c r="E34" s="550">
        <v>-231075.91</v>
      </c>
      <c r="F34" s="534" t="s">
        <v>1060</v>
      </c>
      <c r="G34" s="548">
        <v>1</v>
      </c>
      <c r="H34" s="616">
        <f>E34</f>
        <v>-231075.91</v>
      </c>
      <c r="I34" s="135"/>
      <c r="J34" s="535"/>
    </row>
    <row r="35" spans="1:10">
      <c r="A35" s="65">
        <v>30</v>
      </c>
      <c r="B35" s="57">
        <v>45645</v>
      </c>
      <c r="C35" s="546">
        <v>43132</v>
      </c>
      <c r="D35" s="540" t="s">
        <v>2428</v>
      </c>
      <c r="E35" s="551">
        <v>-145320.71</v>
      </c>
      <c r="F35" s="192" t="s">
        <v>1060</v>
      </c>
      <c r="G35" s="536">
        <v>1</v>
      </c>
      <c r="H35" s="617">
        <f t="shared" ref="H35:H45" si="2">E35</f>
        <v>-145320.71</v>
      </c>
      <c r="I35" s="55"/>
      <c r="J35" s="53"/>
    </row>
    <row r="36" spans="1:10">
      <c r="A36" s="65">
        <v>31</v>
      </c>
      <c r="B36" s="57">
        <v>45645</v>
      </c>
      <c r="C36" s="546">
        <v>43160</v>
      </c>
      <c r="D36" s="540" t="s">
        <v>2428</v>
      </c>
      <c r="E36" s="551">
        <v>-113872.02</v>
      </c>
      <c r="F36" s="192" t="s">
        <v>1060</v>
      </c>
      <c r="G36" s="536">
        <v>1</v>
      </c>
      <c r="H36" s="617">
        <f t="shared" si="2"/>
        <v>-113872.02</v>
      </c>
      <c r="I36" s="55"/>
      <c r="J36" s="53"/>
    </row>
    <row r="37" spans="1:10">
      <c r="A37" s="65">
        <v>32</v>
      </c>
      <c r="B37" s="57">
        <v>45645</v>
      </c>
      <c r="C37" s="546">
        <v>43191</v>
      </c>
      <c r="D37" s="540" t="s">
        <v>2428</v>
      </c>
      <c r="E37" s="551">
        <v>-111734.74</v>
      </c>
      <c r="F37" s="192" t="s">
        <v>1060</v>
      </c>
      <c r="G37" s="536">
        <v>1</v>
      </c>
      <c r="H37" s="617">
        <f t="shared" si="2"/>
        <v>-111734.74</v>
      </c>
      <c r="I37" s="55"/>
      <c r="J37" s="53"/>
    </row>
    <row r="38" spans="1:10">
      <c r="A38" s="65">
        <v>33</v>
      </c>
      <c r="B38" s="57">
        <v>45645</v>
      </c>
      <c r="C38" s="546">
        <v>43221</v>
      </c>
      <c r="D38" s="540" t="s">
        <v>2428</v>
      </c>
      <c r="E38" s="551">
        <v>-141508.89000000001</v>
      </c>
      <c r="F38" s="192" t="s">
        <v>1060</v>
      </c>
      <c r="G38" s="536">
        <v>1</v>
      </c>
      <c r="H38" s="617">
        <f t="shared" si="2"/>
        <v>-141508.89000000001</v>
      </c>
      <c r="I38" s="55"/>
      <c r="J38" s="53"/>
    </row>
    <row r="39" spans="1:10">
      <c r="A39" s="65">
        <v>34</v>
      </c>
      <c r="B39" s="57">
        <v>45645</v>
      </c>
      <c r="C39" s="546">
        <v>43252</v>
      </c>
      <c r="D39" s="540" t="s">
        <v>2428</v>
      </c>
      <c r="E39" s="551">
        <v>-166252.04999999999</v>
      </c>
      <c r="F39" s="192" t="s">
        <v>1060</v>
      </c>
      <c r="G39" s="536">
        <v>1</v>
      </c>
      <c r="H39" s="617">
        <f t="shared" si="2"/>
        <v>-166252.04999999999</v>
      </c>
      <c r="I39" s="55"/>
      <c r="J39" s="53"/>
    </row>
    <row r="40" spans="1:10">
      <c r="A40" s="65">
        <v>35</v>
      </c>
      <c r="B40" s="57">
        <v>45645</v>
      </c>
      <c r="C40" s="546">
        <v>43282</v>
      </c>
      <c r="D40" s="540" t="s">
        <v>2428</v>
      </c>
      <c r="E40" s="551">
        <v>-393047.9</v>
      </c>
      <c r="F40" s="192" t="s">
        <v>1060</v>
      </c>
      <c r="G40" s="536">
        <v>1</v>
      </c>
      <c r="H40" s="617">
        <f t="shared" si="2"/>
        <v>-393047.9</v>
      </c>
      <c r="I40" s="55"/>
      <c r="J40" s="53"/>
    </row>
    <row r="41" spans="1:10">
      <c r="A41" s="65">
        <v>36</v>
      </c>
      <c r="B41" s="57">
        <v>45645</v>
      </c>
      <c r="C41" s="546">
        <v>43313</v>
      </c>
      <c r="D41" s="540" t="s">
        <v>2428</v>
      </c>
      <c r="E41" s="552">
        <v>-387082.23999999999</v>
      </c>
      <c r="F41" s="203" t="str">
        <f>+F40</f>
        <v>TP</v>
      </c>
      <c r="G41" s="536">
        <f>+G40</f>
        <v>1</v>
      </c>
      <c r="H41" s="617">
        <f t="shared" si="2"/>
        <v>-387082.23999999999</v>
      </c>
      <c r="I41" s="55"/>
      <c r="J41" s="53"/>
    </row>
    <row r="42" spans="1:10">
      <c r="A42" s="65">
        <v>37</v>
      </c>
      <c r="B42" s="57">
        <v>45645</v>
      </c>
      <c r="C42" s="546">
        <v>43344</v>
      </c>
      <c r="D42" s="540" t="s">
        <v>2428</v>
      </c>
      <c r="E42" s="552">
        <v>-221226.88</v>
      </c>
      <c r="F42" s="203" t="s">
        <v>1060</v>
      </c>
      <c r="G42" s="536">
        <v>1</v>
      </c>
      <c r="H42" s="617">
        <f t="shared" si="2"/>
        <v>-221226.88</v>
      </c>
      <c r="I42" s="55"/>
      <c r="J42" s="53"/>
    </row>
    <row r="43" spans="1:10">
      <c r="A43" s="65">
        <v>38</v>
      </c>
      <c r="B43" s="57">
        <v>45645</v>
      </c>
      <c r="C43" s="546">
        <v>43374</v>
      </c>
      <c r="D43" s="540" t="s">
        <v>2428</v>
      </c>
      <c r="E43" s="552">
        <v>-251889.63</v>
      </c>
      <c r="F43" s="542" t="s">
        <v>1060</v>
      </c>
      <c r="G43" s="536">
        <v>1</v>
      </c>
      <c r="H43" s="617">
        <f t="shared" si="2"/>
        <v>-251889.63</v>
      </c>
      <c r="I43" s="55"/>
      <c r="J43" s="53"/>
    </row>
    <row r="44" spans="1:10">
      <c r="A44" s="65">
        <v>39</v>
      </c>
      <c r="B44" s="57">
        <v>45645</v>
      </c>
      <c r="C44" s="546">
        <v>43405</v>
      </c>
      <c r="D44" s="540" t="s">
        <v>2428</v>
      </c>
      <c r="E44" s="552">
        <v>-297692.08</v>
      </c>
      <c r="F44" s="542" t="s">
        <v>1060</v>
      </c>
      <c r="G44" s="536">
        <v>1</v>
      </c>
      <c r="H44" s="617">
        <f t="shared" si="2"/>
        <v>-297692.08</v>
      </c>
      <c r="I44" s="55"/>
      <c r="J44" s="53"/>
    </row>
    <row r="45" spans="1:10">
      <c r="A45" s="65">
        <v>40</v>
      </c>
      <c r="B45" s="57">
        <v>45645</v>
      </c>
      <c r="C45" s="546">
        <v>43435</v>
      </c>
      <c r="D45" s="540" t="s">
        <v>2428</v>
      </c>
      <c r="E45" s="552">
        <v>-256718.54</v>
      </c>
      <c r="F45" s="189" t="s">
        <v>1060</v>
      </c>
      <c r="G45" s="536">
        <v>1</v>
      </c>
      <c r="H45" s="617">
        <f t="shared" si="2"/>
        <v>-256718.54</v>
      </c>
      <c r="I45" s="55"/>
      <c r="J45" s="53"/>
    </row>
    <row r="46" spans="1:10">
      <c r="A46" s="65">
        <v>41</v>
      </c>
      <c r="B46" s="57">
        <v>45645</v>
      </c>
      <c r="C46" s="673" t="s">
        <v>2419</v>
      </c>
      <c r="D46" s="540" t="s">
        <v>2428</v>
      </c>
      <c r="E46" s="553">
        <v>0</v>
      </c>
      <c r="F46" s="542" t="s">
        <v>1060</v>
      </c>
      <c r="G46" s="536">
        <v>1</v>
      </c>
      <c r="H46" s="671">
        <f>E46</f>
        <v>0</v>
      </c>
      <c r="I46" s="537"/>
      <c r="J46" s="538"/>
    </row>
    <row r="47" spans="1:10" ht="15" thickBot="1">
      <c r="A47" s="73">
        <v>42</v>
      </c>
      <c r="B47" s="50"/>
      <c r="C47" s="51" t="s">
        <v>2444</v>
      </c>
      <c r="D47" s="543"/>
      <c r="E47" s="554">
        <f>SUM(E34:E46)</f>
        <v>-2717421.5900000003</v>
      </c>
      <c r="F47" s="544"/>
      <c r="G47" s="49"/>
      <c r="H47" s="619">
        <f>SUM(H34:H46)</f>
        <v>-2717421.5900000003</v>
      </c>
      <c r="I47" s="48"/>
      <c r="J47" s="46"/>
    </row>
    <row r="48" spans="1:10">
      <c r="A48" s="139">
        <v>43</v>
      </c>
      <c r="B48" s="136" t="s">
        <v>2422</v>
      </c>
      <c r="C48" s="545">
        <v>43101</v>
      </c>
      <c r="D48" s="539" t="s">
        <v>2423</v>
      </c>
      <c r="E48" s="550">
        <f>-(90706.15+4953.11)</f>
        <v>-95659.26</v>
      </c>
      <c r="F48" s="534" t="s">
        <v>1060</v>
      </c>
      <c r="G48" s="548">
        <v>1</v>
      </c>
      <c r="H48" s="616">
        <f>E48</f>
        <v>-95659.26</v>
      </c>
      <c r="I48" s="135"/>
      <c r="J48" s="535"/>
    </row>
    <row r="49" spans="1:10">
      <c r="A49" s="65">
        <v>44</v>
      </c>
      <c r="B49" s="57" t="s">
        <v>2422</v>
      </c>
      <c r="C49" s="546">
        <v>43132</v>
      </c>
      <c r="D49" s="540" t="s">
        <v>2423</v>
      </c>
      <c r="E49" s="551">
        <f>-(70549.23+3852.42)</f>
        <v>-74401.649999999994</v>
      </c>
      <c r="F49" s="192" t="s">
        <v>1060</v>
      </c>
      <c r="G49" s="536">
        <v>1</v>
      </c>
      <c r="H49" s="617">
        <f t="shared" ref="H49:H60" si="3">E49</f>
        <v>-74401.649999999994</v>
      </c>
      <c r="I49" s="55"/>
      <c r="J49" s="53"/>
    </row>
    <row r="50" spans="1:10">
      <c r="A50" s="65">
        <v>45</v>
      </c>
      <c r="B50" s="57" t="s">
        <v>2422</v>
      </c>
      <c r="C50" s="546">
        <v>43160</v>
      </c>
      <c r="D50" s="187" t="s">
        <v>2423</v>
      </c>
      <c r="E50" s="551">
        <f>-(90706.15+4953.11)</f>
        <v>-95659.26</v>
      </c>
      <c r="F50" s="192" t="s">
        <v>1060</v>
      </c>
      <c r="G50" s="536">
        <v>1</v>
      </c>
      <c r="H50" s="617">
        <f t="shared" si="3"/>
        <v>-95659.26</v>
      </c>
      <c r="I50" s="55"/>
      <c r="J50" s="53"/>
    </row>
    <row r="51" spans="1:10">
      <c r="A51" s="65">
        <v>46</v>
      </c>
      <c r="B51" s="57" t="s">
        <v>2422</v>
      </c>
      <c r="C51" s="546">
        <v>43191</v>
      </c>
      <c r="D51" s="540" t="s">
        <v>2423</v>
      </c>
      <c r="E51" s="551">
        <f>-(90706.15+4953.11)</f>
        <v>-95659.26</v>
      </c>
      <c r="F51" s="192" t="s">
        <v>1060</v>
      </c>
      <c r="G51" s="536">
        <v>1</v>
      </c>
      <c r="H51" s="617">
        <f t="shared" si="3"/>
        <v>-95659.26</v>
      </c>
      <c r="I51" s="55"/>
      <c r="J51" s="53"/>
    </row>
    <row r="52" spans="1:10">
      <c r="A52" s="65">
        <v>47</v>
      </c>
      <c r="B52" s="57" t="s">
        <v>2422</v>
      </c>
      <c r="C52" s="546">
        <v>43221</v>
      </c>
      <c r="D52" s="187" t="s">
        <v>2423</v>
      </c>
      <c r="E52" s="551">
        <f>-(90706.15+4953.11)</f>
        <v>-95659.26</v>
      </c>
      <c r="F52" s="192" t="s">
        <v>1060</v>
      </c>
      <c r="G52" s="536">
        <v>1</v>
      </c>
      <c r="H52" s="617">
        <f t="shared" si="3"/>
        <v>-95659.26</v>
      </c>
      <c r="I52" s="55"/>
      <c r="J52" s="53"/>
    </row>
    <row r="53" spans="1:10">
      <c r="A53" s="65">
        <v>48</v>
      </c>
      <c r="B53" s="57" t="s">
        <v>2422</v>
      </c>
      <c r="C53" s="546">
        <v>43252</v>
      </c>
      <c r="D53" s="540" t="s">
        <v>2423</v>
      </c>
      <c r="E53" s="551">
        <f>-(93878.29+5126.33)</f>
        <v>-99004.62</v>
      </c>
      <c r="F53" s="192" t="s">
        <v>1060</v>
      </c>
      <c r="G53" s="536">
        <v>1</v>
      </c>
      <c r="H53" s="617">
        <f t="shared" si="3"/>
        <v>-99004.62</v>
      </c>
      <c r="I53" s="55"/>
      <c r="J53" s="53"/>
    </row>
    <row r="54" spans="1:10">
      <c r="A54" s="65">
        <v>49</v>
      </c>
      <c r="B54" s="57" t="s">
        <v>2422</v>
      </c>
      <c r="C54" s="546">
        <v>43282</v>
      </c>
      <c r="D54" s="187" t="s">
        <v>2423</v>
      </c>
      <c r="E54" s="551">
        <f>-(45999.41+60906.03)</f>
        <v>-106905.44</v>
      </c>
      <c r="F54" s="192" t="s">
        <v>1060</v>
      </c>
      <c r="G54" s="536">
        <v>1</v>
      </c>
      <c r="H54" s="617">
        <f t="shared" si="3"/>
        <v>-106905.44</v>
      </c>
      <c r="I54" s="55"/>
      <c r="J54" s="53"/>
    </row>
    <row r="55" spans="1:10">
      <c r="A55" s="65">
        <v>50</v>
      </c>
      <c r="B55" s="57" t="s">
        <v>2422</v>
      </c>
      <c r="C55" s="546">
        <v>43313</v>
      </c>
      <c r="D55" s="540" t="s">
        <v>2423</v>
      </c>
      <c r="E55" s="552">
        <f>-(77514.82+13613.08)</f>
        <v>-91127.900000000009</v>
      </c>
      <c r="F55" s="203" t="str">
        <f>+F54</f>
        <v>TP</v>
      </c>
      <c r="G55" s="536">
        <f>+G54</f>
        <v>1</v>
      </c>
      <c r="H55" s="617">
        <f t="shared" si="3"/>
        <v>-91127.900000000009</v>
      </c>
      <c r="I55" s="55"/>
      <c r="J55" s="53"/>
    </row>
    <row r="56" spans="1:10">
      <c r="A56" s="65">
        <v>51</v>
      </c>
      <c r="B56" s="57" t="s">
        <v>2422</v>
      </c>
      <c r="C56" s="546">
        <v>43344</v>
      </c>
      <c r="D56" s="187" t="s">
        <v>2423</v>
      </c>
      <c r="E56" s="552">
        <f>-(83517.47+14667.25)</f>
        <v>-98184.72</v>
      </c>
      <c r="F56" s="203" t="s">
        <v>1060</v>
      </c>
      <c r="G56" s="536">
        <v>1</v>
      </c>
      <c r="H56" s="617">
        <f t="shared" si="3"/>
        <v>-98184.72</v>
      </c>
      <c r="I56" s="55"/>
      <c r="J56" s="53"/>
    </row>
    <row r="57" spans="1:10">
      <c r="A57" s="65">
        <v>52</v>
      </c>
      <c r="B57" s="57" t="s">
        <v>2422</v>
      </c>
      <c r="C57" s="546">
        <v>43374</v>
      </c>
      <c r="D57" s="540" t="s">
        <v>2423</v>
      </c>
      <c r="E57" s="552">
        <f>-(83517.47+14667.25)</f>
        <v>-98184.72</v>
      </c>
      <c r="F57" s="542" t="s">
        <v>1060</v>
      </c>
      <c r="G57" s="536">
        <v>1</v>
      </c>
      <c r="H57" s="617">
        <f t="shared" si="3"/>
        <v>-98184.72</v>
      </c>
      <c r="I57" s="55"/>
      <c r="J57" s="53"/>
    </row>
    <row r="58" spans="1:10">
      <c r="A58" s="65">
        <v>53</v>
      </c>
      <c r="B58" s="57" t="s">
        <v>2422</v>
      </c>
      <c r="C58" s="546">
        <v>43405</v>
      </c>
      <c r="D58" s="540" t="s">
        <v>2423</v>
      </c>
      <c r="E58" s="552">
        <f>-(83517.47+14667.25)</f>
        <v>-98184.72</v>
      </c>
      <c r="F58" s="542" t="s">
        <v>1060</v>
      </c>
      <c r="G58" s="536">
        <v>1</v>
      </c>
      <c r="H58" s="617">
        <f t="shared" si="3"/>
        <v>-98184.72</v>
      </c>
      <c r="I58" s="55"/>
      <c r="J58" s="53"/>
    </row>
    <row r="59" spans="1:10">
      <c r="A59" s="65">
        <v>54</v>
      </c>
      <c r="B59" s="57" t="s">
        <v>2422</v>
      </c>
      <c r="C59" s="546">
        <v>43435</v>
      </c>
      <c r="D59" s="187" t="s">
        <v>2423</v>
      </c>
      <c r="E59" s="552">
        <f>-(83517.47+14667.25)</f>
        <v>-98184.72</v>
      </c>
      <c r="F59" s="189" t="s">
        <v>1060</v>
      </c>
      <c r="G59" s="536">
        <v>1</v>
      </c>
      <c r="H59" s="617">
        <f t="shared" si="3"/>
        <v>-98184.72</v>
      </c>
      <c r="I59" s="55"/>
      <c r="J59" s="53"/>
    </row>
    <row r="60" spans="1:10">
      <c r="A60" s="65">
        <v>55</v>
      </c>
      <c r="B60" s="57" t="s">
        <v>2422</v>
      </c>
      <c r="C60" s="673" t="s">
        <v>2419</v>
      </c>
      <c r="D60" s="187" t="s">
        <v>2423</v>
      </c>
      <c r="E60" s="553">
        <v>0</v>
      </c>
      <c r="F60" s="542" t="s">
        <v>1060</v>
      </c>
      <c r="G60" s="536">
        <v>1</v>
      </c>
      <c r="H60" s="618">
        <f t="shared" si="3"/>
        <v>0</v>
      </c>
      <c r="I60" s="537"/>
      <c r="J60" s="538"/>
    </row>
    <row r="61" spans="1:10" ht="15" thickBot="1">
      <c r="A61" s="73">
        <v>56</v>
      </c>
      <c r="B61" s="50"/>
      <c r="C61" s="51" t="s">
        <v>2444</v>
      </c>
      <c r="D61" s="543"/>
      <c r="E61" s="554">
        <f>SUM(E48:E60)</f>
        <v>-1146815.53</v>
      </c>
      <c r="F61" s="544"/>
      <c r="G61" s="49"/>
      <c r="H61" s="619">
        <f>SUM(H48:H60)</f>
        <v>-1146815.53</v>
      </c>
      <c r="I61" s="48"/>
      <c r="J61" s="46"/>
    </row>
    <row r="62" spans="1:10">
      <c r="A62" s="65">
        <v>57</v>
      </c>
      <c r="B62" s="57" t="s">
        <v>2469</v>
      </c>
      <c r="C62" s="545">
        <v>43101</v>
      </c>
      <c r="D62" s="539" t="s">
        <v>2423</v>
      </c>
      <c r="E62" s="550">
        <v>0</v>
      </c>
      <c r="F62" s="534" t="s">
        <v>918</v>
      </c>
      <c r="G62" s="76"/>
      <c r="H62" s="219">
        <f>E62</f>
        <v>0</v>
      </c>
      <c r="I62" s="55"/>
      <c r="J62" s="53"/>
    </row>
    <row r="63" spans="1:10">
      <c r="A63" s="65">
        <v>58</v>
      </c>
      <c r="B63" s="57" t="s">
        <v>2469</v>
      </c>
      <c r="C63" s="546">
        <v>43132</v>
      </c>
      <c r="D63" s="540" t="s">
        <v>2423</v>
      </c>
      <c r="E63" s="551">
        <v>0</v>
      </c>
      <c r="F63" s="192" t="s">
        <v>918</v>
      </c>
      <c r="G63" s="76"/>
      <c r="H63" s="219">
        <f t="shared" ref="H63:H75" si="4">E63</f>
        <v>0</v>
      </c>
      <c r="I63" s="55"/>
      <c r="J63" s="53"/>
    </row>
    <row r="64" spans="1:10">
      <c r="A64" s="65">
        <v>59</v>
      </c>
      <c r="B64" s="57" t="s">
        <v>2469</v>
      </c>
      <c r="C64" s="546">
        <v>43160</v>
      </c>
      <c r="D64" s="187" t="s">
        <v>2423</v>
      </c>
      <c r="E64" s="551">
        <v>0</v>
      </c>
      <c r="F64" s="192" t="s">
        <v>918</v>
      </c>
      <c r="G64" s="76"/>
      <c r="H64" s="219">
        <f t="shared" si="4"/>
        <v>0</v>
      </c>
      <c r="I64" s="55"/>
      <c r="J64" s="53"/>
    </row>
    <row r="65" spans="1:10">
      <c r="A65" s="65">
        <v>60</v>
      </c>
      <c r="B65" s="57" t="s">
        <v>2469</v>
      </c>
      <c r="C65" s="546">
        <v>43191</v>
      </c>
      <c r="D65" s="540" t="s">
        <v>2423</v>
      </c>
      <c r="E65" s="551">
        <v>0</v>
      </c>
      <c r="F65" s="192" t="s">
        <v>918</v>
      </c>
      <c r="G65" s="76"/>
      <c r="H65" s="219">
        <f t="shared" si="4"/>
        <v>0</v>
      </c>
      <c r="I65" s="55"/>
      <c r="J65" s="53"/>
    </row>
    <row r="66" spans="1:10">
      <c r="A66" s="65">
        <v>61</v>
      </c>
      <c r="B66" s="57" t="s">
        <v>2469</v>
      </c>
      <c r="C66" s="546">
        <v>43221</v>
      </c>
      <c r="D66" s="187" t="s">
        <v>2423</v>
      </c>
      <c r="E66" s="551">
        <v>0</v>
      </c>
      <c r="F66" s="192" t="s">
        <v>918</v>
      </c>
      <c r="G66" s="76"/>
      <c r="H66" s="219">
        <f t="shared" si="4"/>
        <v>0</v>
      </c>
      <c r="I66" s="55"/>
      <c r="J66" s="53"/>
    </row>
    <row r="67" spans="1:10">
      <c r="A67" s="65">
        <v>62</v>
      </c>
      <c r="B67" s="57" t="s">
        <v>2469</v>
      </c>
      <c r="C67" s="546">
        <v>43252</v>
      </c>
      <c r="D67" s="540" t="s">
        <v>2423</v>
      </c>
      <c r="E67" s="551">
        <v>0</v>
      </c>
      <c r="F67" s="192" t="s">
        <v>918</v>
      </c>
      <c r="G67" s="76"/>
      <c r="H67" s="219">
        <f t="shared" si="4"/>
        <v>0</v>
      </c>
      <c r="I67" s="55"/>
      <c r="J67" s="53"/>
    </row>
    <row r="68" spans="1:10">
      <c r="A68" s="65">
        <v>63</v>
      </c>
      <c r="B68" s="57" t="s">
        <v>2469</v>
      </c>
      <c r="C68" s="546">
        <v>43282</v>
      </c>
      <c r="D68" s="187" t="s">
        <v>2423</v>
      </c>
      <c r="E68" s="551">
        <v>-88.97</v>
      </c>
      <c r="F68" s="192" t="s">
        <v>918</v>
      </c>
      <c r="G68" s="76"/>
      <c r="H68" s="219">
        <f t="shared" si="4"/>
        <v>-88.97</v>
      </c>
      <c r="I68" s="55"/>
      <c r="J68" s="53"/>
    </row>
    <row r="69" spans="1:10">
      <c r="A69" s="65">
        <v>64</v>
      </c>
      <c r="B69" s="57" t="s">
        <v>2469</v>
      </c>
      <c r="C69" s="546">
        <v>43313</v>
      </c>
      <c r="D69" s="540" t="s">
        <v>2423</v>
      </c>
      <c r="E69" s="552">
        <v>-14.29</v>
      </c>
      <c r="F69" s="203" t="s">
        <v>918</v>
      </c>
      <c r="G69" s="76"/>
      <c r="H69" s="219">
        <f t="shared" si="4"/>
        <v>-14.29</v>
      </c>
      <c r="I69" s="55"/>
      <c r="J69" s="53"/>
    </row>
    <row r="70" spans="1:10">
      <c r="A70" s="65">
        <v>65</v>
      </c>
      <c r="B70" s="57" t="s">
        <v>2469</v>
      </c>
      <c r="C70" s="546">
        <v>43344</v>
      </c>
      <c r="D70" s="187" t="s">
        <v>2423</v>
      </c>
      <c r="E70" s="552">
        <v>-15.4</v>
      </c>
      <c r="F70" s="203" t="s">
        <v>918</v>
      </c>
      <c r="G70" s="76"/>
      <c r="H70" s="219">
        <f t="shared" si="4"/>
        <v>-15.4</v>
      </c>
      <c r="I70" s="55"/>
      <c r="J70" s="53"/>
    </row>
    <row r="71" spans="1:10">
      <c r="A71" s="65">
        <v>66</v>
      </c>
      <c r="B71" s="57" t="s">
        <v>2469</v>
      </c>
      <c r="C71" s="546">
        <v>43374</v>
      </c>
      <c r="D71" s="540" t="s">
        <v>2423</v>
      </c>
      <c r="E71" s="552">
        <v>-15.4</v>
      </c>
      <c r="F71" s="542" t="s">
        <v>918</v>
      </c>
      <c r="G71" s="76"/>
      <c r="H71" s="219">
        <f t="shared" si="4"/>
        <v>-15.4</v>
      </c>
      <c r="I71" s="55"/>
      <c r="J71" s="53"/>
    </row>
    <row r="72" spans="1:10">
      <c r="A72" s="65">
        <v>67</v>
      </c>
      <c r="B72" s="57" t="s">
        <v>2469</v>
      </c>
      <c r="C72" s="546">
        <v>43405</v>
      </c>
      <c r="D72" s="540" t="s">
        <v>2423</v>
      </c>
      <c r="E72" s="552">
        <v>-15.4</v>
      </c>
      <c r="F72" s="542" t="s">
        <v>918</v>
      </c>
      <c r="G72" s="76"/>
      <c r="H72" s="219">
        <f t="shared" si="4"/>
        <v>-15.4</v>
      </c>
      <c r="I72" s="55"/>
      <c r="J72" s="53"/>
    </row>
    <row r="73" spans="1:10">
      <c r="A73" s="65">
        <v>68</v>
      </c>
      <c r="B73" s="57" t="s">
        <v>2469</v>
      </c>
      <c r="C73" s="546">
        <v>43435</v>
      </c>
      <c r="D73" s="187" t="s">
        <v>2423</v>
      </c>
      <c r="E73" s="552">
        <v>-15.4</v>
      </c>
      <c r="F73" s="189" t="s">
        <v>918</v>
      </c>
      <c r="G73" s="76"/>
      <c r="H73" s="219">
        <f t="shared" si="4"/>
        <v>-15.4</v>
      </c>
      <c r="I73" s="55"/>
      <c r="J73" s="53"/>
    </row>
    <row r="74" spans="1:10">
      <c r="A74" s="65">
        <v>69</v>
      </c>
      <c r="B74" s="57" t="s">
        <v>2469</v>
      </c>
      <c r="C74" s="673" t="s">
        <v>2419</v>
      </c>
      <c r="D74" s="187" t="s">
        <v>2423</v>
      </c>
      <c r="E74" s="553">
        <v>0</v>
      </c>
      <c r="F74" s="542" t="s">
        <v>918</v>
      </c>
      <c r="G74" s="76"/>
      <c r="H74" s="219">
        <f t="shared" si="4"/>
        <v>0</v>
      </c>
      <c r="I74" s="55"/>
      <c r="J74" s="53"/>
    </row>
    <row r="75" spans="1:10" ht="15" thickBot="1">
      <c r="A75" s="65">
        <v>70</v>
      </c>
      <c r="B75" s="57"/>
      <c r="C75" s="51" t="s">
        <v>2444</v>
      </c>
      <c r="D75" s="543"/>
      <c r="E75" s="554">
        <f>SUM(E62:E74)</f>
        <v>-164.86</v>
      </c>
      <c r="F75" s="544"/>
      <c r="G75" s="76"/>
      <c r="H75" s="672">
        <f t="shared" si="4"/>
        <v>-164.86</v>
      </c>
      <c r="I75" s="670"/>
      <c r="J75" s="140"/>
    </row>
    <row r="76" spans="1:10">
      <c r="A76" s="139">
        <v>71</v>
      </c>
      <c r="B76" s="136">
        <v>7088</v>
      </c>
      <c r="C76" s="545">
        <v>43132</v>
      </c>
      <c r="D76" s="539" t="s">
        <v>1410</v>
      </c>
      <c r="E76" s="550">
        <v>-754621.25</v>
      </c>
      <c r="F76" s="534" t="s">
        <v>487</v>
      </c>
      <c r="G76" s="548">
        <v>1</v>
      </c>
      <c r="H76" s="616">
        <f>E76</f>
        <v>-754621.25</v>
      </c>
      <c r="I76" s="135"/>
      <c r="J76" s="535"/>
    </row>
    <row r="77" spans="1:10">
      <c r="A77" s="65">
        <v>72</v>
      </c>
      <c r="B77" s="57">
        <v>7088</v>
      </c>
      <c r="C77" s="546">
        <v>43160</v>
      </c>
      <c r="D77" s="540" t="s">
        <v>1410</v>
      </c>
      <c r="E77" s="551">
        <v>-803445.15</v>
      </c>
      <c r="F77" s="192" t="s">
        <v>487</v>
      </c>
      <c r="G77" s="536">
        <v>1</v>
      </c>
      <c r="H77" s="617">
        <f t="shared" ref="H77:H88" si="5">E77</f>
        <v>-803445.15</v>
      </c>
      <c r="I77" s="55"/>
      <c r="J77" s="53"/>
    </row>
    <row r="78" spans="1:10">
      <c r="A78" s="65">
        <v>73</v>
      </c>
      <c r="B78" s="57">
        <v>7088</v>
      </c>
      <c r="C78" s="546">
        <v>43191</v>
      </c>
      <c r="D78" s="187" t="s">
        <v>1410</v>
      </c>
      <c r="E78" s="551">
        <v>-747764.87</v>
      </c>
      <c r="F78" s="192" t="s">
        <v>487</v>
      </c>
      <c r="G78" s="536">
        <v>1</v>
      </c>
      <c r="H78" s="617">
        <f t="shared" si="5"/>
        <v>-747764.87</v>
      </c>
      <c r="I78" s="55"/>
      <c r="J78" s="53"/>
    </row>
    <row r="79" spans="1:10">
      <c r="A79" s="65">
        <v>74</v>
      </c>
      <c r="B79" s="57">
        <v>7088</v>
      </c>
      <c r="C79" s="546">
        <v>43221</v>
      </c>
      <c r="D79" s="187" t="s">
        <v>1410</v>
      </c>
      <c r="E79" s="551">
        <v>-772327.11</v>
      </c>
      <c r="F79" s="192" t="s">
        <v>487</v>
      </c>
      <c r="G79" s="536">
        <v>1</v>
      </c>
      <c r="H79" s="617">
        <f t="shared" si="5"/>
        <v>-772327.11</v>
      </c>
      <c r="I79" s="55"/>
      <c r="J79" s="53"/>
    </row>
    <row r="80" spans="1:10">
      <c r="A80" s="65">
        <v>75</v>
      </c>
      <c r="B80" s="57">
        <v>7088</v>
      </c>
      <c r="C80" s="546">
        <v>43252</v>
      </c>
      <c r="D80" s="187" t="s">
        <v>1410</v>
      </c>
      <c r="E80" s="551">
        <v>-707077.26</v>
      </c>
      <c r="F80" s="192" t="s">
        <v>487</v>
      </c>
      <c r="G80" s="536">
        <v>1</v>
      </c>
      <c r="H80" s="617">
        <f t="shared" si="5"/>
        <v>-707077.26</v>
      </c>
      <c r="I80" s="55"/>
      <c r="J80" s="53"/>
    </row>
    <row r="81" spans="1:10">
      <c r="A81" s="65">
        <v>76</v>
      </c>
      <c r="B81" s="57">
        <v>7088</v>
      </c>
      <c r="C81" s="546">
        <v>43282</v>
      </c>
      <c r="D81" s="540" t="s">
        <v>1410</v>
      </c>
      <c r="E81" s="551">
        <v>-746727.33</v>
      </c>
      <c r="F81" s="192" t="s">
        <v>487</v>
      </c>
      <c r="G81" s="536">
        <v>1</v>
      </c>
      <c r="H81" s="617">
        <f t="shared" si="5"/>
        <v>-746727.33</v>
      </c>
      <c r="I81" s="55"/>
      <c r="J81" s="53"/>
    </row>
    <row r="82" spans="1:10">
      <c r="A82" s="65">
        <v>77</v>
      </c>
      <c r="B82" s="57">
        <v>7088</v>
      </c>
      <c r="C82" s="546">
        <v>43313</v>
      </c>
      <c r="D82" s="187" t="s">
        <v>1410</v>
      </c>
      <c r="E82" s="551">
        <v>-809595.43</v>
      </c>
      <c r="F82" s="192" t="s">
        <v>487</v>
      </c>
      <c r="G82" s="536">
        <v>1</v>
      </c>
      <c r="H82" s="617">
        <f t="shared" si="5"/>
        <v>-809595.43</v>
      </c>
      <c r="I82" s="55"/>
      <c r="J82" s="53"/>
    </row>
    <row r="83" spans="1:10">
      <c r="A83" s="65">
        <v>78</v>
      </c>
      <c r="B83" s="57">
        <v>7088</v>
      </c>
      <c r="C83" s="546">
        <v>43344</v>
      </c>
      <c r="D83" s="187" t="s">
        <v>1410</v>
      </c>
      <c r="E83" s="552">
        <v>-785830.27</v>
      </c>
      <c r="F83" s="203" t="s">
        <v>487</v>
      </c>
      <c r="G83" s="536">
        <f>+G82</f>
        <v>1</v>
      </c>
      <c r="H83" s="617">
        <f t="shared" si="5"/>
        <v>-785830.27</v>
      </c>
      <c r="I83" s="55"/>
      <c r="J83" s="53"/>
    </row>
    <row r="84" spans="1:10">
      <c r="A84" s="65">
        <v>79</v>
      </c>
      <c r="B84" s="57">
        <v>7088</v>
      </c>
      <c r="C84" s="546">
        <v>43374</v>
      </c>
      <c r="D84" s="187" t="s">
        <v>1410</v>
      </c>
      <c r="E84" s="552">
        <v>-707631.73</v>
      </c>
      <c r="F84" s="203" t="s">
        <v>487</v>
      </c>
      <c r="G84" s="536">
        <v>1</v>
      </c>
      <c r="H84" s="617">
        <f t="shared" si="5"/>
        <v>-707631.73</v>
      </c>
      <c r="I84" s="55"/>
      <c r="J84" s="53"/>
    </row>
    <row r="85" spans="1:10">
      <c r="A85" s="65">
        <v>80</v>
      </c>
      <c r="B85" s="57">
        <v>7088</v>
      </c>
      <c r="C85" s="546">
        <v>43405</v>
      </c>
      <c r="D85" s="540" t="s">
        <v>1410</v>
      </c>
      <c r="E85" s="552">
        <v>-726302.78</v>
      </c>
      <c r="F85" s="542" t="s">
        <v>487</v>
      </c>
      <c r="G85" s="536">
        <v>1</v>
      </c>
      <c r="H85" s="617">
        <f t="shared" si="5"/>
        <v>-726302.78</v>
      </c>
      <c r="I85" s="55"/>
      <c r="J85" s="53"/>
    </row>
    <row r="86" spans="1:10">
      <c r="A86" s="65">
        <v>81</v>
      </c>
      <c r="B86" s="57">
        <v>7088</v>
      </c>
      <c r="C86" s="546">
        <v>43435</v>
      </c>
      <c r="D86" s="187" t="s">
        <v>1410</v>
      </c>
      <c r="E86" s="552">
        <v>-794057.71</v>
      </c>
      <c r="F86" s="542" t="s">
        <v>487</v>
      </c>
      <c r="G86" s="536">
        <v>1</v>
      </c>
      <c r="H86" s="617">
        <f t="shared" si="5"/>
        <v>-794057.71</v>
      </c>
      <c r="I86" s="55"/>
      <c r="J86" s="53"/>
    </row>
    <row r="87" spans="1:10">
      <c r="A87" s="65">
        <v>82</v>
      </c>
      <c r="B87" s="57">
        <v>7088</v>
      </c>
      <c r="C87" s="546">
        <v>43466</v>
      </c>
      <c r="D87" s="187" t="s">
        <v>1410</v>
      </c>
      <c r="E87" s="552">
        <v>-829310.46</v>
      </c>
      <c r="F87" s="189" t="s">
        <v>487</v>
      </c>
      <c r="G87" s="536">
        <v>1</v>
      </c>
      <c r="H87" s="617">
        <f t="shared" si="5"/>
        <v>-829310.46</v>
      </c>
      <c r="I87" s="55"/>
      <c r="J87" s="53"/>
    </row>
    <row r="88" spans="1:10">
      <c r="A88" s="65">
        <v>83</v>
      </c>
      <c r="B88" s="57">
        <v>7088</v>
      </c>
      <c r="C88" s="673" t="s">
        <v>2419</v>
      </c>
      <c r="D88" s="549">
        <v>43070</v>
      </c>
      <c r="E88" s="553">
        <v>-63905</v>
      </c>
      <c r="F88" s="542" t="s">
        <v>487</v>
      </c>
      <c r="G88" s="536">
        <v>1</v>
      </c>
      <c r="H88" s="618">
        <f t="shared" si="5"/>
        <v>-63905</v>
      </c>
      <c r="I88" s="537"/>
      <c r="J88" s="538"/>
    </row>
    <row r="89" spans="1:10" ht="15" thickBot="1">
      <c r="A89" s="73">
        <v>84</v>
      </c>
      <c r="B89" s="50"/>
      <c r="C89" s="51" t="s">
        <v>2444</v>
      </c>
      <c r="D89" s="543"/>
      <c r="E89" s="554">
        <f>SUM(E76:E88)</f>
        <v>-9248596.3500000015</v>
      </c>
      <c r="F89" s="544"/>
      <c r="G89" s="49"/>
      <c r="H89" s="619">
        <f>SUM(H76:H88)</f>
        <v>-9248596.3500000015</v>
      </c>
      <c r="I89" s="48"/>
      <c r="J89" s="46"/>
    </row>
    <row r="90" spans="1:10">
      <c r="A90" s="139">
        <v>85</v>
      </c>
      <c r="B90" s="136">
        <v>45420</v>
      </c>
      <c r="C90" s="545">
        <v>43101</v>
      </c>
      <c r="D90" s="539" t="s">
        <v>2426</v>
      </c>
      <c r="E90" s="550">
        <v>-6208.19</v>
      </c>
      <c r="F90" s="534" t="s">
        <v>1060</v>
      </c>
      <c r="G90" s="548">
        <v>1</v>
      </c>
      <c r="H90" s="616">
        <f>E90</f>
        <v>-6208.19</v>
      </c>
      <c r="I90" s="135"/>
      <c r="J90" s="535"/>
    </row>
    <row r="91" spans="1:10">
      <c r="A91" s="65">
        <v>86</v>
      </c>
      <c r="B91" s="57">
        <v>45420</v>
      </c>
      <c r="C91" s="546">
        <v>43132</v>
      </c>
      <c r="D91" s="540" t="s">
        <v>2426</v>
      </c>
      <c r="E91" s="551">
        <v>-6208.19</v>
      </c>
      <c r="F91" s="192" t="s">
        <v>1060</v>
      </c>
      <c r="G91" s="536">
        <v>1</v>
      </c>
      <c r="H91" s="617">
        <f t="shared" ref="H91:H102" si="6">E91</f>
        <v>-6208.19</v>
      </c>
      <c r="I91" s="55"/>
      <c r="J91" s="53"/>
    </row>
    <row r="92" spans="1:10">
      <c r="A92" s="65">
        <v>87</v>
      </c>
      <c r="B92" s="57">
        <v>45420</v>
      </c>
      <c r="C92" s="546">
        <v>43160</v>
      </c>
      <c r="D92" s="187" t="s">
        <v>2426</v>
      </c>
      <c r="E92" s="551">
        <v>-6208.19</v>
      </c>
      <c r="F92" s="192" t="s">
        <v>1060</v>
      </c>
      <c r="G92" s="536">
        <v>1</v>
      </c>
      <c r="H92" s="617">
        <f t="shared" si="6"/>
        <v>-6208.19</v>
      </c>
      <c r="I92" s="55"/>
      <c r="J92" s="53"/>
    </row>
    <row r="93" spans="1:10">
      <c r="A93" s="65">
        <v>88</v>
      </c>
      <c r="B93" s="57">
        <v>45420</v>
      </c>
      <c r="C93" s="546">
        <v>43191</v>
      </c>
      <c r="D93" s="187" t="s">
        <v>2426</v>
      </c>
      <c r="E93" s="551">
        <v>-6208.19</v>
      </c>
      <c r="F93" s="192" t="s">
        <v>1060</v>
      </c>
      <c r="G93" s="536">
        <v>1</v>
      </c>
      <c r="H93" s="617">
        <f t="shared" si="6"/>
        <v>-6208.19</v>
      </c>
      <c r="I93" s="55"/>
      <c r="J93" s="53"/>
    </row>
    <row r="94" spans="1:10">
      <c r="A94" s="65">
        <v>89</v>
      </c>
      <c r="B94" s="57">
        <v>45420</v>
      </c>
      <c r="C94" s="546">
        <v>43221</v>
      </c>
      <c r="D94" s="187" t="s">
        <v>2426</v>
      </c>
      <c r="E94" s="551">
        <v>-6208.19</v>
      </c>
      <c r="F94" s="192" t="s">
        <v>1060</v>
      </c>
      <c r="G94" s="536">
        <v>1</v>
      </c>
      <c r="H94" s="617">
        <f t="shared" si="6"/>
        <v>-6208.19</v>
      </c>
      <c r="I94" s="55"/>
      <c r="J94" s="53"/>
    </row>
    <row r="95" spans="1:10">
      <c r="A95" s="65">
        <v>90</v>
      </c>
      <c r="B95" s="57">
        <v>45420</v>
      </c>
      <c r="C95" s="546">
        <v>43252</v>
      </c>
      <c r="D95" s="187" t="s">
        <v>2426</v>
      </c>
      <c r="E95" s="551">
        <v>-6208.19</v>
      </c>
      <c r="F95" s="192" t="s">
        <v>1060</v>
      </c>
      <c r="G95" s="536">
        <v>1</v>
      </c>
      <c r="H95" s="617">
        <f t="shared" si="6"/>
        <v>-6208.19</v>
      </c>
      <c r="I95" s="55"/>
      <c r="J95" s="53"/>
    </row>
    <row r="96" spans="1:10">
      <c r="A96" s="65">
        <v>91</v>
      </c>
      <c r="B96" s="57">
        <v>45420</v>
      </c>
      <c r="C96" s="546">
        <v>43282</v>
      </c>
      <c r="D96" s="191" t="s">
        <v>2426</v>
      </c>
      <c r="E96" s="551">
        <v>-6208.19</v>
      </c>
      <c r="F96" s="192" t="s">
        <v>1060</v>
      </c>
      <c r="G96" s="536">
        <v>1</v>
      </c>
      <c r="H96" s="617">
        <f t="shared" si="6"/>
        <v>-6208.19</v>
      </c>
      <c r="I96" s="55"/>
      <c r="J96" s="53"/>
    </row>
    <row r="97" spans="1:10">
      <c r="A97" s="65">
        <v>92</v>
      </c>
      <c r="B97" s="57">
        <v>45420</v>
      </c>
      <c r="C97" s="546">
        <v>43313</v>
      </c>
      <c r="D97" s="166" t="s">
        <v>2426</v>
      </c>
      <c r="E97" s="552">
        <v>-6208.19</v>
      </c>
      <c r="F97" s="203" t="str">
        <f>+F96</f>
        <v>TP</v>
      </c>
      <c r="G97" s="536">
        <f>+G96</f>
        <v>1</v>
      </c>
      <c r="H97" s="617">
        <f t="shared" si="6"/>
        <v>-6208.19</v>
      </c>
      <c r="I97" s="55"/>
      <c r="J97" s="53"/>
    </row>
    <row r="98" spans="1:10">
      <c r="A98" s="65">
        <v>93</v>
      </c>
      <c r="B98" s="57">
        <v>45420</v>
      </c>
      <c r="C98" s="546">
        <v>43344</v>
      </c>
      <c r="D98" s="166" t="s">
        <v>2426</v>
      </c>
      <c r="E98" s="552">
        <v>-9277.19</v>
      </c>
      <c r="F98" s="203" t="s">
        <v>1060</v>
      </c>
      <c r="G98" s="536">
        <v>1</v>
      </c>
      <c r="H98" s="617">
        <f t="shared" si="6"/>
        <v>-9277.19</v>
      </c>
      <c r="I98" s="55"/>
      <c r="J98" s="53"/>
    </row>
    <row r="99" spans="1:10">
      <c r="A99" s="65">
        <v>94</v>
      </c>
      <c r="B99" s="57">
        <v>45420</v>
      </c>
      <c r="C99" s="546">
        <v>43374</v>
      </c>
      <c r="D99" s="218" t="s">
        <v>2426</v>
      </c>
      <c r="E99" s="552">
        <v>-8208.19</v>
      </c>
      <c r="F99" s="542" t="s">
        <v>1060</v>
      </c>
      <c r="G99" s="536">
        <v>1</v>
      </c>
      <c r="H99" s="617">
        <f t="shared" si="6"/>
        <v>-8208.19</v>
      </c>
      <c r="I99" s="55"/>
      <c r="J99" s="53"/>
    </row>
    <row r="100" spans="1:10">
      <c r="A100" s="65">
        <v>95</v>
      </c>
      <c r="B100" s="57">
        <v>45420</v>
      </c>
      <c r="C100" s="546">
        <v>43405</v>
      </c>
      <c r="D100" s="187" t="s">
        <v>2426</v>
      </c>
      <c r="E100" s="552">
        <v>-6208.19</v>
      </c>
      <c r="F100" s="542" t="s">
        <v>1060</v>
      </c>
      <c r="G100" s="536">
        <v>1</v>
      </c>
      <c r="H100" s="617">
        <f t="shared" si="6"/>
        <v>-6208.19</v>
      </c>
      <c r="I100" s="55"/>
      <c r="J100" s="53"/>
    </row>
    <row r="101" spans="1:10">
      <c r="A101" s="65">
        <v>96</v>
      </c>
      <c r="B101" s="57">
        <v>45420</v>
      </c>
      <c r="C101" s="546">
        <v>43435</v>
      </c>
      <c r="D101" s="191" t="s">
        <v>2426</v>
      </c>
      <c r="E101" s="552">
        <v>-6208.19</v>
      </c>
      <c r="F101" s="189" t="s">
        <v>1060</v>
      </c>
      <c r="G101" s="536">
        <v>1</v>
      </c>
      <c r="H101" s="617">
        <f t="shared" si="6"/>
        <v>-6208.19</v>
      </c>
      <c r="I101" s="55"/>
      <c r="J101" s="53"/>
    </row>
    <row r="102" spans="1:10">
      <c r="A102" s="65">
        <v>97</v>
      </c>
      <c r="B102" s="57">
        <v>45420</v>
      </c>
      <c r="C102" s="673" t="s">
        <v>2419</v>
      </c>
      <c r="D102" s="191" t="s">
        <v>2426</v>
      </c>
      <c r="E102" s="553" t="s">
        <v>2590</v>
      </c>
      <c r="F102" s="542" t="s">
        <v>1060</v>
      </c>
      <c r="G102" s="536">
        <v>1</v>
      </c>
      <c r="H102" s="618" t="str">
        <f t="shared" si="6"/>
        <v>-</v>
      </c>
      <c r="I102" s="537"/>
      <c r="J102" s="538"/>
    </row>
    <row r="103" spans="1:10" ht="15" thickBot="1">
      <c r="A103" s="73">
        <v>98</v>
      </c>
      <c r="B103" s="50"/>
      <c r="C103" s="51" t="s">
        <v>2444</v>
      </c>
      <c r="D103" s="543"/>
      <c r="E103" s="554">
        <f>SUM(E90:E102)</f>
        <v>-79567.280000000013</v>
      </c>
      <c r="F103" s="544"/>
      <c r="G103" s="49"/>
      <c r="H103" s="619">
        <f>SUM(H90:H102)</f>
        <v>-79567.280000000013</v>
      </c>
      <c r="I103" s="48"/>
      <c r="J103" s="46"/>
    </row>
    <row r="104" spans="1:10">
      <c r="A104" s="139">
        <v>99</v>
      </c>
      <c r="B104" s="136">
        <v>45643</v>
      </c>
      <c r="C104" s="545">
        <v>43132</v>
      </c>
      <c r="D104" s="539" t="s">
        <v>2427</v>
      </c>
      <c r="E104" s="550">
        <v>-11317569.859999999</v>
      </c>
      <c r="F104" s="534" t="s">
        <v>1060</v>
      </c>
      <c r="G104" s="548">
        <v>1</v>
      </c>
      <c r="H104" s="616">
        <f>E104</f>
        <v>-11317569.859999999</v>
      </c>
      <c r="I104" s="135"/>
      <c r="J104" s="535"/>
    </row>
    <row r="105" spans="1:10">
      <c r="A105" s="65">
        <v>100</v>
      </c>
      <c r="B105" s="57">
        <v>45643</v>
      </c>
      <c r="C105" s="546">
        <v>43160</v>
      </c>
      <c r="D105" s="540" t="s">
        <v>2427</v>
      </c>
      <c r="E105" s="551">
        <v>-11038740.550000001</v>
      </c>
      <c r="F105" s="192" t="s">
        <v>1060</v>
      </c>
      <c r="G105" s="536">
        <v>1</v>
      </c>
      <c r="H105" s="617">
        <f t="shared" ref="H105:H115" si="7">E105</f>
        <v>-11038740.550000001</v>
      </c>
      <c r="I105" s="55"/>
      <c r="J105" s="53"/>
    </row>
    <row r="106" spans="1:10">
      <c r="A106" s="65">
        <v>101</v>
      </c>
      <c r="B106" s="57">
        <v>45643</v>
      </c>
      <c r="C106" s="546">
        <v>43191</v>
      </c>
      <c r="D106" s="187" t="s">
        <v>2427</v>
      </c>
      <c r="E106" s="551">
        <v>-11106665.869999999</v>
      </c>
      <c r="F106" s="192" t="s">
        <v>1060</v>
      </c>
      <c r="G106" s="536">
        <v>1</v>
      </c>
      <c r="H106" s="617">
        <f t="shared" si="7"/>
        <v>-11106665.869999999</v>
      </c>
      <c r="I106" s="55"/>
      <c r="J106" s="53"/>
    </row>
    <row r="107" spans="1:10">
      <c r="A107" s="65">
        <v>102</v>
      </c>
      <c r="B107" s="57">
        <v>45643</v>
      </c>
      <c r="C107" s="546">
        <v>43221</v>
      </c>
      <c r="D107" s="187" t="s">
        <v>2427</v>
      </c>
      <c r="E107" s="551">
        <v>-11106665.880000001</v>
      </c>
      <c r="F107" s="192" t="s">
        <v>1060</v>
      </c>
      <c r="G107" s="536">
        <v>1</v>
      </c>
      <c r="H107" s="617">
        <f t="shared" si="7"/>
        <v>-11106665.880000001</v>
      </c>
      <c r="I107" s="55"/>
      <c r="J107" s="53"/>
    </row>
    <row r="108" spans="1:10">
      <c r="A108" s="65">
        <v>103</v>
      </c>
      <c r="B108" s="57">
        <v>45643</v>
      </c>
      <c r="C108" s="546">
        <v>43252</v>
      </c>
      <c r="D108" s="187" t="s">
        <v>2427</v>
      </c>
      <c r="E108" s="551">
        <v>-11106665.77</v>
      </c>
      <c r="F108" s="192" t="s">
        <v>1060</v>
      </c>
      <c r="G108" s="536">
        <v>1</v>
      </c>
      <c r="H108" s="617">
        <f t="shared" si="7"/>
        <v>-11106665.77</v>
      </c>
      <c r="I108" s="55"/>
      <c r="J108" s="53"/>
    </row>
    <row r="109" spans="1:10">
      <c r="A109" s="65">
        <v>104</v>
      </c>
      <c r="B109" s="57">
        <v>45643</v>
      </c>
      <c r="C109" s="546">
        <v>43282</v>
      </c>
      <c r="D109" s="187" t="s">
        <v>2427</v>
      </c>
      <c r="E109" s="551">
        <v>-11106665.73</v>
      </c>
      <c r="F109" s="192" t="s">
        <v>1060</v>
      </c>
      <c r="G109" s="536">
        <v>1</v>
      </c>
      <c r="H109" s="617">
        <f t="shared" si="7"/>
        <v>-11106665.73</v>
      </c>
      <c r="I109" s="55"/>
      <c r="J109" s="53"/>
    </row>
    <row r="110" spans="1:10">
      <c r="A110" s="65">
        <v>105</v>
      </c>
      <c r="B110" s="57">
        <v>45643</v>
      </c>
      <c r="C110" s="546">
        <v>43313</v>
      </c>
      <c r="D110" s="191" t="s">
        <v>2427</v>
      </c>
      <c r="E110" s="551">
        <v>-11106663.300000001</v>
      </c>
      <c r="F110" s="192" t="s">
        <v>1060</v>
      </c>
      <c r="G110" s="536">
        <v>1</v>
      </c>
      <c r="H110" s="617">
        <f t="shared" si="7"/>
        <v>-11106663.300000001</v>
      </c>
      <c r="I110" s="55"/>
      <c r="J110" s="53"/>
    </row>
    <row r="111" spans="1:10">
      <c r="A111" s="65">
        <v>106</v>
      </c>
      <c r="B111" s="57">
        <v>45643</v>
      </c>
      <c r="C111" s="546">
        <v>43344</v>
      </c>
      <c r="D111" s="166" t="s">
        <v>2427</v>
      </c>
      <c r="E111" s="552">
        <v>-11106661.1</v>
      </c>
      <c r="F111" s="203" t="str">
        <f>+F110</f>
        <v>TP</v>
      </c>
      <c r="G111" s="536">
        <f>+G110</f>
        <v>1</v>
      </c>
      <c r="H111" s="617">
        <f t="shared" si="7"/>
        <v>-11106661.1</v>
      </c>
      <c r="I111" s="55"/>
      <c r="J111" s="53"/>
    </row>
    <row r="112" spans="1:10">
      <c r="A112" s="65">
        <v>107</v>
      </c>
      <c r="B112" s="57">
        <v>45643</v>
      </c>
      <c r="C112" s="546">
        <v>43374</v>
      </c>
      <c r="D112" s="166" t="s">
        <v>2427</v>
      </c>
      <c r="E112" s="552">
        <v>-11106658.65</v>
      </c>
      <c r="F112" s="203" t="s">
        <v>1060</v>
      </c>
      <c r="G112" s="536">
        <v>1</v>
      </c>
      <c r="H112" s="617">
        <f t="shared" si="7"/>
        <v>-11106658.65</v>
      </c>
      <c r="I112" s="55"/>
      <c r="J112" s="53"/>
    </row>
    <row r="113" spans="1:10">
      <c r="A113" s="65">
        <v>108</v>
      </c>
      <c r="B113" s="57">
        <v>45643</v>
      </c>
      <c r="C113" s="546">
        <v>43405</v>
      </c>
      <c r="D113" s="218" t="s">
        <v>2427</v>
      </c>
      <c r="E113" s="552">
        <v>-11106658.67</v>
      </c>
      <c r="F113" s="542" t="s">
        <v>1060</v>
      </c>
      <c r="G113" s="536">
        <v>1</v>
      </c>
      <c r="H113" s="617">
        <f t="shared" si="7"/>
        <v>-11106658.67</v>
      </c>
      <c r="I113" s="55"/>
      <c r="J113" s="53"/>
    </row>
    <row r="114" spans="1:10">
      <c r="A114" s="65">
        <v>109</v>
      </c>
      <c r="B114" s="57">
        <v>45643</v>
      </c>
      <c r="C114" s="546">
        <v>43435</v>
      </c>
      <c r="D114" s="218" t="s">
        <v>2427</v>
      </c>
      <c r="E114" s="552">
        <v>-11106661.09</v>
      </c>
      <c r="F114" s="542" t="s">
        <v>1060</v>
      </c>
      <c r="G114" s="536">
        <v>1</v>
      </c>
      <c r="H114" s="617">
        <f t="shared" si="7"/>
        <v>-11106661.09</v>
      </c>
      <c r="I114" s="55"/>
      <c r="J114" s="53"/>
    </row>
    <row r="115" spans="1:10">
      <c r="A115" s="65">
        <v>110</v>
      </c>
      <c r="B115" s="57">
        <v>45643</v>
      </c>
      <c r="C115" s="546">
        <v>43466</v>
      </c>
      <c r="D115" s="218" t="s">
        <v>2427</v>
      </c>
      <c r="E115" s="552">
        <v>-11106663.449999999</v>
      </c>
      <c r="F115" s="189" t="s">
        <v>1060</v>
      </c>
      <c r="G115" s="536">
        <v>1</v>
      </c>
      <c r="H115" s="617">
        <f t="shared" si="7"/>
        <v>-11106663.449999999</v>
      </c>
      <c r="I115" s="55"/>
      <c r="J115" s="53"/>
    </row>
    <row r="116" spans="1:10">
      <c r="A116" s="65">
        <v>111</v>
      </c>
      <c r="B116" s="57">
        <v>45643</v>
      </c>
      <c r="C116" s="673" t="s">
        <v>2419</v>
      </c>
      <c r="D116" s="541" t="s">
        <v>2427</v>
      </c>
      <c r="E116" s="553">
        <v>0</v>
      </c>
      <c r="F116" s="542" t="s">
        <v>1060</v>
      </c>
      <c r="G116" s="536">
        <v>1</v>
      </c>
      <c r="H116" s="671">
        <f>E116</f>
        <v>0</v>
      </c>
      <c r="I116" s="537"/>
      <c r="J116" s="538"/>
    </row>
    <row r="117" spans="1:10" ht="15" thickBot="1">
      <c r="A117" s="73">
        <v>112</v>
      </c>
      <c r="B117" s="50"/>
      <c r="C117" s="51" t="s">
        <v>2444</v>
      </c>
      <c r="D117" s="543"/>
      <c r="E117" s="554">
        <f>SUM(E104:E116)</f>
        <v>-133422939.92000002</v>
      </c>
      <c r="F117" s="544"/>
      <c r="G117" s="49"/>
      <c r="H117" s="619">
        <f>SUM(H104:H116)</f>
        <v>-133422939.92000002</v>
      </c>
      <c r="I117" s="48"/>
      <c r="J117" s="46"/>
    </row>
    <row r="118" spans="1:10">
      <c r="A118" s="139">
        <v>113</v>
      </c>
      <c r="B118" s="136">
        <v>7080</v>
      </c>
      <c r="C118" s="545">
        <v>43132</v>
      </c>
      <c r="D118" s="539" t="s">
        <v>2429</v>
      </c>
      <c r="E118" s="550">
        <v>-7276.17</v>
      </c>
      <c r="F118" s="534" t="s">
        <v>487</v>
      </c>
      <c r="G118" s="548">
        <v>1</v>
      </c>
      <c r="H118" s="616">
        <f>E118</f>
        <v>-7276.17</v>
      </c>
      <c r="I118" s="135"/>
      <c r="J118" s="535"/>
    </row>
    <row r="119" spans="1:10">
      <c r="A119" s="65">
        <v>114</v>
      </c>
      <c r="B119" s="57">
        <v>7080</v>
      </c>
      <c r="C119" s="546">
        <v>43160</v>
      </c>
      <c r="D119" s="540" t="s">
        <v>2429</v>
      </c>
      <c r="E119" s="551">
        <v>-7276.17</v>
      </c>
      <c r="F119" s="192" t="s">
        <v>487</v>
      </c>
      <c r="G119" s="536">
        <v>1</v>
      </c>
      <c r="H119" s="617">
        <f t="shared" ref="H119:H129" si="8">E119</f>
        <v>-7276.17</v>
      </c>
      <c r="I119" s="55"/>
      <c r="J119" s="53"/>
    </row>
    <row r="120" spans="1:10">
      <c r="A120" s="65">
        <v>115</v>
      </c>
      <c r="B120" s="57">
        <v>7080</v>
      </c>
      <c r="C120" s="546">
        <v>43191</v>
      </c>
      <c r="D120" s="187" t="s">
        <v>2429</v>
      </c>
      <c r="E120" s="551">
        <v>-7276.17</v>
      </c>
      <c r="F120" s="192" t="s">
        <v>487</v>
      </c>
      <c r="G120" s="536">
        <v>1</v>
      </c>
      <c r="H120" s="617">
        <f t="shared" si="8"/>
        <v>-7276.17</v>
      </c>
      <c r="I120" s="55"/>
      <c r="J120" s="53"/>
    </row>
    <row r="121" spans="1:10">
      <c r="A121" s="65">
        <v>116</v>
      </c>
      <c r="B121" s="57">
        <v>7080</v>
      </c>
      <c r="C121" s="546">
        <v>43221</v>
      </c>
      <c r="D121" s="540" t="s">
        <v>2429</v>
      </c>
      <c r="E121" s="551">
        <v>-7276.17</v>
      </c>
      <c r="F121" s="192" t="s">
        <v>487</v>
      </c>
      <c r="G121" s="536">
        <v>1</v>
      </c>
      <c r="H121" s="617">
        <f t="shared" si="8"/>
        <v>-7276.17</v>
      </c>
      <c r="I121" s="55"/>
      <c r="J121" s="53"/>
    </row>
    <row r="122" spans="1:10">
      <c r="A122" s="65">
        <v>117</v>
      </c>
      <c r="B122" s="57">
        <v>7080</v>
      </c>
      <c r="C122" s="546">
        <v>43252</v>
      </c>
      <c r="D122" s="187" t="s">
        <v>2429</v>
      </c>
      <c r="E122" s="551">
        <v>-7276.17</v>
      </c>
      <c r="F122" s="192" t="s">
        <v>487</v>
      </c>
      <c r="G122" s="536">
        <v>1</v>
      </c>
      <c r="H122" s="617">
        <f t="shared" si="8"/>
        <v>-7276.17</v>
      </c>
      <c r="I122" s="55"/>
      <c r="J122" s="53"/>
    </row>
    <row r="123" spans="1:10">
      <c r="A123" s="65">
        <v>118</v>
      </c>
      <c r="B123" s="57">
        <v>7080</v>
      </c>
      <c r="C123" s="546">
        <v>43282</v>
      </c>
      <c r="D123" s="540" t="s">
        <v>2429</v>
      </c>
      <c r="E123" s="551">
        <v>-7276.17</v>
      </c>
      <c r="F123" s="192" t="s">
        <v>487</v>
      </c>
      <c r="G123" s="536">
        <v>1</v>
      </c>
      <c r="H123" s="617">
        <f t="shared" si="8"/>
        <v>-7276.17</v>
      </c>
      <c r="I123" s="55"/>
      <c r="J123" s="53"/>
    </row>
    <row r="124" spans="1:10">
      <c r="A124" s="65">
        <v>119</v>
      </c>
      <c r="B124" s="57">
        <v>7080</v>
      </c>
      <c r="C124" s="546">
        <v>43313</v>
      </c>
      <c r="D124" s="187" t="s">
        <v>2429</v>
      </c>
      <c r="E124" s="551">
        <v>-7276.17</v>
      </c>
      <c r="F124" s="192" t="s">
        <v>487</v>
      </c>
      <c r="G124" s="536">
        <v>1</v>
      </c>
      <c r="H124" s="617">
        <f t="shared" si="8"/>
        <v>-7276.17</v>
      </c>
      <c r="I124" s="55"/>
      <c r="J124" s="53"/>
    </row>
    <row r="125" spans="1:10">
      <c r="A125" s="65">
        <v>120</v>
      </c>
      <c r="B125" s="57">
        <v>7080</v>
      </c>
      <c r="C125" s="546">
        <v>43344</v>
      </c>
      <c r="D125" s="540" t="s">
        <v>2429</v>
      </c>
      <c r="E125" s="552">
        <v>-7276.17</v>
      </c>
      <c r="F125" s="203" t="s">
        <v>487</v>
      </c>
      <c r="G125" s="536">
        <f>+G124</f>
        <v>1</v>
      </c>
      <c r="H125" s="617">
        <f t="shared" si="8"/>
        <v>-7276.17</v>
      </c>
      <c r="I125" s="55"/>
      <c r="J125" s="53"/>
    </row>
    <row r="126" spans="1:10">
      <c r="A126" s="65">
        <v>121</v>
      </c>
      <c r="B126" s="57">
        <v>7080</v>
      </c>
      <c r="C126" s="546">
        <v>43374</v>
      </c>
      <c r="D126" s="187" t="s">
        <v>2429</v>
      </c>
      <c r="E126" s="552">
        <v>-7276.17</v>
      </c>
      <c r="F126" s="203" t="s">
        <v>487</v>
      </c>
      <c r="G126" s="536">
        <v>1</v>
      </c>
      <c r="H126" s="617">
        <f t="shared" si="8"/>
        <v>-7276.17</v>
      </c>
      <c r="I126" s="55"/>
      <c r="J126" s="53"/>
    </row>
    <row r="127" spans="1:10">
      <c r="A127" s="65">
        <v>122</v>
      </c>
      <c r="B127" s="57">
        <v>7080</v>
      </c>
      <c r="C127" s="546">
        <v>43405</v>
      </c>
      <c r="D127" s="540" t="s">
        <v>2429</v>
      </c>
      <c r="E127" s="552">
        <v>-7276.17</v>
      </c>
      <c r="F127" s="542" t="s">
        <v>487</v>
      </c>
      <c r="G127" s="536">
        <v>1</v>
      </c>
      <c r="H127" s="617">
        <f t="shared" si="8"/>
        <v>-7276.17</v>
      </c>
      <c r="I127" s="55"/>
      <c r="J127" s="53"/>
    </row>
    <row r="128" spans="1:10">
      <c r="A128" s="65">
        <v>123</v>
      </c>
      <c r="B128" s="57">
        <v>7080</v>
      </c>
      <c r="C128" s="546">
        <v>43435</v>
      </c>
      <c r="D128" s="187" t="s">
        <v>2429</v>
      </c>
      <c r="E128" s="552">
        <v>-7276.17</v>
      </c>
      <c r="F128" s="542" t="s">
        <v>487</v>
      </c>
      <c r="G128" s="536">
        <v>1</v>
      </c>
      <c r="H128" s="617">
        <f t="shared" si="8"/>
        <v>-7276.17</v>
      </c>
      <c r="I128" s="55"/>
      <c r="J128" s="53"/>
    </row>
    <row r="129" spans="1:10">
      <c r="A129" s="65">
        <v>124</v>
      </c>
      <c r="B129" s="57">
        <v>7080</v>
      </c>
      <c r="C129" s="546">
        <v>43466</v>
      </c>
      <c r="D129" s="540" t="s">
        <v>2429</v>
      </c>
      <c r="E129" s="552">
        <v>-7276.17</v>
      </c>
      <c r="F129" s="189" t="s">
        <v>487</v>
      </c>
      <c r="G129" s="536">
        <v>1</v>
      </c>
      <c r="H129" s="617">
        <f t="shared" si="8"/>
        <v>-7276.17</v>
      </c>
      <c r="I129" s="55"/>
      <c r="J129" s="53"/>
    </row>
    <row r="130" spans="1:10">
      <c r="A130" s="65">
        <v>125</v>
      </c>
      <c r="B130" s="57">
        <v>7080</v>
      </c>
      <c r="C130" s="673" t="s">
        <v>2419</v>
      </c>
      <c r="D130" s="540" t="s">
        <v>2429</v>
      </c>
      <c r="E130" s="553">
        <v>0</v>
      </c>
      <c r="F130" s="542" t="s">
        <v>487</v>
      </c>
      <c r="G130" s="536">
        <v>1</v>
      </c>
      <c r="H130" s="671">
        <f>E130</f>
        <v>0</v>
      </c>
      <c r="I130" s="537"/>
      <c r="J130" s="538"/>
    </row>
    <row r="131" spans="1:10" ht="15" thickBot="1">
      <c r="A131" s="73">
        <v>126</v>
      </c>
      <c r="B131" s="50"/>
      <c r="C131" s="51" t="s">
        <v>2444</v>
      </c>
      <c r="D131" s="543"/>
      <c r="E131" s="554">
        <f>SUM(E118:E130)</f>
        <v>-87314.04</v>
      </c>
      <c r="F131" s="544"/>
      <c r="G131" s="49"/>
      <c r="H131" s="619">
        <f>SUM(H118:H130)</f>
        <v>-87314.04</v>
      </c>
      <c r="I131" s="48"/>
      <c r="J131" s="46"/>
    </row>
    <row r="132" spans="1:10">
      <c r="A132" s="139">
        <v>127</v>
      </c>
      <c r="B132" s="136">
        <v>7089</v>
      </c>
      <c r="C132" s="545">
        <v>43132</v>
      </c>
      <c r="D132" s="539" t="s">
        <v>2430</v>
      </c>
      <c r="E132" s="550">
        <v>-7276.17</v>
      </c>
      <c r="F132" s="534" t="s">
        <v>487</v>
      </c>
      <c r="G132" s="548">
        <v>1</v>
      </c>
      <c r="H132" s="616">
        <f>E132</f>
        <v>-7276.17</v>
      </c>
      <c r="I132" s="135"/>
      <c r="J132" s="535"/>
    </row>
    <row r="133" spans="1:10">
      <c r="A133" s="65">
        <v>128</v>
      </c>
      <c r="B133" s="57">
        <v>7089</v>
      </c>
      <c r="C133" s="546">
        <v>43160</v>
      </c>
      <c r="D133" s="540" t="s">
        <v>2430</v>
      </c>
      <c r="E133" s="551">
        <v>-7276.17</v>
      </c>
      <c r="F133" s="192" t="s">
        <v>487</v>
      </c>
      <c r="G133" s="536">
        <v>1</v>
      </c>
      <c r="H133" s="617">
        <f t="shared" ref="H133:H143" si="9">E133</f>
        <v>-7276.17</v>
      </c>
      <c r="I133" s="55"/>
      <c r="J133" s="53"/>
    </row>
    <row r="134" spans="1:10">
      <c r="A134" s="65">
        <v>129</v>
      </c>
      <c r="B134" s="57">
        <v>7089</v>
      </c>
      <c r="C134" s="546">
        <v>43191</v>
      </c>
      <c r="D134" s="540" t="s">
        <v>2430</v>
      </c>
      <c r="E134" s="551">
        <v>-7276.17</v>
      </c>
      <c r="F134" s="192" t="s">
        <v>487</v>
      </c>
      <c r="G134" s="536">
        <v>1</v>
      </c>
      <c r="H134" s="617">
        <f t="shared" si="9"/>
        <v>-7276.17</v>
      </c>
      <c r="I134" s="55"/>
      <c r="J134" s="53"/>
    </row>
    <row r="135" spans="1:10">
      <c r="A135" s="65">
        <v>130</v>
      </c>
      <c r="B135" s="57">
        <v>7089</v>
      </c>
      <c r="C135" s="546">
        <v>43221</v>
      </c>
      <c r="D135" s="540" t="s">
        <v>2430</v>
      </c>
      <c r="E135" s="551">
        <v>-7276.17</v>
      </c>
      <c r="F135" s="192" t="s">
        <v>487</v>
      </c>
      <c r="G135" s="536">
        <v>1</v>
      </c>
      <c r="H135" s="617">
        <f t="shared" si="9"/>
        <v>-7276.17</v>
      </c>
      <c r="I135" s="55"/>
      <c r="J135" s="53"/>
    </row>
    <row r="136" spans="1:10">
      <c r="A136" s="65">
        <v>131</v>
      </c>
      <c r="B136" s="57">
        <v>7089</v>
      </c>
      <c r="C136" s="546">
        <v>43252</v>
      </c>
      <c r="D136" s="540" t="s">
        <v>2430</v>
      </c>
      <c r="E136" s="551">
        <v>-7276.17</v>
      </c>
      <c r="F136" s="192" t="s">
        <v>487</v>
      </c>
      <c r="G136" s="536">
        <v>1</v>
      </c>
      <c r="H136" s="617">
        <f t="shared" si="9"/>
        <v>-7276.17</v>
      </c>
      <c r="I136" s="55"/>
      <c r="J136" s="53"/>
    </row>
    <row r="137" spans="1:10">
      <c r="A137" s="65">
        <v>132</v>
      </c>
      <c r="B137" s="57">
        <v>7089</v>
      </c>
      <c r="C137" s="546">
        <v>43282</v>
      </c>
      <c r="D137" s="540" t="s">
        <v>2430</v>
      </c>
      <c r="E137" s="551">
        <v>-7276.17</v>
      </c>
      <c r="F137" s="192" t="s">
        <v>487</v>
      </c>
      <c r="G137" s="536">
        <v>1</v>
      </c>
      <c r="H137" s="617">
        <f t="shared" si="9"/>
        <v>-7276.17</v>
      </c>
      <c r="I137" s="55"/>
      <c r="J137" s="53"/>
    </row>
    <row r="138" spans="1:10">
      <c r="A138" s="65">
        <v>133</v>
      </c>
      <c r="B138" s="57">
        <v>7089</v>
      </c>
      <c r="C138" s="546">
        <v>43313</v>
      </c>
      <c r="D138" s="540" t="s">
        <v>2430</v>
      </c>
      <c r="E138" s="551">
        <v>-7276.17</v>
      </c>
      <c r="F138" s="192" t="s">
        <v>487</v>
      </c>
      <c r="G138" s="536">
        <v>1</v>
      </c>
      <c r="H138" s="617">
        <f t="shared" si="9"/>
        <v>-7276.17</v>
      </c>
      <c r="I138" s="55"/>
      <c r="J138" s="53"/>
    </row>
    <row r="139" spans="1:10">
      <c r="A139" s="65">
        <v>134</v>
      </c>
      <c r="B139" s="57">
        <v>7089</v>
      </c>
      <c r="C139" s="546">
        <v>43344</v>
      </c>
      <c r="D139" s="540" t="s">
        <v>2430</v>
      </c>
      <c r="E139" s="552">
        <v>-7276.17</v>
      </c>
      <c r="F139" s="203" t="s">
        <v>487</v>
      </c>
      <c r="G139" s="536">
        <f>+G138</f>
        <v>1</v>
      </c>
      <c r="H139" s="617">
        <f t="shared" si="9"/>
        <v>-7276.17</v>
      </c>
      <c r="I139" s="55"/>
      <c r="J139" s="53"/>
    </row>
    <row r="140" spans="1:10">
      <c r="A140" s="65">
        <v>135</v>
      </c>
      <c r="B140" s="57">
        <v>7089</v>
      </c>
      <c r="C140" s="546">
        <v>43374</v>
      </c>
      <c r="D140" s="540" t="s">
        <v>2430</v>
      </c>
      <c r="E140" s="552">
        <v>-7276.17</v>
      </c>
      <c r="F140" s="203" t="s">
        <v>487</v>
      </c>
      <c r="G140" s="536">
        <v>1</v>
      </c>
      <c r="H140" s="617">
        <f t="shared" si="9"/>
        <v>-7276.17</v>
      </c>
      <c r="I140" s="55"/>
      <c r="J140" s="53"/>
    </row>
    <row r="141" spans="1:10">
      <c r="A141" s="65">
        <v>136</v>
      </c>
      <c r="B141" s="57">
        <v>7089</v>
      </c>
      <c r="C141" s="546">
        <v>43405</v>
      </c>
      <c r="D141" s="540" t="s">
        <v>2430</v>
      </c>
      <c r="E141" s="552">
        <v>-7276.17</v>
      </c>
      <c r="F141" s="542" t="s">
        <v>487</v>
      </c>
      <c r="G141" s="536">
        <v>1</v>
      </c>
      <c r="H141" s="617">
        <f t="shared" si="9"/>
        <v>-7276.17</v>
      </c>
      <c r="I141" s="55"/>
      <c r="J141" s="53"/>
    </row>
    <row r="142" spans="1:10">
      <c r="A142" s="65">
        <v>137</v>
      </c>
      <c r="B142" s="57">
        <v>7089</v>
      </c>
      <c r="C142" s="546">
        <v>43435</v>
      </c>
      <c r="D142" s="540" t="s">
        <v>2430</v>
      </c>
      <c r="E142" s="552">
        <v>-7276.17</v>
      </c>
      <c r="F142" s="542" t="s">
        <v>487</v>
      </c>
      <c r="G142" s="536">
        <v>1</v>
      </c>
      <c r="H142" s="617">
        <f t="shared" si="9"/>
        <v>-7276.17</v>
      </c>
      <c r="I142" s="55"/>
      <c r="J142" s="53"/>
    </row>
    <row r="143" spans="1:10">
      <c r="A143" s="65">
        <v>138</v>
      </c>
      <c r="B143" s="57">
        <v>7089</v>
      </c>
      <c r="C143" s="546">
        <v>43466</v>
      </c>
      <c r="D143" s="540" t="s">
        <v>2430</v>
      </c>
      <c r="E143" s="552">
        <v>-7276.17</v>
      </c>
      <c r="F143" s="189" t="s">
        <v>487</v>
      </c>
      <c r="G143" s="536">
        <v>1</v>
      </c>
      <c r="H143" s="617">
        <f t="shared" si="9"/>
        <v>-7276.17</v>
      </c>
      <c r="I143" s="55"/>
      <c r="J143" s="53"/>
    </row>
    <row r="144" spans="1:10">
      <c r="A144" s="65">
        <v>139</v>
      </c>
      <c r="B144" s="57">
        <v>7089</v>
      </c>
      <c r="C144" s="673" t="s">
        <v>2419</v>
      </c>
      <c r="D144" s="540" t="s">
        <v>2430</v>
      </c>
      <c r="E144" s="553">
        <v>0</v>
      </c>
      <c r="F144" s="542" t="s">
        <v>487</v>
      </c>
      <c r="G144" s="536">
        <v>1</v>
      </c>
      <c r="H144" s="671">
        <f>E144</f>
        <v>0</v>
      </c>
      <c r="I144" s="537"/>
      <c r="J144" s="538"/>
    </row>
    <row r="145" spans="1:10" ht="15" thickBot="1">
      <c r="A145" s="73">
        <v>140</v>
      </c>
      <c r="B145" s="50"/>
      <c r="C145" s="51" t="s">
        <v>2444</v>
      </c>
      <c r="D145" s="543"/>
      <c r="E145" s="554">
        <f>SUM(E132:E144)</f>
        <v>-87314.04</v>
      </c>
      <c r="F145" s="544"/>
      <c r="G145" s="49"/>
      <c r="H145" s="619">
        <f>SUM(H132:H144)</f>
        <v>-87314.04</v>
      </c>
      <c r="I145" s="48"/>
      <c r="J145" s="46"/>
    </row>
    <row r="146" spans="1:10">
      <c r="A146" s="139">
        <v>141</v>
      </c>
      <c r="B146" s="136">
        <v>7091</v>
      </c>
      <c r="C146" s="545">
        <v>43132</v>
      </c>
      <c r="D146" s="539" t="s">
        <v>2431</v>
      </c>
      <c r="E146" s="550">
        <v>-15732.58</v>
      </c>
      <c r="F146" s="534" t="s">
        <v>487</v>
      </c>
      <c r="G146" s="548">
        <v>1</v>
      </c>
      <c r="H146" s="616">
        <f>E146</f>
        <v>-15732.58</v>
      </c>
      <c r="I146" s="135"/>
      <c r="J146" s="535"/>
    </row>
    <row r="147" spans="1:10">
      <c r="A147" s="65">
        <v>142</v>
      </c>
      <c r="B147" s="57">
        <v>7091</v>
      </c>
      <c r="C147" s="546">
        <v>43160</v>
      </c>
      <c r="D147" s="540" t="s">
        <v>2431</v>
      </c>
      <c r="E147" s="551">
        <v>-15732.58</v>
      </c>
      <c r="F147" s="192" t="s">
        <v>487</v>
      </c>
      <c r="G147" s="536">
        <v>1</v>
      </c>
      <c r="H147" s="617">
        <f t="shared" ref="H147:H157" si="10">E147</f>
        <v>-15732.58</v>
      </c>
      <c r="I147" s="55"/>
      <c r="J147" s="53"/>
    </row>
    <row r="148" spans="1:10">
      <c r="A148" s="65">
        <v>143</v>
      </c>
      <c r="B148" s="57">
        <v>7091</v>
      </c>
      <c r="C148" s="546">
        <v>43191</v>
      </c>
      <c r="D148" s="187" t="s">
        <v>2431</v>
      </c>
      <c r="E148" s="551">
        <v>-15732.58</v>
      </c>
      <c r="F148" s="192" t="s">
        <v>487</v>
      </c>
      <c r="G148" s="536">
        <v>1</v>
      </c>
      <c r="H148" s="617">
        <f t="shared" si="10"/>
        <v>-15732.58</v>
      </c>
      <c r="I148" s="55"/>
      <c r="J148" s="53"/>
    </row>
    <row r="149" spans="1:10">
      <c r="A149" s="65">
        <v>144</v>
      </c>
      <c r="B149" s="57">
        <v>7091</v>
      </c>
      <c r="C149" s="546">
        <v>43221</v>
      </c>
      <c r="D149" s="540" t="s">
        <v>2431</v>
      </c>
      <c r="E149" s="551">
        <v>-15732.58</v>
      </c>
      <c r="F149" s="192" t="s">
        <v>487</v>
      </c>
      <c r="G149" s="536">
        <v>1</v>
      </c>
      <c r="H149" s="617">
        <f t="shared" si="10"/>
        <v>-15732.58</v>
      </c>
      <c r="I149" s="55"/>
      <c r="J149" s="53"/>
    </row>
    <row r="150" spans="1:10">
      <c r="A150" s="65">
        <v>145</v>
      </c>
      <c r="B150" s="57">
        <v>7091</v>
      </c>
      <c r="C150" s="546">
        <v>43252</v>
      </c>
      <c r="D150" s="187" t="s">
        <v>2431</v>
      </c>
      <c r="E150" s="551">
        <v>-15732.58</v>
      </c>
      <c r="F150" s="192" t="s">
        <v>487</v>
      </c>
      <c r="G150" s="536">
        <v>1</v>
      </c>
      <c r="H150" s="617">
        <f t="shared" si="10"/>
        <v>-15732.58</v>
      </c>
      <c r="I150" s="55"/>
      <c r="J150" s="53"/>
    </row>
    <row r="151" spans="1:10">
      <c r="A151" s="65">
        <v>146</v>
      </c>
      <c r="B151" s="57">
        <v>7091</v>
      </c>
      <c r="C151" s="546">
        <v>43282</v>
      </c>
      <c r="D151" s="540" t="s">
        <v>2431</v>
      </c>
      <c r="E151" s="551">
        <v>-15732.58</v>
      </c>
      <c r="F151" s="192" t="s">
        <v>487</v>
      </c>
      <c r="G151" s="536">
        <v>1</v>
      </c>
      <c r="H151" s="617">
        <f t="shared" si="10"/>
        <v>-15732.58</v>
      </c>
      <c r="I151" s="55"/>
      <c r="J151" s="53"/>
    </row>
    <row r="152" spans="1:10">
      <c r="A152" s="65">
        <v>147</v>
      </c>
      <c r="B152" s="57">
        <v>7091</v>
      </c>
      <c r="C152" s="546">
        <v>43313</v>
      </c>
      <c r="D152" s="187" t="s">
        <v>2431</v>
      </c>
      <c r="E152" s="551">
        <v>-15732.58</v>
      </c>
      <c r="F152" s="192" t="s">
        <v>487</v>
      </c>
      <c r="G152" s="536">
        <v>1</v>
      </c>
      <c r="H152" s="617">
        <f t="shared" si="10"/>
        <v>-15732.58</v>
      </c>
      <c r="I152" s="55"/>
      <c r="J152" s="53"/>
    </row>
    <row r="153" spans="1:10">
      <c r="A153" s="65">
        <v>148</v>
      </c>
      <c r="B153" s="57">
        <v>7091</v>
      </c>
      <c r="C153" s="546">
        <v>43344</v>
      </c>
      <c r="D153" s="540" t="s">
        <v>2431</v>
      </c>
      <c r="E153" s="552">
        <v>-15732.58</v>
      </c>
      <c r="F153" s="203" t="s">
        <v>487</v>
      </c>
      <c r="G153" s="536">
        <f>+G152</f>
        <v>1</v>
      </c>
      <c r="H153" s="617">
        <f t="shared" si="10"/>
        <v>-15732.58</v>
      </c>
      <c r="I153" s="55"/>
      <c r="J153" s="53"/>
    </row>
    <row r="154" spans="1:10">
      <c r="A154" s="65">
        <v>149</v>
      </c>
      <c r="B154" s="57">
        <v>7091</v>
      </c>
      <c r="C154" s="546">
        <v>43374</v>
      </c>
      <c r="D154" s="187" t="s">
        <v>2431</v>
      </c>
      <c r="E154" s="552">
        <v>-15732.58</v>
      </c>
      <c r="F154" s="203" t="s">
        <v>487</v>
      </c>
      <c r="G154" s="536">
        <v>1</v>
      </c>
      <c r="H154" s="617">
        <f t="shared" si="10"/>
        <v>-15732.58</v>
      </c>
      <c r="I154" s="55"/>
      <c r="J154" s="53"/>
    </row>
    <row r="155" spans="1:10">
      <c r="A155" s="65">
        <v>150</v>
      </c>
      <c r="B155" s="57">
        <v>7091</v>
      </c>
      <c r="C155" s="546">
        <v>43405</v>
      </c>
      <c r="D155" s="540" t="s">
        <v>2431</v>
      </c>
      <c r="E155" s="552">
        <v>-15732.58</v>
      </c>
      <c r="F155" s="542" t="s">
        <v>487</v>
      </c>
      <c r="G155" s="536">
        <v>1</v>
      </c>
      <c r="H155" s="617">
        <f t="shared" si="10"/>
        <v>-15732.58</v>
      </c>
      <c r="I155" s="55"/>
      <c r="J155" s="53"/>
    </row>
    <row r="156" spans="1:10">
      <c r="A156" s="65">
        <v>151</v>
      </c>
      <c r="B156" s="57">
        <v>7091</v>
      </c>
      <c r="C156" s="546">
        <v>43435</v>
      </c>
      <c r="D156" s="187" t="s">
        <v>2431</v>
      </c>
      <c r="E156" s="552">
        <v>-15732.58</v>
      </c>
      <c r="F156" s="542" t="s">
        <v>487</v>
      </c>
      <c r="G156" s="536">
        <v>1</v>
      </c>
      <c r="H156" s="617">
        <f t="shared" si="10"/>
        <v>-15732.58</v>
      </c>
      <c r="I156" s="55"/>
      <c r="J156" s="53"/>
    </row>
    <row r="157" spans="1:10">
      <c r="A157" s="65">
        <v>152</v>
      </c>
      <c r="B157" s="57">
        <v>7091</v>
      </c>
      <c r="C157" s="546">
        <v>43466</v>
      </c>
      <c r="D157" s="540" t="s">
        <v>2431</v>
      </c>
      <c r="E157" s="552">
        <v>-15732.58</v>
      </c>
      <c r="F157" s="189" t="s">
        <v>487</v>
      </c>
      <c r="G157" s="536">
        <v>1</v>
      </c>
      <c r="H157" s="617">
        <f t="shared" si="10"/>
        <v>-15732.58</v>
      </c>
      <c r="I157" s="55"/>
      <c r="J157" s="53"/>
    </row>
    <row r="158" spans="1:10">
      <c r="A158" s="65">
        <v>153</v>
      </c>
      <c r="B158" s="57">
        <v>7091</v>
      </c>
      <c r="C158" s="673" t="s">
        <v>2419</v>
      </c>
      <c r="D158" s="540" t="s">
        <v>2431</v>
      </c>
      <c r="E158" s="553">
        <v>0</v>
      </c>
      <c r="F158" s="542" t="s">
        <v>487</v>
      </c>
      <c r="G158" s="536">
        <v>1</v>
      </c>
      <c r="H158" s="671">
        <f>E158</f>
        <v>0</v>
      </c>
      <c r="I158" s="537"/>
      <c r="J158" s="538"/>
    </row>
    <row r="159" spans="1:10" ht="15" thickBot="1">
      <c r="A159" s="73">
        <v>154</v>
      </c>
      <c r="B159" s="50"/>
      <c r="C159" s="51" t="s">
        <v>2444</v>
      </c>
      <c r="D159" s="543"/>
      <c r="E159" s="554">
        <f>SUM(E146:E158)</f>
        <v>-188790.95999999996</v>
      </c>
      <c r="F159" s="544"/>
      <c r="G159" s="49"/>
      <c r="H159" s="619">
        <f>SUM(H146:H158)</f>
        <v>-188790.95999999996</v>
      </c>
      <c r="I159" s="48"/>
      <c r="J159" s="46"/>
    </row>
    <row r="160" spans="1:10">
      <c r="A160" s="139">
        <v>155</v>
      </c>
      <c r="B160" s="136" t="s">
        <v>2469</v>
      </c>
      <c r="C160" s="545">
        <v>43132</v>
      </c>
      <c r="D160" s="539" t="s">
        <v>2554</v>
      </c>
      <c r="E160" s="550">
        <v>0</v>
      </c>
      <c r="F160" s="534" t="s">
        <v>487</v>
      </c>
      <c r="G160" s="548">
        <v>1</v>
      </c>
      <c r="H160" s="616">
        <f>E160</f>
        <v>0</v>
      </c>
      <c r="I160" s="135"/>
      <c r="J160" s="535"/>
    </row>
    <row r="161" spans="1:10">
      <c r="A161" s="65">
        <v>156</v>
      </c>
      <c r="B161" s="57" t="s">
        <v>2469</v>
      </c>
      <c r="C161" s="546">
        <v>43160</v>
      </c>
      <c r="D161" s="540" t="s">
        <v>2554</v>
      </c>
      <c r="E161" s="551">
        <v>0</v>
      </c>
      <c r="F161" s="192" t="s">
        <v>487</v>
      </c>
      <c r="G161" s="536">
        <v>1</v>
      </c>
      <c r="H161" s="617">
        <f t="shared" ref="H161:H171" si="11">E161</f>
        <v>0</v>
      </c>
      <c r="I161" s="55"/>
      <c r="J161" s="53"/>
    </row>
    <row r="162" spans="1:10">
      <c r="A162" s="65">
        <v>157</v>
      </c>
      <c r="B162" s="57" t="s">
        <v>2469</v>
      </c>
      <c r="C162" s="546">
        <v>43191</v>
      </c>
      <c r="D162" s="187" t="s">
        <v>2554</v>
      </c>
      <c r="E162" s="551">
        <v>0</v>
      </c>
      <c r="F162" s="192" t="s">
        <v>487</v>
      </c>
      <c r="G162" s="536">
        <v>1</v>
      </c>
      <c r="H162" s="617">
        <f t="shared" si="11"/>
        <v>0</v>
      </c>
      <c r="I162" s="55"/>
      <c r="J162" s="53"/>
    </row>
    <row r="163" spans="1:10">
      <c r="A163" s="65">
        <v>158</v>
      </c>
      <c r="B163" s="57" t="s">
        <v>2469</v>
      </c>
      <c r="C163" s="546">
        <v>43221</v>
      </c>
      <c r="D163" s="540" t="s">
        <v>2554</v>
      </c>
      <c r="E163" s="551">
        <v>0</v>
      </c>
      <c r="F163" s="192" t="s">
        <v>487</v>
      </c>
      <c r="G163" s="536">
        <v>1</v>
      </c>
      <c r="H163" s="617">
        <f t="shared" si="11"/>
        <v>0</v>
      </c>
      <c r="I163" s="55"/>
      <c r="J163" s="53"/>
    </row>
    <row r="164" spans="1:10">
      <c r="A164" s="65">
        <v>159</v>
      </c>
      <c r="B164" s="57" t="s">
        <v>2469</v>
      </c>
      <c r="C164" s="546">
        <v>43252</v>
      </c>
      <c r="D164" s="187" t="s">
        <v>2554</v>
      </c>
      <c r="E164" s="551">
        <v>0</v>
      </c>
      <c r="F164" s="192" t="s">
        <v>487</v>
      </c>
      <c r="G164" s="536">
        <v>1</v>
      </c>
      <c r="H164" s="617">
        <f t="shared" si="11"/>
        <v>0</v>
      </c>
      <c r="I164" s="55"/>
      <c r="J164" s="53"/>
    </row>
    <row r="165" spans="1:10">
      <c r="A165" s="65">
        <v>160</v>
      </c>
      <c r="B165" s="57" t="s">
        <v>2469</v>
      </c>
      <c r="C165" s="546">
        <v>43282</v>
      </c>
      <c r="D165" s="540" t="s">
        <v>2554</v>
      </c>
      <c r="E165" s="551">
        <v>0</v>
      </c>
      <c r="F165" s="192" t="s">
        <v>487</v>
      </c>
      <c r="G165" s="536">
        <v>1</v>
      </c>
      <c r="H165" s="617">
        <f t="shared" si="11"/>
        <v>0</v>
      </c>
      <c r="I165" s="55"/>
      <c r="J165" s="53"/>
    </row>
    <row r="166" spans="1:10">
      <c r="A166" s="65">
        <v>161</v>
      </c>
      <c r="B166" s="57" t="s">
        <v>2469</v>
      </c>
      <c r="C166" s="546">
        <v>43313</v>
      </c>
      <c r="D166" s="187" t="s">
        <v>2554</v>
      </c>
      <c r="E166" s="551">
        <v>0</v>
      </c>
      <c r="F166" s="192" t="s">
        <v>487</v>
      </c>
      <c r="G166" s="536">
        <v>1</v>
      </c>
      <c r="H166" s="617">
        <f t="shared" si="11"/>
        <v>0</v>
      </c>
      <c r="I166" s="55"/>
      <c r="J166" s="53"/>
    </row>
    <row r="167" spans="1:10">
      <c r="A167" s="65">
        <v>162</v>
      </c>
      <c r="B167" s="57" t="s">
        <v>2469</v>
      </c>
      <c r="C167" s="546">
        <v>43344</v>
      </c>
      <c r="D167" s="540" t="s">
        <v>2554</v>
      </c>
      <c r="E167" s="552">
        <v>0</v>
      </c>
      <c r="F167" s="203" t="s">
        <v>487</v>
      </c>
      <c r="G167" s="536">
        <f>+G166</f>
        <v>1</v>
      </c>
      <c r="H167" s="617">
        <f t="shared" si="11"/>
        <v>0</v>
      </c>
      <c r="I167" s="55"/>
      <c r="J167" s="53"/>
    </row>
    <row r="168" spans="1:10">
      <c r="A168" s="65">
        <v>163</v>
      </c>
      <c r="B168" s="57" t="s">
        <v>2469</v>
      </c>
      <c r="C168" s="546">
        <v>43374</v>
      </c>
      <c r="D168" s="187" t="s">
        <v>2554</v>
      </c>
      <c r="E168" s="552">
        <v>0</v>
      </c>
      <c r="F168" s="203" t="s">
        <v>487</v>
      </c>
      <c r="G168" s="536">
        <v>1</v>
      </c>
      <c r="H168" s="617">
        <f t="shared" si="11"/>
        <v>0</v>
      </c>
      <c r="I168" s="55"/>
      <c r="J168" s="53"/>
    </row>
    <row r="169" spans="1:10">
      <c r="A169" s="65">
        <v>164</v>
      </c>
      <c r="B169" s="57" t="s">
        <v>2469</v>
      </c>
      <c r="C169" s="546">
        <v>43405</v>
      </c>
      <c r="D169" s="540" t="s">
        <v>2554</v>
      </c>
      <c r="E169" s="552">
        <v>0</v>
      </c>
      <c r="F169" s="542" t="s">
        <v>487</v>
      </c>
      <c r="G169" s="536">
        <v>1</v>
      </c>
      <c r="H169" s="617">
        <f t="shared" si="11"/>
        <v>0</v>
      </c>
      <c r="I169" s="55"/>
      <c r="J169" s="53"/>
    </row>
    <row r="170" spans="1:10">
      <c r="A170" s="65">
        <v>165</v>
      </c>
      <c r="B170" s="57" t="s">
        <v>2469</v>
      </c>
      <c r="C170" s="546">
        <v>43435</v>
      </c>
      <c r="D170" s="187" t="s">
        <v>2554</v>
      </c>
      <c r="E170" s="552">
        <v>0</v>
      </c>
      <c r="F170" s="542" t="s">
        <v>487</v>
      </c>
      <c r="G170" s="536">
        <v>1</v>
      </c>
      <c r="H170" s="617">
        <f t="shared" si="11"/>
        <v>0</v>
      </c>
      <c r="I170" s="55"/>
      <c r="J170" s="53"/>
    </row>
    <row r="171" spans="1:10">
      <c r="A171" s="65">
        <v>166</v>
      </c>
      <c r="B171" s="57" t="s">
        <v>2469</v>
      </c>
      <c r="C171" s="546">
        <v>43466</v>
      </c>
      <c r="D171" s="540" t="s">
        <v>2554</v>
      </c>
      <c r="E171" s="552">
        <v>0</v>
      </c>
      <c r="F171" s="189" t="s">
        <v>487</v>
      </c>
      <c r="G171" s="536">
        <v>1</v>
      </c>
      <c r="H171" s="617">
        <f t="shared" si="11"/>
        <v>0</v>
      </c>
      <c r="I171" s="55"/>
      <c r="J171" s="53"/>
    </row>
    <row r="172" spans="1:10">
      <c r="A172" s="65">
        <v>167</v>
      </c>
      <c r="B172" s="57" t="s">
        <v>2469</v>
      </c>
      <c r="C172" s="673" t="s">
        <v>2419</v>
      </c>
      <c r="D172" s="540" t="s">
        <v>2554</v>
      </c>
      <c r="E172" s="553">
        <v>0</v>
      </c>
      <c r="F172" s="542" t="s">
        <v>487</v>
      </c>
      <c r="G172" s="536">
        <v>1</v>
      </c>
      <c r="H172" s="671">
        <f>E172</f>
        <v>0</v>
      </c>
      <c r="I172" s="537"/>
      <c r="J172" s="538"/>
    </row>
    <row r="173" spans="1:10" ht="15" thickBot="1">
      <c r="A173" s="73">
        <v>168</v>
      </c>
      <c r="B173" s="50"/>
      <c r="C173" s="51" t="s">
        <v>2444</v>
      </c>
      <c r="D173" s="543"/>
      <c r="E173" s="554">
        <f>SUM(E160:E172)</f>
        <v>0</v>
      </c>
      <c r="F173" s="544"/>
      <c r="G173" s="49"/>
      <c r="H173" s="619">
        <f>SUM(H160:H172)</f>
        <v>0</v>
      </c>
      <c r="I173" s="48"/>
      <c r="J173" s="46"/>
    </row>
    <row r="174" spans="1:10">
      <c r="A174" s="386">
        <v>169</v>
      </c>
      <c r="B174" s="247" t="s">
        <v>2424</v>
      </c>
      <c r="C174" s="247" t="s">
        <v>2425</v>
      </c>
      <c r="D174" s="247"/>
      <c r="E174" s="247"/>
      <c r="F174" s="247"/>
      <c r="G174" s="247"/>
      <c r="H174" s="247"/>
      <c r="I174" s="247"/>
      <c r="J174" s="271"/>
    </row>
    <row r="175" spans="1:10">
      <c r="A175" s="332">
        <v>170</v>
      </c>
      <c r="B175" s="248"/>
      <c r="C175" s="248" t="s">
        <v>2453</v>
      </c>
      <c r="D175" s="248"/>
      <c r="E175" s="248"/>
      <c r="F175" s="248"/>
      <c r="G175" s="248"/>
      <c r="H175" s="248"/>
      <c r="I175" s="248"/>
      <c r="J175" s="272"/>
    </row>
    <row r="176" spans="1:10">
      <c r="A176" s="332">
        <v>171</v>
      </c>
      <c r="B176" s="248"/>
      <c r="C176" s="769" t="s">
        <v>2569</v>
      </c>
      <c r="D176" s="769"/>
      <c r="E176" s="769"/>
      <c r="F176" s="769"/>
      <c r="G176" s="769"/>
      <c r="H176" s="769"/>
      <c r="I176" s="769"/>
      <c r="J176" s="770"/>
    </row>
    <row r="177" spans="1:10">
      <c r="A177" s="332">
        <v>172</v>
      </c>
      <c r="B177" s="248"/>
      <c r="C177" s="769" t="s">
        <v>2570</v>
      </c>
      <c r="D177" s="769"/>
      <c r="E177" s="769"/>
      <c r="F177" s="769"/>
      <c r="G177" s="769"/>
      <c r="H177" s="769"/>
      <c r="I177" s="769"/>
      <c r="J177" s="770"/>
    </row>
    <row r="178" spans="1:10">
      <c r="A178" s="332">
        <v>173</v>
      </c>
      <c r="B178" s="248"/>
      <c r="C178" s="769" t="s">
        <v>2571</v>
      </c>
      <c r="D178" s="769"/>
      <c r="E178" s="769"/>
      <c r="F178" s="769"/>
      <c r="G178" s="769"/>
      <c r="H178" s="769"/>
      <c r="I178" s="769"/>
      <c r="J178" s="770"/>
    </row>
    <row r="179" spans="1:10">
      <c r="A179" s="332">
        <v>174</v>
      </c>
      <c r="B179" s="248"/>
      <c r="C179" s="769" t="s">
        <v>2631</v>
      </c>
      <c r="D179" s="769"/>
      <c r="E179" s="769"/>
      <c r="F179" s="769"/>
      <c r="G179" s="769"/>
      <c r="H179" s="769"/>
      <c r="I179" s="769"/>
      <c r="J179" s="770"/>
    </row>
    <row r="180" spans="1:10">
      <c r="A180" s="332">
        <v>175</v>
      </c>
      <c r="B180" s="248"/>
      <c r="C180" s="769" t="s">
        <v>2572</v>
      </c>
      <c r="D180" s="769"/>
      <c r="E180" s="769"/>
      <c r="F180" s="769"/>
      <c r="G180" s="769"/>
      <c r="H180" s="769"/>
      <c r="I180" s="769"/>
      <c r="J180" s="770"/>
    </row>
    <row r="181" spans="1:10">
      <c r="A181" s="332">
        <v>176</v>
      </c>
      <c r="B181" s="612"/>
      <c r="C181" s="769" t="s">
        <v>2573</v>
      </c>
      <c r="D181" s="769"/>
      <c r="E181" s="769"/>
      <c r="F181" s="769"/>
      <c r="G181" s="769"/>
      <c r="H181" s="769"/>
      <c r="I181" s="769"/>
      <c r="J181" s="770"/>
    </row>
    <row r="182" spans="1:10">
      <c r="A182" s="332">
        <v>177</v>
      </c>
      <c r="B182" s="612"/>
      <c r="C182" s="769" t="s">
        <v>2574</v>
      </c>
      <c r="D182" s="769"/>
      <c r="E182" s="769"/>
      <c r="F182" s="769"/>
      <c r="G182" s="769"/>
      <c r="H182" s="769"/>
      <c r="I182" s="769"/>
      <c r="J182" s="770"/>
    </row>
    <row r="183" spans="1:10">
      <c r="A183" s="332">
        <v>178</v>
      </c>
      <c r="B183" s="612"/>
      <c r="C183" s="769" t="s">
        <v>2575</v>
      </c>
      <c r="D183" s="769"/>
      <c r="E183" s="769"/>
      <c r="F183" s="769"/>
      <c r="G183" s="769"/>
      <c r="H183" s="769"/>
      <c r="I183" s="769"/>
      <c r="J183" s="770"/>
    </row>
    <row r="184" spans="1:10">
      <c r="A184" s="332">
        <v>179</v>
      </c>
      <c r="B184" s="612"/>
      <c r="C184" s="769" t="s">
        <v>2576</v>
      </c>
      <c r="D184" s="769"/>
      <c r="E184" s="769"/>
      <c r="F184" s="769"/>
      <c r="G184" s="769"/>
      <c r="H184" s="769"/>
      <c r="I184" s="769"/>
      <c r="J184" s="770"/>
    </row>
    <row r="185" spans="1:10">
      <c r="A185" s="332">
        <v>180</v>
      </c>
      <c r="B185" s="612"/>
      <c r="C185" s="769" t="s">
        <v>2577</v>
      </c>
      <c r="D185" s="769"/>
      <c r="E185" s="769"/>
      <c r="F185" s="769"/>
      <c r="G185" s="769"/>
      <c r="H185" s="769"/>
      <c r="I185" s="769"/>
      <c r="J185" s="770"/>
    </row>
    <row r="186" spans="1:10" ht="15" thickBot="1">
      <c r="A186" s="678">
        <v>190</v>
      </c>
      <c r="B186" s="614"/>
      <c r="C186" s="771" t="s">
        <v>2578</v>
      </c>
      <c r="D186" s="771"/>
      <c r="E186" s="771"/>
      <c r="F186" s="771"/>
      <c r="G186" s="771"/>
      <c r="H186" s="771"/>
      <c r="I186" s="771"/>
      <c r="J186" s="772"/>
    </row>
  </sheetData>
  <mergeCells count="11">
    <mergeCell ref="C182:J182"/>
    <mergeCell ref="C183:J183"/>
    <mergeCell ref="C184:J184"/>
    <mergeCell ref="C185:J185"/>
    <mergeCell ref="C186:J186"/>
    <mergeCell ref="C181:J181"/>
    <mergeCell ref="C176:J176"/>
    <mergeCell ref="C177:J177"/>
    <mergeCell ref="C178:J178"/>
    <mergeCell ref="C179:J179"/>
    <mergeCell ref="C180:J180"/>
  </mergeCells>
  <hyperlinks>
    <hyperlink ref="H1" location="'Cover Sheets'!A18" display="(Back to Worksheet Links)" xr:uid="{00000000-0004-0000-0400-000000000000}"/>
  </hyperlinks>
  <pageMargins left="0.7" right="0.7" top="0.75" bottom="0.75" header="0.3" footer="0.3"/>
  <pageSetup scale="64" fitToHeight="0" orientation="portrait"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8"/>
  <sheetViews>
    <sheetView view="pageBreakPreview" zoomScaleNormal="100" zoomScaleSheetLayoutView="100" workbookViewId="0"/>
  </sheetViews>
  <sheetFormatPr defaultColWidth="12.6640625" defaultRowHeight="13.8"/>
  <cols>
    <col min="1" max="1" width="12.6640625" style="241"/>
    <col min="2" max="2" width="32.88671875" style="240" customWidth="1"/>
    <col min="3" max="3" width="15.5546875" style="240" bestFit="1" customWidth="1"/>
    <col min="4" max="4" width="5.88671875" style="240" customWidth="1"/>
    <col min="5" max="5" width="12.6640625" style="240"/>
    <col min="6" max="6" width="5.5546875" style="240" customWidth="1"/>
    <col min="7" max="7" width="20.44140625" style="240" bestFit="1" customWidth="1"/>
    <col min="8" max="8" width="8.44140625" style="240" customWidth="1"/>
    <col min="9" max="9" width="12.6640625" style="240"/>
    <col min="10" max="10" width="7" style="240" customWidth="1"/>
    <col min="11" max="11" width="12.6640625" style="240"/>
    <col min="12" max="12" width="16.33203125" style="240" customWidth="1"/>
    <col min="13" max="16384" width="12.6640625" style="240"/>
  </cols>
  <sheetData>
    <row r="1" spans="1:12" ht="14.4">
      <c r="A1" s="246" t="str">
        <f>'Cover Sheets'!A10:D10</f>
        <v>WAPA-UGP 2018 Rate True-up Calculation</v>
      </c>
      <c r="B1" s="331"/>
      <c r="C1" s="660" t="s">
        <v>2543</v>
      </c>
      <c r="D1" s="247"/>
      <c r="E1" s="247"/>
      <c r="F1" s="247"/>
      <c r="G1" s="247"/>
      <c r="H1" s="247"/>
      <c r="I1" s="247"/>
      <c r="J1" s="247"/>
      <c r="K1" s="247"/>
      <c r="L1" s="271"/>
    </row>
    <row r="2" spans="1:12">
      <c r="A2" s="648" t="s">
        <v>2481</v>
      </c>
      <c r="B2" s="643"/>
      <c r="C2" s="248"/>
      <c r="D2" s="248"/>
      <c r="E2" s="248"/>
      <c r="F2" s="248"/>
      <c r="G2" s="248"/>
      <c r="H2" s="248"/>
      <c r="I2" s="248"/>
      <c r="J2" s="248"/>
      <c r="K2" s="248"/>
      <c r="L2" s="272"/>
    </row>
    <row r="3" spans="1:12">
      <c r="A3" s="648" t="str">
        <f>'Summary-TrueUp'!A3</f>
        <v>12 Months Ending 09/30/2018 True-up</v>
      </c>
      <c r="B3" s="643"/>
      <c r="C3" s="248"/>
      <c r="D3" s="248"/>
      <c r="E3" s="248"/>
      <c r="F3" s="248"/>
      <c r="G3" s="248"/>
      <c r="H3" s="248"/>
      <c r="I3" s="248"/>
      <c r="J3" s="248"/>
      <c r="K3" s="248"/>
      <c r="L3" s="272"/>
    </row>
    <row r="4" spans="1:12">
      <c r="A4" s="332"/>
      <c r="B4" s="333"/>
      <c r="C4" s="333" t="s">
        <v>1200</v>
      </c>
      <c r="D4" s="334"/>
      <c r="E4" s="333" t="s">
        <v>1249</v>
      </c>
      <c r="F4" s="334"/>
      <c r="G4" s="333" t="s">
        <v>957</v>
      </c>
      <c r="H4" s="335"/>
      <c r="I4" s="333" t="s">
        <v>1198</v>
      </c>
      <c r="J4" s="335"/>
      <c r="K4" s="333" t="s">
        <v>961</v>
      </c>
      <c r="L4" s="272"/>
    </row>
    <row r="5" spans="1:12" s="241" customFormat="1" ht="14.4" thickBot="1">
      <c r="A5" s="336" t="s">
        <v>0</v>
      </c>
      <c r="B5" s="254">
        <v>-1</v>
      </c>
      <c r="C5" s="337">
        <v>-2</v>
      </c>
      <c r="D5" s="338"/>
      <c r="E5" s="337">
        <v>-3</v>
      </c>
      <c r="F5" s="338"/>
      <c r="G5" s="254">
        <v>-4</v>
      </c>
      <c r="H5" s="339"/>
      <c r="I5" s="254">
        <v>-5</v>
      </c>
      <c r="J5" s="339"/>
      <c r="K5" s="254">
        <v>-6</v>
      </c>
      <c r="L5" s="340"/>
    </row>
    <row r="6" spans="1:12">
      <c r="A6" s="332">
        <v>1</v>
      </c>
      <c r="B6" s="341" t="s">
        <v>1173</v>
      </c>
      <c r="C6" s="342"/>
      <c r="D6" s="342"/>
      <c r="E6" s="342"/>
      <c r="F6" s="342"/>
      <c r="G6" s="342"/>
      <c r="H6" s="342"/>
      <c r="I6" s="342"/>
      <c r="J6" s="342"/>
      <c r="K6" s="342"/>
      <c r="L6" s="272"/>
    </row>
    <row r="7" spans="1:12">
      <c r="A7" s="332">
        <f t="shared" ref="A7:A20" si="0">A6+1</f>
        <v>2</v>
      </c>
      <c r="B7" s="343" t="s">
        <v>1294</v>
      </c>
      <c r="C7" s="344">
        <f>'WS8-TranFac'!$E$503</f>
        <v>1418477171.8700001</v>
      </c>
      <c r="D7" s="345" t="s">
        <v>1246</v>
      </c>
      <c r="E7" s="344">
        <v>805173862.79999995</v>
      </c>
      <c r="F7" s="345" t="s">
        <v>1243</v>
      </c>
      <c r="G7" s="344">
        <f>152529637+167937303+170713339+352781503+69731078+262772127</f>
        <v>1176464987</v>
      </c>
      <c r="H7" s="345" t="s">
        <v>1240</v>
      </c>
      <c r="I7" s="344">
        <f>560546286-5033104-12362438-276278-12764736</f>
        <v>530109730</v>
      </c>
      <c r="J7" s="345" t="s">
        <v>1228</v>
      </c>
      <c r="K7" s="343">
        <f>C7+E7+G7+I7</f>
        <v>3930225751.6700001</v>
      </c>
      <c r="L7" s="272"/>
    </row>
    <row r="8" spans="1:12">
      <c r="A8" s="332">
        <f t="shared" si="0"/>
        <v>3</v>
      </c>
      <c r="B8" s="343" t="s">
        <v>1293</v>
      </c>
      <c r="C8" s="344">
        <f>'WS8-TranFac'!$I$503</f>
        <v>1351360274.4842072</v>
      </c>
      <c r="D8" s="345" t="s">
        <v>1239</v>
      </c>
      <c r="E8" s="343">
        <f>'WS8-TranFac'!$I$494</f>
        <v>10034426.5875</v>
      </c>
      <c r="F8" s="345" t="s">
        <v>1238</v>
      </c>
      <c r="G8" s="343">
        <f>'WS8-TranFac'!$I$501</f>
        <v>67247253.260000005</v>
      </c>
      <c r="H8" s="345" t="s">
        <v>1237</v>
      </c>
      <c r="I8" s="343">
        <v>0</v>
      </c>
      <c r="J8" s="345"/>
      <c r="K8" s="343">
        <f>C8+E8+G8+I8</f>
        <v>1428641954.3317072</v>
      </c>
      <c r="L8" s="272"/>
    </row>
    <row r="9" spans="1:12">
      <c r="A9" s="332">
        <f t="shared" si="0"/>
        <v>4</v>
      </c>
      <c r="B9" s="343" t="s">
        <v>1292</v>
      </c>
      <c r="C9" s="344">
        <f>'WS8-TranFac'!$G$503</f>
        <v>13555863.331200004</v>
      </c>
      <c r="D9" s="345" t="s">
        <v>1235</v>
      </c>
      <c r="E9" s="343">
        <v>0</v>
      </c>
      <c r="F9" s="345"/>
      <c r="G9" s="344">
        <f>G7-G8</f>
        <v>1109217733.74</v>
      </c>
      <c r="H9" s="345" t="s">
        <v>1291</v>
      </c>
      <c r="I9" s="344">
        <f>I7-I8</f>
        <v>530109730</v>
      </c>
      <c r="J9" s="345" t="s">
        <v>1291</v>
      </c>
      <c r="K9" s="343">
        <f>C9+E9+G9+I9</f>
        <v>1652883327.0711999</v>
      </c>
      <c r="L9" s="272"/>
    </row>
    <row r="10" spans="1:12">
      <c r="A10" s="332">
        <f t="shared" si="0"/>
        <v>5</v>
      </c>
      <c r="B10" s="343" t="s">
        <v>1290</v>
      </c>
      <c r="C10" s="344">
        <f>'WS13-SSCDFac'!$G$41+'WS13-SSCDFac'!$G$48+'WS13-SSCDFac'!$G$53+'WS13-SSCDFac'!$G$97+'WS13-SSCDFac'!$G$130</f>
        <v>13438519.724710001</v>
      </c>
      <c r="D10" s="345" t="s">
        <v>1233</v>
      </c>
      <c r="E10" s="343"/>
      <c r="F10" s="345"/>
      <c r="G10" s="344"/>
      <c r="H10" s="345"/>
      <c r="I10" s="344"/>
      <c r="J10" s="345"/>
      <c r="K10" s="343"/>
      <c r="L10" s="272"/>
    </row>
    <row r="11" spans="1:12">
      <c r="A11" s="332">
        <f t="shared" si="0"/>
        <v>6</v>
      </c>
      <c r="B11" s="343" t="s">
        <v>1289</v>
      </c>
      <c r="C11" s="346">
        <f>C9/C7</f>
        <v>9.5566312944811802E-3</v>
      </c>
      <c r="D11" s="347" t="s">
        <v>1288</v>
      </c>
      <c r="E11" s="346">
        <f>E9/E7</f>
        <v>0</v>
      </c>
      <c r="F11" s="347" t="s">
        <v>1288</v>
      </c>
      <c r="G11" s="346">
        <f>G9/G7</f>
        <v>0.94283956258529944</v>
      </c>
      <c r="H11" s="347" t="s">
        <v>1288</v>
      </c>
      <c r="I11" s="346">
        <f>I9/I7</f>
        <v>1</v>
      </c>
      <c r="J11" s="347" t="s">
        <v>1288</v>
      </c>
      <c r="K11" s="343"/>
      <c r="L11" s="272"/>
    </row>
    <row r="12" spans="1:12">
      <c r="A12" s="332">
        <f t="shared" si="0"/>
        <v>7</v>
      </c>
      <c r="B12" s="343" t="s">
        <v>1287</v>
      </c>
      <c r="C12" s="346">
        <f>C8/C7</f>
        <v>0.95268383678158763</v>
      </c>
      <c r="D12" s="347" t="s">
        <v>1286</v>
      </c>
      <c r="E12" s="346">
        <f>E8/E7</f>
        <v>1.2462434576061851E-2</v>
      </c>
      <c r="F12" s="347" t="s">
        <v>1286</v>
      </c>
      <c r="G12" s="346">
        <f>G8/G7</f>
        <v>5.716043741470056E-2</v>
      </c>
      <c r="H12" s="347" t="s">
        <v>1286</v>
      </c>
      <c r="I12" s="346">
        <f>I8/I7</f>
        <v>0</v>
      </c>
      <c r="J12" s="347" t="s">
        <v>1286</v>
      </c>
      <c r="K12" s="343"/>
      <c r="L12" s="272"/>
    </row>
    <row r="13" spans="1:12">
      <c r="A13" s="332">
        <f t="shared" si="0"/>
        <v>8</v>
      </c>
      <c r="B13" s="343" t="s">
        <v>1285</v>
      </c>
      <c r="C13" s="346">
        <f>C10/C7</f>
        <v>9.4739062363575401E-3</v>
      </c>
      <c r="D13" s="347" t="s">
        <v>1284</v>
      </c>
      <c r="E13" s="346"/>
      <c r="F13" s="347"/>
      <c r="G13" s="346"/>
      <c r="H13" s="347"/>
      <c r="I13" s="346"/>
      <c r="J13" s="347"/>
      <c r="K13" s="343"/>
      <c r="L13" s="272"/>
    </row>
    <row r="14" spans="1:12">
      <c r="A14" s="332">
        <f t="shared" si="0"/>
        <v>9</v>
      </c>
      <c r="B14" s="343" t="s">
        <v>1283</v>
      </c>
      <c r="C14" s="344">
        <f>592635037.67+93127238.49</f>
        <v>685762276.15999997</v>
      </c>
      <c r="D14" s="345" t="s">
        <v>1232</v>
      </c>
      <c r="E14" s="530">
        <f>394281086.89</f>
        <v>394281086.88999999</v>
      </c>
      <c r="F14" s="348" t="s">
        <v>1231</v>
      </c>
      <c r="G14" s="343">
        <f>76278565+100915759+114662499+142004192+35213919+145160657</f>
        <v>614235591</v>
      </c>
      <c r="H14" s="345" t="s">
        <v>1230</v>
      </c>
      <c r="I14" s="344">
        <v>366727469.44999999</v>
      </c>
      <c r="J14" s="345" t="s">
        <v>1244</v>
      </c>
      <c r="K14" s="343">
        <f t="shared" ref="K14:K20" si="1">C14+E14+G14+I14</f>
        <v>2061006423.5</v>
      </c>
      <c r="L14" s="272"/>
    </row>
    <row r="15" spans="1:12">
      <c r="A15" s="332">
        <f t="shared" si="0"/>
        <v>10</v>
      </c>
      <c r="B15" s="343" t="s">
        <v>1282</v>
      </c>
      <c r="C15" s="343">
        <f>C14*C12</f>
        <v>653314636.37218344</v>
      </c>
      <c r="D15" s="345" t="s">
        <v>1281</v>
      </c>
      <c r="E15" s="343">
        <f>E14*E12</f>
        <v>4913702.2499451824</v>
      </c>
      <c r="F15" s="345" t="s">
        <v>1281</v>
      </c>
      <c r="G15" s="343">
        <f>G14*G12</f>
        <v>35109975.057237111</v>
      </c>
      <c r="H15" s="345" t="s">
        <v>1281</v>
      </c>
      <c r="I15" s="343">
        <f>I14*I12</f>
        <v>0</v>
      </c>
      <c r="J15" s="345" t="s">
        <v>1281</v>
      </c>
      <c r="K15" s="343">
        <f t="shared" si="1"/>
        <v>693338313.67936575</v>
      </c>
      <c r="L15" s="272"/>
    </row>
    <row r="16" spans="1:12">
      <c r="A16" s="332">
        <f t="shared" si="0"/>
        <v>11</v>
      </c>
      <c r="B16" s="343" t="s">
        <v>1280</v>
      </c>
      <c r="C16" s="343">
        <f>C14*C$11</f>
        <v>6553577.2289253008</v>
      </c>
      <c r="D16" s="345" t="s">
        <v>1278</v>
      </c>
      <c r="E16" s="343">
        <f>E14*E$11</f>
        <v>0</v>
      </c>
      <c r="F16" s="345" t="s">
        <v>1278</v>
      </c>
      <c r="G16" s="344">
        <f>G14-G15</f>
        <v>579125615.94276285</v>
      </c>
      <c r="H16" s="345" t="s">
        <v>1279</v>
      </c>
      <c r="I16" s="343">
        <f>I11*I14</f>
        <v>366727469.44999999</v>
      </c>
      <c r="J16" s="345" t="s">
        <v>1278</v>
      </c>
      <c r="K16" s="343">
        <f t="shared" si="1"/>
        <v>952406662.62168813</v>
      </c>
      <c r="L16" s="272"/>
    </row>
    <row r="17" spans="1:12">
      <c r="A17" s="332">
        <f t="shared" si="0"/>
        <v>12</v>
      </c>
      <c r="B17" s="349" t="s">
        <v>1277</v>
      </c>
      <c r="C17" s="349">
        <f>C14*C$13</f>
        <v>6496847.5047709653</v>
      </c>
      <c r="D17" s="350" t="s">
        <v>2619</v>
      </c>
      <c r="E17" s="349"/>
      <c r="F17" s="350"/>
      <c r="G17" s="351"/>
      <c r="H17" s="350"/>
      <c r="I17" s="349"/>
      <c r="J17" s="350"/>
      <c r="K17" s="343">
        <f t="shared" si="1"/>
        <v>6496847.5047709653</v>
      </c>
      <c r="L17" s="272"/>
    </row>
    <row r="18" spans="1:12">
      <c r="A18" s="332">
        <f t="shared" si="0"/>
        <v>13</v>
      </c>
      <c r="B18" s="343" t="s">
        <v>1276</v>
      </c>
      <c r="C18" s="343">
        <f>C8-C15</f>
        <v>698045638.11202371</v>
      </c>
      <c r="D18" s="345" t="s">
        <v>1274</v>
      </c>
      <c r="E18" s="343">
        <f>E8-E15</f>
        <v>5120724.337554818</v>
      </c>
      <c r="F18" s="345" t="s">
        <v>1275</v>
      </c>
      <c r="G18" s="343">
        <f>G8-G15</f>
        <v>32137278.202762894</v>
      </c>
      <c r="H18" s="345" t="s">
        <v>1274</v>
      </c>
      <c r="I18" s="343">
        <f>I8-I15</f>
        <v>0</v>
      </c>
      <c r="J18" s="345" t="s">
        <v>1274</v>
      </c>
      <c r="K18" s="343">
        <f t="shared" si="1"/>
        <v>735303640.65234137</v>
      </c>
      <c r="L18" s="272"/>
    </row>
    <row r="19" spans="1:12">
      <c r="A19" s="332">
        <f t="shared" si="0"/>
        <v>14</v>
      </c>
      <c r="B19" s="343" t="s">
        <v>1273</v>
      </c>
      <c r="C19" s="343">
        <f>C9-C16</f>
        <v>7002286.1022747029</v>
      </c>
      <c r="D19" s="345" t="s">
        <v>1271</v>
      </c>
      <c r="E19" s="343">
        <v>0</v>
      </c>
      <c r="F19" s="345" t="s">
        <v>1272</v>
      </c>
      <c r="G19" s="344">
        <f>G9-G16</f>
        <v>530092117.79723716</v>
      </c>
      <c r="H19" s="345" t="s">
        <v>1271</v>
      </c>
      <c r="I19" s="343">
        <f>I9-I16</f>
        <v>163382260.55000001</v>
      </c>
      <c r="J19" s="345" t="s">
        <v>1271</v>
      </c>
      <c r="K19" s="343">
        <f t="shared" si="1"/>
        <v>700476664.44951177</v>
      </c>
      <c r="L19" s="272"/>
    </row>
    <row r="20" spans="1:12">
      <c r="A20" s="332">
        <f t="shared" si="0"/>
        <v>15</v>
      </c>
      <c r="B20" s="343" t="s">
        <v>1270</v>
      </c>
      <c r="C20" s="343">
        <f>C10-C17</f>
        <v>6941672.2199390354</v>
      </c>
      <c r="D20" s="345" t="s">
        <v>1269</v>
      </c>
      <c r="E20" s="343"/>
      <c r="F20" s="345"/>
      <c r="G20" s="344"/>
      <c r="H20" s="345"/>
      <c r="I20" s="343"/>
      <c r="J20" s="345"/>
      <c r="K20" s="343">
        <f t="shared" si="1"/>
        <v>6941672.2199390354</v>
      </c>
      <c r="L20" s="272"/>
    </row>
    <row r="21" spans="1:12">
      <c r="A21" s="332">
        <f>A19+1</f>
        <v>15</v>
      </c>
      <c r="B21" s="343" t="s">
        <v>2537</v>
      </c>
      <c r="C21" s="343"/>
      <c r="D21" s="343"/>
      <c r="E21" s="343"/>
      <c r="F21" s="343"/>
      <c r="G21" s="343"/>
      <c r="H21" s="343"/>
      <c r="I21" s="343"/>
      <c r="J21" s="343"/>
      <c r="K21" s="343"/>
      <c r="L21" s="272"/>
    </row>
    <row r="22" spans="1:12">
      <c r="A22" s="332">
        <f t="shared" ref="A22:A33" si="2">A21+1</f>
        <v>16</v>
      </c>
      <c r="B22" s="352" t="s">
        <v>2608</v>
      </c>
      <c r="C22" s="343"/>
      <c r="D22" s="343"/>
      <c r="E22" s="343"/>
      <c r="F22" s="343"/>
      <c r="G22" s="343"/>
      <c r="H22" s="343"/>
      <c r="I22" s="343"/>
      <c r="J22" s="343"/>
      <c r="K22" s="343"/>
      <c r="L22" s="272"/>
    </row>
    <row r="23" spans="1:12">
      <c r="A23" s="332">
        <f t="shared" si="2"/>
        <v>17</v>
      </c>
      <c r="B23" s="343" t="s">
        <v>2609</v>
      </c>
      <c r="C23" s="343"/>
      <c r="D23" s="343"/>
      <c r="E23" s="343"/>
      <c r="F23" s="343"/>
      <c r="G23" s="343"/>
      <c r="H23" s="343"/>
      <c r="I23" s="343"/>
      <c r="J23" s="343"/>
      <c r="K23" s="343"/>
      <c r="L23" s="272"/>
    </row>
    <row r="24" spans="1:12">
      <c r="A24" s="332">
        <f t="shared" si="2"/>
        <v>18</v>
      </c>
      <c r="B24" s="343" t="s">
        <v>2538</v>
      </c>
      <c r="C24" s="343"/>
      <c r="D24" s="343"/>
      <c r="E24" s="343"/>
      <c r="F24" s="343"/>
      <c r="G24" s="343"/>
      <c r="H24" s="343"/>
      <c r="I24" s="343"/>
      <c r="J24" s="343"/>
      <c r="K24" s="343"/>
      <c r="L24" s="272"/>
    </row>
    <row r="25" spans="1:12">
      <c r="A25" s="332">
        <f t="shared" si="2"/>
        <v>19</v>
      </c>
      <c r="B25" s="343" t="s">
        <v>2539</v>
      </c>
      <c r="C25" s="343"/>
      <c r="D25" s="343"/>
      <c r="E25" s="343"/>
      <c r="F25" s="343"/>
      <c r="G25" s="343"/>
      <c r="H25" s="343"/>
      <c r="I25" s="343"/>
      <c r="J25" s="343"/>
      <c r="K25" s="353"/>
      <c r="L25" s="272"/>
    </row>
    <row r="26" spans="1:12">
      <c r="A26" s="332">
        <f t="shared" si="2"/>
        <v>20</v>
      </c>
      <c r="B26" s="343" t="s">
        <v>2540</v>
      </c>
      <c r="C26" s="343"/>
      <c r="D26" s="343"/>
      <c r="E26" s="343"/>
      <c r="F26" s="343"/>
      <c r="G26" s="343"/>
      <c r="H26" s="343"/>
      <c r="I26" s="343"/>
      <c r="J26" s="343"/>
      <c r="K26" s="343"/>
      <c r="L26" s="272"/>
    </row>
    <row r="27" spans="1:12">
      <c r="A27" s="332">
        <f t="shared" si="2"/>
        <v>21</v>
      </c>
      <c r="B27" s="343" t="s">
        <v>2541</v>
      </c>
      <c r="C27" s="343"/>
      <c r="D27" s="343"/>
      <c r="E27" s="343"/>
      <c r="F27" s="343"/>
      <c r="G27" s="343"/>
      <c r="H27" s="343"/>
      <c r="I27" s="343"/>
      <c r="J27" s="343"/>
      <c r="K27" s="343"/>
      <c r="L27" s="272"/>
    </row>
    <row r="28" spans="1:12">
      <c r="A28" s="332">
        <f t="shared" si="2"/>
        <v>22</v>
      </c>
      <c r="B28" s="248" t="s">
        <v>1268</v>
      </c>
      <c r="C28" s="343"/>
      <c r="D28" s="343"/>
      <c r="E28" s="343"/>
      <c r="F28" s="343"/>
      <c r="G28" s="343"/>
      <c r="H28" s="343"/>
      <c r="I28" s="343"/>
      <c r="J28" s="343"/>
      <c r="K28" s="343"/>
      <c r="L28" s="272"/>
    </row>
    <row r="29" spans="1:12">
      <c r="A29" s="332">
        <f t="shared" si="2"/>
        <v>23</v>
      </c>
      <c r="B29" s="352" t="s">
        <v>1267</v>
      </c>
      <c r="C29" s="343"/>
      <c r="D29" s="343"/>
      <c r="E29" s="343"/>
      <c r="F29" s="343"/>
      <c r="G29" s="343"/>
      <c r="H29" s="343"/>
      <c r="I29" s="343"/>
      <c r="J29" s="343"/>
      <c r="K29" s="343"/>
      <c r="L29" s="272"/>
    </row>
    <row r="30" spans="1:12">
      <c r="A30" s="332">
        <f t="shared" si="2"/>
        <v>24</v>
      </c>
      <c r="B30" s="352" t="s">
        <v>1266</v>
      </c>
      <c r="C30" s="343"/>
      <c r="D30" s="343"/>
      <c r="E30" s="343"/>
      <c r="F30" s="343"/>
      <c r="G30" s="343"/>
      <c r="H30" s="343"/>
      <c r="I30" s="343"/>
      <c r="J30" s="343"/>
      <c r="K30" s="343"/>
      <c r="L30" s="272"/>
    </row>
    <row r="31" spans="1:12">
      <c r="A31" s="332">
        <f t="shared" si="2"/>
        <v>25</v>
      </c>
      <c r="B31" s="343" t="s">
        <v>1265</v>
      </c>
      <c r="C31" s="343"/>
      <c r="D31" s="343"/>
      <c r="E31" s="343"/>
      <c r="F31" s="343"/>
      <c r="G31" s="343"/>
      <c r="H31" s="343"/>
      <c r="I31" s="343"/>
      <c r="J31" s="343"/>
      <c r="K31" s="343"/>
      <c r="L31" s="272"/>
    </row>
    <row r="32" spans="1:12">
      <c r="A32" s="332">
        <f t="shared" si="2"/>
        <v>26</v>
      </c>
      <c r="B32" s="343" t="s">
        <v>2542</v>
      </c>
      <c r="C32" s="343"/>
      <c r="D32" s="343"/>
      <c r="E32" s="343"/>
      <c r="F32" s="343"/>
      <c r="G32" s="343"/>
      <c r="H32" s="343"/>
      <c r="I32" s="343"/>
      <c r="J32" s="343"/>
      <c r="K32" s="343"/>
      <c r="L32" s="272"/>
    </row>
    <row r="33" spans="1:12" ht="14.4" thickBot="1">
      <c r="A33" s="336">
        <f t="shared" si="2"/>
        <v>27</v>
      </c>
      <c r="B33" s="354" t="s">
        <v>2449</v>
      </c>
      <c r="C33" s="354"/>
      <c r="D33" s="354"/>
      <c r="E33" s="354"/>
      <c r="F33" s="354"/>
      <c r="G33" s="354"/>
      <c r="H33" s="354"/>
      <c r="I33" s="354"/>
      <c r="J33" s="354"/>
      <c r="K33" s="354"/>
      <c r="L33" s="274"/>
    </row>
    <row r="34" spans="1:12">
      <c r="A34" s="246" t="str">
        <f>A1</f>
        <v>WAPA-UGP 2018 Rate True-up Calculation</v>
      </c>
      <c r="B34" s="331"/>
      <c r="C34" s="247"/>
      <c r="D34" s="247"/>
      <c r="E34" s="247"/>
      <c r="F34" s="247"/>
      <c r="G34" s="247"/>
      <c r="H34" s="247"/>
      <c r="I34" s="247"/>
      <c r="J34" s="247"/>
      <c r="K34" s="247"/>
      <c r="L34" s="271"/>
    </row>
    <row r="35" spans="1:12">
      <c r="A35" s="332"/>
      <c r="B35" s="333"/>
      <c r="C35" s="333" t="s">
        <v>1200</v>
      </c>
      <c r="D35" s="334"/>
      <c r="E35" s="333" t="s">
        <v>1249</v>
      </c>
      <c r="F35" s="334"/>
      <c r="G35" s="333" t="s">
        <v>957</v>
      </c>
      <c r="H35" s="335"/>
      <c r="I35" s="333" t="s">
        <v>1198</v>
      </c>
      <c r="J35" s="335"/>
      <c r="K35" s="333" t="s">
        <v>961</v>
      </c>
      <c r="L35" s="272"/>
    </row>
    <row r="36" spans="1:12" s="241" customFormat="1" ht="14.4" thickBot="1">
      <c r="A36" s="336" t="s">
        <v>0</v>
      </c>
      <c r="B36" s="254">
        <v>-1</v>
      </c>
      <c r="C36" s="337">
        <v>-2</v>
      </c>
      <c r="D36" s="338"/>
      <c r="E36" s="337">
        <v>-3</v>
      </c>
      <c r="F36" s="338"/>
      <c r="G36" s="254">
        <v>-4</v>
      </c>
      <c r="H36" s="339"/>
      <c r="I36" s="254">
        <v>-5</v>
      </c>
      <c r="J36" s="339"/>
      <c r="K36" s="254">
        <v>-6</v>
      </c>
      <c r="L36" s="340"/>
    </row>
    <row r="37" spans="1:12">
      <c r="A37" s="332">
        <f>A33+1</f>
        <v>28</v>
      </c>
      <c r="B37" s="341" t="s">
        <v>1264</v>
      </c>
      <c r="C37" s="342"/>
      <c r="D37" s="342"/>
      <c r="E37" s="342"/>
      <c r="F37" s="342"/>
      <c r="G37" s="342"/>
      <c r="H37" s="342"/>
      <c r="I37" s="342"/>
      <c r="J37" s="342"/>
      <c r="K37" s="342"/>
      <c r="L37" s="272"/>
    </row>
    <row r="38" spans="1:12">
      <c r="A38" s="332">
        <f t="shared" ref="A38:A44" si="3">A37+1</f>
        <v>29</v>
      </c>
      <c r="B38" s="349" t="s">
        <v>1263</v>
      </c>
      <c r="C38" s="349">
        <f>24747584.55+7150216.58</f>
        <v>31897801.130000003</v>
      </c>
      <c r="D38" s="350" t="s">
        <v>1246</v>
      </c>
      <c r="E38" s="355">
        <f>19115399.03</f>
        <v>19115399.030000001</v>
      </c>
      <c r="F38" s="356" t="s">
        <v>1243</v>
      </c>
      <c r="G38" s="351">
        <f>2139553+1456929+6120290+1165689+2501715+1734162</f>
        <v>15118338</v>
      </c>
      <c r="H38" s="356" t="s">
        <v>1240</v>
      </c>
      <c r="I38" s="355">
        <v>3224032.68</v>
      </c>
      <c r="J38" s="356" t="s">
        <v>1239</v>
      </c>
      <c r="K38" s="349">
        <f>SUM(C38:I38)</f>
        <v>69355570.840000004</v>
      </c>
      <c r="L38" s="357"/>
    </row>
    <row r="39" spans="1:12">
      <c r="A39" s="332">
        <f t="shared" si="3"/>
        <v>30</v>
      </c>
      <c r="B39" s="343" t="s">
        <v>1262</v>
      </c>
      <c r="C39" s="343">
        <f>C38*C12</f>
        <v>30388519.565424465</v>
      </c>
      <c r="D39" s="345"/>
      <c r="E39" s="343">
        <f>E38*E12</f>
        <v>238224.40980669117</v>
      </c>
      <c r="F39" s="345"/>
      <c r="G39" s="318">
        <f>G38*G12</f>
        <v>864170.81306328927</v>
      </c>
      <c r="H39" s="345"/>
      <c r="I39" s="343">
        <f>I38*I12</f>
        <v>0</v>
      </c>
      <c r="J39" s="345"/>
      <c r="K39" s="343">
        <f>SUM(C39:I39)</f>
        <v>31490914.788294446</v>
      </c>
      <c r="L39" s="357"/>
    </row>
    <row r="40" spans="1:12">
      <c r="A40" s="332">
        <f t="shared" si="3"/>
        <v>31</v>
      </c>
      <c r="B40" s="343" t="s">
        <v>1261</v>
      </c>
      <c r="C40" s="343">
        <f>C38*C11</f>
        <v>304835.5245040952</v>
      </c>
      <c r="D40" s="345"/>
      <c r="E40" s="343">
        <v>0</v>
      </c>
      <c r="F40" s="345"/>
      <c r="G40" s="344">
        <f>G38-G39</f>
        <v>14254167.18693671</v>
      </c>
      <c r="H40" s="345"/>
      <c r="I40" s="343">
        <f>I38*I11</f>
        <v>3224032.68</v>
      </c>
      <c r="J40" s="345"/>
      <c r="K40" s="343">
        <f>SUM(C40:I40)</f>
        <v>17783035.391440805</v>
      </c>
      <c r="L40" s="357"/>
    </row>
    <row r="41" spans="1:12">
      <c r="A41" s="332">
        <f t="shared" si="3"/>
        <v>32</v>
      </c>
      <c r="B41" s="343" t="s">
        <v>1260</v>
      </c>
      <c r="C41" s="343">
        <f>C38*C13</f>
        <v>302196.77705159964</v>
      </c>
      <c r="D41" s="345"/>
      <c r="E41" s="343"/>
      <c r="F41" s="345"/>
      <c r="G41" s="344"/>
      <c r="H41" s="345"/>
      <c r="I41" s="343"/>
      <c r="J41" s="345"/>
      <c r="K41" s="343">
        <f>SUM(C41:I41)</f>
        <v>302196.77705159964</v>
      </c>
      <c r="L41" s="357"/>
    </row>
    <row r="42" spans="1:12">
      <c r="A42" s="332">
        <f t="shared" si="3"/>
        <v>33</v>
      </c>
      <c r="B42" s="358" t="s">
        <v>1259</v>
      </c>
      <c r="C42" s="343"/>
      <c r="D42" s="343"/>
      <c r="E42" s="343"/>
      <c r="F42" s="343"/>
      <c r="G42" s="343"/>
      <c r="H42" s="343"/>
      <c r="I42" s="343"/>
      <c r="J42" s="343"/>
      <c r="K42" s="343"/>
      <c r="L42" s="357"/>
    </row>
    <row r="43" spans="1:12">
      <c r="A43" s="332">
        <f t="shared" si="3"/>
        <v>34</v>
      </c>
      <c r="B43" s="358" t="s">
        <v>1258</v>
      </c>
      <c r="C43" s="343"/>
      <c r="D43" s="343"/>
      <c r="E43" s="343"/>
      <c r="F43" s="343"/>
      <c r="G43" s="343"/>
      <c r="H43" s="343"/>
      <c r="I43" s="343"/>
      <c r="J43" s="343"/>
      <c r="K43" s="343"/>
      <c r="L43" s="357"/>
    </row>
    <row r="44" spans="1:12">
      <c r="A44" s="332">
        <f t="shared" si="3"/>
        <v>35</v>
      </c>
      <c r="B44" s="343" t="s">
        <v>1257</v>
      </c>
      <c r="C44" s="343"/>
      <c r="D44" s="343"/>
      <c r="E44" s="343"/>
      <c r="F44" s="343"/>
      <c r="G44" s="343"/>
      <c r="H44" s="343"/>
      <c r="I44" s="343"/>
      <c r="J44" s="343"/>
      <c r="K44" s="343"/>
      <c r="L44" s="357"/>
    </row>
    <row r="45" spans="1:12">
      <c r="A45" s="332">
        <f t="shared" ref="A45:A51" si="4">A44+1</f>
        <v>36</v>
      </c>
      <c r="B45" s="343" t="s">
        <v>1256</v>
      </c>
      <c r="C45" s="343"/>
      <c r="D45" s="343"/>
      <c r="E45" s="343"/>
      <c r="F45" s="343"/>
      <c r="G45" s="343"/>
      <c r="H45" s="343"/>
      <c r="I45" s="343"/>
      <c r="J45" s="343"/>
      <c r="K45" s="343"/>
      <c r="L45" s="357"/>
    </row>
    <row r="46" spans="1:12">
      <c r="A46" s="332">
        <f t="shared" si="4"/>
        <v>37</v>
      </c>
      <c r="B46" s="358" t="s">
        <v>1255</v>
      </c>
      <c r="C46" s="343"/>
      <c r="D46" s="343"/>
      <c r="E46" s="343"/>
      <c r="F46" s="343"/>
      <c r="G46" s="343"/>
      <c r="H46" s="343"/>
      <c r="I46" s="343"/>
      <c r="J46" s="343"/>
      <c r="K46" s="343"/>
      <c r="L46" s="357"/>
    </row>
    <row r="47" spans="1:12">
      <c r="A47" s="332">
        <f t="shared" si="4"/>
        <v>38</v>
      </c>
      <c r="B47" s="358" t="s">
        <v>1254</v>
      </c>
      <c r="C47" s="343"/>
      <c r="D47" s="343"/>
      <c r="E47" s="343"/>
      <c r="F47" s="343"/>
      <c r="G47" s="343"/>
      <c r="H47" s="343"/>
      <c r="I47" s="343"/>
      <c r="J47" s="343"/>
      <c r="K47" s="343"/>
      <c r="L47" s="357"/>
    </row>
    <row r="48" spans="1:12">
      <c r="A48" s="332">
        <f t="shared" si="4"/>
        <v>39</v>
      </c>
      <c r="B48" s="358" t="s">
        <v>1253</v>
      </c>
      <c r="C48" s="343"/>
      <c r="D48" s="343"/>
      <c r="E48" s="343"/>
      <c r="F48" s="343"/>
      <c r="G48" s="343"/>
      <c r="H48" s="343"/>
      <c r="I48" s="343"/>
      <c r="J48" s="343"/>
      <c r="K48" s="343"/>
      <c r="L48" s="357"/>
    </row>
    <row r="49" spans="1:12">
      <c r="A49" s="332">
        <f t="shared" si="4"/>
        <v>40</v>
      </c>
      <c r="B49" s="358" t="s">
        <v>1252</v>
      </c>
      <c r="C49" s="343"/>
      <c r="D49" s="343"/>
      <c r="E49" s="343"/>
      <c r="F49" s="343"/>
      <c r="G49" s="343"/>
      <c r="H49" s="343"/>
      <c r="I49" s="343"/>
      <c r="J49" s="343"/>
      <c r="K49" s="343"/>
      <c r="L49" s="357"/>
    </row>
    <row r="50" spans="1:12">
      <c r="A50" s="332">
        <f t="shared" si="4"/>
        <v>41</v>
      </c>
      <c r="B50" s="358" t="s">
        <v>1251</v>
      </c>
      <c r="C50" s="343"/>
      <c r="D50" s="343"/>
      <c r="E50" s="343"/>
      <c r="F50" s="343"/>
      <c r="G50" s="343"/>
      <c r="H50" s="343"/>
      <c r="I50" s="343"/>
      <c r="J50" s="343"/>
      <c r="K50" s="343"/>
      <c r="L50" s="357"/>
    </row>
    <row r="51" spans="1:12" ht="14.4" thickBot="1">
      <c r="A51" s="336">
        <f t="shared" si="4"/>
        <v>42</v>
      </c>
      <c r="B51" s="359" t="s">
        <v>1250</v>
      </c>
      <c r="C51" s="354"/>
      <c r="D51" s="354"/>
      <c r="E51" s="354"/>
      <c r="F51" s="354"/>
      <c r="G51" s="354"/>
      <c r="H51" s="354"/>
      <c r="I51" s="354"/>
      <c r="J51" s="354"/>
      <c r="K51" s="354"/>
      <c r="L51" s="360"/>
    </row>
    <row r="52" spans="1:12">
      <c r="A52" s="246" t="str">
        <f>A1</f>
        <v>WAPA-UGP 2018 Rate True-up Calculation</v>
      </c>
      <c r="B52" s="331"/>
      <c r="C52" s="247"/>
      <c r="D52" s="247"/>
      <c r="E52" s="247"/>
      <c r="F52" s="247"/>
      <c r="G52" s="247"/>
      <c r="H52" s="247"/>
      <c r="I52" s="247"/>
      <c r="J52" s="247"/>
      <c r="K52" s="247"/>
      <c r="L52" s="271"/>
    </row>
    <row r="53" spans="1:12">
      <c r="A53" s="332"/>
      <c r="B53" s="333"/>
      <c r="C53" s="333" t="s">
        <v>1200</v>
      </c>
      <c r="D53" s="334"/>
      <c r="E53" s="333" t="s">
        <v>1249</v>
      </c>
      <c r="F53" s="334"/>
      <c r="G53" s="333" t="s">
        <v>957</v>
      </c>
      <c r="H53" s="335"/>
      <c r="I53" s="333" t="s">
        <v>1198</v>
      </c>
      <c r="J53" s="335"/>
      <c r="K53" s="333" t="s">
        <v>961</v>
      </c>
      <c r="L53" s="272"/>
    </row>
    <row r="54" spans="1:12" s="241" customFormat="1" ht="14.4" thickBot="1">
      <c r="A54" s="336" t="s">
        <v>0</v>
      </c>
      <c r="B54" s="254">
        <v>-1</v>
      </c>
      <c r="C54" s="337">
        <v>-2</v>
      </c>
      <c r="D54" s="338"/>
      <c r="E54" s="337">
        <v>-3</v>
      </c>
      <c r="F54" s="338"/>
      <c r="G54" s="254">
        <v>-4</v>
      </c>
      <c r="H54" s="339"/>
      <c r="I54" s="254">
        <v>-5</v>
      </c>
      <c r="J54" s="339"/>
      <c r="K54" s="254">
        <v>-6</v>
      </c>
      <c r="L54" s="340"/>
    </row>
    <row r="55" spans="1:12">
      <c r="A55" s="332">
        <f>A51+1</f>
        <v>43</v>
      </c>
      <c r="B55" s="341" t="s">
        <v>1248</v>
      </c>
      <c r="C55" s="342"/>
      <c r="D55" s="342"/>
      <c r="E55" s="342"/>
      <c r="F55" s="342"/>
      <c r="G55" s="342"/>
      <c r="H55" s="342"/>
      <c r="I55" s="342"/>
      <c r="J55" s="342"/>
      <c r="K55" s="342"/>
      <c r="L55" s="357"/>
    </row>
    <row r="56" spans="1:12">
      <c r="A56" s="332">
        <f t="shared" ref="A56:A77" si="5">A55+1</f>
        <v>44</v>
      </c>
      <c r="B56" s="361" t="s">
        <v>1247</v>
      </c>
      <c r="C56" s="343"/>
      <c r="D56" s="343"/>
      <c r="E56" s="343"/>
      <c r="F56" s="343"/>
      <c r="G56" s="343"/>
      <c r="H56" s="343"/>
      <c r="I56" s="343"/>
      <c r="J56" s="343"/>
      <c r="K56" s="343"/>
      <c r="L56" s="357"/>
    </row>
    <row r="57" spans="1:12">
      <c r="A57" s="332">
        <f t="shared" si="5"/>
        <v>45</v>
      </c>
      <c r="B57" s="343" t="s">
        <v>2275</v>
      </c>
      <c r="C57" s="343">
        <f>363576829+71842675+602173+339381810+112882562+2582544</f>
        <v>890868593</v>
      </c>
      <c r="D57" s="345" t="s">
        <v>1246</v>
      </c>
      <c r="E57" s="343">
        <f>262341710+8786658+141709127+1660014</f>
        <v>414497509</v>
      </c>
      <c r="F57" s="345" t="s">
        <v>1246</v>
      </c>
      <c r="G57" s="343">
        <f>521555771+107661984</f>
        <v>629217755</v>
      </c>
      <c r="H57" s="345" t="s">
        <v>1246</v>
      </c>
      <c r="I57" s="343">
        <f>154441912+65126585</f>
        <v>219568497</v>
      </c>
      <c r="J57" s="345" t="s">
        <v>1246</v>
      </c>
      <c r="K57" s="343">
        <f>SUM(C57:I57)</f>
        <v>2154152354</v>
      </c>
      <c r="L57" s="357"/>
    </row>
    <row r="58" spans="1:12">
      <c r="A58" s="332">
        <f t="shared" si="5"/>
        <v>46</v>
      </c>
      <c r="B58" s="361" t="s">
        <v>1245</v>
      </c>
      <c r="C58" s="343"/>
      <c r="D58" s="345"/>
      <c r="E58" s="343"/>
      <c r="F58" s="345"/>
      <c r="G58" s="343"/>
      <c r="H58" s="345"/>
      <c r="I58" s="343"/>
      <c r="J58" s="345"/>
      <c r="K58" s="343"/>
      <c r="L58" s="357"/>
    </row>
    <row r="59" spans="1:12">
      <c r="A59" s="332">
        <f t="shared" si="5"/>
        <v>47</v>
      </c>
      <c r="B59" s="343" t="s">
        <v>2276</v>
      </c>
      <c r="C59" s="343">
        <f>18993530+15664221+1517427-1303614+2821.86+4578197+5730700-348643-181473.76</f>
        <v>44653166.100000001</v>
      </c>
      <c r="D59" s="345" t="s">
        <v>1244</v>
      </c>
      <c r="E59" s="343">
        <f>19197702+8321295-902450.64</f>
        <v>26616546.359999999</v>
      </c>
      <c r="F59" s="345" t="s">
        <v>1244</v>
      </c>
      <c r="G59" s="343">
        <f>18849555+3010530-1004292</f>
        <v>20855793</v>
      </c>
      <c r="H59" s="345" t="s">
        <v>1243</v>
      </c>
      <c r="I59" s="343">
        <f>5448769+3290371-371406</f>
        <v>8367734</v>
      </c>
      <c r="J59" s="345" t="s">
        <v>1243</v>
      </c>
      <c r="K59" s="343">
        <f>SUM(C59:I59)</f>
        <v>100493239.46000001</v>
      </c>
      <c r="L59" s="357"/>
    </row>
    <row r="60" spans="1:12">
      <c r="A60" s="332">
        <f t="shared" si="5"/>
        <v>48</v>
      </c>
      <c r="B60" s="343" t="s">
        <v>1242</v>
      </c>
      <c r="C60" s="362">
        <f>C59/C57</f>
        <v>5.0123179165661752E-2</v>
      </c>
      <c r="D60" s="363" t="s">
        <v>2627</v>
      </c>
      <c r="E60" s="362">
        <f>E59/E57</f>
        <v>6.421400800263917E-2</v>
      </c>
      <c r="F60" s="363" t="s">
        <v>2627</v>
      </c>
      <c r="G60" s="362">
        <f>G59/G57</f>
        <v>3.3145588843086604E-2</v>
      </c>
      <c r="H60" s="363" t="s">
        <v>2627</v>
      </c>
      <c r="I60" s="362">
        <f>I59/I57</f>
        <v>3.810990244197008E-2</v>
      </c>
      <c r="J60" s="363" t="s">
        <v>2627</v>
      </c>
      <c r="K60" s="364"/>
      <c r="L60" s="357"/>
    </row>
    <row r="61" spans="1:12">
      <c r="A61" s="332">
        <f t="shared" si="5"/>
        <v>49</v>
      </c>
      <c r="B61" s="343" t="s">
        <v>1241</v>
      </c>
      <c r="C61" s="365">
        <f>C8/(C8+E8+G8)</f>
        <v>0.9459054946460318</v>
      </c>
      <c r="D61" s="347" t="s">
        <v>1240</v>
      </c>
      <c r="E61" s="365">
        <f>E8/(C8+E8+G8)</f>
        <v>7.0237518624419251E-3</v>
      </c>
      <c r="F61" s="347" t="s">
        <v>1239</v>
      </c>
      <c r="G61" s="365">
        <f>G8/(C8+E8+G8)</f>
        <v>4.7070753491526188E-2</v>
      </c>
      <c r="H61" s="347" t="s">
        <v>1238</v>
      </c>
      <c r="I61" s="365">
        <v>0</v>
      </c>
      <c r="J61" s="347" t="s">
        <v>1237</v>
      </c>
      <c r="K61" s="364"/>
      <c r="L61" s="357"/>
    </row>
    <row r="62" spans="1:12">
      <c r="A62" s="332">
        <f t="shared" si="5"/>
        <v>50</v>
      </c>
      <c r="B62" s="343" t="s">
        <v>1236</v>
      </c>
      <c r="C62" s="364"/>
      <c r="D62" s="363"/>
      <c r="E62" s="364"/>
      <c r="F62" s="363"/>
      <c r="G62" s="364"/>
      <c r="H62" s="363"/>
      <c r="I62" s="364"/>
      <c r="J62" s="363"/>
      <c r="K62" s="362">
        <f>C60*C61+E60*E61+G60*G61+I60*I61</f>
        <v>4.942300168199476E-2</v>
      </c>
      <c r="L62" s="366" t="s">
        <v>1235</v>
      </c>
    </row>
    <row r="63" spans="1:12">
      <c r="A63" s="332">
        <f t="shared" si="5"/>
        <v>51</v>
      </c>
      <c r="B63" s="343" t="s">
        <v>1234</v>
      </c>
      <c r="C63" s="365">
        <f>C9/(C9+E9+G9+I9)</f>
        <v>8.2013431372800517E-3</v>
      </c>
      <c r="D63" s="347" t="s">
        <v>1233</v>
      </c>
      <c r="E63" s="365">
        <v>0</v>
      </c>
      <c r="F63" s="363" t="s">
        <v>1232</v>
      </c>
      <c r="G63" s="365">
        <f>G9/(C9+G9+I9)</f>
        <v>0.67108047832115325</v>
      </c>
      <c r="H63" s="347" t="s">
        <v>1231</v>
      </c>
      <c r="I63" s="365">
        <f>I9/(C9+G9+I9)</f>
        <v>0.32071817854156676</v>
      </c>
      <c r="J63" s="347" t="s">
        <v>1230</v>
      </c>
      <c r="K63" s="364"/>
      <c r="L63" s="357"/>
    </row>
    <row r="64" spans="1:12">
      <c r="A64" s="332">
        <f t="shared" si="5"/>
        <v>52</v>
      </c>
      <c r="B64" s="343" t="s">
        <v>1229</v>
      </c>
      <c r="C64" s="364"/>
      <c r="D64" s="363"/>
      <c r="E64" s="364"/>
      <c r="F64" s="364"/>
      <c r="G64" s="367"/>
      <c r="H64" s="367"/>
      <c r="I64" s="367"/>
      <c r="J64" s="363"/>
      <c r="K64" s="362">
        <f>C60*C63+E60*E63+G60*G63+I60*I63</f>
        <v>3.4876973502109249E-2</v>
      </c>
      <c r="L64" s="366" t="s">
        <v>1228</v>
      </c>
    </row>
    <row r="65" spans="1:12">
      <c r="A65" s="332">
        <f t="shared" si="5"/>
        <v>53</v>
      </c>
      <c r="B65" s="343" t="s">
        <v>1227</v>
      </c>
      <c r="C65" s="343"/>
      <c r="D65" s="343"/>
      <c r="E65" s="343"/>
      <c r="F65" s="343"/>
      <c r="G65" s="343"/>
      <c r="H65" s="343"/>
      <c r="I65" s="343"/>
      <c r="J65" s="343"/>
      <c r="K65" s="343"/>
      <c r="L65" s="357"/>
    </row>
    <row r="66" spans="1:12">
      <c r="A66" s="332">
        <f t="shared" si="5"/>
        <v>54</v>
      </c>
      <c r="B66" s="343" t="s">
        <v>1226</v>
      </c>
      <c r="C66" s="343"/>
      <c r="D66" s="343"/>
      <c r="E66" s="343"/>
      <c r="F66" s="343"/>
      <c r="G66" s="343"/>
      <c r="H66" s="343"/>
      <c r="I66" s="343"/>
      <c r="J66" s="343"/>
      <c r="K66" s="343"/>
      <c r="L66" s="357"/>
    </row>
    <row r="67" spans="1:12">
      <c r="A67" s="332">
        <f t="shared" si="5"/>
        <v>55</v>
      </c>
      <c r="B67" s="343" t="s">
        <v>1225</v>
      </c>
      <c r="C67" s="343"/>
      <c r="D67" s="343"/>
      <c r="E67" s="343"/>
      <c r="F67" s="343"/>
      <c r="G67" s="343"/>
      <c r="H67" s="343"/>
      <c r="I67" s="343"/>
      <c r="J67" s="343"/>
      <c r="K67" s="343"/>
      <c r="L67" s="357"/>
    </row>
    <row r="68" spans="1:12">
      <c r="A68" s="332">
        <f t="shared" si="5"/>
        <v>56</v>
      </c>
      <c r="B68" s="343" t="s">
        <v>1224</v>
      </c>
      <c r="C68" s="343"/>
      <c r="D68" s="343"/>
      <c r="E68" s="343"/>
      <c r="F68" s="343"/>
      <c r="G68" s="343"/>
      <c r="H68" s="343"/>
      <c r="I68" s="343"/>
      <c r="J68" s="343"/>
      <c r="K68" s="343"/>
      <c r="L68" s="357"/>
    </row>
    <row r="69" spans="1:12">
      <c r="A69" s="332">
        <f t="shared" si="5"/>
        <v>57</v>
      </c>
      <c r="B69" s="343" t="s">
        <v>1223</v>
      </c>
      <c r="C69" s="343"/>
      <c r="D69" s="343"/>
      <c r="E69" s="343"/>
      <c r="F69" s="343"/>
      <c r="G69" s="343"/>
      <c r="H69" s="343"/>
      <c r="I69" s="343"/>
      <c r="J69" s="343"/>
      <c r="K69" s="343"/>
      <c r="L69" s="357"/>
    </row>
    <row r="70" spans="1:12">
      <c r="A70" s="332">
        <f t="shared" si="5"/>
        <v>58</v>
      </c>
      <c r="B70" s="343" t="s">
        <v>1222</v>
      </c>
      <c r="C70" s="343"/>
      <c r="D70" s="343"/>
      <c r="E70" s="343"/>
      <c r="F70" s="343"/>
      <c r="G70" s="343"/>
      <c r="H70" s="343"/>
      <c r="I70" s="343"/>
      <c r="J70" s="343"/>
      <c r="K70" s="343"/>
      <c r="L70" s="357"/>
    </row>
    <row r="71" spans="1:12">
      <c r="A71" s="332">
        <f t="shared" si="5"/>
        <v>59</v>
      </c>
      <c r="B71" s="343" t="s">
        <v>2628</v>
      </c>
      <c r="C71" s="343"/>
      <c r="D71" s="343"/>
      <c r="E71" s="343"/>
      <c r="F71" s="343"/>
      <c r="G71" s="343"/>
      <c r="H71" s="343"/>
      <c r="I71" s="343"/>
      <c r="J71" s="343"/>
      <c r="K71" s="343"/>
      <c r="L71" s="357"/>
    </row>
    <row r="72" spans="1:12">
      <c r="A72" s="332">
        <f t="shared" si="5"/>
        <v>60</v>
      </c>
      <c r="B72" s="343" t="s">
        <v>1221</v>
      </c>
      <c r="C72" s="343"/>
      <c r="D72" s="343"/>
      <c r="E72" s="343"/>
      <c r="F72" s="343"/>
      <c r="G72" s="343"/>
      <c r="H72" s="343"/>
      <c r="I72" s="343"/>
      <c r="J72" s="343"/>
      <c r="K72" s="343"/>
      <c r="L72" s="357"/>
    </row>
    <row r="73" spans="1:12">
      <c r="A73" s="332">
        <f t="shared" si="5"/>
        <v>61</v>
      </c>
      <c r="B73" s="343" t="s">
        <v>1220</v>
      </c>
      <c r="C73" s="343"/>
      <c r="D73" s="343"/>
      <c r="E73" s="343"/>
      <c r="F73" s="343"/>
      <c r="G73" s="343"/>
      <c r="H73" s="343"/>
      <c r="I73" s="343"/>
      <c r="J73" s="343"/>
      <c r="K73" s="343"/>
      <c r="L73" s="357"/>
    </row>
    <row r="74" spans="1:12">
      <c r="A74" s="332">
        <f t="shared" si="5"/>
        <v>62</v>
      </c>
      <c r="B74" s="343" t="s">
        <v>1219</v>
      </c>
      <c r="C74" s="343"/>
      <c r="D74" s="343"/>
      <c r="E74" s="343"/>
      <c r="F74" s="343"/>
      <c r="G74" s="343"/>
      <c r="H74" s="343"/>
      <c r="I74" s="343"/>
      <c r="J74" s="343"/>
      <c r="K74" s="343"/>
      <c r="L74" s="357"/>
    </row>
    <row r="75" spans="1:12">
      <c r="A75" s="332">
        <f t="shared" si="5"/>
        <v>63</v>
      </c>
      <c r="B75" s="343" t="s">
        <v>1218</v>
      </c>
      <c r="C75" s="343"/>
      <c r="D75" s="343"/>
      <c r="E75" s="343"/>
      <c r="F75" s="343"/>
      <c r="G75" s="343"/>
      <c r="H75" s="343"/>
      <c r="I75" s="343"/>
      <c r="J75" s="343"/>
      <c r="K75" s="343"/>
      <c r="L75" s="357"/>
    </row>
    <row r="76" spans="1:12">
      <c r="A76" s="332">
        <f t="shared" si="5"/>
        <v>64</v>
      </c>
      <c r="B76" s="343" t="s">
        <v>2629</v>
      </c>
      <c r="C76" s="343"/>
      <c r="D76" s="343"/>
      <c r="E76" s="343"/>
      <c r="F76" s="343"/>
      <c r="G76" s="343"/>
      <c r="H76" s="343"/>
      <c r="I76" s="343"/>
      <c r="J76" s="343"/>
      <c r="K76" s="343"/>
      <c r="L76" s="357"/>
    </row>
    <row r="77" spans="1:12" ht="14.4" thickBot="1">
      <c r="A77" s="336">
        <f t="shared" si="5"/>
        <v>65</v>
      </c>
      <c r="B77" s="354" t="s">
        <v>1217</v>
      </c>
      <c r="C77" s="354"/>
      <c r="D77" s="354"/>
      <c r="E77" s="354"/>
      <c r="F77" s="354"/>
      <c r="G77" s="354"/>
      <c r="H77" s="354"/>
      <c r="I77" s="354"/>
      <c r="J77" s="354"/>
      <c r="K77" s="354"/>
      <c r="L77" s="360"/>
    </row>
    <row r="78" spans="1:12">
      <c r="A78" s="246" t="str">
        <f>A1</f>
        <v>WAPA-UGP 2018 Rate True-up Calculation</v>
      </c>
      <c r="B78" s="331"/>
      <c r="C78" s="247"/>
      <c r="D78" s="247"/>
      <c r="E78" s="247"/>
      <c r="F78" s="247"/>
      <c r="G78" s="247"/>
      <c r="H78" s="247"/>
      <c r="I78" s="247"/>
      <c r="J78" s="247"/>
      <c r="K78" s="247"/>
      <c r="L78" s="271"/>
    </row>
    <row r="79" spans="1:12">
      <c r="A79" s="332"/>
      <c r="B79" s="333"/>
      <c r="C79" s="333" t="s">
        <v>1200</v>
      </c>
      <c r="D79" s="334"/>
      <c r="E79" s="333" t="s">
        <v>1199</v>
      </c>
      <c r="F79" s="334"/>
      <c r="G79" s="333" t="s">
        <v>957</v>
      </c>
      <c r="H79" s="335"/>
      <c r="I79" s="333" t="s">
        <v>1198</v>
      </c>
      <c r="J79" s="335"/>
      <c r="K79" s="333" t="s">
        <v>961</v>
      </c>
      <c r="L79" s="272"/>
    </row>
    <row r="80" spans="1:12" s="241" customFormat="1" ht="14.4" thickBot="1">
      <c r="A80" s="336" t="s">
        <v>0</v>
      </c>
      <c r="B80" s="254">
        <v>-1</v>
      </c>
      <c r="C80" s="337">
        <v>-2</v>
      </c>
      <c r="D80" s="338"/>
      <c r="E80" s="337">
        <v>-3</v>
      </c>
      <c r="F80" s="338"/>
      <c r="G80" s="254">
        <v>-4</v>
      </c>
      <c r="H80" s="339"/>
      <c r="I80" s="254">
        <v>-5</v>
      </c>
      <c r="J80" s="339"/>
      <c r="K80" s="254">
        <v>-6</v>
      </c>
      <c r="L80" s="340"/>
    </row>
    <row r="81" spans="1:12">
      <c r="A81" s="332">
        <f>A77+1</f>
        <v>66</v>
      </c>
      <c r="B81" s="341" t="s">
        <v>1216</v>
      </c>
      <c r="C81" s="368"/>
      <c r="D81" s="368"/>
      <c r="E81" s="368"/>
      <c r="F81" s="368"/>
      <c r="G81" s="368"/>
      <c r="H81" s="343"/>
      <c r="I81" s="343"/>
      <c r="J81" s="343"/>
      <c r="K81" s="343"/>
      <c r="L81" s="357"/>
    </row>
    <row r="82" spans="1:12">
      <c r="A82" s="332">
        <f t="shared" ref="A82:A106" si="6">A81+1</f>
        <v>67</v>
      </c>
      <c r="B82" s="369" t="s">
        <v>1215</v>
      </c>
      <c r="C82" s="369" t="s">
        <v>1214</v>
      </c>
      <c r="D82" s="248"/>
      <c r="E82" s="369" t="s">
        <v>1213</v>
      </c>
      <c r="F82" s="370"/>
      <c r="G82" s="369" t="s">
        <v>1196</v>
      </c>
      <c r="H82" s="248"/>
      <c r="I82" s="369" t="s">
        <v>1212</v>
      </c>
      <c r="J82" s="248"/>
      <c r="K82" s="369" t="s">
        <v>963</v>
      </c>
      <c r="L82" s="272"/>
    </row>
    <row r="83" spans="1:12">
      <c r="A83" s="332">
        <f t="shared" si="6"/>
        <v>68</v>
      </c>
      <c r="B83" s="371">
        <v>1411</v>
      </c>
      <c r="C83" s="318">
        <f>2501555.58+401627.16</f>
        <v>2903182.74</v>
      </c>
      <c r="D83" s="248"/>
      <c r="E83" s="318">
        <f>1888410.63</f>
        <v>1888410.63</v>
      </c>
      <c r="F83" s="248"/>
      <c r="G83" s="318">
        <v>0</v>
      </c>
      <c r="H83" s="248"/>
      <c r="I83" s="318">
        <v>0</v>
      </c>
      <c r="J83" s="248"/>
      <c r="K83" s="318">
        <f t="shared" ref="K83:K96" si="7">SUM(C83:I83)</f>
        <v>4791593.37</v>
      </c>
      <c r="L83" s="272"/>
    </row>
    <row r="84" spans="1:12">
      <c r="A84" s="332">
        <f t="shared" si="6"/>
        <v>69</v>
      </c>
      <c r="B84" s="371">
        <v>1412</v>
      </c>
      <c r="C84" s="318">
        <f>12317638.27+2046920.02</f>
        <v>14364558.289999999</v>
      </c>
      <c r="D84" s="248"/>
      <c r="E84" s="318">
        <f>4504781.74</f>
        <v>4504781.74</v>
      </c>
      <c r="F84" s="248"/>
      <c r="G84" s="318">
        <v>0</v>
      </c>
      <c r="H84" s="248"/>
      <c r="I84" s="318">
        <v>0</v>
      </c>
      <c r="J84" s="248"/>
      <c r="K84" s="318">
        <f t="shared" si="7"/>
        <v>18869340.030000001</v>
      </c>
      <c r="L84" s="272"/>
    </row>
    <row r="85" spans="1:12">
      <c r="A85" s="332">
        <f t="shared" si="6"/>
        <v>70</v>
      </c>
      <c r="B85" s="371">
        <v>1415</v>
      </c>
      <c r="C85" s="318">
        <f>-377.23-4254.69</f>
        <v>-4631.92</v>
      </c>
      <c r="D85" s="248"/>
      <c r="E85" s="318">
        <f>-12908.94</f>
        <v>-12908.94</v>
      </c>
      <c r="F85" s="248"/>
      <c r="G85" s="318">
        <v>0</v>
      </c>
      <c r="H85" s="248"/>
      <c r="I85" s="318">
        <v>0</v>
      </c>
      <c r="J85" s="248"/>
      <c r="K85" s="318">
        <f t="shared" si="7"/>
        <v>-17540.86</v>
      </c>
      <c r="L85" s="272"/>
    </row>
    <row r="86" spans="1:12">
      <c r="A86" s="332">
        <f t="shared" si="6"/>
        <v>71</v>
      </c>
      <c r="B86" s="371">
        <v>1416</v>
      </c>
      <c r="C86" s="318">
        <f>338131.43+36549.88</f>
        <v>374681.31</v>
      </c>
      <c r="D86" s="248"/>
      <c r="E86" s="318">
        <f>186521.88</f>
        <v>186521.88</v>
      </c>
      <c r="F86" s="248"/>
      <c r="G86" s="318">
        <v>0</v>
      </c>
      <c r="H86" s="248"/>
      <c r="I86" s="318">
        <v>0</v>
      </c>
      <c r="J86" s="248"/>
      <c r="K86" s="318">
        <f t="shared" si="7"/>
        <v>561203.18999999994</v>
      </c>
      <c r="L86" s="272"/>
    </row>
    <row r="87" spans="1:12">
      <c r="A87" s="332">
        <f t="shared" si="6"/>
        <v>72</v>
      </c>
      <c r="B87" s="371">
        <v>1421</v>
      </c>
      <c r="C87" s="318">
        <f>1155009.93+179726.06</f>
        <v>1334735.99</v>
      </c>
      <c r="D87" s="248"/>
      <c r="E87" s="318">
        <f>873141.88</f>
        <v>873141.88</v>
      </c>
      <c r="F87" s="248"/>
      <c r="G87" s="318">
        <v>0</v>
      </c>
      <c r="H87" s="248"/>
      <c r="I87" s="318">
        <v>0</v>
      </c>
      <c r="J87" s="248"/>
      <c r="K87" s="318">
        <f t="shared" si="7"/>
        <v>2207877.87</v>
      </c>
      <c r="L87" s="272"/>
    </row>
    <row r="88" spans="1:12">
      <c r="A88" s="332">
        <f t="shared" si="6"/>
        <v>73</v>
      </c>
      <c r="B88" s="371">
        <v>1422</v>
      </c>
      <c r="C88" s="318">
        <f>678912.43+115570.64</f>
        <v>794483.07000000007</v>
      </c>
      <c r="D88" s="248"/>
      <c r="E88" s="318">
        <f>1298.09</f>
        <v>1298.0899999999999</v>
      </c>
      <c r="F88" s="248"/>
      <c r="G88" s="318">
        <v>0</v>
      </c>
      <c r="H88" s="248"/>
      <c r="I88" s="318">
        <v>0</v>
      </c>
      <c r="J88" s="248"/>
      <c r="K88" s="318">
        <f t="shared" si="7"/>
        <v>795781.16</v>
      </c>
      <c r="L88" s="272"/>
    </row>
    <row r="89" spans="1:12">
      <c r="A89" s="332">
        <f t="shared" si="6"/>
        <v>74</v>
      </c>
      <c r="B89" s="371">
        <v>1425</v>
      </c>
      <c r="C89" s="318">
        <f>-10267.81-3268.27</f>
        <v>-13536.08</v>
      </c>
      <c r="D89" s="248"/>
      <c r="E89" s="318">
        <f>-13851.95</f>
        <v>-13851.95</v>
      </c>
      <c r="F89" s="248"/>
      <c r="G89" s="318">
        <v>0</v>
      </c>
      <c r="H89" s="248"/>
      <c r="I89" s="318">
        <v>0</v>
      </c>
      <c r="J89" s="248"/>
      <c r="K89" s="318">
        <f t="shared" si="7"/>
        <v>-27388.03</v>
      </c>
      <c r="L89" s="272"/>
    </row>
    <row r="90" spans="1:12">
      <c r="A90" s="332">
        <f t="shared" si="6"/>
        <v>75</v>
      </c>
      <c r="B90" s="371">
        <v>1426</v>
      </c>
      <c r="C90" s="318">
        <f>8434.23+135.72</f>
        <v>8569.9499999999989</v>
      </c>
      <c r="D90" s="248"/>
      <c r="E90" s="318">
        <v>0</v>
      </c>
      <c r="F90" s="248"/>
      <c r="G90" s="318">
        <v>0</v>
      </c>
      <c r="H90" s="248"/>
      <c r="I90" s="318">
        <v>0</v>
      </c>
      <c r="J90" s="248"/>
      <c r="K90" s="318">
        <f t="shared" si="7"/>
        <v>8569.9499999999989</v>
      </c>
      <c r="L90" s="272"/>
    </row>
    <row r="91" spans="1:12">
      <c r="A91" s="332">
        <f t="shared" si="6"/>
        <v>76</v>
      </c>
      <c r="B91" s="371">
        <v>1431</v>
      </c>
      <c r="C91" s="318">
        <v>0</v>
      </c>
      <c r="D91" s="248"/>
      <c r="E91" s="318">
        <v>0</v>
      </c>
      <c r="F91" s="248"/>
      <c r="G91" s="318">
        <v>0</v>
      </c>
      <c r="H91" s="248"/>
      <c r="I91" s="318">
        <v>0</v>
      </c>
      <c r="J91" s="248"/>
      <c r="K91" s="318">
        <f>SUM(C91:I91)</f>
        <v>0</v>
      </c>
      <c r="L91" s="272"/>
    </row>
    <row r="92" spans="1:12">
      <c r="A92" s="332">
        <f t="shared" si="6"/>
        <v>77</v>
      </c>
      <c r="B92" s="371">
        <v>1432</v>
      </c>
      <c r="C92" s="318">
        <v>0</v>
      </c>
      <c r="D92" s="248"/>
      <c r="E92" s="318">
        <v>0</v>
      </c>
      <c r="F92" s="248"/>
      <c r="G92" s="318">
        <v>0</v>
      </c>
      <c r="H92" s="248"/>
      <c r="I92" s="318">
        <v>0</v>
      </c>
      <c r="J92" s="248"/>
      <c r="K92" s="318">
        <f t="shared" si="7"/>
        <v>0</v>
      </c>
      <c r="L92" s="272"/>
    </row>
    <row r="93" spans="1:12">
      <c r="A93" s="332">
        <f t="shared" si="6"/>
        <v>78</v>
      </c>
      <c r="B93" s="371">
        <v>1441</v>
      </c>
      <c r="C93" s="318">
        <v>0</v>
      </c>
      <c r="D93" s="248"/>
      <c r="E93" s="318">
        <f>2374139.55</f>
        <v>2374139.5499999998</v>
      </c>
      <c r="F93" s="248"/>
      <c r="G93" s="318">
        <v>0</v>
      </c>
      <c r="H93" s="248"/>
      <c r="I93" s="318">
        <v>0</v>
      </c>
      <c r="J93" s="248"/>
      <c r="K93" s="318">
        <f t="shared" si="7"/>
        <v>2374139.5499999998</v>
      </c>
      <c r="L93" s="272"/>
    </row>
    <row r="94" spans="1:12">
      <c r="A94" s="332">
        <f t="shared" si="6"/>
        <v>79</v>
      </c>
      <c r="B94" s="372">
        <v>1442</v>
      </c>
      <c r="C94" s="355">
        <v>0</v>
      </c>
      <c r="D94" s="373"/>
      <c r="E94" s="355">
        <f>112518.65</f>
        <v>112518.65</v>
      </c>
      <c r="F94" s="373"/>
      <c r="G94" s="355">
        <v>0</v>
      </c>
      <c r="H94" s="373"/>
      <c r="I94" s="355">
        <v>0</v>
      </c>
      <c r="J94" s="373"/>
      <c r="K94" s="355">
        <f t="shared" si="7"/>
        <v>112518.65</v>
      </c>
      <c r="L94" s="272"/>
    </row>
    <row r="95" spans="1:12">
      <c r="A95" s="332">
        <f t="shared" si="6"/>
        <v>80</v>
      </c>
      <c r="B95" s="374" t="s">
        <v>1211</v>
      </c>
      <c r="C95" s="375">
        <f>SUM(C83:C94)</f>
        <v>19762043.349999998</v>
      </c>
      <c r="D95" s="248"/>
      <c r="E95" s="375">
        <f>SUM(E83:E94)</f>
        <v>9914051.5299999993</v>
      </c>
      <c r="F95" s="248"/>
      <c r="G95" s="375">
        <f>SUM(G83:G94)</f>
        <v>0</v>
      </c>
      <c r="H95" s="248"/>
      <c r="I95" s="375">
        <f>SUM(I83:I94)</f>
        <v>0</v>
      </c>
      <c r="J95" s="248"/>
      <c r="K95" s="375">
        <f t="shared" si="7"/>
        <v>29676094.879999995</v>
      </c>
      <c r="L95" s="272"/>
    </row>
    <row r="96" spans="1:12">
      <c r="A96" s="332">
        <f t="shared" si="6"/>
        <v>81</v>
      </c>
      <c r="B96" s="374" t="s">
        <v>1210</v>
      </c>
      <c r="C96" s="375">
        <f>C95*C12</f>
        <v>18826979.281322058</v>
      </c>
      <c r="D96" s="248"/>
      <c r="E96" s="375">
        <f>E95*E12</f>
        <v>123553.21857633088</v>
      </c>
      <c r="F96" s="248"/>
      <c r="G96" s="375">
        <v>0</v>
      </c>
      <c r="H96" s="248"/>
      <c r="I96" s="375">
        <v>0</v>
      </c>
      <c r="J96" s="248"/>
      <c r="K96" s="375">
        <f t="shared" si="7"/>
        <v>18950532.499898389</v>
      </c>
      <c r="L96" s="272"/>
    </row>
    <row r="97" spans="1:12">
      <c r="A97" s="332">
        <f t="shared" si="6"/>
        <v>82</v>
      </c>
      <c r="B97" s="374" t="s">
        <v>1209</v>
      </c>
      <c r="C97" s="375">
        <f>C95*C11</f>
        <v>188858.56192150369</v>
      </c>
      <c r="D97" s="248"/>
      <c r="E97" s="375">
        <v>0</v>
      </c>
      <c r="F97" s="375"/>
      <c r="G97" s="375">
        <f>I95-I96</f>
        <v>0</v>
      </c>
      <c r="H97" s="248"/>
      <c r="I97" s="248">
        <v>0</v>
      </c>
      <c r="J97" s="248"/>
      <c r="K97" s="375">
        <f>SUM(C97:G97)</f>
        <v>188858.56192150369</v>
      </c>
      <c r="L97" s="272"/>
    </row>
    <row r="98" spans="1:12">
      <c r="A98" s="332">
        <f t="shared" si="6"/>
        <v>83</v>
      </c>
      <c r="B98" s="374" t="s">
        <v>1208</v>
      </c>
      <c r="C98" s="375">
        <f>C95*C13</f>
        <v>187223.74573673302</v>
      </c>
      <c r="D98" s="248"/>
      <c r="E98" s="375">
        <v>0</v>
      </c>
      <c r="F98" s="375"/>
      <c r="G98" s="375">
        <v>0</v>
      </c>
      <c r="H98" s="248"/>
      <c r="I98" s="248">
        <v>0</v>
      </c>
      <c r="J98" s="248"/>
      <c r="K98" s="375">
        <f>SUM(C98:G98)</f>
        <v>187223.74573673302</v>
      </c>
      <c r="L98" s="272"/>
    </row>
    <row r="99" spans="1:12">
      <c r="A99" s="332">
        <f t="shared" si="6"/>
        <v>84</v>
      </c>
      <c r="B99" s="376" t="s">
        <v>1207</v>
      </c>
      <c r="C99" s="375"/>
      <c r="D99" s="248"/>
      <c r="E99" s="375"/>
      <c r="F99" s="375"/>
      <c r="G99" s="375"/>
      <c r="H99" s="248"/>
      <c r="I99" s="248"/>
      <c r="J99" s="248"/>
      <c r="K99" s="375"/>
      <c r="L99" s="272"/>
    </row>
    <row r="100" spans="1:12">
      <c r="A100" s="332">
        <f t="shared" si="6"/>
        <v>85</v>
      </c>
      <c r="B100" s="376" t="s">
        <v>1206</v>
      </c>
      <c r="C100" s="375"/>
      <c r="D100" s="248"/>
      <c r="E100" s="375"/>
      <c r="F100" s="375"/>
      <c r="G100" s="375"/>
      <c r="H100" s="248"/>
      <c r="I100" s="248"/>
      <c r="J100" s="248"/>
      <c r="K100" s="375"/>
      <c r="L100" s="272"/>
    </row>
    <row r="101" spans="1:12">
      <c r="A101" s="332">
        <f t="shared" si="6"/>
        <v>86</v>
      </c>
      <c r="B101" s="376" t="s">
        <v>1205</v>
      </c>
      <c r="C101" s="375"/>
      <c r="D101" s="248"/>
      <c r="E101" s="375"/>
      <c r="F101" s="375"/>
      <c r="G101" s="375"/>
      <c r="H101" s="248"/>
      <c r="I101" s="248"/>
      <c r="J101" s="248"/>
      <c r="K101" s="375"/>
      <c r="L101" s="272"/>
    </row>
    <row r="102" spans="1:12">
      <c r="A102" s="332">
        <f t="shared" si="6"/>
        <v>87</v>
      </c>
      <c r="B102" s="376" t="s">
        <v>1204</v>
      </c>
      <c r="C102" s="375"/>
      <c r="D102" s="248"/>
      <c r="E102" s="375"/>
      <c r="F102" s="375"/>
      <c r="G102" s="375"/>
      <c r="H102" s="248"/>
      <c r="I102" s="248"/>
      <c r="J102" s="248"/>
      <c r="K102" s="375"/>
      <c r="L102" s="272"/>
    </row>
    <row r="103" spans="1:12">
      <c r="A103" s="332">
        <f t="shared" si="6"/>
        <v>88</v>
      </c>
      <c r="B103" s="376" t="s">
        <v>1202</v>
      </c>
      <c r="C103" s="375"/>
      <c r="D103" s="248"/>
      <c r="E103" s="375"/>
      <c r="F103" s="375"/>
      <c r="G103" s="375"/>
      <c r="H103" s="248"/>
      <c r="I103" s="248"/>
      <c r="J103" s="248"/>
      <c r="K103" s="375"/>
      <c r="L103" s="272"/>
    </row>
    <row r="104" spans="1:12">
      <c r="A104" s="332">
        <f t="shared" si="6"/>
        <v>89</v>
      </c>
      <c r="B104" s="376" t="s">
        <v>1203</v>
      </c>
      <c r="C104" s="375"/>
      <c r="D104" s="248"/>
      <c r="E104" s="375"/>
      <c r="F104" s="375"/>
      <c r="G104" s="375"/>
      <c r="H104" s="248"/>
      <c r="I104" s="248"/>
      <c r="J104" s="248"/>
      <c r="K104" s="375"/>
      <c r="L104" s="272"/>
    </row>
    <row r="105" spans="1:12">
      <c r="A105" s="332">
        <f t="shared" si="6"/>
        <v>90</v>
      </c>
      <c r="B105" s="376" t="s">
        <v>1202</v>
      </c>
      <c r="C105" s="375"/>
      <c r="D105" s="248"/>
      <c r="E105" s="375"/>
      <c r="F105" s="375"/>
      <c r="G105" s="375"/>
      <c r="H105" s="248"/>
      <c r="I105" s="248"/>
      <c r="J105" s="248"/>
      <c r="K105" s="375"/>
      <c r="L105" s="272"/>
    </row>
    <row r="106" spans="1:12" ht="14.4" thickBot="1">
      <c r="A106" s="336">
        <f t="shared" si="6"/>
        <v>91</v>
      </c>
      <c r="B106" s="377" t="s">
        <v>1201</v>
      </c>
      <c r="C106" s="378"/>
      <c r="D106" s="270"/>
      <c r="E106" s="378"/>
      <c r="F106" s="378"/>
      <c r="G106" s="378"/>
      <c r="H106" s="270"/>
      <c r="I106" s="270"/>
      <c r="J106" s="270"/>
      <c r="K106" s="378"/>
      <c r="L106" s="274"/>
    </row>
    <row r="107" spans="1:12">
      <c r="A107" s="246" t="str">
        <f>A1</f>
        <v>WAPA-UGP 2018 Rate True-up Calculation</v>
      </c>
      <c r="B107" s="331"/>
      <c r="C107" s="247"/>
      <c r="D107" s="247"/>
      <c r="E107" s="247"/>
      <c r="F107" s="247"/>
      <c r="G107" s="247"/>
      <c r="H107" s="247"/>
      <c r="I107" s="247"/>
      <c r="J107" s="247"/>
      <c r="K107" s="247"/>
      <c r="L107" s="271"/>
    </row>
    <row r="108" spans="1:12">
      <c r="A108" s="332"/>
      <c r="B108" s="333"/>
      <c r="C108" s="333" t="s">
        <v>1200</v>
      </c>
      <c r="D108" s="334"/>
      <c r="E108" s="333" t="s">
        <v>1199</v>
      </c>
      <c r="F108" s="334"/>
      <c r="G108" s="333" t="s">
        <v>957</v>
      </c>
      <c r="H108" s="335"/>
      <c r="I108" s="333" t="s">
        <v>1198</v>
      </c>
      <c r="J108" s="335"/>
      <c r="K108" s="333" t="s">
        <v>961</v>
      </c>
      <c r="L108" s="272"/>
    </row>
    <row r="109" spans="1:12" s="241" customFormat="1" ht="14.4" thickBot="1">
      <c r="A109" s="336" t="s">
        <v>0</v>
      </c>
      <c r="B109" s="254">
        <v>-1</v>
      </c>
      <c r="C109" s="337">
        <v>-2</v>
      </c>
      <c r="D109" s="338"/>
      <c r="E109" s="337">
        <v>-3</v>
      </c>
      <c r="F109" s="338"/>
      <c r="G109" s="254">
        <v>-4</v>
      </c>
      <c r="H109" s="339"/>
      <c r="I109" s="254">
        <v>-5</v>
      </c>
      <c r="J109" s="339"/>
      <c r="K109" s="254">
        <v>-6</v>
      </c>
      <c r="L109" s="340"/>
    </row>
    <row r="110" spans="1:12">
      <c r="A110" s="386">
        <f>A106+1</f>
        <v>92</v>
      </c>
      <c r="B110" s="387" t="s">
        <v>1197</v>
      </c>
      <c r="C110" s="388"/>
      <c r="D110" s="388"/>
      <c r="E110" s="388"/>
      <c r="F110" s="388"/>
      <c r="G110" s="388"/>
      <c r="H110" s="247"/>
      <c r="I110" s="247"/>
      <c r="J110" s="247"/>
      <c r="K110" s="247"/>
      <c r="L110" s="271"/>
    </row>
    <row r="111" spans="1:12">
      <c r="A111" s="332">
        <f t="shared" ref="A111:A134" si="8">A110+1</f>
        <v>93</v>
      </c>
      <c r="B111" s="369"/>
      <c r="C111" s="379" t="s">
        <v>2239</v>
      </c>
      <c r="D111" s="248"/>
      <c r="E111" s="379" t="s">
        <v>2240</v>
      </c>
      <c r="F111" s="248"/>
      <c r="G111" s="379" t="s">
        <v>1196</v>
      </c>
      <c r="H111" s="248"/>
      <c r="I111" s="379" t="s">
        <v>1195</v>
      </c>
      <c r="J111" s="248"/>
      <c r="K111" s="379" t="s">
        <v>963</v>
      </c>
      <c r="L111" s="272"/>
    </row>
    <row r="112" spans="1:12">
      <c r="A112" s="332">
        <f t="shared" si="8"/>
        <v>94</v>
      </c>
      <c r="B112" s="369" t="s">
        <v>1194</v>
      </c>
      <c r="C112" s="358">
        <f>175904301.28+12282315.45</f>
        <v>188186616.72999999</v>
      </c>
      <c r="D112" s="248"/>
      <c r="E112" s="358">
        <f>78180143.23</f>
        <v>78180143.230000004</v>
      </c>
      <c r="F112" s="248"/>
      <c r="G112" s="358">
        <f>7387237+8981375+8757921+6041294+7109940+8465763</f>
        <v>46743530</v>
      </c>
      <c r="H112" s="248"/>
      <c r="I112" s="358">
        <f>42616977.9</f>
        <v>42616977.899999999</v>
      </c>
      <c r="J112" s="248"/>
      <c r="K112" s="358">
        <f>SUM(C112:I112)</f>
        <v>355727267.85999995</v>
      </c>
      <c r="L112" s="272"/>
    </row>
    <row r="113" spans="1:12">
      <c r="A113" s="332">
        <f t="shared" si="8"/>
        <v>95</v>
      </c>
      <c r="B113" s="380" t="s">
        <v>1193</v>
      </c>
      <c r="C113" s="358"/>
      <c r="D113" s="248"/>
      <c r="E113" s="358"/>
      <c r="F113" s="248"/>
      <c r="G113" s="358"/>
      <c r="H113" s="248"/>
      <c r="I113" s="358"/>
      <c r="J113" s="248"/>
      <c r="K113" s="358"/>
      <c r="L113" s="272"/>
    </row>
    <row r="114" spans="1:12">
      <c r="A114" s="332">
        <f t="shared" si="8"/>
        <v>96</v>
      </c>
      <c r="B114" s="380" t="s">
        <v>1192</v>
      </c>
      <c r="C114" s="358">
        <f>16979809.85+84608670.23</f>
        <v>101588480.08000001</v>
      </c>
      <c r="D114" s="248"/>
      <c r="E114" s="358">
        <f>15381796.54+6927236.28</f>
        <v>22309032.82</v>
      </c>
      <c r="F114" s="248"/>
      <c r="G114" s="358"/>
      <c r="H114" s="248"/>
      <c r="I114" s="358"/>
      <c r="J114" s="248"/>
      <c r="K114" s="358">
        <f>SUM(C114:I114)</f>
        <v>123897512.90000001</v>
      </c>
      <c r="L114" s="272"/>
    </row>
    <row r="115" spans="1:12">
      <c r="A115" s="332">
        <f t="shared" si="8"/>
        <v>97</v>
      </c>
      <c r="B115" s="380" t="s">
        <v>1191</v>
      </c>
      <c r="C115" s="403">
        <f>C95</f>
        <v>19762043.349999998</v>
      </c>
      <c r="D115" s="248"/>
      <c r="E115" s="358">
        <f>E95</f>
        <v>9914051.5299999993</v>
      </c>
      <c r="F115" s="248"/>
      <c r="G115" s="358"/>
      <c r="H115" s="248"/>
      <c r="I115" s="358"/>
      <c r="J115" s="248"/>
      <c r="K115" s="358">
        <f>SUM(C115:I115)</f>
        <v>29676094.879999995</v>
      </c>
      <c r="L115" s="272"/>
    </row>
    <row r="116" spans="1:12">
      <c r="A116" s="332">
        <f t="shared" si="8"/>
        <v>98</v>
      </c>
      <c r="B116" s="380" t="s">
        <v>1190</v>
      </c>
      <c r="C116" s="358">
        <f>330344.62+0</f>
        <v>330344.62</v>
      </c>
      <c r="D116" s="248"/>
      <c r="E116" s="358">
        <v>0</v>
      </c>
      <c r="F116" s="248"/>
      <c r="G116" s="358"/>
      <c r="H116" s="248"/>
      <c r="I116" s="358"/>
      <c r="J116" s="248"/>
      <c r="K116" s="358">
        <f>SUM(C116:I116)</f>
        <v>330344.62</v>
      </c>
      <c r="L116" s="272"/>
    </row>
    <row r="117" spans="1:12">
      <c r="A117" s="332">
        <f t="shared" si="8"/>
        <v>99</v>
      </c>
      <c r="B117" s="380" t="s">
        <v>2508</v>
      </c>
      <c r="C117" s="358">
        <v>0</v>
      </c>
      <c r="D117" s="248"/>
      <c r="E117" s="358">
        <v>0</v>
      </c>
      <c r="F117" s="248"/>
      <c r="G117" s="358"/>
      <c r="H117" s="248"/>
      <c r="I117" s="358"/>
      <c r="J117" s="248"/>
      <c r="K117" s="358">
        <f>SUM(C117:I117)</f>
        <v>0</v>
      </c>
      <c r="L117" s="272"/>
    </row>
    <row r="118" spans="1:12">
      <c r="A118" s="332">
        <f t="shared" si="8"/>
        <v>100</v>
      </c>
      <c r="B118" s="380" t="s">
        <v>1189</v>
      </c>
      <c r="C118" s="358"/>
      <c r="D118" s="248"/>
      <c r="E118" s="358"/>
      <c r="F118" s="248"/>
      <c r="G118" s="358"/>
      <c r="H118" s="248"/>
      <c r="I118" s="358"/>
      <c r="J118" s="248"/>
      <c r="K118" s="358"/>
      <c r="L118" s="272"/>
    </row>
    <row r="119" spans="1:12">
      <c r="A119" s="332">
        <f t="shared" si="8"/>
        <v>101</v>
      </c>
      <c r="B119" s="380" t="s">
        <v>1188</v>
      </c>
      <c r="C119" s="358">
        <f>684755+196345</f>
        <v>881100</v>
      </c>
      <c r="D119" s="248"/>
      <c r="E119" s="358">
        <f>393283</f>
        <v>393283</v>
      </c>
      <c r="F119" s="248"/>
      <c r="G119" s="358"/>
      <c r="H119" s="248"/>
      <c r="I119" s="358"/>
      <c r="J119" s="248"/>
      <c r="K119" s="358">
        <f>SUM(C119:I119)</f>
        <v>1274383</v>
      </c>
      <c r="L119" s="272"/>
    </row>
    <row r="120" spans="1:12">
      <c r="A120" s="332">
        <f t="shared" si="8"/>
        <v>102</v>
      </c>
      <c r="B120" s="380" t="s">
        <v>1187</v>
      </c>
      <c r="C120" s="358">
        <f>107655+33060</f>
        <v>140715</v>
      </c>
      <c r="D120" s="248"/>
      <c r="E120" s="358">
        <f>66757</f>
        <v>66757</v>
      </c>
      <c r="F120" s="248"/>
      <c r="G120" s="358"/>
      <c r="H120" s="248"/>
      <c r="I120" s="358"/>
      <c r="J120" s="248"/>
      <c r="K120" s="358">
        <f>SUM(C120:I120)</f>
        <v>207472</v>
      </c>
      <c r="L120" s="272"/>
    </row>
    <row r="121" spans="1:12">
      <c r="A121" s="332">
        <f t="shared" si="8"/>
        <v>103</v>
      </c>
      <c r="B121" s="381" t="s">
        <v>1186</v>
      </c>
      <c r="C121" s="382">
        <f>8354409.05+2523668.91</f>
        <v>10878077.960000001</v>
      </c>
      <c r="D121" s="383"/>
      <c r="E121" s="382">
        <v>0</v>
      </c>
      <c r="F121" s="383"/>
      <c r="G121" s="382"/>
      <c r="H121" s="383"/>
      <c r="I121" s="382"/>
      <c r="J121" s="383"/>
      <c r="K121" s="382">
        <f>SUM(C121:I121)</f>
        <v>10878077.960000001</v>
      </c>
      <c r="L121" s="272"/>
    </row>
    <row r="122" spans="1:12">
      <c r="A122" s="332">
        <f t="shared" si="8"/>
        <v>104</v>
      </c>
      <c r="B122" s="384" t="s">
        <v>1185</v>
      </c>
      <c r="C122" s="385">
        <f>C112-C114-C115-C116-C117+C119+C120</f>
        <v>67527563.679999977</v>
      </c>
      <c r="D122" s="248"/>
      <c r="E122" s="385">
        <f>E112-E114-E115-E116+E119+E120</f>
        <v>46417098.880000003</v>
      </c>
      <c r="F122" s="385"/>
      <c r="G122" s="385">
        <f>G112-G114-G115-G116+G119+G120</f>
        <v>46743530</v>
      </c>
      <c r="H122" s="385"/>
      <c r="I122" s="385">
        <f>I112-I114-I115-I116+I119+I120</f>
        <v>42616977.899999999</v>
      </c>
      <c r="J122" s="248"/>
      <c r="K122" s="385">
        <f>K112-K114-K115-K116+K119+K120</f>
        <v>203305170.45999995</v>
      </c>
      <c r="L122" s="272"/>
    </row>
    <row r="123" spans="1:12">
      <c r="A123" s="332">
        <f t="shared" si="8"/>
        <v>105</v>
      </c>
      <c r="B123" s="384" t="s">
        <v>1184</v>
      </c>
      <c r="C123" s="385">
        <f>C122*C12</f>
        <v>64332418.455175363</v>
      </c>
      <c r="D123" s="248"/>
      <c r="E123" s="385">
        <f>E122*E12</f>
        <v>578470.05800259381</v>
      </c>
      <c r="F123" s="248"/>
      <c r="G123" s="385">
        <f>G122*G12</f>
        <v>2671880.6211071783</v>
      </c>
      <c r="H123" s="248"/>
      <c r="I123" s="385">
        <f>I122*I12</f>
        <v>0</v>
      </c>
      <c r="J123" s="248"/>
      <c r="K123" s="385">
        <f>SUM(C123:I123)</f>
        <v>67582769.134285137</v>
      </c>
      <c r="L123" s="272"/>
    </row>
    <row r="124" spans="1:12">
      <c r="A124" s="332">
        <f t="shared" si="8"/>
        <v>106</v>
      </c>
      <c r="B124" s="384" t="s">
        <v>1183</v>
      </c>
      <c r="C124" s="385">
        <f>C122*C11</f>
        <v>645336.02830435848</v>
      </c>
      <c r="D124" s="248"/>
      <c r="E124" s="385">
        <v>0</v>
      </c>
      <c r="F124" s="248"/>
      <c r="G124" s="358">
        <f>G122*G11</f>
        <v>44071649.378892824</v>
      </c>
      <c r="H124" s="248"/>
      <c r="I124" s="358">
        <f>I122*I11</f>
        <v>42616977.899999999</v>
      </c>
      <c r="J124" s="248"/>
      <c r="K124" s="385">
        <f>SUM(C124:I124)</f>
        <v>87333963.307197183</v>
      </c>
      <c r="L124" s="272"/>
    </row>
    <row r="125" spans="1:12">
      <c r="A125" s="332">
        <f t="shared" si="8"/>
        <v>107</v>
      </c>
      <c r="B125" s="358" t="s">
        <v>1182</v>
      </c>
      <c r="C125" s="358"/>
      <c r="D125" s="358"/>
      <c r="E125" s="358"/>
      <c r="F125" s="358"/>
      <c r="G125" s="358"/>
      <c r="H125" s="248"/>
      <c r="I125" s="248"/>
      <c r="J125" s="248"/>
      <c r="K125" s="248"/>
      <c r="L125" s="272"/>
    </row>
    <row r="126" spans="1:12">
      <c r="A126" s="332">
        <f t="shared" si="8"/>
        <v>108</v>
      </c>
      <c r="B126" s="358" t="s">
        <v>1181</v>
      </c>
      <c r="C126" s="358"/>
      <c r="D126" s="358"/>
      <c r="E126" s="358"/>
      <c r="F126" s="358"/>
      <c r="G126" s="358"/>
      <c r="H126" s="248"/>
      <c r="I126" s="248"/>
      <c r="J126" s="248"/>
      <c r="K126" s="248"/>
      <c r="L126" s="272"/>
    </row>
    <row r="127" spans="1:12">
      <c r="A127" s="332">
        <f t="shared" si="8"/>
        <v>109</v>
      </c>
      <c r="B127" s="358" t="s">
        <v>1180</v>
      </c>
      <c r="C127" s="358"/>
      <c r="D127" s="358"/>
      <c r="E127" s="358"/>
      <c r="F127" s="358"/>
      <c r="G127" s="358"/>
      <c r="H127" s="248"/>
      <c r="I127" s="248"/>
      <c r="J127" s="248"/>
      <c r="K127" s="248"/>
      <c r="L127" s="272"/>
    </row>
    <row r="128" spans="1:12">
      <c r="A128" s="332">
        <f t="shared" si="8"/>
        <v>110</v>
      </c>
      <c r="B128" s="358" t="s">
        <v>1179</v>
      </c>
      <c r="C128" s="358"/>
      <c r="D128" s="358"/>
      <c r="E128" s="358"/>
      <c r="F128" s="358"/>
      <c r="G128" s="358"/>
      <c r="H128" s="248"/>
      <c r="I128" s="248"/>
      <c r="J128" s="248"/>
      <c r="K128" s="248"/>
      <c r="L128" s="272"/>
    </row>
    <row r="129" spans="1:12">
      <c r="A129" s="332">
        <f t="shared" si="8"/>
        <v>111</v>
      </c>
      <c r="B129" s="358" t="s">
        <v>1178</v>
      </c>
      <c r="C129" s="358"/>
      <c r="D129" s="358"/>
      <c r="E129" s="358"/>
      <c r="F129" s="358"/>
      <c r="G129" s="358"/>
      <c r="H129" s="248"/>
      <c r="I129" s="248"/>
      <c r="J129" s="248"/>
      <c r="K129" s="248"/>
      <c r="L129" s="272"/>
    </row>
    <row r="130" spans="1:12">
      <c r="A130" s="332">
        <f t="shared" si="8"/>
        <v>112</v>
      </c>
      <c r="B130" s="358" t="s">
        <v>1177</v>
      </c>
      <c r="C130" s="358"/>
      <c r="D130" s="358"/>
      <c r="E130" s="358"/>
      <c r="F130" s="358"/>
      <c r="G130" s="358"/>
      <c r="H130" s="248"/>
      <c r="I130" s="248"/>
      <c r="J130" s="248"/>
      <c r="K130" s="248"/>
      <c r="L130" s="272"/>
    </row>
    <row r="131" spans="1:12">
      <c r="A131" s="332">
        <f t="shared" si="8"/>
        <v>113</v>
      </c>
      <c r="B131" s="358" t="s">
        <v>1176</v>
      </c>
      <c r="C131" s="358"/>
      <c r="D131" s="358"/>
      <c r="E131" s="358"/>
      <c r="F131" s="358"/>
      <c r="G131" s="358"/>
      <c r="H131" s="248"/>
      <c r="I131" s="248"/>
      <c r="J131" s="248"/>
      <c r="K131" s="248"/>
      <c r="L131" s="272"/>
    </row>
    <row r="132" spans="1:12">
      <c r="A132" s="332">
        <f t="shared" si="8"/>
        <v>114</v>
      </c>
      <c r="B132" s="358" t="s">
        <v>1175</v>
      </c>
      <c r="C132" s="358"/>
      <c r="D132" s="358"/>
      <c r="E132" s="358"/>
      <c r="F132" s="358"/>
      <c r="G132" s="358"/>
      <c r="H132" s="248"/>
      <c r="I132" s="248"/>
      <c r="J132" s="248"/>
      <c r="K132" s="248"/>
      <c r="L132" s="272"/>
    </row>
    <row r="133" spans="1:12">
      <c r="A133" s="332">
        <f t="shared" si="8"/>
        <v>115</v>
      </c>
      <c r="B133" s="358" t="s">
        <v>1174</v>
      </c>
      <c r="C133" s="358"/>
      <c r="D133" s="358"/>
      <c r="E133" s="358"/>
      <c r="F133" s="358"/>
      <c r="G133" s="358"/>
      <c r="H133" s="248"/>
      <c r="I133" s="248"/>
      <c r="J133" s="248"/>
      <c r="K133" s="248"/>
      <c r="L133" s="272"/>
    </row>
    <row r="134" spans="1:12" ht="14.4" thickBot="1">
      <c r="A134" s="336">
        <f t="shared" si="8"/>
        <v>116</v>
      </c>
      <c r="B134" s="359" t="s">
        <v>1173</v>
      </c>
      <c r="C134" s="359"/>
      <c r="D134" s="359"/>
      <c r="E134" s="359"/>
      <c r="F134" s="359"/>
      <c r="G134" s="359"/>
      <c r="H134" s="270"/>
      <c r="I134" s="270"/>
      <c r="J134" s="270"/>
      <c r="K134" s="270"/>
      <c r="L134" s="274"/>
    </row>
    <row r="135" spans="1:12">
      <c r="C135" s="242"/>
      <c r="D135" s="242"/>
      <c r="E135" s="242"/>
      <c r="F135" s="242"/>
      <c r="G135" s="242"/>
    </row>
    <row r="136" spans="1:12">
      <c r="B136" s="242"/>
      <c r="C136" s="242"/>
      <c r="D136" s="242"/>
      <c r="E136" s="242"/>
      <c r="F136" s="242"/>
      <c r="G136" s="242"/>
    </row>
    <row r="137" spans="1:12">
      <c r="C137" s="242"/>
      <c r="D137" s="242"/>
      <c r="E137" s="242"/>
      <c r="F137" s="242"/>
      <c r="G137" s="242"/>
    </row>
    <row r="138" spans="1:12">
      <c r="B138" s="242"/>
      <c r="C138" s="242"/>
      <c r="D138" s="242"/>
      <c r="E138" s="242"/>
      <c r="F138" s="242"/>
      <c r="G138" s="242"/>
    </row>
  </sheetData>
  <hyperlinks>
    <hyperlink ref="C1" location="'Cover Sheets'!A18" display="(Back to Worksheet Links)" xr:uid="{00000000-0004-0000-0500-000000000000}"/>
  </hyperlinks>
  <pageMargins left="0.7" right="0.7" top="0.75" bottom="0.75" header="0.3" footer="0.3"/>
  <pageSetup scale="75" fitToHeight="0" orientation="landscape" r:id="rId1"/>
  <headerFooter>
    <oddFooter>&amp;R&amp;A</oddFooter>
  </headerFooter>
  <rowBreaks count="4" manualBreakCount="4">
    <brk id="33" max="16383" man="1"/>
    <brk id="51" max="16383" man="1"/>
    <brk id="77" max="16383" man="1"/>
    <brk id="10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0"/>
  <sheetViews>
    <sheetView view="pageBreakPreview" zoomScaleNormal="100" zoomScaleSheetLayoutView="100" workbookViewId="0"/>
  </sheetViews>
  <sheetFormatPr defaultColWidth="13.109375" defaultRowHeight="14.4"/>
  <cols>
    <col min="1" max="1" width="9.6640625" style="243" customWidth="1"/>
    <col min="2" max="2" width="22.33203125" style="243" customWidth="1"/>
    <col min="3" max="3" width="14.88671875" style="243" customWidth="1"/>
    <col min="4" max="4" width="16.6640625" style="243" customWidth="1"/>
    <col min="5" max="11" width="13.109375" style="243"/>
    <col min="12" max="12" width="13.88671875" style="243" bestFit="1" customWidth="1"/>
    <col min="13" max="16384" width="13.109375" style="243"/>
  </cols>
  <sheetData>
    <row r="1" spans="1:15" ht="14.55" customHeight="1">
      <c r="A1" s="246" t="str">
        <f>'Cover Sheets'!A10:D10</f>
        <v>WAPA-UGP 2018 Rate True-up Calculation</v>
      </c>
      <c r="B1" s="404"/>
      <c r="C1" s="286"/>
      <c r="D1" s="752" t="s">
        <v>2543</v>
      </c>
      <c r="E1" s="286"/>
      <c r="F1" s="286"/>
      <c r="G1" s="286"/>
      <c r="H1" s="286"/>
      <c r="I1" s="286"/>
      <c r="J1" s="286"/>
      <c r="K1" s="286"/>
      <c r="L1" s="286"/>
      <c r="M1" s="286"/>
      <c r="N1" s="286"/>
      <c r="O1" s="737"/>
    </row>
    <row r="2" spans="1:15">
      <c r="A2" s="648" t="s">
        <v>2482</v>
      </c>
      <c r="B2" s="555"/>
      <c r="C2" s="287"/>
      <c r="D2" s="287"/>
      <c r="E2" s="287"/>
      <c r="F2" s="287"/>
      <c r="G2" s="287"/>
      <c r="H2" s="287"/>
      <c r="I2" s="287"/>
      <c r="J2" s="287"/>
      <c r="K2" s="287"/>
      <c r="L2" s="287"/>
      <c r="M2" s="287"/>
      <c r="N2" s="287"/>
      <c r="O2" s="288"/>
    </row>
    <row r="3" spans="1:15">
      <c r="A3" s="60" t="str">
        <f>'Summary-TrueUp'!A3</f>
        <v>12 Months Ending 09/30/2018 True-up</v>
      </c>
      <c r="B3" s="287"/>
      <c r="C3" s="287"/>
      <c r="D3" s="287"/>
      <c r="E3" s="287"/>
      <c r="F3" s="287"/>
      <c r="G3" s="287"/>
      <c r="H3" s="287"/>
      <c r="I3" s="287"/>
      <c r="J3" s="287"/>
      <c r="K3" s="287"/>
      <c r="L3" s="287"/>
      <c r="M3" s="287"/>
      <c r="N3" s="287"/>
      <c r="O3" s="288"/>
    </row>
    <row r="4" spans="1:15" ht="41.4">
      <c r="A4" s="60"/>
      <c r="B4" s="250" t="s">
        <v>2433</v>
      </c>
      <c r="C4" s="251" t="s">
        <v>2434</v>
      </c>
      <c r="D4" s="250" t="s">
        <v>2638</v>
      </c>
      <c r="E4" s="250" t="s">
        <v>2452</v>
      </c>
      <c r="F4" s="250" t="s">
        <v>2435</v>
      </c>
      <c r="G4" s="250" t="s">
        <v>2436</v>
      </c>
      <c r="H4" s="250" t="s">
        <v>2437</v>
      </c>
      <c r="I4" s="250" t="s">
        <v>2438</v>
      </c>
      <c r="J4" s="250" t="s">
        <v>2439</v>
      </c>
      <c r="K4" s="250" t="s">
        <v>2440</v>
      </c>
      <c r="L4" s="250" t="s">
        <v>2439</v>
      </c>
      <c r="M4" s="250" t="s">
        <v>2441</v>
      </c>
      <c r="N4" s="250" t="s">
        <v>2636</v>
      </c>
      <c r="O4" s="252" t="s">
        <v>2637</v>
      </c>
    </row>
    <row r="5" spans="1:15">
      <c r="A5" s="739" t="s">
        <v>1335</v>
      </c>
      <c r="B5" s="556">
        <v>-1</v>
      </c>
      <c r="C5" s="556">
        <v>-2</v>
      </c>
      <c r="D5" s="556">
        <v>-3</v>
      </c>
      <c r="E5" s="556">
        <v>-4</v>
      </c>
      <c r="F5" s="556">
        <v>-5</v>
      </c>
      <c r="G5" s="556">
        <v>-6</v>
      </c>
      <c r="H5" s="556">
        <v>-7</v>
      </c>
      <c r="I5" s="556">
        <v>-8</v>
      </c>
      <c r="J5" s="556">
        <v>-9</v>
      </c>
      <c r="K5" s="556">
        <v>-10</v>
      </c>
      <c r="L5" s="556">
        <v>-11</v>
      </c>
      <c r="M5" s="556">
        <v>-12</v>
      </c>
      <c r="N5" s="556">
        <v>-13</v>
      </c>
      <c r="O5" s="740">
        <v>-14</v>
      </c>
    </row>
    <row r="6" spans="1:15">
      <c r="A6" s="289">
        <v>1</v>
      </c>
      <c r="B6" s="557"/>
      <c r="C6" s="558" t="s">
        <v>8</v>
      </c>
      <c r="D6" s="559">
        <v>0</v>
      </c>
      <c r="E6" s="560"/>
      <c r="F6" s="559"/>
      <c r="G6" s="561"/>
      <c r="H6" s="562"/>
      <c r="I6" s="561"/>
      <c r="J6" s="560"/>
      <c r="K6" s="559"/>
      <c r="L6" s="563">
        <f>J6*K6</f>
        <v>0</v>
      </c>
      <c r="M6" s="564">
        <f>L6+G6+I6+H6</f>
        <v>0</v>
      </c>
      <c r="N6" s="564">
        <f>M6+H6+J6+I6</f>
        <v>0</v>
      </c>
      <c r="O6" s="741">
        <f>N6+I6+K6+J6</f>
        <v>0</v>
      </c>
    </row>
    <row r="7" spans="1:15">
      <c r="A7" s="289">
        <f t="shared" ref="A7:A19" si="0">A6+1</f>
        <v>2</v>
      </c>
      <c r="B7" s="565"/>
      <c r="C7" s="561"/>
      <c r="D7" s="295"/>
      <c r="E7" s="295"/>
      <c r="F7" s="295"/>
      <c r="G7" s="295"/>
      <c r="H7" s="295"/>
      <c r="I7" s="295"/>
      <c r="J7" s="295"/>
      <c r="K7" s="295"/>
      <c r="L7" s="295"/>
      <c r="M7" s="295"/>
      <c r="N7" s="295"/>
      <c r="O7" s="294"/>
    </row>
    <row r="8" spans="1:15">
      <c r="A8" s="289">
        <f t="shared" si="0"/>
        <v>3</v>
      </c>
      <c r="B8" s="565"/>
      <c r="C8" s="561"/>
      <c r="D8" s="295"/>
      <c r="E8" s="295"/>
      <c r="F8" s="295"/>
      <c r="G8" s="295"/>
      <c r="H8" s="295"/>
      <c r="I8" s="295"/>
      <c r="J8" s="295"/>
      <c r="K8" s="295"/>
      <c r="L8" s="295"/>
      <c r="M8" s="295"/>
      <c r="N8" s="295"/>
      <c r="O8" s="294"/>
    </row>
    <row r="9" spans="1:15">
      <c r="A9" s="289">
        <f t="shared" si="0"/>
        <v>4</v>
      </c>
      <c r="B9" s="565"/>
      <c r="C9" s="561"/>
      <c r="D9" s="295"/>
      <c r="E9" s="295"/>
      <c r="F9" s="295"/>
      <c r="G9" s="295"/>
      <c r="H9" s="295"/>
      <c r="I9" s="295"/>
      <c r="J9" s="295"/>
      <c r="K9" s="295"/>
      <c r="L9" s="295"/>
      <c r="M9" s="295"/>
      <c r="N9" s="295"/>
      <c r="O9" s="294"/>
    </row>
    <row r="10" spans="1:15">
      <c r="A10" s="289">
        <f t="shared" si="0"/>
        <v>5</v>
      </c>
      <c r="B10" s="565"/>
      <c r="C10" s="561"/>
      <c r="D10" s="566"/>
      <c r="E10" s="566"/>
      <c r="F10" s="566"/>
      <c r="G10" s="566"/>
      <c r="H10" s="566"/>
      <c r="I10" s="566"/>
      <c r="J10" s="566"/>
      <c r="K10" s="566"/>
      <c r="L10" s="566"/>
      <c r="M10" s="566"/>
      <c r="N10" s="566"/>
      <c r="O10" s="310"/>
    </row>
    <row r="11" spans="1:15">
      <c r="A11" s="289">
        <f t="shared" si="0"/>
        <v>6</v>
      </c>
      <c r="B11" s="565"/>
      <c r="C11" s="295"/>
      <c r="D11" s="295"/>
      <c r="E11" s="295"/>
      <c r="F11" s="295"/>
      <c r="G11" s="295"/>
      <c r="H11" s="295"/>
      <c r="I11" s="295"/>
      <c r="J11" s="295"/>
      <c r="K11" s="295"/>
      <c r="L11" s="295"/>
      <c r="M11" s="295"/>
      <c r="N11" s="295"/>
      <c r="O11" s="294"/>
    </row>
    <row r="12" spans="1:15">
      <c r="A12" s="289">
        <f t="shared" si="0"/>
        <v>7</v>
      </c>
      <c r="B12" s="557"/>
      <c r="C12" s="567"/>
      <c r="D12" s="295"/>
      <c r="E12" s="295"/>
      <c r="F12" s="295"/>
      <c r="G12" s="295"/>
      <c r="H12" s="295"/>
      <c r="I12" s="295"/>
      <c r="J12" s="295"/>
      <c r="K12" s="295"/>
      <c r="L12" s="295"/>
      <c r="M12" s="295"/>
      <c r="N12" s="295"/>
      <c r="O12" s="294"/>
    </row>
    <row r="13" spans="1:15">
      <c r="A13" s="289">
        <f t="shared" si="0"/>
        <v>8</v>
      </c>
      <c r="B13" s="557"/>
      <c r="C13" s="561"/>
      <c r="D13" s="295"/>
      <c r="E13" s="295"/>
      <c r="F13" s="295"/>
      <c r="G13" s="295"/>
      <c r="H13" s="295"/>
      <c r="I13" s="295"/>
      <c r="J13" s="295"/>
      <c r="K13" s="295"/>
      <c r="L13" s="295"/>
      <c r="M13" s="295"/>
      <c r="N13" s="295"/>
      <c r="O13" s="294"/>
    </row>
    <row r="14" spans="1:15">
      <c r="A14" s="289">
        <f t="shared" si="0"/>
        <v>9</v>
      </c>
      <c r="B14" s="557"/>
      <c r="C14" s="561"/>
      <c r="D14" s="295"/>
      <c r="E14" s="295"/>
      <c r="F14" s="295"/>
      <c r="G14" s="295"/>
      <c r="H14" s="295"/>
      <c r="I14" s="295"/>
      <c r="J14" s="295"/>
      <c r="K14" s="295"/>
      <c r="L14" s="295"/>
      <c r="M14" s="295"/>
      <c r="N14" s="295"/>
      <c r="O14" s="294"/>
    </row>
    <row r="15" spans="1:15">
      <c r="A15" s="289">
        <f t="shared" si="0"/>
        <v>10</v>
      </c>
      <c r="B15" s="565"/>
      <c r="C15" s="567"/>
      <c r="D15" s="568"/>
      <c r="E15" s="568"/>
      <c r="F15" s="568"/>
      <c r="G15" s="568"/>
      <c r="H15" s="568"/>
      <c r="I15" s="568"/>
      <c r="J15" s="568"/>
      <c r="K15" s="568"/>
      <c r="L15" s="568"/>
      <c r="M15" s="568"/>
      <c r="N15" s="568"/>
      <c r="O15" s="302"/>
    </row>
    <row r="16" spans="1:15">
      <c r="A16" s="289">
        <f t="shared" si="0"/>
        <v>11</v>
      </c>
      <c r="B16" s="557"/>
      <c r="C16" s="561"/>
      <c r="D16" s="295"/>
      <c r="E16" s="295"/>
      <c r="F16" s="295"/>
      <c r="G16" s="295"/>
      <c r="H16" s="295"/>
      <c r="I16" s="295"/>
      <c r="J16" s="295"/>
      <c r="K16" s="295"/>
      <c r="L16" s="295"/>
      <c r="M16" s="295"/>
      <c r="N16" s="295"/>
      <c r="O16" s="294"/>
    </row>
    <row r="17" spans="1:15">
      <c r="A17" s="289">
        <f t="shared" si="0"/>
        <v>12</v>
      </c>
      <c r="B17" s="569"/>
      <c r="C17" s="570"/>
      <c r="D17" s="313"/>
      <c r="E17" s="313"/>
      <c r="F17" s="313"/>
      <c r="G17" s="313"/>
      <c r="H17" s="313"/>
      <c r="I17" s="313"/>
      <c r="J17" s="313"/>
      <c r="K17" s="313"/>
      <c r="L17" s="313"/>
      <c r="M17" s="313"/>
      <c r="N17" s="313"/>
      <c r="O17" s="676"/>
    </row>
    <row r="18" spans="1:15">
      <c r="A18" s="289">
        <f t="shared" si="0"/>
        <v>13</v>
      </c>
      <c r="B18" s="569" t="s">
        <v>2635</v>
      </c>
      <c r="C18" s="570"/>
      <c r="D18" s="313"/>
      <c r="E18" s="313"/>
      <c r="F18" s="313"/>
      <c r="G18" s="313"/>
      <c r="H18" s="313"/>
      <c r="I18" s="313"/>
      <c r="J18" s="313"/>
      <c r="K18" s="313"/>
      <c r="L18" s="313"/>
      <c r="M18" s="313"/>
      <c r="N18" s="313"/>
      <c r="O18" s="676"/>
    </row>
    <row r="19" spans="1:15" ht="15" thickBot="1">
      <c r="A19" s="742">
        <f t="shared" si="0"/>
        <v>14</v>
      </c>
      <c r="B19" s="743" t="s">
        <v>963</v>
      </c>
      <c r="C19" s="744"/>
      <c r="D19" s="745"/>
      <c r="E19" s="746">
        <v>1</v>
      </c>
      <c r="F19" s="745"/>
      <c r="G19" s="745"/>
      <c r="H19" s="745"/>
      <c r="I19" s="745"/>
      <c r="J19" s="745"/>
      <c r="K19" s="745"/>
      <c r="L19" s="745"/>
      <c r="M19" s="745"/>
      <c r="N19" s="745"/>
      <c r="O19" s="749"/>
    </row>
    <row r="20" spans="1:15">
      <c r="A20" s="571"/>
      <c r="B20" s="572"/>
      <c r="C20" s="572"/>
      <c r="D20" s="572"/>
    </row>
  </sheetData>
  <hyperlinks>
    <hyperlink ref="D1" location="'Cover Sheets'!A18" display="(Back to Worksheet Links)" xr:uid="{00000000-0004-0000-0600-000000000000}"/>
  </hyperlinks>
  <pageMargins left="0.7" right="0.7" top="0.75" bottom="0.75" header="0.3" footer="0.3"/>
  <pageSetup scale="59" fitToHeight="0"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0"/>
  <sheetViews>
    <sheetView view="pageBreakPreview" zoomScale="110" zoomScaleNormal="100" zoomScaleSheetLayoutView="110" workbookViewId="0"/>
  </sheetViews>
  <sheetFormatPr defaultColWidth="13.109375" defaultRowHeight="14.4"/>
  <cols>
    <col min="1" max="1" width="23.5546875" style="243" bestFit="1" customWidth="1"/>
    <col min="2" max="2" width="22.33203125" style="243" customWidth="1"/>
    <col min="3" max="4" width="16.6640625" style="243" customWidth="1"/>
    <col min="5" max="16384" width="13.109375" style="243"/>
  </cols>
  <sheetData>
    <row r="1" spans="1:15">
      <c r="A1" s="246" t="str">
        <f>'Cover Sheets'!A10:D10</f>
        <v>WAPA-UGP 2018 Rate True-up Calculation</v>
      </c>
      <c r="B1" s="404"/>
      <c r="C1" s="752" t="s">
        <v>2543</v>
      </c>
      <c r="D1" s="286"/>
      <c r="E1" s="286"/>
      <c r="F1" s="286"/>
      <c r="G1" s="286"/>
      <c r="H1" s="286"/>
      <c r="I1" s="286"/>
      <c r="J1" s="286"/>
      <c r="K1" s="286"/>
      <c r="L1" s="286"/>
      <c r="M1" s="692"/>
      <c r="N1" s="692"/>
      <c r="O1" s="693"/>
    </row>
    <row r="2" spans="1:15">
      <c r="A2" s="648" t="s">
        <v>2483</v>
      </c>
      <c r="B2" s="555"/>
      <c r="C2" s="287"/>
      <c r="D2" s="287"/>
      <c r="E2" s="287"/>
      <c r="F2" s="287"/>
      <c r="G2" s="287"/>
      <c r="H2" s="287"/>
      <c r="I2" s="287"/>
      <c r="J2" s="287"/>
      <c r="K2" s="287"/>
      <c r="L2" s="287"/>
      <c r="M2" s="573"/>
      <c r="N2" s="573"/>
      <c r="O2" s="399"/>
    </row>
    <row r="3" spans="1:15">
      <c r="A3" s="60" t="str">
        <f>'Summary-TrueUp'!A3</f>
        <v>12 Months Ending 09/30/2018 True-up</v>
      </c>
      <c r="B3" s="287"/>
      <c r="C3" s="287"/>
      <c r="D3" s="287"/>
      <c r="E3" s="287"/>
      <c r="F3" s="287"/>
      <c r="G3" s="287"/>
      <c r="H3" s="287"/>
      <c r="I3" s="287"/>
      <c r="J3" s="287"/>
      <c r="K3" s="287"/>
      <c r="L3" s="287"/>
      <c r="M3" s="573"/>
      <c r="N3" s="573"/>
      <c r="O3" s="399"/>
    </row>
    <row r="4" spans="1:15" ht="41.4">
      <c r="A4" s="60"/>
      <c r="B4" s="250" t="s">
        <v>2433</v>
      </c>
      <c r="C4" s="251" t="s">
        <v>2434</v>
      </c>
      <c r="D4" s="250" t="s">
        <v>2639</v>
      </c>
      <c r="E4" s="250" t="s">
        <v>2452</v>
      </c>
      <c r="F4" s="250" t="s">
        <v>2435</v>
      </c>
      <c r="G4" s="250" t="s">
        <v>2436</v>
      </c>
      <c r="H4" s="250" t="s">
        <v>2437</v>
      </c>
      <c r="I4" s="250" t="s">
        <v>2438</v>
      </c>
      <c r="J4" s="250" t="s">
        <v>2439</v>
      </c>
      <c r="K4" s="250" t="s">
        <v>2440</v>
      </c>
      <c r="L4" s="250" t="s">
        <v>2439</v>
      </c>
      <c r="M4" s="250" t="s">
        <v>2441</v>
      </c>
      <c r="N4" s="250" t="s">
        <v>2636</v>
      </c>
      <c r="O4" s="252" t="s">
        <v>2637</v>
      </c>
    </row>
    <row r="5" spans="1:15">
      <c r="A5" s="739" t="s">
        <v>1335</v>
      </c>
      <c r="B5" s="556">
        <v>-1</v>
      </c>
      <c r="C5" s="556">
        <v>-2</v>
      </c>
      <c r="D5" s="556">
        <v>-3</v>
      </c>
      <c r="E5" s="556">
        <v>-4</v>
      </c>
      <c r="F5" s="556">
        <v>-5</v>
      </c>
      <c r="G5" s="556">
        <v>-6</v>
      </c>
      <c r="H5" s="556">
        <v>-7</v>
      </c>
      <c r="I5" s="556">
        <v>-8</v>
      </c>
      <c r="J5" s="556">
        <v>-9</v>
      </c>
      <c r="K5" s="556">
        <v>-10</v>
      </c>
      <c r="L5" s="556">
        <v>-11</v>
      </c>
      <c r="M5" s="556">
        <v>-12</v>
      </c>
      <c r="N5" s="556">
        <v>-13</v>
      </c>
      <c r="O5" s="740">
        <v>-14</v>
      </c>
    </row>
    <row r="6" spans="1:15">
      <c r="A6" s="289">
        <v>1</v>
      </c>
      <c r="B6" s="557"/>
      <c r="C6" s="558"/>
      <c r="D6" s="559"/>
      <c r="E6" s="561"/>
      <c r="F6" s="559"/>
      <c r="G6" s="561"/>
      <c r="H6" s="562"/>
      <c r="I6" s="561"/>
      <c r="J6" s="560"/>
      <c r="K6" s="559"/>
      <c r="L6" s="563">
        <f>J6*K6</f>
        <v>0</v>
      </c>
      <c r="M6" s="564">
        <f>L6+H6+G6+I6</f>
        <v>0</v>
      </c>
      <c r="N6" s="564">
        <f>M6+I6+H6+J6</f>
        <v>0</v>
      </c>
      <c r="O6" s="741">
        <f>N6+J6+I6+K6</f>
        <v>0</v>
      </c>
    </row>
    <row r="7" spans="1:15">
      <c r="A7" s="289">
        <f t="shared" ref="A7:A19" si="0">A6+1</f>
        <v>2</v>
      </c>
      <c r="B7" s="565"/>
      <c r="C7" s="561"/>
      <c r="D7" s="295"/>
      <c r="E7" s="295"/>
      <c r="F7" s="295"/>
      <c r="G7" s="295"/>
      <c r="H7" s="295"/>
      <c r="I7" s="295"/>
      <c r="J7" s="295"/>
      <c r="K7" s="295"/>
      <c r="L7" s="295"/>
      <c r="M7" s="573"/>
      <c r="N7" s="573"/>
      <c r="O7" s="399"/>
    </row>
    <row r="8" spans="1:15">
      <c r="A8" s="289">
        <f t="shared" si="0"/>
        <v>3</v>
      </c>
      <c r="B8" s="565"/>
      <c r="C8" s="561"/>
      <c r="D8" s="295"/>
      <c r="E8" s="295"/>
      <c r="F8" s="295"/>
      <c r="G8" s="295"/>
      <c r="H8" s="295"/>
      <c r="I8" s="295"/>
      <c r="J8" s="295"/>
      <c r="K8" s="295"/>
      <c r="L8" s="295"/>
      <c r="M8" s="573"/>
      <c r="N8" s="573"/>
      <c r="O8" s="399"/>
    </row>
    <row r="9" spans="1:15">
      <c r="A9" s="289">
        <f t="shared" si="0"/>
        <v>4</v>
      </c>
      <c r="B9" s="565"/>
      <c r="C9" s="561"/>
      <c r="D9" s="295"/>
      <c r="E9" s="295"/>
      <c r="F9" s="295"/>
      <c r="G9" s="295"/>
      <c r="H9" s="295"/>
      <c r="I9" s="295"/>
      <c r="J9" s="295"/>
      <c r="K9" s="295"/>
      <c r="L9" s="295"/>
      <c r="M9" s="573"/>
      <c r="N9" s="573"/>
      <c r="O9" s="399"/>
    </row>
    <row r="10" spans="1:15">
      <c r="A10" s="289">
        <f t="shared" si="0"/>
        <v>5</v>
      </c>
      <c r="B10" s="565"/>
      <c r="C10" s="561"/>
      <c r="D10" s="566"/>
      <c r="E10" s="566"/>
      <c r="F10" s="566"/>
      <c r="G10" s="566"/>
      <c r="H10" s="566"/>
      <c r="I10" s="566"/>
      <c r="J10" s="566"/>
      <c r="K10" s="566"/>
      <c r="L10" s="566"/>
      <c r="M10" s="573"/>
      <c r="N10" s="573"/>
      <c r="O10" s="399"/>
    </row>
    <row r="11" spans="1:15">
      <c r="A11" s="289">
        <f t="shared" si="0"/>
        <v>6</v>
      </c>
      <c r="B11" s="565"/>
      <c r="C11" s="295"/>
      <c r="D11" s="295"/>
      <c r="E11" s="295"/>
      <c r="F11" s="295"/>
      <c r="G11" s="295"/>
      <c r="H11" s="295"/>
      <c r="I11" s="295"/>
      <c r="J11" s="295"/>
      <c r="K11" s="295"/>
      <c r="L11" s="295"/>
      <c r="M11" s="573"/>
      <c r="N11" s="573"/>
      <c r="O11" s="399"/>
    </row>
    <row r="12" spans="1:15">
      <c r="A12" s="289">
        <f t="shared" si="0"/>
        <v>7</v>
      </c>
      <c r="B12" s="557"/>
      <c r="C12" s="567"/>
      <c r="D12" s="295"/>
      <c r="E12" s="295"/>
      <c r="F12" s="295"/>
      <c r="G12" s="295"/>
      <c r="H12" s="295"/>
      <c r="I12" s="295"/>
      <c r="J12" s="295"/>
      <c r="K12" s="295"/>
      <c r="L12" s="295"/>
      <c r="M12" s="573"/>
      <c r="N12" s="573"/>
      <c r="O12" s="399"/>
    </row>
    <row r="13" spans="1:15">
      <c r="A13" s="289">
        <f t="shared" si="0"/>
        <v>8</v>
      </c>
      <c r="B13" s="557"/>
      <c r="C13" s="561"/>
      <c r="D13" s="295"/>
      <c r="E13" s="295"/>
      <c r="F13" s="295"/>
      <c r="G13" s="295"/>
      <c r="H13" s="295"/>
      <c r="I13" s="295"/>
      <c r="J13" s="295"/>
      <c r="K13" s="295"/>
      <c r="L13" s="295"/>
      <c r="M13" s="573"/>
      <c r="N13" s="573"/>
      <c r="O13" s="399"/>
    </row>
    <row r="14" spans="1:15">
      <c r="A14" s="289">
        <f t="shared" si="0"/>
        <v>9</v>
      </c>
      <c r="B14" s="557"/>
      <c r="C14" s="561"/>
      <c r="D14" s="295"/>
      <c r="E14" s="295"/>
      <c r="F14" s="295"/>
      <c r="G14" s="295"/>
      <c r="H14" s="295"/>
      <c r="I14" s="295"/>
      <c r="J14" s="295"/>
      <c r="K14" s="295"/>
      <c r="L14" s="295"/>
      <c r="M14" s="573"/>
      <c r="N14" s="573"/>
      <c r="O14" s="399"/>
    </row>
    <row r="15" spans="1:15">
      <c r="A15" s="289">
        <f t="shared" si="0"/>
        <v>10</v>
      </c>
      <c r="B15" s="565"/>
      <c r="C15" s="567"/>
      <c r="D15" s="568"/>
      <c r="E15" s="568"/>
      <c r="F15" s="568"/>
      <c r="G15" s="568"/>
      <c r="H15" s="568"/>
      <c r="I15" s="568"/>
      <c r="J15" s="568"/>
      <c r="K15" s="568"/>
      <c r="L15" s="568"/>
      <c r="M15" s="573"/>
      <c r="N15" s="573"/>
      <c r="O15" s="399"/>
    </row>
    <row r="16" spans="1:15">
      <c r="A16" s="289">
        <f t="shared" si="0"/>
        <v>11</v>
      </c>
      <c r="B16" s="557"/>
      <c r="C16" s="561"/>
      <c r="D16" s="295"/>
      <c r="E16" s="295"/>
      <c r="F16" s="295"/>
      <c r="G16" s="295"/>
      <c r="H16" s="295"/>
      <c r="I16" s="295"/>
      <c r="J16" s="295"/>
      <c r="K16" s="295"/>
      <c r="L16" s="295"/>
      <c r="M16" s="573"/>
      <c r="N16" s="573"/>
      <c r="O16" s="399"/>
    </row>
    <row r="17" spans="1:15">
      <c r="A17" s="289">
        <f t="shared" si="0"/>
        <v>12</v>
      </c>
      <c r="B17" s="569"/>
      <c r="C17" s="570"/>
      <c r="D17" s="313"/>
      <c r="E17" s="313"/>
      <c r="F17" s="313"/>
      <c r="G17" s="313"/>
      <c r="H17" s="313"/>
      <c r="I17" s="313"/>
      <c r="J17" s="313"/>
      <c r="K17" s="313"/>
      <c r="L17" s="313"/>
      <c r="M17" s="573"/>
      <c r="N17" s="573"/>
      <c r="O17" s="399"/>
    </row>
    <row r="18" spans="1:15">
      <c r="A18" s="289">
        <f t="shared" si="0"/>
        <v>13</v>
      </c>
      <c r="B18" s="569" t="s">
        <v>2635</v>
      </c>
      <c r="C18" s="570"/>
      <c r="D18" s="313"/>
      <c r="E18" s="313"/>
      <c r="F18" s="313"/>
      <c r="G18" s="313"/>
      <c r="H18" s="313"/>
      <c r="I18" s="313"/>
      <c r="J18" s="313"/>
      <c r="K18" s="313"/>
      <c r="L18" s="313"/>
      <c r="M18" s="573"/>
      <c r="N18" s="573"/>
      <c r="O18" s="399"/>
    </row>
    <row r="19" spans="1:15" ht="15" thickBot="1">
      <c r="A19" s="742">
        <f t="shared" si="0"/>
        <v>14</v>
      </c>
      <c r="B19" s="743" t="s">
        <v>963</v>
      </c>
      <c r="C19" s="744"/>
      <c r="D19" s="745"/>
      <c r="E19" s="746">
        <v>1</v>
      </c>
      <c r="F19" s="745"/>
      <c r="G19" s="745"/>
      <c r="H19" s="745"/>
      <c r="I19" s="745"/>
      <c r="J19" s="745"/>
      <c r="K19" s="745"/>
      <c r="L19" s="745"/>
      <c r="M19" s="747"/>
      <c r="N19" s="747"/>
      <c r="O19" s="748"/>
    </row>
    <row r="20" spans="1:15">
      <c r="A20" s="571"/>
      <c r="B20" s="572"/>
      <c r="C20" s="572"/>
      <c r="D20" s="572"/>
    </row>
  </sheetData>
  <hyperlinks>
    <hyperlink ref="C1" location="'Cover Sheets'!A18" display="(Back to Worksheet Links)" xr:uid="{00000000-0004-0000-0700-000000000000}"/>
  </hyperlinks>
  <pageMargins left="0.7" right="0.7" top="0.75" bottom="0.75" header="0.3" footer="0.3"/>
  <pageSetup scale="55"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2"/>
  <sheetViews>
    <sheetView view="pageBreakPreview" zoomScaleNormal="100" zoomScaleSheetLayoutView="100" workbookViewId="0">
      <selection activeCell="F4" sqref="F4:F6"/>
    </sheetView>
  </sheetViews>
  <sheetFormatPr defaultColWidth="9.109375" defaultRowHeight="13.8"/>
  <cols>
    <col min="1" max="1" width="22.109375" style="245" customWidth="1"/>
    <col min="2" max="2" width="19.33203125" style="245" bestFit="1" customWidth="1"/>
    <col min="3" max="3" width="76.109375" style="245" bestFit="1" customWidth="1"/>
    <col min="4" max="4" width="27.88671875" style="245" hidden="1" customWidth="1"/>
    <col min="5" max="5" width="22" style="590" customWidth="1"/>
    <col min="6" max="6" width="16.5546875" style="245" customWidth="1"/>
    <col min="7" max="7" width="15" style="433" customWidth="1"/>
    <col min="8" max="8" width="17.109375" style="245" customWidth="1"/>
    <col min="9" max="9" width="16.44140625" style="434" customWidth="1"/>
    <col min="10" max="10" width="12.6640625" style="245" bestFit="1" customWidth="1"/>
    <col min="11" max="11" width="11.5546875" style="245" bestFit="1" customWidth="1"/>
    <col min="12" max="16384" width="9.109375" style="245"/>
  </cols>
  <sheetData>
    <row r="1" spans="1:14" ht="14.4">
      <c r="A1" s="574" t="str">
        <f>'Cover Sheets'!A10:D10</f>
        <v>WAPA-UGP 2018 Rate True-up Calculation</v>
      </c>
      <c r="B1" s="271"/>
      <c r="C1" s="660" t="s">
        <v>2543</v>
      </c>
      <c r="D1" s="247"/>
      <c r="E1" s="575"/>
      <c r="F1" s="247"/>
      <c r="G1" s="440"/>
      <c r="H1" s="247"/>
      <c r="I1" s="441"/>
    </row>
    <row r="2" spans="1:14">
      <c r="A2" s="648" t="s">
        <v>2484</v>
      </c>
      <c r="B2" s="272"/>
      <c r="C2" s="248"/>
      <c r="D2" s="248"/>
      <c r="E2" s="439"/>
      <c r="F2" s="248"/>
      <c r="G2" s="424"/>
      <c r="H2" s="248"/>
      <c r="I2" s="425"/>
    </row>
    <row r="3" spans="1:14">
      <c r="A3" s="576" t="str">
        <f>'Summary-TrueUp'!A3</f>
        <v>12 Months Ending 09/30/2018 True-up</v>
      </c>
      <c r="B3" s="272"/>
      <c r="C3" s="248"/>
      <c r="D3" s="248"/>
      <c r="E3" s="439"/>
      <c r="F3" s="248"/>
      <c r="G3" s="424"/>
      <c r="H3" s="248"/>
      <c r="I3" s="425"/>
    </row>
    <row r="4" spans="1:14" s="3" customFormat="1" ht="41.4">
      <c r="A4" s="577" t="s">
        <v>2450</v>
      </c>
      <c r="B4" s="578" t="s">
        <v>1</v>
      </c>
      <c r="C4" s="315" t="s">
        <v>2</v>
      </c>
      <c r="D4" s="315" t="s">
        <v>1338</v>
      </c>
      <c r="E4" s="436" t="s">
        <v>4</v>
      </c>
      <c r="F4" s="436"/>
      <c r="G4" s="437" t="s">
        <v>2442</v>
      </c>
      <c r="H4" s="437" t="s">
        <v>2443</v>
      </c>
      <c r="I4" s="438" t="s">
        <v>2640</v>
      </c>
      <c r="J4" s="7"/>
      <c r="N4" s="7"/>
    </row>
    <row r="5" spans="1:14" ht="14.4" thickBot="1">
      <c r="A5" s="579"/>
      <c r="B5" s="580"/>
      <c r="C5" s="321"/>
      <c r="D5" s="321" t="s">
        <v>2330</v>
      </c>
      <c r="E5" s="322">
        <v>0</v>
      </c>
      <c r="F5" s="322"/>
      <c r="G5" s="323">
        <v>0</v>
      </c>
      <c r="H5" s="323">
        <v>0</v>
      </c>
      <c r="I5" s="324">
        <f>I21+G21</f>
        <v>0</v>
      </c>
      <c r="J5" s="547"/>
      <c r="L5" s="10"/>
      <c r="M5" s="10"/>
      <c r="N5" s="14"/>
    </row>
    <row r="6" spans="1:14">
      <c r="A6" s="325"/>
      <c r="B6" s="581"/>
      <c r="C6" s="582"/>
      <c r="D6" s="327" t="s">
        <v>2444</v>
      </c>
      <c r="E6" s="583">
        <f>SUM(E5:E5)</f>
        <v>0</v>
      </c>
      <c r="F6" s="329"/>
      <c r="G6" s="330">
        <f>SUM(G5:G5)</f>
        <v>0</v>
      </c>
      <c r="H6" s="329">
        <v>0</v>
      </c>
      <c r="I6" s="391">
        <f>SUM(I5)</f>
        <v>0</v>
      </c>
      <c r="J6" s="13"/>
      <c r="K6" s="547"/>
      <c r="L6" s="10"/>
      <c r="M6" s="10"/>
      <c r="N6" s="14"/>
    </row>
    <row r="7" spans="1:14" ht="44.25" customHeight="1">
      <c r="A7" s="420" t="s">
        <v>2451</v>
      </c>
      <c r="B7" s="584" t="s">
        <v>1</v>
      </c>
      <c r="C7" s="585" t="s">
        <v>2</v>
      </c>
      <c r="D7" s="315" t="s">
        <v>2333</v>
      </c>
      <c r="E7" s="586" t="s">
        <v>2338</v>
      </c>
      <c r="F7" s="421" t="s">
        <v>2445</v>
      </c>
      <c r="G7" s="422" t="s">
        <v>2446</v>
      </c>
      <c r="H7" s="333" t="s">
        <v>2447</v>
      </c>
      <c r="I7" s="435" t="s">
        <v>2448</v>
      </c>
    </row>
    <row r="8" spans="1:14">
      <c r="A8" s="402"/>
      <c r="B8" s="587"/>
      <c r="C8" s="402"/>
      <c r="D8" s="316" t="s">
        <v>1340</v>
      </c>
      <c r="E8" s="320"/>
      <c r="F8" s="423"/>
      <c r="G8" s="424">
        <f t="shared" ref="G8:G20" si="0">F8*E8</f>
        <v>0</v>
      </c>
      <c r="H8" s="423"/>
      <c r="I8" s="425">
        <f>E8*H8</f>
        <v>0</v>
      </c>
    </row>
    <row r="9" spans="1:14">
      <c r="A9" s="402"/>
      <c r="B9" s="587"/>
      <c r="C9" s="402"/>
      <c r="D9" s="316" t="s">
        <v>1342</v>
      </c>
      <c r="E9" s="320"/>
      <c r="F9" s="423"/>
      <c r="G9" s="424">
        <f t="shared" si="0"/>
        <v>0</v>
      </c>
      <c r="H9" s="423"/>
      <c r="I9" s="425">
        <f t="shared" ref="I9:I20" si="1">E9*H9</f>
        <v>0</v>
      </c>
    </row>
    <row r="10" spans="1:14">
      <c r="A10" s="402"/>
      <c r="B10" s="587"/>
      <c r="C10" s="402"/>
      <c r="D10" s="316" t="s">
        <v>1342</v>
      </c>
      <c r="E10" s="320"/>
      <c r="F10" s="423"/>
      <c r="G10" s="424">
        <f t="shared" si="0"/>
        <v>0</v>
      </c>
      <c r="H10" s="423"/>
      <c r="I10" s="425">
        <f t="shared" si="1"/>
        <v>0</v>
      </c>
    </row>
    <row r="11" spans="1:14">
      <c r="A11" s="402"/>
      <c r="B11" s="587"/>
      <c r="C11" s="402"/>
      <c r="D11" s="316" t="s">
        <v>1345</v>
      </c>
      <c r="E11" s="320"/>
      <c r="F11" s="423"/>
      <c r="G11" s="424">
        <f t="shared" si="0"/>
        <v>0</v>
      </c>
      <c r="H11" s="423"/>
      <c r="I11" s="425">
        <f t="shared" si="1"/>
        <v>0</v>
      </c>
    </row>
    <row r="12" spans="1:14">
      <c r="A12" s="402"/>
      <c r="B12" s="587"/>
      <c r="C12" s="402"/>
      <c r="D12" s="316" t="s">
        <v>1340</v>
      </c>
      <c r="E12" s="320"/>
      <c r="F12" s="423"/>
      <c r="G12" s="424">
        <f t="shared" si="0"/>
        <v>0</v>
      </c>
      <c r="H12" s="423"/>
      <c r="I12" s="425">
        <f t="shared" si="1"/>
        <v>0</v>
      </c>
    </row>
    <row r="13" spans="1:14">
      <c r="A13" s="402"/>
      <c r="B13" s="587"/>
      <c r="C13" s="402"/>
      <c r="D13" s="316" t="s">
        <v>2248</v>
      </c>
      <c r="E13" s="320"/>
      <c r="F13" s="423"/>
      <c r="G13" s="424">
        <f t="shared" si="0"/>
        <v>0</v>
      </c>
      <c r="H13" s="423"/>
      <c r="I13" s="425">
        <f t="shared" si="1"/>
        <v>0</v>
      </c>
    </row>
    <row r="14" spans="1:14">
      <c r="A14" s="402"/>
      <c r="B14" s="587"/>
      <c r="C14" s="402"/>
      <c r="D14" s="316" t="s">
        <v>2248</v>
      </c>
      <c r="E14" s="320"/>
      <c r="F14" s="423"/>
      <c r="G14" s="424">
        <f t="shared" si="0"/>
        <v>0</v>
      </c>
      <c r="H14" s="423"/>
      <c r="I14" s="425">
        <f t="shared" si="1"/>
        <v>0</v>
      </c>
    </row>
    <row r="15" spans="1:14">
      <c r="A15" s="402"/>
      <c r="B15" s="587"/>
      <c r="C15" s="402"/>
      <c r="D15" s="316" t="s">
        <v>1347</v>
      </c>
      <c r="E15" s="320"/>
      <c r="F15" s="423"/>
      <c r="G15" s="424">
        <f t="shared" si="0"/>
        <v>0</v>
      </c>
      <c r="H15" s="423"/>
      <c r="I15" s="425">
        <f t="shared" si="1"/>
        <v>0</v>
      </c>
    </row>
    <row r="16" spans="1:14">
      <c r="A16" s="402"/>
      <c r="B16" s="587"/>
      <c r="C16" s="402"/>
      <c r="D16" s="316" t="s">
        <v>1342</v>
      </c>
      <c r="E16" s="320"/>
      <c r="F16" s="423"/>
      <c r="G16" s="424">
        <f t="shared" si="0"/>
        <v>0</v>
      </c>
      <c r="H16" s="423"/>
      <c r="I16" s="425">
        <f t="shared" si="1"/>
        <v>0</v>
      </c>
    </row>
    <row r="17" spans="1:9">
      <c r="A17" s="402"/>
      <c r="B17" s="587"/>
      <c r="C17" s="402"/>
      <c r="D17" s="316" t="s">
        <v>1349</v>
      </c>
      <c r="E17" s="320"/>
      <c r="F17" s="423"/>
      <c r="G17" s="424">
        <f t="shared" si="0"/>
        <v>0</v>
      </c>
      <c r="H17" s="423"/>
      <c r="I17" s="425">
        <f t="shared" si="1"/>
        <v>0</v>
      </c>
    </row>
    <row r="18" spans="1:9">
      <c r="A18" s="402"/>
      <c r="B18" s="587"/>
      <c r="C18" s="402"/>
      <c r="D18" s="316" t="s">
        <v>1350</v>
      </c>
      <c r="E18" s="320"/>
      <c r="F18" s="423"/>
      <c r="G18" s="424">
        <f t="shared" si="0"/>
        <v>0</v>
      </c>
      <c r="H18" s="423"/>
      <c r="I18" s="425">
        <f t="shared" si="1"/>
        <v>0</v>
      </c>
    </row>
    <row r="19" spans="1:9">
      <c r="A19" s="402"/>
      <c r="B19" s="587"/>
      <c r="C19" s="402"/>
      <c r="D19" s="316" t="s">
        <v>1352</v>
      </c>
      <c r="E19" s="320"/>
      <c r="F19" s="423"/>
      <c r="G19" s="424">
        <f t="shared" si="0"/>
        <v>0</v>
      </c>
      <c r="H19" s="423"/>
      <c r="I19" s="425">
        <f t="shared" si="1"/>
        <v>0</v>
      </c>
    </row>
    <row r="20" spans="1:9">
      <c r="A20" s="402"/>
      <c r="B20" s="587"/>
      <c r="C20" s="402"/>
      <c r="D20" s="316" t="s">
        <v>1353</v>
      </c>
      <c r="E20" s="320"/>
      <c r="F20" s="423"/>
      <c r="G20" s="424">
        <f t="shared" si="0"/>
        <v>0</v>
      </c>
      <c r="H20" s="423"/>
      <c r="I20" s="425">
        <f t="shared" si="1"/>
        <v>0</v>
      </c>
    </row>
    <row r="21" spans="1:9" ht="14.4" thickBot="1">
      <c r="A21" s="402"/>
      <c r="B21" s="587"/>
      <c r="C21" s="588" t="s">
        <v>961</v>
      </c>
      <c r="D21" s="426"/>
      <c r="E21" s="589">
        <f>SUM(E8:E20)</f>
        <v>0</v>
      </c>
      <c r="F21" s="427">
        <v>0</v>
      </c>
      <c r="G21" s="390">
        <f>SUM(G8:G20)</f>
        <v>0</v>
      </c>
      <c r="H21" s="427"/>
      <c r="I21" s="326">
        <f>SUM(I8:I20)</f>
        <v>0</v>
      </c>
    </row>
    <row r="22" spans="1:9" ht="14.4" thickTop="1">
      <c r="B22" s="428"/>
    </row>
  </sheetData>
  <hyperlinks>
    <hyperlink ref="C1" location="'Cover Sheets'!A18" display="(Back to Worksheet Links)" xr:uid="{00000000-0004-0000-0800-000000000000}"/>
  </hyperlinks>
  <pageMargins left="0.7" right="0.7" top="0.75" bottom="0.75" header="0.3" footer="0.3"/>
  <pageSetup scale="60" fitToHeight="0"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Cover Sheets</vt:lpstr>
      <vt:lpstr>Summary-TrueUp</vt:lpstr>
      <vt:lpstr>WS1-RateBase</vt:lpstr>
      <vt:lpstr>WS2-AllocFactor</vt:lpstr>
      <vt:lpstr>WS3-RevCredits</vt:lpstr>
      <vt:lpstr>WS4-CostData</vt:lpstr>
      <vt:lpstr>WS5-BPUz</vt:lpstr>
      <vt:lpstr>WS6-BPUr</vt:lpstr>
      <vt:lpstr>WS7-BPUFac</vt:lpstr>
      <vt:lpstr>WS8-TranFac</vt:lpstr>
      <vt:lpstr>WS9-AI-Incl</vt:lpstr>
      <vt:lpstr>WS10-AI-Excl</vt:lpstr>
      <vt:lpstr>WS11-FacChanges</vt:lpstr>
      <vt:lpstr>WS12-SSCD</vt:lpstr>
      <vt:lpstr>WS13-SSCDFac</vt:lpstr>
      <vt:lpstr>WS14-Reg</vt:lpstr>
      <vt:lpstr>WS15-Res</vt:lpstr>
      <vt:lpstr>'Cover Sheets'!Print_Area</vt:lpstr>
      <vt:lpstr>'Summary-TrueUp'!Print_Area</vt:lpstr>
      <vt:lpstr>'WS11-FacChanges'!Print_Area</vt:lpstr>
      <vt:lpstr>'WS12-SSCD'!Print_Area</vt:lpstr>
      <vt:lpstr>'WS14-Reg'!Print_Area</vt:lpstr>
      <vt:lpstr>'WS15-Res'!Print_Area</vt:lpstr>
      <vt:lpstr>'WS1-RateBase'!Print_Area</vt:lpstr>
      <vt:lpstr>'WS2-AllocFactor'!Print_Area</vt:lpstr>
      <vt:lpstr>'WS5-BPUz'!Print_Area</vt:lpstr>
      <vt:lpstr>'WS6-BPUr'!Print_Area</vt:lpstr>
      <vt:lpstr>'WS8-TranFac'!Print_Area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Baker, Sara</cp:lastModifiedBy>
  <cp:lastPrinted>2020-02-28T17:01:16Z</cp:lastPrinted>
  <dcterms:created xsi:type="dcterms:W3CDTF">2016-09-02T15:10:22Z</dcterms:created>
  <dcterms:modified xsi:type="dcterms:W3CDTF">2020-07-13T14:50:52Z</dcterms:modified>
</cp:coreProperties>
</file>