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K:\Customer Relations - Interconnection Services\ATC Formal Communications\2019\2020 Budget Cycle\2018 True-Up\"/>
    </mc:Choice>
  </mc:AlternateContent>
  <xr:revisionPtr revIDLastSave="0" documentId="8_{315C7A29-E662-4642-8D74-6A8524B48BCD}" xr6:coauthVersionLast="41" xr6:coauthVersionMax="41" xr10:uidLastSave="{00000000-0000-0000-0000-000000000000}"/>
  <bookViews>
    <workbookView xWindow="-108" yWindow="-108" windowWidth="23256" windowHeight="12576" xr2:uid="{00000000-000D-0000-FFFF-FFFF00000000}"/>
  </bookViews>
  <sheets>
    <sheet name="Network True-up" sheetId="20" r:id="rId1"/>
    <sheet name="ATC Attach O ER19-838" sheetId="42" r:id="rId2"/>
    <sheet name="Revenue Breakout" sheetId="21" r:id="rId3"/>
    <sheet name="ATC Attach GG ER15-123" sheetId="11" r:id="rId4"/>
    <sheet name="GG Support Data" sheetId="12" r:id="rId5"/>
    <sheet name="Project Descriptions - GG" sheetId="3" r:id="rId6"/>
    <sheet name="Attach MM ER15-123" sheetId="13" r:id="rId7"/>
    <sheet name="MM Support Data" sheetId="14" r:id="rId8"/>
    <sheet name="Project Descriptions - MM" sheetId="5" r:id="rId9"/>
    <sheet name="ATC Sch 1 - Recoverable Exp" sheetId="15" r:id="rId10"/>
    <sheet name="ATC Sch1 - True-Up Adj 2016" sheetId="16" r:id="rId11"/>
    <sheet name="ATC Sch 1 True-up Int 2016" sheetId="40" r:id="rId12"/>
    <sheet name="ATC Sch1 - True-Up Adj 2018" sheetId="18" r:id="rId13"/>
    <sheet name="CWIP" sheetId="22" r:id="rId14"/>
    <sheet name="Def. Tax Avg Calc" sheetId="23" r:id="rId15"/>
    <sheet name="Calc. of Wgt. Avg. Debt Rate" sheetId="24" r:id="rId16"/>
    <sheet name="Permanent" sheetId="25" r:id="rId17"/>
    <sheet name="Excess Deferreds" sheetId="41" r:id="rId18"/>
    <sheet name="SIT" sheetId="27" r:id="rId19"/>
    <sheet name="TEP" sheetId="28" r:id="rId20"/>
    <sheet name="List of Accounting Changes" sheetId="3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hidden="1">[2]Sheet3!#REF!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'[3]AL2 151'!#REF!</definedName>
    <definedName name="__123Graph_CBAR" hidden="1">[2]Sheet3!#REF!</definedName>
    <definedName name="__123Graph_D" hidden="1">'[3]AL2 151'!#REF!</definedName>
    <definedName name="__123Graph_DBAR" hidden="1">[2]Sheet3!#REF!</definedName>
    <definedName name="__123Graph_E" hidden="1">'[3]AL2 151'!#REF!</definedName>
    <definedName name="__123Graph_EBAR" hidden="1">[2]Sheet3!#REF!</definedName>
    <definedName name="__123Graph_F" hidden="1">'[3]AL2 151'!#REF!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_tet12" localSheetId="11" hidden="1">{"assumptions",#N/A,FALSE,"Scenario 1";"valuation",#N/A,FALSE,"Scenario 1"}</definedName>
    <definedName name="__tet12" hidden="1">{"assumptions",#N/A,FALSE,"Scenario 1";"valuation",#N/A,FALSE,"Scenario 1"}</definedName>
    <definedName name="__tet5" localSheetId="11" hidden="1">{"assumptions",#N/A,FALSE,"Scenario 1";"valuation",#N/A,FALSE,"Scenario 1"}</definedName>
    <definedName name="__tet5" hidden="1">{"assumptions",#N/A,FALSE,"Scenario 1";"valuation",#N/A,FALSE,"Scenario 1"}</definedName>
    <definedName name="_123Graph_B.1" hidden="1">#REF!</definedName>
    <definedName name="_1E_1">#N/A</definedName>
    <definedName name="_31_Dec_00" localSheetId="3">#REF!</definedName>
    <definedName name="_31_Dec_00" localSheetId="12">#REF!</definedName>
    <definedName name="_31_Dec_00" localSheetId="15">#REF!</definedName>
    <definedName name="_31_Dec_00" localSheetId="13">#REF!</definedName>
    <definedName name="_31_Dec_00" localSheetId="14">#REF!</definedName>
    <definedName name="_31_Dec_00" localSheetId="20">#REF!</definedName>
    <definedName name="_31_Dec_00" localSheetId="0">#REF!</definedName>
    <definedName name="_31_Dec_00" localSheetId="2">#REF!</definedName>
    <definedName name="_31_Dec_00" localSheetId="19">#REF!</definedName>
    <definedName name="_31_Dec_00">#REF!</definedName>
    <definedName name="_31_Jan_01" localSheetId="3">#REF!</definedName>
    <definedName name="_31_Jan_01" localSheetId="12">#REF!</definedName>
    <definedName name="_31_Jan_01" localSheetId="15">#REF!</definedName>
    <definedName name="_31_Jan_01" localSheetId="13">#REF!</definedName>
    <definedName name="_31_Jan_01" localSheetId="14">#REF!</definedName>
    <definedName name="_31_Jan_01" localSheetId="20">#REF!</definedName>
    <definedName name="_31_Jan_01" localSheetId="0">#REF!</definedName>
    <definedName name="_31_Jan_01" localSheetId="2">#REF!</definedName>
    <definedName name="_31_Jan_01" localSheetId="19">#REF!</definedName>
    <definedName name="_31_Jan_01">#REF!</definedName>
    <definedName name="_Check_Input">#REF!</definedName>
    <definedName name="_Checks">#REF!</definedName>
    <definedName name="_CPK1">#REF!</definedName>
    <definedName name="_CPK2">#REF!</definedName>
    <definedName name="_CPK3">#REF!</definedName>
    <definedName name="_CurrCase">[4]DANDE!#REF!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EB01" localSheetId="11" hidden="1">{#N/A,#N/A,FALSE,"EMPPAY"}</definedName>
    <definedName name="_FEB01" hidden="1">{#N/A,#N/A,FALSE,"EMPPAY"}</definedName>
    <definedName name="_Fill" hidden="1">'[5]Exp Detail'!#REF!</definedName>
    <definedName name="_Fill.1" hidden="1">#REF!</definedName>
    <definedName name="_FS_R">#REF!</definedName>
    <definedName name="_JAN01" localSheetId="11" hidden="1">{#N/A,#N/A,FALSE,"EMPPAY"}</definedName>
    <definedName name="_JAN01" hidden="1">{#N/A,#N/A,FALSE,"EMPPAY"}</definedName>
    <definedName name="_JAN2001" localSheetId="11" hidden="1">{#N/A,#N/A,FALSE,"EMPPAY"}</definedName>
    <definedName name="_JAN2001" hidden="1">{#N/A,#N/A,FALSE,"EMPPAY"}</definedName>
    <definedName name="_Key.1" hidden="1">#REF!</definedName>
    <definedName name="_Key1" hidden="1">'[5]Exp Detail'!#REF!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[4]DANDE!#REF!</definedName>
    <definedName name="_Sort" hidden="1">'[5]Exp Detail'!#REF!</definedName>
    <definedName name="_Sort.1" hidden="1">#REF!</definedName>
    <definedName name="_Split_Mthd">#REF!</definedName>
    <definedName name="_Start_Yr">#REF!</definedName>
    <definedName name="_StartYr2">#REF!</definedName>
    <definedName name="_Table1_Out" hidden="1">#REF!</definedName>
    <definedName name="_tet12" localSheetId="11" hidden="1">{"assumptions",#N/A,FALSE,"Scenario 1";"valuation",#N/A,FALSE,"Scenario 1"}</definedName>
    <definedName name="_tet12" hidden="1">{"assumptions",#N/A,FALSE,"Scenario 1";"valuation",#N/A,FALSE,"Scenario 1"}</definedName>
    <definedName name="_tet5" localSheetId="11" hidden="1">{"assumptions",#N/A,FALSE,"Scenario 1";"valuation",#N/A,FALSE,"Scenario 1"}</definedName>
    <definedName name="_tet5" hidden="1">{"assumptions",#N/A,FALSE,"Scenario 1";"valuation",#N/A,FALSE,"Scenario 1"}</definedName>
    <definedName name="_WCS_?__">#REF!</definedName>
    <definedName name="_WIC_">#REF!</definedName>
    <definedName name="_WIR_">#REF!</definedName>
    <definedName name="A" localSheetId="11" hidden="1">{#N/A,#N/A,FALSE,"EMPPAY"}</definedName>
    <definedName name="A" hidden="1">{#N/A,#N/A,FALSE,"EMPPAY"}</definedName>
    <definedName name="a.1" localSheetId="11" hidden="1">{"LBO Summary",#N/A,FALSE,"Summary"}</definedName>
    <definedName name="a.1" hidden="1">{"LBO Summary",#N/A,FALSE,"Summary"}</definedName>
    <definedName name="above">OFFSET(!A1,-1,0)</definedName>
    <definedName name="ACCTTextLen">#REF!</definedName>
    <definedName name="ACTTextLen">#REF!</definedName>
    <definedName name="ADIT_TST">'[6]A.2 PTP'!$P$55</definedName>
    <definedName name="Adjusted_KW">[7]CALCULATIONS!$C$29</definedName>
    <definedName name="ADTL">'[6]C. Input'!$F$144</definedName>
    <definedName name="AG_TST">'[6]A.2 PTP'!$P$111</definedName>
    <definedName name="AGXP">'[6]C. Input'!$F$201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A">#N/A</definedName>
    <definedName name="AreaNum">#REF!</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 localSheetId="12">#REF!</definedName>
    <definedName name="Balances" localSheetId="15">#REF!</definedName>
    <definedName name="Balances" localSheetId="13">#REF!</definedName>
    <definedName name="Balances" localSheetId="20">#REF!</definedName>
    <definedName name="Balances" localSheetId="19">#REF!</definedName>
    <definedName name="Balances">#REF!</definedName>
    <definedName name="BalanceSheet">#REF!</definedName>
    <definedName name="below">OFFSET(!A1,1,0)</definedName>
    <definedName name="Bio_Flora">#REF!</definedName>
    <definedName name="BLANK_ACCOUNT">#REF!</definedName>
    <definedName name="C_">'[9]RR 8 2'!#REF!</definedName>
    <definedName name="CALC_C03">#REF!</definedName>
    <definedName name="CALC_C04">#REF!</definedName>
    <definedName name="CALC_C09">#REF!</definedName>
    <definedName name="CALC_LRG">#REF!</definedName>
    <definedName name="CALC_XLG">#REF!</definedName>
    <definedName name="CAName">#REF!</definedName>
    <definedName name="CASCADE">#REF!</definedName>
    <definedName name="CC_TST">'[6]A.2 PTP'!$P$33</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L">#N/A</definedName>
    <definedName name="cell.above">!A1048576</definedName>
    <definedName name="cell.below">!A2</definedName>
    <definedName name="cell.left">!XFD1</definedName>
    <definedName name="cell.right">!B1</definedName>
    <definedName name="CH_COS" localSheetId="3">#REF!</definedName>
    <definedName name="CH_COS" localSheetId="12">#REF!</definedName>
    <definedName name="CH_COS" localSheetId="6">#REF!</definedName>
    <definedName name="CH_COS" localSheetId="15">#REF!</definedName>
    <definedName name="CH_COS" localSheetId="13">#REF!</definedName>
    <definedName name="CH_COS" localSheetId="14">#REF!</definedName>
    <definedName name="CH_COS" localSheetId="20">#REF!</definedName>
    <definedName name="CH_COS" localSheetId="0">#REF!</definedName>
    <definedName name="CH_COS" localSheetId="2">#REF!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learALL" localSheetId="12">#REF!</definedName>
    <definedName name="ClearALL" localSheetId="15">#REF!</definedName>
    <definedName name="ClearALL" localSheetId="13">#REF!</definedName>
    <definedName name="ClearALL" localSheetId="20">#REF!</definedName>
    <definedName name="ClearALL">#REF!</definedName>
    <definedName name="COA1Copy" localSheetId="12">#REF!</definedName>
    <definedName name="COA1Copy" localSheetId="15">#REF!</definedName>
    <definedName name="COA1Copy" localSheetId="13">#REF!</definedName>
    <definedName name="COA1Copy" localSheetId="20">#REF!</definedName>
    <definedName name="COA1Copy">#REF!</definedName>
    <definedName name="COA1Paste" localSheetId="12">#REF!</definedName>
    <definedName name="COA1Paste" localSheetId="15">#REF!</definedName>
    <definedName name="COA1Paste" localSheetId="13">#REF!</definedName>
    <definedName name="COA1Paste" localSheetId="20">#REF!</definedName>
    <definedName name="COA1Paste">#REF!</definedName>
    <definedName name="COA2Copy" localSheetId="12">#REF!</definedName>
    <definedName name="COA2Copy" localSheetId="15">#REF!</definedName>
    <definedName name="COA2Copy" localSheetId="13">#REF!</definedName>
    <definedName name="COA2Copy" localSheetId="20">#REF!</definedName>
    <definedName name="COA2Copy">#REF!</definedName>
    <definedName name="COA2Paste" localSheetId="12">#REF!</definedName>
    <definedName name="COA2Paste" localSheetId="15">#REF!</definedName>
    <definedName name="COA2Paste" localSheetId="13">#REF!</definedName>
    <definedName name="COA2Paste" localSheetId="20">#REF!</definedName>
    <definedName name="COA2Paste">#REF!</definedName>
    <definedName name="COAHardCode" localSheetId="12">#REF!</definedName>
    <definedName name="COAHardCode" localSheetId="15">#REF!</definedName>
    <definedName name="COAHardCode" localSheetId="13">#REF!</definedName>
    <definedName name="COAHardCode" localSheetId="20">#REF!</definedName>
    <definedName name="COAHardCode">#REF!</definedName>
    <definedName name="Coincidence_Factor">[7]CALCULATIONS!#REF!</definedName>
    <definedName name="Columns" localSheetId="3">#REF!</definedName>
    <definedName name="Columns" localSheetId="12">#REF!</definedName>
    <definedName name="Columns" localSheetId="15">#REF!</definedName>
    <definedName name="Columns" localSheetId="13">#REF!</definedName>
    <definedName name="Columns" localSheetId="14">#REF!</definedName>
    <definedName name="Columns" localSheetId="20">#REF!</definedName>
    <definedName name="Columns" localSheetId="0">#REF!</definedName>
    <definedName name="Columns" localSheetId="2">#REF!</definedName>
    <definedName name="Columns">#REF!</definedName>
    <definedName name="Columns2" localSheetId="12">#REF!</definedName>
    <definedName name="Columns2" localSheetId="15">#REF!</definedName>
    <definedName name="Columns2" localSheetId="13">#REF!</definedName>
    <definedName name="Columns2" localSheetId="20">#REF!</definedName>
    <definedName name="Columns2">#REF!</definedName>
    <definedName name="Company_Def">'[10]Pasted Sheet-Company Definition'!$A$2:$D$9999</definedName>
    <definedName name="CompanyTextLen">#REF!</definedName>
    <definedName name="ControlTotal" localSheetId="12">#REF!</definedName>
    <definedName name="ControlTotal" localSheetId="15">#REF!</definedName>
    <definedName name="ControlTotal" localSheetId="13">#REF!</definedName>
    <definedName name="ControlTotal" localSheetId="20">#REF!</definedName>
    <definedName name="ControlTotal">#REF!</definedName>
    <definedName name="Cost_481">#REF!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'[11]Brewster Purchases'!#REF!</definedName>
    <definedName name="CSTextLen">#REF!</definedName>
    <definedName name="CTY_ANNUAL">#REF!</definedName>
    <definedName name="cty_peak_sum">#REF!</definedName>
    <definedName name="Current_sum" localSheetId="12">#REF!</definedName>
    <definedName name="Current_sum" localSheetId="15">#REF!</definedName>
    <definedName name="Current_sum" localSheetId="13">#REF!</definedName>
    <definedName name="Current_sum" localSheetId="20">#REF!</definedName>
    <definedName name="Current_sum">#REF!</definedName>
    <definedName name="Current_Year">'[12]Electric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ta.All">OFFSET([13]Data!$B$2,0,0,COUNTA([13]Data!$H$1:$H$65536),16)</definedName>
    <definedName name="DATA.GF">OFFSET('[13]Data-GF'!$B$2,0,0,COUNTA('[13]Data-GF'!$G$1:$G$65536),9)</definedName>
    <definedName name="data_3" localSheetId="11">[14]Permanent!$A$9:$O$20</definedName>
    <definedName name="data_3" localSheetId="15">[15]Permanent!$A$9:$O$20</definedName>
    <definedName name="data_3" localSheetId="13">[15]Permanent!$A$9:$O$20</definedName>
    <definedName name="data_3">[15]Permanent!$A$9:$O$20</definedName>
    <definedName name="data_year">'[8]Appendix A'!$H$6</definedName>
    <definedName name="_xlnm.Database">OFFSET(#REF!,0,0,COUNTA(#REF!),11)</definedName>
    <definedName name="DATALINE">'[1]Header Data'!#REF!</definedName>
    <definedName name="DB_CPK">#N/A</definedName>
    <definedName name="DB_CPK1">[16]FERCFACT!#REF!</definedName>
    <definedName name="DB_CPK2">#REF!</definedName>
    <definedName name="DB_CPK3">#REF!</definedName>
    <definedName name="DB_CUST">#N/A</definedName>
    <definedName name="DB_EGR">#N/A</definedName>
    <definedName name="DB_EGR1">[16]FERCFACT!#REF!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[17]Input!$F$33</definedName>
    <definedName name="DEBITS">#REF!</definedName>
    <definedName name="DEC">#N/A</definedName>
    <definedName name="DEC00" localSheetId="11" hidden="1">{#N/A,#N/A,FALSE,"ARREC"}</definedName>
    <definedName name="DEC00" hidden="1">{#N/A,#N/A,FALSE,"ARREC"}</definedName>
    <definedName name="DecCP">#REF!</definedName>
    <definedName name="DefaultCopy" localSheetId="3">#REF!</definedName>
    <definedName name="DefaultCopy" localSheetId="12">#REF!</definedName>
    <definedName name="DefaultCopy" localSheetId="15">#REF!</definedName>
    <definedName name="DefaultCopy" localSheetId="13">#REF!</definedName>
    <definedName name="DefaultCopy" localSheetId="14">#REF!</definedName>
    <definedName name="DefaultCopy" localSheetId="20">#REF!</definedName>
    <definedName name="DefaultCopy" localSheetId="0">#REF!</definedName>
    <definedName name="DefaultCopy" localSheetId="2">#REF!</definedName>
    <definedName name="DefaultCopy" localSheetId="19">#REF!</definedName>
    <definedName name="DefaultCopy">#REF!</definedName>
    <definedName name="DefaultPaste" localSheetId="3">#REF!</definedName>
    <definedName name="DefaultPaste" localSheetId="12">#REF!</definedName>
    <definedName name="DefaultPaste" localSheetId="15">#REF!</definedName>
    <definedName name="DefaultPaste" localSheetId="13">#REF!</definedName>
    <definedName name="DefaultPaste" localSheetId="14">#REF!</definedName>
    <definedName name="DefaultPaste" localSheetId="20">#REF!</definedName>
    <definedName name="DefaultPaste" localSheetId="0">#REF!</definedName>
    <definedName name="DefaultPaste" localSheetId="2">#REF!</definedName>
    <definedName name="DefaultPaste" localSheetId="19">#REF!</definedName>
    <definedName name="DefaultPaste">#REF!</definedName>
    <definedName name="DefaultPaste2" localSheetId="12">#REF!</definedName>
    <definedName name="DefaultPaste2" localSheetId="15">#REF!</definedName>
    <definedName name="DefaultPaste2" localSheetId="13">#REF!</definedName>
    <definedName name="DefaultPaste2" localSheetId="20">#REF!</definedName>
    <definedName name="DefaultPaste2" localSheetId="19">#REF!</definedName>
    <definedName name="DefaultPaste2">#REF!</definedName>
    <definedName name="detail" localSheetId="3">#REF!</definedName>
    <definedName name="detail" localSheetId="12">#REF!</definedName>
    <definedName name="detail" localSheetId="15">#REF!</definedName>
    <definedName name="detail" localSheetId="13">#REF!</definedName>
    <definedName name="detail" localSheetId="14">#REF!</definedName>
    <definedName name="detail" localSheetId="20">#REF!</definedName>
    <definedName name="detail" localSheetId="0">#REF!</definedName>
    <definedName name="detail" localSheetId="2">#REF!</definedName>
    <definedName name="detail">#REF!</definedName>
    <definedName name="DFTSR">'[6]A.2 PTP'!$P$288</definedName>
    <definedName name="DISPLAY">#N/A</definedName>
    <definedName name="DOFTSR">'[6]A.2 PTP'!$P$294</definedName>
    <definedName name="don" localSheetId="11" hidden="1">{"assumptions",#N/A,FALSE,"Scenario 1";"valuation",#N/A,FALSE,"Scenario 1"}</definedName>
    <definedName name="don" hidden="1">{"assumptions",#N/A,FALSE,"Scenario 1";"valuation",#N/A,FALSE,"Scenario 1"}</definedName>
    <definedName name="Don_1" localSheetId="11"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D8_BIOFLORA_Print">#REF!</definedName>
    <definedName name="EDGERTON">#REF!</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dMO" localSheetId="20">#REF!</definedName>
    <definedName name="EndMO">#REF!</definedName>
    <definedName name="ENERGY">#REF!</definedName>
    <definedName name="ENERGY_SUP">[16]FERCFACT!#REF!</definedName>
    <definedName name="ENERGY1">#N/A</definedName>
    <definedName name="ENVIRONMENTAL">#REF!</definedName>
    <definedName name="EPRI">'[6]C. Input'!$F$203</definedName>
    <definedName name="EST_BY_ACCT">#REF!</definedName>
    <definedName name="F">'[6]C. Input'!$F$72</definedName>
    <definedName name="FACE">#REF!</definedName>
    <definedName name="FacPrjCost">#REF!</definedName>
    <definedName name="FACTORS">#REF!</definedName>
    <definedName name="FACTRS">#REF!</definedName>
    <definedName name="FCN" localSheetId="12">#REF!</definedName>
    <definedName name="FCN" localSheetId="15">#REF!</definedName>
    <definedName name="FCN" localSheetId="13">#REF!</definedName>
    <definedName name="FCN" localSheetId="20">#REF!</definedName>
    <definedName name="FCN">#REF!</definedName>
    <definedName name="FEB00" localSheetId="11" hidden="1">{#N/A,#N/A,FALSE,"ARREC"}</definedName>
    <definedName name="FEB00" hidden="1">{#N/A,#N/A,FALSE,"ARREC"}</definedName>
    <definedName name="FF1_INPUT">'[8]FERC Form 1 data'!$B$7:$L$89</definedName>
    <definedName name="FF1_INPUT_columns">'[8]FERC Form 1 data'!$B$6:$L$6</definedName>
    <definedName name="Fibro_Q1">[18]!Table_Query_from__PSO_1[[#Headers],[est_stamp]]</definedName>
    <definedName name="Fibro_Q2">[18]!Table_Query_from_MRBILL[[#Headers],[rate_id]]</definedName>
    <definedName name="Fibro_Q3">[18]!Table_Query_from__PSO[[#Headers],[city_id]]</definedName>
    <definedName name="FIVE">#N/A</definedName>
    <definedName name="fixed">#REF!</definedName>
    <definedName name="FOUR">#N/A</definedName>
    <definedName name="FREV">'[6]C. Input'!$F$295</definedName>
    <definedName name="GALION">#REF!</definedName>
    <definedName name="GDR">'[6]C. Input'!$F$237</definedName>
    <definedName name="GDX">'[6]C. Input'!$F$309</definedName>
    <definedName name="GDX_TD">'[6]C. Input'!#REF!</definedName>
    <definedName name="Gen_Fuel">'[10]Pasted Sheet - Generator Fuel'!$A$2:$I$9999</definedName>
    <definedName name="GENOA">#REF!</definedName>
    <definedName name="GENOA_NORTH">#REF!</definedName>
    <definedName name="GENOA_SOUTH">#REF!</definedName>
    <definedName name="GG_Support_Data" localSheetId="11">'[19]GG Support Data'!$C$8:$S$67</definedName>
    <definedName name="GG_Support_Data">'[20]GG Support Data'!$C$8:$Q$67</definedName>
    <definedName name="gh">#REF!</definedName>
    <definedName name="gIsBlank" localSheetId="11" hidden="1">ISBLANK(gIsRef)</definedName>
    <definedName name="gIsBlank" hidden="1">ISBLANK(gIsRef)</definedName>
    <definedName name="gIsError" localSheetId="11" hidden="1">ISERROR(gIsRef)</definedName>
    <definedName name="gIsError" hidden="1">ISERROR(gIsRef)</definedName>
    <definedName name="gIsInPrintArea" localSheetId="11" hidden="1">NOT(ISERROR(gIsRef !Print_Area))</definedName>
    <definedName name="gIsInPrintArea" hidden="1">NOT(ISERROR(gIsRef !Print_Area))</definedName>
    <definedName name="gIsInPrintTitles" localSheetId="11" hidden="1">NOT(ISERROR(gIsRef !Print_Titles))</definedName>
    <definedName name="gIsInPrintTitles" hidden="1">NOT(ISERROR(gIsRef !Print_Titles))</definedName>
    <definedName name="gIsNumber" localSheetId="11" hidden="1">ISNUMBER(gIsRef)</definedName>
    <definedName name="gIsNumber" hidden="1">ISNUMBER(gIsRef)</definedName>
    <definedName name="gIsPreviousSheet" localSheetId="11" hidden="1">PrevShtCellValue(gIsRef)&lt;&gt;gIsRef</definedName>
    <definedName name="gIsPreviousSheet" hidden="1">PrevShtCellValue(gIsRef)&lt;&gt;gIsRef</definedName>
    <definedName name="gIsRef" hidden="1">INDIRECT("rc",FALSE)</definedName>
    <definedName name="gIsText" localSheetId="11" hidden="1">ISTEXT(gIsRef)</definedName>
    <definedName name="gIsText" hidden="1">ISTEXT(gIsRef)</definedName>
    <definedName name="GJC_03">#REF!</definedName>
    <definedName name="GJC_04">#REF!</definedName>
    <definedName name="GJC_09">#REF!</definedName>
    <definedName name="GotoCo" localSheetId="12">#REF!</definedName>
    <definedName name="GotoCo" localSheetId="15">#REF!</definedName>
    <definedName name="GotoCo" localSheetId="13">#REF!</definedName>
    <definedName name="GotoCo" localSheetId="14">#REF!</definedName>
    <definedName name="GotoCo" localSheetId="20">#REF!</definedName>
    <definedName name="GotoCo" localSheetId="0">#REF!</definedName>
    <definedName name="GotoCo" localSheetId="2">#REF!</definedName>
    <definedName name="GotoCo">#REF!</definedName>
    <definedName name="GP">#REF!</definedName>
    <definedName name="GPLT">'[6]C. Input'!$F$168</definedName>
    <definedName name="GRAFTON">#REF!</definedName>
    <definedName name="Grove_City">#REF!</definedName>
    <definedName name="HASKINS">#REF!</definedName>
    <definedName name="HCTextLen">#REF!</definedName>
    <definedName name="head">#REF!</definedName>
    <definedName name="HONTSR">'[6]A.2 PTP'!$P$333</definedName>
    <definedName name="hourending">#REF!</definedName>
    <definedName name="Hours">[7]CALCULATIONS!$C$11</definedName>
    <definedName name="HPNTSR">'[6]A.2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[21]Nonlevelized-IOU'!$K$7,'[21]Nonlevelized-IOU'!$D$10,'[21]Nonlevelized-IOU'!$I$26,'[21]Nonlevelized-IOU'!$D$89:$D$92,'[21]Nonlevelized-IOU'!$D$97:$D$100,'[21]Nonlevelized-IOU'!$D$113:$D$116,'[21]Nonlevelized-IOU'!$D$124:$D$125,'[21]Nonlevelized-IOU'!$D$162,'[21]Nonlevelized-IOU'!$D$164:$D$165,'[21]Nonlevelized-IOU'!$D$167,'[21]Nonlevelized-IOU'!$D$174:$D$175,'[21]Nonlevelized-IOU'!$D$181,'[21]Nonlevelized-IOU'!$D$184,'[21]Nonlevelized-IOU'!$I$233:$I$234,'[21]Nonlevelized-IOU'!$D$250:$D$253,'[21]Nonlevelized-IOU'!$D$257:$D$259,'[21]Nonlevelized-IOU'!$I$263,'[21]Nonlevelized-IOU'!$I$265,'[21]Nonlevelized-IOU'!$I$268,'[21]Nonlevelized-IOU'!$D$274:$D$275,'[21]Nonlevelized-IOU'!$I$289,'[21]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tc" localSheetId="12">#REF!</definedName>
    <definedName name="itc" localSheetId="15">#REF!</definedName>
    <definedName name="itc" localSheetId="13">#REF!</definedName>
    <definedName name="itc" localSheetId="20">#REF!</definedName>
    <definedName name="itc">#REF!</definedName>
    <definedName name="ITCWO">'[6]C. Input'!$F$325</definedName>
    <definedName name="JanCP">#REF!</definedName>
    <definedName name="jor">#REF!</definedName>
    <definedName name="JOUR_ENTRY">#REF!</definedName>
    <definedName name="JUL">#N/A</definedName>
    <definedName name="JUN">#N/A</definedName>
    <definedName name="Keep" localSheetId="1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3">#REF!</definedName>
    <definedName name="kk" localSheetId="12">#REF!</definedName>
    <definedName name="kk" localSheetId="15">#REF!</definedName>
    <definedName name="kk" localSheetId="13">#REF!</definedName>
    <definedName name="kk" localSheetId="14">#REF!</definedName>
    <definedName name="kk" localSheetId="20">#REF!</definedName>
    <definedName name="kk" localSheetId="0">#REF!</definedName>
    <definedName name="kk" localSheetId="2">#REF!</definedName>
    <definedName name="kk">#REF!</definedName>
    <definedName name="LDC" localSheetId="12">#REF!</definedName>
    <definedName name="LDC" localSheetId="15">#REF!</definedName>
    <definedName name="LDC" localSheetId="13">#REF!</definedName>
    <definedName name="LDC" localSheetId="20">#REF!</definedName>
    <definedName name="LDC">#REF!</definedName>
    <definedName name="left">OFFSET(!A1,0,-1)</definedName>
    <definedName name="LFTSR">'[6]A.2 PTP'!$P$230</definedName>
    <definedName name="LHMonth">#REF!</definedName>
    <definedName name="LHYear">#REF!</definedName>
    <definedName name="Load_Factor">[7]CALCULATIONS!#REF!</definedName>
    <definedName name="Loads">[13]Loads!$B$7:$M$37</definedName>
    <definedName name="LOCATE3">#N/A</definedName>
    <definedName name="LOCTABLE">#REF!</definedName>
    <definedName name="LOCTextLen">#REF!</definedName>
    <definedName name="LODFMiles">[22]Final_fromDB!$A$2:$CD$24</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[16]FERCFACT!#REF!</definedName>
    <definedName name="MACRO">#N/A</definedName>
    <definedName name="MAIN">#N/A</definedName>
    <definedName name="MAR">#N/A</definedName>
    <definedName name="MAY" localSheetId="11"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gmt" localSheetId="3">[23]Current!#REF!</definedName>
    <definedName name="Mgmt" localSheetId="12">[23]Current!#REF!</definedName>
    <definedName name="Mgmt" localSheetId="15">[24]Current!#REF!</definedName>
    <definedName name="Mgmt" localSheetId="13">[24]Current!#REF!</definedName>
    <definedName name="Mgmt" localSheetId="14">[24]Current!#REF!</definedName>
    <definedName name="Mgmt" localSheetId="20">[23]Current!#REF!</definedName>
    <definedName name="Mgmt" localSheetId="0">[24]Current!#REF!</definedName>
    <definedName name="Mgmt" localSheetId="16">[25]Current!#REF!</definedName>
    <definedName name="Mgmt" localSheetId="2">[24]Current!#REF!</definedName>
    <definedName name="Mgmt">[23]Current!#REF!</definedName>
    <definedName name="MILAN">#REF!</definedName>
    <definedName name="Mo_roll">#REF!</definedName>
    <definedName name="MONROEVILLE">#REF!</definedName>
    <definedName name="Monthly_Peak">[7]CALCULATIONS!$C$29</definedName>
    <definedName name="months" localSheetId="11">[14]Permanent!$A$24:$A$35</definedName>
    <definedName name="months" localSheetId="15">[15]Permanent!$A$24:$A$35</definedName>
    <definedName name="months" localSheetId="13">[15]Permanent!$A$24:$A$35</definedName>
    <definedName name="months">[15]Permanent!$A$24:$A$35</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 localSheetId="12">#REF!</definedName>
    <definedName name="Net" localSheetId="15">#REF!</definedName>
    <definedName name="Net" localSheetId="13">#REF!</definedName>
    <definedName name="Net" localSheetId="14">#REF!</definedName>
    <definedName name="Net" localSheetId="20">#REF!</definedName>
    <definedName name="Net" localSheetId="0">#REF!</definedName>
    <definedName name="Net" localSheetId="2">#REF!</definedName>
    <definedName name="Net" localSheetId="19">#REF!</definedName>
    <definedName name="Net">#REF!</definedName>
    <definedName name="NET_TO_ZERO">#REF!</definedName>
    <definedName name="NETWK_TRANS_PK_RPT_Print_Area">#REF!</definedName>
    <definedName name="new" localSheetId="3">#REF!</definedName>
    <definedName name="new" localSheetId="12">#REF!</definedName>
    <definedName name="new" localSheetId="15">#REF!</definedName>
    <definedName name="new" localSheetId="13">#REF!</definedName>
    <definedName name="new" localSheetId="14">#REF!</definedName>
    <definedName name="new" localSheetId="20">#REF!</definedName>
    <definedName name="new" localSheetId="0">#REF!</definedName>
    <definedName name="new" localSheetId="2">#REF!</definedName>
    <definedName name="new" localSheetId="19">#REF!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3">#REF!</definedName>
    <definedName name="NSP_COS" localSheetId="12">#REF!</definedName>
    <definedName name="NSP_COS" localSheetId="6">#REF!</definedName>
    <definedName name="NSP_COS" localSheetId="15">#REF!</definedName>
    <definedName name="NSP_COS" localSheetId="13">#REF!</definedName>
    <definedName name="NSP_COS" localSheetId="14">#REF!</definedName>
    <definedName name="NSP_COS" localSheetId="20">#REF!</definedName>
    <definedName name="NSP_COS" localSheetId="0">#REF!</definedName>
    <definedName name="NSP_COS" localSheetId="2">#REF!</definedName>
    <definedName name="NSP_COS" localSheetId="19">#REF!</definedName>
    <definedName name="NSP_COS">#REF!</definedName>
    <definedName name="NTDR">'[6]C. Input'!$F$234</definedName>
    <definedName name="NTPLT">'[6]C. Input'!$F$164</definedName>
    <definedName name="NTSRR">'[6]B.2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'[6]A.2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[16]FERCFACT!#REF!</definedName>
    <definedName name="page10">'[26]W&amp;S by group'!#REF!</definedName>
    <definedName name="page11">'[26]W&amp;S by group'!#REF!</definedName>
    <definedName name="page12">'[26]W&amp;S by group'!#REF!</definedName>
    <definedName name="page13">'[26]W&amp;S by group'!#REF!</definedName>
    <definedName name="page14">'[26]W&amp;S by group'!#REF!</definedName>
    <definedName name="page15">'[26]W&amp;S by group'!#REF!</definedName>
    <definedName name="page16">'[26]W&amp;S by group'!#REF!</definedName>
    <definedName name="PAGE1A">#REF!</definedName>
    <definedName name="PAGE2">#REF!</definedName>
    <definedName name="PAGE3">[16]FERCFACT!#REF!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b">[27]Generator!$A$2:$BS$1206</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K_1">#N/A</definedName>
    <definedName name="PPJE" localSheetId="12">#REF!</definedName>
    <definedName name="PPJE" localSheetId="15">#REF!</definedName>
    <definedName name="PPJE" localSheetId="13">#REF!</definedName>
    <definedName name="PPJE" localSheetId="20">#REF!</definedName>
    <definedName name="PPJE">#REF!</definedName>
    <definedName name="PPLT">'[6]C. Input'!$F$152</definedName>
    <definedName name="PPT">'[6]C. Input'!$F$244</definedName>
    <definedName name="PR">'[6]C. Input'!$F$25</definedName>
    <definedName name="Previous_Meter_Reading">[7]CALCULATIONS!$C$16</definedName>
    <definedName name="_xlnm.Print_Area" localSheetId="3">'ATC Attach GG ER15-123'!$A$1:$P$115</definedName>
    <definedName name="_xlnm.Print_Area" localSheetId="1">'ATC Attach O ER19-838'!$A$1:$K$333</definedName>
    <definedName name="_xlnm.Print_Area" localSheetId="9">'ATC Sch 1 - Recoverable Exp'!$A$1:$G$36</definedName>
    <definedName name="_xlnm.Print_Area" localSheetId="11">'ATC Sch 1 True-up Int 2016'!$B$2:$E$22</definedName>
    <definedName name="_xlnm.Print_Area" localSheetId="10">'ATC Sch1 - True-Up Adj 2016'!$A$1:$G$34</definedName>
    <definedName name="_xlnm.Print_Area" localSheetId="12">'ATC Sch1 - True-Up Adj 2018'!$A$1:$G$34</definedName>
    <definedName name="_xlnm.Print_Area" localSheetId="6">'Attach MM ER15-123'!$A$1:$S$119</definedName>
    <definedName name="_xlnm.Print_Area" localSheetId="15">'Calc. of Wgt. Avg. Debt Rate'!$A$1:$H$52</definedName>
    <definedName name="_xlnm.Print_Area" localSheetId="4">'GG Support Data'!$A$2:$Q$67</definedName>
    <definedName name="_xlnm.Print_Area" localSheetId="7">'MM Support Data'!$A$2:$N$67</definedName>
    <definedName name="_xlnm.Print_Area" localSheetId="0">'Network True-up'!$A$1:$K$23</definedName>
    <definedName name="_xlnm.Print_Area" localSheetId="19">TEP!$A$1:$C$20</definedName>
    <definedName name="_xlnm.Print_Area">#REF!</definedName>
    <definedName name="Print_Area_MI">#REF!</definedName>
    <definedName name="Print_Area_MI.1">#REF!</definedName>
    <definedName name="Print_Titles_MI">#REF!</definedName>
    <definedName name="Print1" localSheetId="3">#REF!</definedName>
    <definedName name="Print1" localSheetId="12">#REF!</definedName>
    <definedName name="Print1" localSheetId="6">#REF!</definedName>
    <definedName name="Print1" localSheetId="15">#REF!</definedName>
    <definedName name="Print1" localSheetId="13">#REF!</definedName>
    <definedName name="Print1" localSheetId="14">#REF!</definedName>
    <definedName name="Print1" localSheetId="20">#REF!</definedName>
    <definedName name="Print1" localSheetId="0">#REF!</definedName>
    <definedName name="Print1" localSheetId="2">#REF!</definedName>
    <definedName name="Print1" localSheetId="19">#REF!</definedName>
    <definedName name="Print1">#REF!</definedName>
    <definedName name="Print3" localSheetId="3">#REF!</definedName>
    <definedName name="Print3" localSheetId="12">#REF!</definedName>
    <definedName name="Print3" localSheetId="6">#REF!</definedName>
    <definedName name="Print3" localSheetId="15">#REF!</definedName>
    <definedName name="Print3" localSheetId="13">#REF!</definedName>
    <definedName name="Print3" localSheetId="14">#REF!</definedName>
    <definedName name="Print3" localSheetId="20">#REF!</definedName>
    <definedName name="Print3" localSheetId="0">#REF!</definedName>
    <definedName name="Print3" localSheetId="2">#REF!</definedName>
    <definedName name="Print3" localSheetId="19">#REF!</definedName>
    <definedName name="Print3">#REF!</definedName>
    <definedName name="Print4" localSheetId="3">#REF!</definedName>
    <definedName name="Print4" localSheetId="12">#REF!</definedName>
    <definedName name="Print4" localSheetId="6">#REF!</definedName>
    <definedName name="Print4" localSheetId="15">#REF!</definedName>
    <definedName name="Print4" localSheetId="13">#REF!</definedName>
    <definedName name="Print4" localSheetId="14">#REF!</definedName>
    <definedName name="Print4" localSheetId="20">#REF!</definedName>
    <definedName name="Print4" localSheetId="0">#REF!</definedName>
    <definedName name="Print4" localSheetId="2">#REF!</definedName>
    <definedName name="Print4" localSheetId="19">#REF!</definedName>
    <definedName name="Print4">#REF!</definedName>
    <definedName name="Print5" localSheetId="3">#REF!</definedName>
    <definedName name="Print5" localSheetId="12">#REF!</definedName>
    <definedName name="Print5" localSheetId="6">#REF!</definedName>
    <definedName name="Print5" localSheetId="15">#REF!</definedName>
    <definedName name="Print5" localSheetId="13">#REF!</definedName>
    <definedName name="Print5" localSheetId="14">#REF!</definedName>
    <definedName name="Print5" localSheetId="20">#REF!</definedName>
    <definedName name="Print5" localSheetId="0">#REF!</definedName>
    <definedName name="Print5" localSheetId="2">#REF!</definedName>
    <definedName name="Print5">#REF!</definedName>
    <definedName name="PRINTFILE">#REF!</definedName>
    <definedName name="PrintJE" localSheetId="12">#REF!</definedName>
    <definedName name="PrintJE" localSheetId="15">#REF!</definedName>
    <definedName name="PrintJE" localSheetId="13">#REF!</definedName>
    <definedName name="PrintJE" localSheetId="20">#REF!</definedName>
    <definedName name="PrintJE">#REF!</definedName>
    <definedName name="PrjFac_Total">#REF!</definedName>
    <definedName name="PrjFacPZShare">#REF!</definedName>
    <definedName name="PrjTotalCost">[28]Allocations!$I$7:$J$28</definedName>
    <definedName name="PROJ_WOTextLen">#REF!</definedName>
    <definedName name="Projection">'[8]Appendix A'!$H$7</definedName>
    <definedName name="ProjIDList" localSheetId="3">#REF!</definedName>
    <definedName name="ProjIDList" localSheetId="12">#REF!</definedName>
    <definedName name="ProjIDList" localSheetId="6">#REF!</definedName>
    <definedName name="ProjIDList" localSheetId="15">#REF!</definedName>
    <definedName name="ProjIDList" localSheetId="13">#REF!</definedName>
    <definedName name="ProjIDList" localSheetId="14">#REF!</definedName>
    <definedName name="ProjIDList" localSheetId="20">#REF!</definedName>
    <definedName name="ProjIDList" localSheetId="0">#REF!</definedName>
    <definedName name="ProjIDList" localSheetId="2">#REF!</definedName>
    <definedName name="ProjIDList">#REF!</definedName>
    <definedName name="PROSPECT">#REF!</definedName>
    <definedName name="PSCo_COS" localSheetId="3">#REF!</definedName>
    <definedName name="PSCo_COS" localSheetId="12">#REF!</definedName>
    <definedName name="PSCo_COS" localSheetId="6">#REF!</definedName>
    <definedName name="PSCo_COS" localSheetId="15">#REF!</definedName>
    <definedName name="PSCo_COS" localSheetId="13">#REF!</definedName>
    <definedName name="PSCo_COS" localSheetId="14">#REF!</definedName>
    <definedName name="PSCo_COS" localSheetId="20">#REF!</definedName>
    <definedName name="PSCo_COS" localSheetId="0">#REF!</definedName>
    <definedName name="PSCo_COS" localSheetId="2">#REF!</definedName>
    <definedName name="PSCo_COS">#REF!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PZCAAB">#REF!</definedName>
    <definedName name="PZShare">#REF!</definedName>
    <definedName name="PZTotal">#REF!</definedName>
    <definedName name="Q">#REF!</definedName>
    <definedName name="q_MTEP_Status_ALL_Studies">#REF!</definedName>
    <definedName name="q_MTEP06_App_AB_Facility" localSheetId="3">#REF!</definedName>
    <definedName name="q_MTEP06_App_AB_Facility" localSheetId="12">#REF!</definedName>
    <definedName name="q_MTEP06_App_AB_Facility" localSheetId="6">#REF!</definedName>
    <definedName name="q_MTEP06_App_AB_Facility" localSheetId="15">#REF!</definedName>
    <definedName name="q_MTEP06_App_AB_Facility" localSheetId="13">#REF!</definedName>
    <definedName name="q_MTEP06_App_AB_Facility" localSheetId="14">#REF!</definedName>
    <definedName name="q_MTEP06_App_AB_Facility" localSheetId="20">#REF!</definedName>
    <definedName name="q_MTEP06_App_AB_Facility" localSheetId="0">#REF!</definedName>
    <definedName name="q_MTEP06_App_AB_Facility" localSheetId="2">#REF!</definedName>
    <definedName name="q_MTEP06_App_AB_Facility">#REF!</definedName>
    <definedName name="q_MTEP06_App_AB_Projects" localSheetId="3">#REF!</definedName>
    <definedName name="q_MTEP06_App_AB_Projects" localSheetId="12">#REF!</definedName>
    <definedName name="q_MTEP06_App_AB_Projects" localSheetId="6">#REF!</definedName>
    <definedName name="q_MTEP06_App_AB_Projects" localSheetId="15">#REF!</definedName>
    <definedName name="q_MTEP06_App_AB_Projects" localSheetId="13">#REF!</definedName>
    <definedName name="q_MTEP06_App_AB_Projects" localSheetId="14">#REF!</definedName>
    <definedName name="q_MTEP06_App_AB_Projects" localSheetId="20">#REF!</definedName>
    <definedName name="q_MTEP06_App_AB_Projects" localSheetId="0">#REF!</definedName>
    <definedName name="q_MTEP06_App_AB_Projects" localSheetId="2">#REF!</definedName>
    <definedName name="q_MTEP06_App_AB_Projects">#REF!</definedName>
    <definedName name="qp_Cost_Allocations_w_updates">#REF!</definedName>
    <definedName name="qp_In_Service_Projects">#REF!</definedName>
    <definedName name="qp_RECB_All_Shared_Facilities">#REF!</definedName>
    <definedName name="queryp1">[4]DANDE!#REF!</definedName>
    <definedName name="RA">'[6]C. Input'!$F$343</definedName>
    <definedName name="Reading_Date">[7]CALCULATIONS!$C$8</definedName>
    <definedName name="RECAP">#REF!</definedName>
    <definedName name="_xlnm.Recorder">#REF!</definedName>
    <definedName name="RES_CPB">#REF!</definedName>
    <definedName name="retail" localSheetId="1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3">#REF!</definedName>
    <definedName name="revreq" localSheetId="12">#REF!</definedName>
    <definedName name="revreq" localSheetId="6">#REF!</definedName>
    <definedName name="revreq" localSheetId="15">#REF!</definedName>
    <definedName name="revreq" localSheetId="13">#REF!</definedName>
    <definedName name="revreq" localSheetId="14">#REF!</definedName>
    <definedName name="revreq" localSheetId="20">#REF!</definedName>
    <definedName name="revreq" localSheetId="0">#REF!</definedName>
    <definedName name="revreq" localSheetId="2">#REF!</definedName>
    <definedName name="revreq">#REF!</definedName>
    <definedName name="RID">#REF!</definedName>
    <definedName name="right">OFFSET(!A1,0,1)</definedName>
    <definedName name="RRE">'[6]C. Input'!$F$207</definedName>
    <definedName name="RTX">'[6]C. Input'!$F$222</definedName>
    <definedName name="S">'[6]C. Input'!$F$76</definedName>
    <definedName name="SAPBEXrevision" hidden="1">1</definedName>
    <definedName name="SAPBEXsysID" hidden="1">"BWP"</definedName>
    <definedName name="SAPBEXwbID" hidden="1">"45EQYSCWE9WJMGB34OOD1BOQZ"</definedName>
    <definedName name="SECUR_GI">'[6]C. Input'!$F$353</definedName>
    <definedName name="SECUR_IS">'[6]C. Input'!$F$357</definedName>
    <definedName name="SECUR_KR">'[6]C. Input'!$F$349</definedName>
    <definedName name="SELECT">#N/A</definedName>
    <definedName name="SEP">#N/A</definedName>
    <definedName name="Service_Metered">[7]CALCULATIONS!$C$19</definedName>
    <definedName name="SEVEN">#N/A</definedName>
    <definedName name="SEVILLE">#REF!</definedName>
    <definedName name="shit" localSheetId="1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3">#REF!</definedName>
    <definedName name="SPS_COS" localSheetId="12">#REF!</definedName>
    <definedName name="SPS_COS" localSheetId="6">#REF!</definedName>
    <definedName name="SPS_COS" localSheetId="15">#REF!</definedName>
    <definedName name="SPS_COS" localSheetId="13">#REF!</definedName>
    <definedName name="SPS_COS" localSheetId="14">#REF!</definedName>
    <definedName name="SPS_COS" localSheetId="20">#REF!</definedName>
    <definedName name="SPS_COS" localSheetId="0">#REF!</definedName>
    <definedName name="SPS_COS" localSheetId="2">#REF!</definedName>
    <definedName name="SPS_COS">#REF!</definedName>
    <definedName name="START">#REF!</definedName>
    <definedName name="STARTCR">#REF!</definedName>
    <definedName name="STARTDR">#REF!</definedName>
    <definedName name="SubStudy">#REF!</definedName>
    <definedName name="SUBTITLE">#N/A</definedName>
    <definedName name="SUMMARY">#REF!</definedName>
    <definedName name="SUPPORTING_DATA_TO_UPLOAD">#REF!</definedName>
    <definedName name="suz">'[3]BC 2 2005BC'!#REF!</definedName>
    <definedName name="TABLE4_1">#REF!</definedName>
    <definedName name="TABLE4_2">#REF!</definedName>
    <definedName name="taxcalc" localSheetId="3">#REF!</definedName>
    <definedName name="taxcalc" localSheetId="12">#REF!</definedName>
    <definedName name="taxcalc" localSheetId="15">#REF!</definedName>
    <definedName name="taxcalc" localSheetId="13">#REF!</definedName>
    <definedName name="taxcalc" localSheetId="14">#REF!</definedName>
    <definedName name="taxcalc" localSheetId="20">#REF!</definedName>
    <definedName name="taxcalc" localSheetId="0">#REF!</definedName>
    <definedName name="taxcalc" localSheetId="2">#REF!</definedName>
    <definedName name="taxcalc">#REF!</definedName>
    <definedName name="TDR_ITC">'[6]C. Input'!#REF!</definedName>
    <definedName name="TDR_TD">'[6]C. Input'!#REF!</definedName>
    <definedName name="TDRXS">'[6]C. Input'!$F$234</definedName>
    <definedName name="TDX">'[6]C. Input'!$F$304</definedName>
    <definedName name="TDX_TD">'[6]C. Input'!#REF!</definedName>
    <definedName name="TEN">#N/A</definedName>
    <definedName name="TEQ">'[6]C. Input'!$F$277</definedName>
    <definedName name="TEST" localSheetId="11" hidden="1">{#N/A,#N/A,FALSE,"EMPPAY"}</definedName>
    <definedName name="TEST" hidden="1">{#N/A,#N/A,FALSE,"EMPPAY"}</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1" hidden="1">{"LBO Summary",#N/A,FALSE,"Summary"}</definedName>
    <definedName name="test11" hidden="1">{"LBO Summary",#N/A,FALSE,"Summary"}</definedName>
    <definedName name="test12" localSheetId="11" hidden="1">{"assumptions",#N/A,FALSE,"Scenario 1";"valuation",#N/A,FALSE,"Scenario 1"}</definedName>
    <definedName name="test12" hidden="1">{"assumptions",#N/A,FALSE,"Scenario 1";"valuation",#N/A,FALSE,"Scenario 1"}</definedName>
    <definedName name="test13" localSheetId="11" hidden="1">{"LBO Summary",#N/A,FALSE,"Summary"}</definedName>
    <definedName name="test13" hidden="1">{"LBO Summary",#N/A,FALSE,"Summary"}</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1" hidden="1">{"LBO Summary",#N/A,FALSE,"Summary"}</definedName>
    <definedName name="test2" hidden="1">{"LBO Summary",#N/A,FALSE,"Summary"}</definedName>
    <definedName name="test4" localSheetId="11" hidden="1">{"assumptions",#N/A,FALSE,"Scenario 1";"valuation",#N/A,FALSE,"Scenario 1"}</definedName>
    <definedName name="test4" hidden="1">{"assumptions",#N/A,FALSE,"Scenario 1";"valuation",#N/A,FALSE,"Scenario 1"}</definedName>
    <definedName name="test6" localSheetId="11" hidden="1">{"LBO Summary",#N/A,FALSE,"Summary"}</definedName>
    <definedName name="test6" hidden="1">{"LBO Summary",#N/A,FALSE,"Summary"}</definedName>
    <definedName name="TextRefCopyRangeCount" hidden="1">1</definedName>
    <definedName name="THREE">#N/A</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ta_Deferred" localSheetId="12">#REF!</definedName>
    <definedName name="Tota_Deferred" localSheetId="15">#REF!</definedName>
    <definedName name="Tota_Deferred" localSheetId="13">#REF!</definedName>
    <definedName name="Tota_Deferred" localSheetId="20">#REF!</definedName>
    <definedName name="Tota_Deferred">#REF!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PETextLen">#REF!</definedName>
    <definedName name="Underground_Storage_Activity">#REF!</definedName>
    <definedName name="URA">'[6]C. Input'!$F$337</definedName>
    <definedName name="username">[4]DANDE!#REF!</definedName>
    <definedName name="Value" localSheetId="11" hidden="1">{"assumptions",#N/A,FALSE,"Scenario 1";"valuation",#N/A,FALSE,"Scenario 1"}</definedName>
    <definedName name="Value" hidden="1">{"assumptions",#N/A,FALSE,"Scenario 1";"valuation",#N/A,FALSE,"Scenario 1"}</definedName>
    <definedName name="variable">#REF!</definedName>
    <definedName name="VSPAE">'[6]C. Input'!#REF!</definedName>
    <definedName name="VSPRB">'[6]C. Input'!#REF!</definedName>
    <definedName name="vv">#REF!</definedName>
    <definedName name="WADSWORTH">#REF!</definedName>
    <definedName name="WAPA_CROD">[7]CALCULATIONS!#REF!</definedName>
    <definedName name="WAPA_Demand">[7]CALCULATIONS!$C$33</definedName>
    <definedName name="WAPA_Energy">[7]CALCULATIONS!$C$32</definedName>
    <definedName name="WELL_HEAD_ESTIMATES">#REF!</definedName>
    <definedName name="WESTERN_DEMAND">[7]CALCULATIONS!#REF!</definedName>
    <definedName name="WESTERN_ENERGY">[7]CALCULATIONS!#REF!</definedName>
    <definedName name="WFTSR">'[6]A.2 PTP'!$P$282</definedName>
    <definedName name="WITHSTD">#REF!</definedName>
    <definedName name="WOStatus" localSheetId="12">#REF!</definedName>
    <definedName name="WOStatus" localSheetId="15">#REF!</definedName>
    <definedName name="WOStatus" localSheetId="13">#REF!</definedName>
    <definedName name="WOStatus" localSheetId="20">#REF!</definedName>
    <definedName name="WOStatus">#REF!</definedName>
    <definedName name="WoTask" localSheetId="12">#REF!</definedName>
    <definedName name="WoTask" localSheetId="15">#REF!</definedName>
    <definedName name="WoTask" localSheetId="13">#REF!</definedName>
    <definedName name="WoTask" localSheetId="20">#REF!</definedName>
    <definedName name="WoTask">#REF!</definedName>
    <definedName name="wrn.All._.Pages." localSheetId="11"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1" hidden="1">{#N/A,#N/A,FALSE,"LOCAL.XLS"}</definedName>
    <definedName name="wrn.ARKANSAS." hidden="1">{#N/A,#N/A,FALSE,"LOCAL.XLS"}</definedName>
    <definedName name="wrn.ARREC." localSheetId="11" hidden="1">{#N/A,#N/A,FALSE,"ARREC"}</definedName>
    <definedName name="wrn.ARREC." hidden="1">{#N/A,#N/A,FALSE,"ARREC"}</definedName>
    <definedName name="wrn.CP._.Demand." localSheetId="11" hidden="1">{"Retail CP pg1",#N/A,FALSE,"FACTOR3";"Retail CP pg2",#N/A,FALSE,"FACTOR3";"Retail CP pg3",#N/A,FALSE,"FACTOR3"}</definedName>
    <definedName name="wrn.CP._.Demand." hidden="1">{"Retail CP pg1",#N/A,FALSE,"FACTOR3";"Retail CP pg2",#N/A,FALSE,"FACTOR3";"Retail CP pg3",#N/A,FALSE,"FACTOR3"}</definedName>
    <definedName name="wrn.CP._.Demand2." localSheetId="11" hidden="1">{"Retail CP pg1",#N/A,FALSE,"FACTOR3";"Retail CP pg2",#N/A,FALSE,"FACTOR3";"Retail CP pg3",#N/A,FALSE,"FACTOR3"}</definedName>
    <definedName name="wrn.CP._.Demand2." hidden="1">{"Retail CP pg1",#N/A,FALSE,"FACTOR3";"Retail CP pg2",#N/A,FALSE,"FACTOR3";"Retail CP pg3",#N/A,FALSE,"FACTOR3"}</definedName>
    <definedName name="wrn.EMPPAY." localSheetId="11" hidden="1">{#N/A,#N/A,FALSE,"EMPPAY"}</definedName>
    <definedName name="wrn.EMPPAY." hidden="1">{#N/A,#N/A,FALSE,"EMPPAY"}</definedName>
    <definedName name="wrn.Factors._.Tab._.10." localSheetId="1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11" hidden="1">{"assumptions",#N/A,FALSE,"Scenario 1";"valuation",#N/A,FALSE,"Scenario 1"}</definedName>
    <definedName name="wrn.IPO._.Valuation." hidden="1">{"assumptions",#N/A,FALSE,"Scenario 1";"valuation",#N/A,FALSE,"Scenario 1"}</definedName>
    <definedName name="wrn.LBO._.Summary." localSheetId="11" hidden="1">{"LBO Summary",#N/A,FALSE,"Summary"}</definedName>
    <definedName name="wrn.LBO._.Summary." hidden="1">{"LBO Summary",#N/A,FALSE,"Summary"}</definedName>
    <definedName name="wrn.LOUISIANA." localSheetId="11" hidden="1">{#N/A,#N/A,FALSE,"LOCAL.XLS"}</definedName>
    <definedName name="wrn.LOUISIANA." hidden="1">{#N/A,#N/A,FALSE,"LOCAL.XLS"}</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1"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1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1" hidden="1">{#N/A,#N/A,FALSE,"AP&amp;L"}</definedName>
    <definedName name="wrn.summary." hidden="1">{#N/A,#N/A,FALSE,"AP&amp;L"}</definedName>
    <definedName name="wrn.YearEnd." localSheetId="1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cel" localSheetId="3">'[29]Data Entry and Forecaster'!#REF!</definedName>
    <definedName name="Xcel" localSheetId="12">'[29]Data Entry and Forecaster'!#REF!</definedName>
    <definedName name="Xcel" localSheetId="6">'[30]Data Entry and Forecaster'!#REF!</definedName>
    <definedName name="Xcel" localSheetId="15">'[29]Data Entry and Forecaster'!#REF!</definedName>
    <definedName name="Xcel" localSheetId="13">'[29]Data Entry and Forecaster'!#REF!</definedName>
    <definedName name="Xcel" localSheetId="14">'[29]Data Entry and Forecaster'!#REF!</definedName>
    <definedName name="Xcel" localSheetId="20">'[29]Data Entry and Forecaster'!#REF!</definedName>
    <definedName name="Xcel" localSheetId="0">'[29]Data Entry and Forecaster'!#REF!</definedName>
    <definedName name="Xcel" localSheetId="2">'[29]Data Entry and Forecaster'!#REF!</definedName>
    <definedName name="Xcel">'[29]Data Entry and Forecaster'!#REF!</definedName>
    <definedName name="Xcel_COS" localSheetId="3">#REF!</definedName>
    <definedName name="Xcel_COS" localSheetId="12">#REF!</definedName>
    <definedName name="Xcel_COS" localSheetId="6">#REF!</definedName>
    <definedName name="Xcel_COS" localSheetId="15">#REF!</definedName>
    <definedName name="Xcel_COS" localSheetId="13">#REF!</definedName>
    <definedName name="Xcel_COS" localSheetId="14">#REF!</definedName>
    <definedName name="Xcel_COS" localSheetId="20">#REF!</definedName>
    <definedName name="Xcel_COS" localSheetId="0">#REF!</definedName>
    <definedName name="Xcel_COS" localSheetId="2">#REF!</definedName>
    <definedName name="Xcel_COS" localSheetId="19">#REF!</definedName>
    <definedName name="Xcel_COS">#REF!</definedName>
    <definedName name="XLRG_GE">#REF!</definedName>
    <definedName name="XLRG_GJ">#REF!</definedName>
    <definedName name="xx" localSheetId="11" hidden="1">{#N/A,#N/A,FALSE,"EMPPAY"}</definedName>
    <definedName name="xx" hidden="1">{#N/A,#N/A,FALSE,"EMPPAY"}</definedName>
    <definedName name="Year">OFFSET(#REF!,0,0,COUNTA(#REF!),1)</definedName>
    <definedName name="Z_26693155_D691_4427_8747_8AAE3A06AD6E_.wvu.PrintArea" localSheetId="1" hidden="1">'ATC Attach O ER19-838'!$A$1:$K$337</definedName>
    <definedName name="Zone_Inputs">'[21]Attachment O'!$I$19,'[21]Attachment O'!$I$24,'[21]Attachment O'!$D$36:$D$37,'[21]Attachment O'!$D$82:$D$86,'[21]Attachment O'!$D$90:$D$94,'[21]Attachment O'!$D$106:$D$112,'[21]Attachment O'!$D$116,'[21]Attachment O'!$D$120:$D$121,'[21]Attachment O'!$D$139:$D$146,'[21]Attachment O'!$D$150:$D$154,'[21]Attachment O'!$D$159:$D$160,'[21]Attachment O'!$D$162:$D$165,'[21]Attachment O'!$D$174,'[21]Attachment O'!$D$174,'[21]Attachment O'!$D$178,'[21]Attachment O'!$I$188,'[21]Attachment O'!$D$188,'[21]Attachment O'!$D$192,'[21]Attachment O'!$I$192,'[21]Attachment O'!$I$207:$I$208,'[21]Attachment O'!$D$214:$D$217,'[21]Attachment O'!$D$221:$D$223,'[21]Attachment O'!$I$227,'[21]Attachment O'!$I$229,'[21]Attachment O'!$I$232,'[21]Attachment O'!$D$238:$D$239,'[21]Attachment O'!$I$243,'[21]Attachment O'!$I$246:$I$249,'[21]Attachment O'!$D$280:$D$282</definedName>
  </definedNames>
  <calcPr calcId="191028"/>
  <customWorkbookViews>
    <customWorkbookView name="Jim Hodgson - Personal View" guid="{26693155-D691-4427-8747-8AAE3A06AD6E}" mergeInterval="0" personalView="1" maximized="1" windowWidth="1676" windowHeight="9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28" l="1"/>
  <c r="C12" i="28"/>
  <c r="C16" i="28"/>
  <c r="C20" i="28"/>
  <c r="D315" i="42"/>
  <c r="D11" i="27"/>
  <c r="D12" i="27"/>
  <c r="D13" i="27"/>
  <c r="D14" i="27"/>
  <c r="D15" i="27"/>
  <c r="D17" i="27"/>
  <c r="D313" i="42"/>
  <c r="C19" i="21"/>
  <c r="C22" i="21"/>
  <c r="I283" i="42"/>
  <c r="I280" i="42"/>
  <c r="G270" i="42"/>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D39" i="24"/>
  <c r="D40" i="24"/>
  <c r="D41" i="24"/>
  <c r="D42" i="24"/>
  <c r="D43" i="24"/>
  <c r="D44" i="24"/>
  <c r="D45" i="24"/>
  <c r="D46" i="24"/>
  <c r="D47" i="24"/>
  <c r="D48" i="24"/>
  <c r="D49" i="24"/>
  <c r="D50" i="24"/>
  <c r="D51" i="24"/>
  <c r="E8" i="24"/>
  <c r="H8" i="24"/>
  <c r="E9" i="24"/>
  <c r="H9" i="24"/>
  <c r="E10" i="24"/>
  <c r="H10" i="24"/>
  <c r="E11" i="24"/>
  <c r="H11" i="24"/>
  <c r="E12" i="24"/>
  <c r="H12" i="24"/>
  <c r="E13" i="24"/>
  <c r="H13" i="24"/>
  <c r="E14" i="24"/>
  <c r="H14" i="24"/>
  <c r="E15" i="24"/>
  <c r="H15" i="24"/>
  <c r="E16" i="24"/>
  <c r="H16" i="24"/>
  <c r="E17" i="24"/>
  <c r="H17" i="24"/>
  <c r="E18" i="24"/>
  <c r="H18" i="24"/>
  <c r="E19" i="24"/>
  <c r="H19" i="24"/>
  <c r="E20" i="24"/>
  <c r="H20" i="24"/>
  <c r="E21" i="24"/>
  <c r="H21" i="24"/>
  <c r="E22" i="24"/>
  <c r="H22" i="24"/>
  <c r="E23" i="24"/>
  <c r="H23" i="24"/>
  <c r="E24" i="24"/>
  <c r="H24" i="24"/>
  <c r="E25" i="24"/>
  <c r="H25" i="24"/>
  <c r="E26" i="24"/>
  <c r="H26" i="24"/>
  <c r="E27" i="24"/>
  <c r="H27" i="24"/>
  <c r="E28" i="24"/>
  <c r="H28" i="24"/>
  <c r="E29" i="24"/>
  <c r="H29" i="24"/>
  <c r="E30" i="24"/>
  <c r="H30" i="24"/>
  <c r="E31" i="24"/>
  <c r="H31" i="24"/>
  <c r="E32" i="24"/>
  <c r="H32" i="24"/>
  <c r="E33" i="24"/>
  <c r="H33" i="24"/>
  <c r="E34" i="24"/>
  <c r="H34" i="24"/>
  <c r="E35" i="24"/>
  <c r="H35" i="24"/>
  <c r="E36" i="24"/>
  <c r="H36" i="24"/>
  <c r="E37" i="24"/>
  <c r="H37" i="24"/>
  <c r="E38" i="24"/>
  <c r="H38" i="24"/>
  <c r="E39" i="24"/>
  <c r="H39" i="24"/>
  <c r="E40" i="24"/>
  <c r="H40" i="24"/>
  <c r="E41" i="24"/>
  <c r="H41" i="24"/>
  <c r="E42" i="24"/>
  <c r="H42" i="24"/>
  <c r="E43" i="24"/>
  <c r="H43" i="24"/>
  <c r="E44" i="24"/>
  <c r="H44" i="24"/>
  <c r="E45" i="24"/>
  <c r="H45" i="24"/>
  <c r="E46" i="24"/>
  <c r="H46" i="24"/>
  <c r="E47" i="24"/>
  <c r="H47" i="24"/>
  <c r="E48" i="24"/>
  <c r="H48" i="24"/>
  <c r="E49" i="24"/>
  <c r="H49" i="24"/>
  <c r="E50" i="24"/>
  <c r="H50" i="24"/>
  <c r="H51" i="24"/>
  <c r="G268" i="42"/>
  <c r="G16" i="18"/>
  <c r="G20" i="18"/>
  <c r="I235" i="42"/>
  <c r="V14" i="41"/>
  <c r="R14" i="41"/>
  <c r="C14" i="41"/>
  <c r="F11" i="41"/>
  <c r="F12" i="41"/>
  <c r="F13" i="41"/>
  <c r="F14" i="41"/>
  <c r="J14" i="41"/>
  <c r="N8" i="41"/>
  <c r="N14" i="41"/>
  <c r="P14" i="41"/>
  <c r="T14" i="41"/>
  <c r="X14" i="41"/>
  <c r="F38" i="41"/>
  <c r="F42" i="41"/>
  <c r="D191" i="42"/>
  <c r="G7" i="23"/>
  <c r="D8" i="23"/>
  <c r="E8" i="23"/>
  <c r="F7" i="23"/>
  <c r="F8" i="23"/>
  <c r="G8" i="23"/>
  <c r="D9" i="23"/>
  <c r="E9" i="23"/>
  <c r="F9" i="23"/>
  <c r="G9" i="23"/>
  <c r="D10" i="23"/>
  <c r="E10" i="23"/>
  <c r="F10" i="23"/>
  <c r="G10" i="23"/>
  <c r="D11" i="23"/>
  <c r="E11" i="23"/>
  <c r="F11" i="23"/>
  <c r="G11" i="23"/>
  <c r="D12" i="23"/>
  <c r="E12" i="23"/>
  <c r="F12" i="23"/>
  <c r="G12" i="23"/>
  <c r="D13" i="23"/>
  <c r="E13" i="23"/>
  <c r="F13" i="23"/>
  <c r="G13" i="23"/>
  <c r="D14" i="23"/>
  <c r="E14" i="23"/>
  <c r="F14" i="23"/>
  <c r="G14" i="23"/>
  <c r="D15" i="23"/>
  <c r="E15" i="23"/>
  <c r="F15" i="23"/>
  <c r="G15" i="23"/>
  <c r="D16" i="23"/>
  <c r="E16" i="23"/>
  <c r="F16" i="23"/>
  <c r="G16" i="23"/>
  <c r="D17" i="23"/>
  <c r="E17" i="23"/>
  <c r="F17" i="23"/>
  <c r="G17" i="23"/>
  <c r="D18" i="23"/>
  <c r="E18" i="23"/>
  <c r="F18" i="23"/>
  <c r="G18" i="23"/>
  <c r="D19" i="23"/>
  <c r="E19" i="23"/>
  <c r="F19" i="23"/>
  <c r="G19" i="23"/>
  <c r="G20" i="23"/>
  <c r="K7" i="23"/>
  <c r="K8" i="23"/>
  <c r="K9" i="23"/>
  <c r="K10" i="23"/>
  <c r="K11" i="23"/>
  <c r="K12" i="23"/>
  <c r="K13" i="23"/>
  <c r="K14" i="23"/>
  <c r="K15" i="23"/>
  <c r="K16" i="23"/>
  <c r="K17" i="23"/>
  <c r="K18" i="23"/>
  <c r="K19" i="23"/>
  <c r="K20" i="23"/>
  <c r="K22" i="23"/>
  <c r="D116" i="42"/>
  <c r="G43" i="23"/>
  <c r="D44" i="23"/>
  <c r="E44" i="23"/>
  <c r="F43" i="23"/>
  <c r="F44" i="23"/>
  <c r="G44" i="23"/>
  <c r="D45" i="23"/>
  <c r="E45" i="23"/>
  <c r="F45" i="23"/>
  <c r="G45" i="23"/>
  <c r="D46" i="23"/>
  <c r="E46" i="23"/>
  <c r="F46" i="23"/>
  <c r="G46" i="23"/>
  <c r="D47" i="23"/>
  <c r="E47" i="23"/>
  <c r="F47" i="23"/>
  <c r="G47" i="23"/>
  <c r="D48" i="23"/>
  <c r="E48" i="23"/>
  <c r="F48" i="23"/>
  <c r="G48" i="23"/>
  <c r="D49" i="23"/>
  <c r="E49" i="23"/>
  <c r="F49" i="23"/>
  <c r="G49" i="23"/>
  <c r="D50" i="23"/>
  <c r="E50" i="23"/>
  <c r="F50" i="23"/>
  <c r="G50" i="23"/>
  <c r="D51" i="23"/>
  <c r="E51" i="23"/>
  <c r="F51" i="23"/>
  <c r="G51" i="23"/>
  <c r="D52" i="23"/>
  <c r="E52" i="23"/>
  <c r="F52" i="23"/>
  <c r="G52" i="23"/>
  <c r="D53" i="23"/>
  <c r="E53" i="23"/>
  <c r="F53" i="23"/>
  <c r="G53" i="23"/>
  <c r="D54" i="23"/>
  <c r="E54" i="23"/>
  <c r="F54" i="23"/>
  <c r="G54" i="23"/>
  <c r="D55" i="23"/>
  <c r="E55" i="23"/>
  <c r="F55" i="23"/>
  <c r="G55" i="23"/>
  <c r="G56" i="23"/>
  <c r="K43" i="23"/>
  <c r="K44" i="23"/>
  <c r="K45" i="23"/>
  <c r="K46" i="23"/>
  <c r="K47" i="23"/>
  <c r="K48" i="23"/>
  <c r="K49" i="23"/>
  <c r="K50" i="23"/>
  <c r="K51" i="23"/>
  <c r="K52" i="23"/>
  <c r="K53" i="23"/>
  <c r="K54" i="23"/>
  <c r="K55" i="23"/>
  <c r="K56" i="23"/>
  <c r="K58" i="23"/>
  <c r="D115" i="42"/>
  <c r="G25" i="23"/>
  <c r="D26" i="23"/>
  <c r="E26" i="23"/>
  <c r="F25" i="23"/>
  <c r="F26" i="23"/>
  <c r="G26" i="23"/>
  <c r="D27" i="23"/>
  <c r="E27" i="23"/>
  <c r="F27" i="23"/>
  <c r="G27" i="23"/>
  <c r="D28" i="23"/>
  <c r="E28" i="23"/>
  <c r="F28" i="23"/>
  <c r="G28" i="23"/>
  <c r="D29" i="23"/>
  <c r="E29" i="23"/>
  <c r="F29" i="23"/>
  <c r="G29" i="23"/>
  <c r="D30" i="23"/>
  <c r="E30" i="23"/>
  <c r="F30" i="23"/>
  <c r="G30" i="23"/>
  <c r="D31" i="23"/>
  <c r="E31" i="23"/>
  <c r="F31" i="23"/>
  <c r="G31" i="23"/>
  <c r="D32" i="23"/>
  <c r="E32" i="23"/>
  <c r="F32" i="23"/>
  <c r="G32" i="23"/>
  <c r="D33" i="23"/>
  <c r="E33" i="23"/>
  <c r="F33" i="23"/>
  <c r="G33" i="23"/>
  <c r="D34" i="23"/>
  <c r="E34" i="23"/>
  <c r="F34" i="23"/>
  <c r="G34" i="23"/>
  <c r="D35" i="23"/>
  <c r="E35" i="23"/>
  <c r="F35" i="23"/>
  <c r="G35" i="23"/>
  <c r="D36" i="23"/>
  <c r="E36" i="23"/>
  <c r="F36" i="23"/>
  <c r="G36" i="23"/>
  <c r="D37" i="23"/>
  <c r="E37" i="23"/>
  <c r="F37" i="23"/>
  <c r="G37" i="23"/>
  <c r="G38" i="23"/>
  <c r="K25" i="23"/>
  <c r="K26" i="23"/>
  <c r="K27" i="23"/>
  <c r="K28" i="23"/>
  <c r="K29" i="23"/>
  <c r="K30" i="23"/>
  <c r="K31" i="23"/>
  <c r="K32" i="23"/>
  <c r="K33" i="23"/>
  <c r="K34" i="23"/>
  <c r="K35" i="23"/>
  <c r="K36" i="23"/>
  <c r="K37" i="23"/>
  <c r="K38" i="23"/>
  <c r="K40" i="23"/>
  <c r="D114" i="42"/>
  <c r="P27" i="22"/>
  <c r="P28" i="22"/>
  <c r="P29" i="22"/>
  <c r="P30" i="22"/>
  <c r="P31" i="22"/>
  <c r="P32" i="22"/>
  <c r="P33" i="22"/>
  <c r="P34" i="22"/>
  <c r="P35" i="22"/>
  <c r="P36" i="22"/>
  <c r="P37" i="22"/>
  <c r="P38" i="22"/>
  <c r="P39" i="22"/>
  <c r="P40" i="22"/>
  <c r="P41" i="22"/>
  <c r="P42" i="22"/>
  <c r="P43" i="22"/>
  <c r="P44" i="22"/>
  <c r="P45" i="22"/>
  <c r="P46" i="22"/>
  <c r="P47" i="22"/>
  <c r="P49" i="22"/>
  <c r="D88" i="42"/>
  <c r="E20" i="28"/>
  <c r="A295" i="42"/>
  <c r="K292" i="42"/>
  <c r="I278" i="42"/>
  <c r="D271" i="42"/>
  <c r="I270" i="42"/>
  <c r="E8" i="28"/>
  <c r="I269" i="42"/>
  <c r="I268" i="42"/>
  <c r="I271" i="42"/>
  <c r="E9" i="28"/>
  <c r="D254" i="42"/>
  <c r="G252" i="42"/>
  <c r="D248" i="42"/>
  <c r="G247" i="42"/>
  <c r="G246" i="42"/>
  <c r="G244" i="42"/>
  <c r="I234" i="42"/>
  <c r="I226" i="42"/>
  <c r="I229" i="42"/>
  <c r="A221" i="42"/>
  <c r="K218" i="42"/>
  <c r="D185" i="42"/>
  <c r="D182" i="42"/>
  <c r="D171" i="42"/>
  <c r="D165" i="42"/>
  <c r="D123" i="42"/>
  <c r="D126" i="42"/>
  <c r="I164" i="42"/>
  <c r="I158" i="42"/>
  <c r="I157" i="42"/>
  <c r="A151" i="42"/>
  <c r="K148" i="42"/>
  <c r="D118" i="42"/>
  <c r="D109" i="42"/>
  <c r="D108" i="42"/>
  <c r="D107" i="42"/>
  <c r="D106" i="42"/>
  <c r="D105" i="42"/>
  <c r="D104" i="42"/>
  <c r="D101" i="42"/>
  <c r="G98" i="42"/>
  <c r="D92" i="42"/>
  <c r="A80" i="42"/>
  <c r="K77" i="42"/>
  <c r="I30" i="42"/>
  <c r="D32" i="42"/>
  <c r="I37" i="42"/>
  <c r="I38" i="42"/>
  <c r="D14" i="42"/>
  <c r="D189" i="42"/>
  <c r="C15" i="25"/>
  <c r="D15" i="25"/>
  <c r="I236" i="42"/>
  <c r="I238" i="42"/>
  <c r="D110" i="42"/>
  <c r="D36" i="42"/>
  <c r="D37" i="42"/>
  <c r="D38" i="42"/>
  <c r="I231" i="42"/>
  <c r="D186" i="42"/>
  <c r="D194" i="42"/>
  <c r="D195" i="42"/>
  <c r="D128" i="42"/>
  <c r="D199" i="42"/>
  <c r="I36" i="42"/>
  <c r="G14" i="42"/>
  <c r="D33" i="42"/>
  <c r="V35" i="41"/>
  <c r="X35" i="41"/>
  <c r="V34" i="41"/>
  <c r="R34" i="41"/>
  <c r="T34" i="41"/>
  <c r="V33" i="41"/>
  <c r="R33" i="41"/>
  <c r="V32" i="41"/>
  <c r="R32" i="41"/>
  <c r="N32" i="41"/>
  <c r="V31" i="41"/>
  <c r="R31" i="41"/>
  <c r="V30" i="41"/>
  <c r="R30" i="41"/>
  <c r="N30" i="41"/>
  <c r="V29" i="41"/>
  <c r="R29" i="41"/>
  <c r="N29" i="41"/>
  <c r="V28" i="41"/>
  <c r="R28" i="41"/>
  <c r="N28" i="41"/>
  <c r="V27" i="41"/>
  <c r="R27" i="41"/>
  <c r="N27" i="41"/>
  <c r="V26" i="41"/>
  <c r="R26" i="41"/>
  <c r="N26" i="41"/>
  <c r="V25" i="41"/>
  <c r="R25" i="41"/>
  <c r="N25" i="41"/>
  <c r="V24" i="41"/>
  <c r="R24" i="41"/>
  <c r="N24" i="41"/>
  <c r="V23" i="41"/>
  <c r="R23" i="41"/>
  <c r="N23" i="41"/>
  <c r="V22" i="41"/>
  <c r="R22" i="41"/>
  <c r="N22" i="41"/>
  <c r="V21" i="41"/>
  <c r="R21" i="41"/>
  <c r="N21" i="41"/>
  <c r="V20" i="41"/>
  <c r="R20" i="41"/>
  <c r="N20" i="41"/>
  <c r="C20" i="41"/>
  <c r="F15" i="41"/>
  <c r="F16" i="41"/>
  <c r="F17" i="41"/>
  <c r="F18" i="41"/>
  <c r="F19" i="41"/>
  <c r="F20" i="41"/>
  <c r="J20" i="41"/>
  <c r="P20" i="41"/>
  <c r="V19" i="41"/>
  <c r="R19" i="41"/>
  <c r="N19" i="41"/>
  <c r="C19" i="41"/>
  <c r="J19" i="41"/>
  <c r="P19" i="41"/>
  <c r="V18" i="41"/>
  <c r="R18" i="41"/>
  <c r="N18" i="41"/>
  <c r="C18" i="41"/>
  <c r="J18" i="41"/>
  <c r="P18" i="41"/>
  <c r="V17" i="41"/>
  <c r="R17" i="41"/>
  <c r="N17" i="41"/>
  <c r="C17" i="41"/>
  <c r="J17" i="41"/>
  <c r="P17" i="41"/>
  <c r="V16" i="41"/>
  <c r="R16" i="41"/>
  <c r="N16" i="41"/>
  <c r="C16" i="41"/>
  <c r="J16" i="41"/>
  <c r="P16" i="41"/>
  <c r="V15" i="41"/>
  <c r="R15" i="41"/>
  <c r="N15" i="41"/>
  <c r="C15" i="41"/>
  <c r="J15" i="41"/>
  <c r="P15" i="41"/>
  <c r="R13" i="41"/>
  <c r="N13" i="41"/>
  <c r="C13" i="41"/>
  <c r="J13" i="41"/>
  <c r="P13" i="41"/>
  <c r="N12" i="41"/>
  <c r="C12" i="41"/>
  <c r="F21" i="41"/>
  <c r="C11" i="41"/>
  <c r="D11" i="41"/>
  <c r="D12" i="41"/>
  <c r="D13" i="41"/>
  <c r="D14" i="41"/>
  <c r="D15" i="41"/>
  <c r="D16" i="41"/>
  <c r="D17" i="41"/>
  <c r="D18" i="41"/>
  <c r="D19" i="41"/>
  <c r="D20" i="41"/>
  <c r="N33" i="41"/>
  <c r="P33" i="41"/>
  <c r="J8" i="41"/>
  <c r="E245" i="42"/>
  <c r="G245" i="42"/>
  <c r="G248" i="42"/>
  <c r="I248" i="42"/>
  <c r="G87" i="42"/>
  <c r="I239" i="42"/>
  <c r="I240" i="42"/>
  <c r="D193" i="42"/>
  <c r="I14" i="42"/>
  <c r="G15" i="42"/>
  <c r="F22" i="41"/>
  <c r="J21" i="41"/>
  <c r="P21" i="41"/>
  <c r="T21" i="41"/>
  <c r="X21" i="41"/>
  <c r="T15" i="41"/>
  <c r="T16" i="41"/>
  <c r="T17" i="41"/>
  <c r="X17" i="41"/>
  <c r="T18" i="41"/>
  <c r="T19" i="41"/>
  <c r="T20" i="41"/>
  <c r="X34" i="41"/>
  <c r="J12" i="41"/>
  <c r="P12" i="41"/>
  <c r="T13" i="41"/>
  <c r="X15" i="41"/>
  <c r="X16" i="41"/>
  <c r="X18" i="41"/>
  <c r="X19" i="41"/>
  <c r="X20" i="41"/>
  <c r="T33" i="41"/>
  <c r="X33" i="41"/>
  <c r="H11" i="41"/>
  <c r="H12" i="41"/>
  <c r="H13" i="41"/>
  <c r="H14" i="41"/>
  <c r="H15" i="41"/>
  <c r="H16" i="41"/>
  <c r="H17" i="41"/>
  <c r="H18" i="41"/>
  <c r="H19" i="41"/>
  <c r="H20" i="41"/>
  <c r="H21" i="41"/>
  <c r="H22" i="41"/>
  <c r="J11" i="41"/>
  <c r="L11" i="41"/>
  <c r="L12" i="41"/>
  <c r="L13" i="41"/>
  <c r="L14" i="41"/>
  <c r="L15" i="41"/>
  <c r="L16" i="41"/>
  <c r="L17" i="41"/>
  <c r="L18" i="41"/>
  <c r="L19" i="41"/>
  <c r="L20" i="41"/>
  <c r="L21" i="41"/>
  <c r="N31" i="41"/>
  <c r="G156" i="42"/>
  <c r="G124" i="42"/>
  <c r="I124" i="42"/>
  <c r="G96" i="42"/>
  <c r="I87" i="42"/>
  <c r="G88" i="42"/>
  <c r="I88" i="42"/>
  <c r="G90" i="42"/>
  <c r="I252" i="42"/>
  <c r="K252" i="42"/>
  <c r="G91" i="42"/>
  <c r="G16" i="42"/>
  <c r="J22" i="41"/>
  <c r="P22" i="41"/>
  <c r="T22" i="41"/>
  <c r="X22" i="41"/>
  <c r="F23" i="41"/>
  <c r="I91" i="42"/>
  <c r="G100" i="42"/>
  <c r="G18" i="11"/>
  <c r="J18" i="13"/>
  <c r="I90" i="42"/>
  <c r="I92" i="42"/>
  <c r="G92" i="42"/>
  <c r="G99" i="42"/>
  <c r="I96" i="42"/>
  <c r="G120" i="42"/>
  <c r="G97" i="42"/>
  <c r="I97" i="42"/>
  <c r="I106" i="42"/>
  <c r="G162" i="42"/>
  <c r="I162" i="42"/>
  <c r="I156" i="42"/>
  <c r="J24" i="13"/>
  <c r="I16" i="42"/>
  <c r="G17" i="42"/>
  <c r="I17" i="42"/>
  <c r="F24" i="41"/>
  <c r="J23" i="41"/>
  <c r="P23" i="41"/>
  <c r="T23" i="41"/>
  <c r="X23" i="41"/>
  <c r="H23" i="41"/>
  <c r="H24" i="41"/>
  <c r="L22" i="41"/>
  <c r="L23" i="41"/>
  <c r="G125" i="42"/>
  <c r="I125" i="42"/>
  <c r="G178" i="42"/>
  <c r="I100" i="42"/>
  <c r="I109" i="42"/>
  <c r="G163" i="42"/>
  <c r="I99" i="42"/>
  <c r="G159" i="42"/>
  <c r="I120" i="42"/>
  <c r="G168" i="42"/>
  <c r="I168" i="42"/>
  <c r="J19" i="13"/>
  <c r="I105" i="42"/>
  <c r="G19" i="11"/>
  <c r="G181" i="42"/>
  <c r="I181" i="42"/>
  <c r="G180" i="42"/>
  <c r="I180" i="42"/>
  <c r="I178" i="42"/>
  <c r="F25" i="41"/>
  <c r="H25" i="41"/>
  <c r="J24" i="41"/>
  <c r="P24" i="41"/>
  <c r="T24" i="41"/>
  <c r="X24" i="41"/>
  <c r="G160" i="42"/>
  <c r="I159" i="42"/>
  <c r="G169" i="42"/>
  <c r="I101" i="42"/>
  <c r="I108" i="42"/>
  <c r="I110" i="42"/>
  <c r="G110" i="42"/>
  <c r="I163" i="42"/>
  <c r="G170" i="42"/>
  <c r="I170" i="42"/>
  <c r="F26" i="41"/>
  <c r="J25" i="41"/>
  <c r="P25" i="41"/>
  <c r="T25" i="41"/>
  <c r="X25" i="41"/>
  <c r="L24" i="41"/>
  <c r="L25" i="41"/>
  <c r="I169" i="42"/>
  <c r="G175" i="42"/>
  <c r="G194" i="42"/>
  <c r="G114" i="42"/>
  <c r="I160" i="42"/>
  <c r="G161" i="42"/>
  <c r="I161" i="42"/>
  <c r="I165" i="42"/>
  <c r="F27" i="41"/>
  <c r="J26" i="41"/>
  <c r="P26" i="41"/>
  <c r="T26" i="41"/>
  <c r="X26" i="41"/>
  <c r="H26" i="41"/>
  <c r="H27" i="41"/>
  <c r="I123" i="42"/>
  <c r="I126" i="42"/>
  <c r="J23" i="13"/>
  <c r="G22" i="11"/>
  <c r="G195" i="42"/>
  <c r="I194" i="42"/>
  <c r="G176" i="42"/>
  <c r="I176" i="42"/>
  <c r="I175" i="42"/>
  <c r="G115" i="42"/>
  <c r="I114" i="42"/>
  <c r="I171" i="42"/>
  <c r="J39" i="13"/>
  <c r="G28" i="11"/>
  <c r="F28" i="41"/>
  <c r="J27" i="41"/>
  <c r="P27" i="41"/>
  <c r="T27" i="41"/>
  <c r="X27" i="41"/>
  <c r="L26" i="41"/>
  <c r="L27" i="41"/>
  <c r="I182" i="42"/>
  <c r="G116" i="42"/>
  <c r="I116" i="42"/>
  <c r="I115" i="42"/>
  <c r="G117" i="42"/>
  <c r="I117" i="42"/>
  <c r="J43" i="13"/>
  <c r="G32" i="11"/>
  <c r="I195" i="42"/>
  <c r="G196" i="42"/>
  <c r="F29" i="41"/>
  <c r="J28" i="41"/>
  <c r="P28" i="41"/>
  <c r="T28" i="41"/>
  <c r="X28" i="41"/>
  <c r="H28" i="41"/>
  <c r="H29" i="41"/>
  <c r="I118" i="42"/>
  <c r="I128" i="42"/>
  <c r="I199" i="42"/>
  <c r="F30" i="41"/>
  <c r="J29" i="41"/>
  <c r="P29" i="41"/>
  <c r="T29" i="41"/>
  <c r="X29" i="41"/>
  <c r="L28" i="41"/>
  <c r="L29" i="41"/>
  <c r="J53" i="13"/>
  <c r="E6" i="28"/>
  <c r="G42" i="11"/>
  <c r="I193" i="42"/>
  <c r="F31" i="41"/>
  <c r="J30" i="41"/>
  <c r="P30" i="41"/>
  <c r="T30" i="41"/>
  <c r="X30" i="41"/>
  <c r="H30" i="41"/>
  <c r="H31" i="41"/>
  <c r="F32" i="41"/>
  <c r="J32" i="41"/>
  <c r="P32" i="41"/>
  <c r="T32" i="41"/>
  <c r="X32" i="41"/>
  <c r="J31" i="41"/>
  <c r="P31" i="41"/>
  <c r="T31" i="41"/>
  <c r="X31" i="41"/>
  <c r="L30" i="41"/>
  <c r="L31" i="41"/>
  <c r="L32" i="41"/>
  <c r="H32" i="41"/>
  <c r="C23" i="21"/>
  <c r="E22" i="22"/>
  <c r="I55" i="23"/>
  <c r="I54" i="23"/>
  <c r="I53" i="23"/>
  <c r="I52" i="23"/>
  <c r="I51" i="23"/>
  <c r="I50" i="23"/>
  <c r="I49" i="23"/>
  <c r="I48" i="23"/>
  <c r="I47" i="23"/>
  <c r="I46" i="23"/>
  <c r="I45" i="23"/>
  <c r="I44" i="23"/>
  <c r="I37" i="23"/>
  <c r="I36" i="23"/>
  <c r="I35" i="23"/>
  <c r="I34" i="23"/>
  <c r="I33" i="23"/>
  <c r="I32" i="23"/>
  <c r="I31" i="23"/>
  <c r="I30" i="23"/>
  <c r="I29" i="23"/>
  <c r="I28" i="23"/>
  <c r="I27" i="23"/>
  <c r="I26" i="23"/>
  <c r="I9" i="23"/>
  <c r="I10" i="23"/>
  <c r="I11" i="23"/>
  <c r="I12" i="23"/>
  <c r="I13" i="23"/>
  <c r="I14" i="23"/>
  <c r="I15" i="23"/>
  <c r="I16" i="23"/>
  <c r="I17" i="23"/>
  <c r="I18" i="23"/>
  <c r="I19" i="23"/>
  <c r="I8" i="23"/>
  <c r="G16" i="16"/>
  <c r="G20" i="16"/>
  <c r="G24" i="16"/>
  <c r="D16" i="40"/>
  <c r="D14" i="40"/>
  <c r="D19" i="40"/>
  <c r="D21" i="40"/>
  <c r="G26" i="15"/>
  <c r="C24" i="21"/>
  <c r="C9" i="22"/>
  <c r="C10" i="22"/>
  <c r="C11" i="22"/>
  <c r="C12" i="22"/>
  <c r="C13" i="22"/>
  <c r="C14" i="22"/>
  <c r="C15" i="22"/>
  <c r="C16" i="22"/>
  <c r="C17" i="22"/>
  <c r="C18" i="22"/>
  <c r="C19" i="22"/>
  <c r="C20" i="22"/>
  <c r="C8" i="22"/>
  <c r="C17" i="27"/>
  <c r="C14" i="25"/>
  <c r="D14" i="25"/>
  <c r="B51" i="24"/>
  <c r="O49" i="22"/>
  <c r="O50" i="22"/>
  <c r="N49" i="22"/>
  <c r="N50" i="22"/>
  <c r="M49" i="22"/>
  <c r="M50" i="22"/>
  <c r="L49" i="22"/>
  <c r="L50" i="22"/>
  <c r="K49" i="22"/>
  <c r="K50" i="22"/>
  <c r="J49" i="22"/>
  <c r="J50" i="22"/>
  <c r="I49" i="22"/>
  <c r="I50" i="22"/>
  <c r="H49" i="22"/>
  <c r="H50" i="22"/>
  <c r="G49" i="22"/>
  <c r="G50" i="22"/>
  <c r="F49" i="22"/>
  <c r="F50" i="22"/>
  <c r="E49" i="22"/>
  <c r="E50" i="22"/>
  <c r="D49" i="22"/>
  <c r="D50" i="22"/>
  <c r="C49" i="22"/>
  <c r="C50" i="22"/>
  <c r="G8" i="20"/>
  <c r="A10" i="21"/>
  <c r="A12" i="21"/>
  <c r="A13" i="21"/>
  <c r="A14" i="21"/>
  <c r="A15" i="21"/>
  <c r="A16" i="21"/>
  <c r="A17" i="21"/>
  <c r="A18" i="21"/>
  <c r="A19" i="21"/>
  <c r="A21" i="21"/>
  <c r="A22" i="21"/>
  <c r="A23" i="21"/>
  <c r="A24" i="21"/>
  <c r="A25" i="21"/>
  <c r="A26" i="21"/>
  <c r="A14" i="18"/>
  <c r="A15" i="18"/>
  <c r="A16" i="18"/>
  <c r="A18" i="18"/>
  <c r="A20" i="18"/>
  <c r="A14" i="16"/>
  <c r="A15" i="16"/>
  <c r="A16" i="16"/>
  <c r="E28" i="15"/>
  <c r="E24" i="15"/>
  <c r="C33" i="21"/>
  <c r="G18" i="15"/>
  <c r="G24" i="15"/>
  <c r="C21" i="21"/>
  <c r="C26" i="21"/>
  <c r="C25" i="21"/>
  <c r="A22" i="18"/>
  <c r="A24" i="18"/>
  <c r="A18" i="16"/>
  <c r="A20" i="16"/>
  <c r="E20" i="18"/>
  <c r="N67" i="14"/>
  <c r="M67" i="14"/>
  <c r="L67" i="14"/>
  <c r="K67" i="14"/>
  <c r="J67" i="14"/>
  <c r="I67" i="14"/>
  <c r="H67" i="14"/>
  <c r="G67" i="14"/>
  <c r="F67" i="14"/>
  <c r="E67" i="14"/>
  <c r="D67" i="14"/>
  <c r="C67" i="14"/>
  <c r="N62" i="14"/>
  <c r="M62" i="14"/>
  <c r="L62" i="14"/>
  <c r="K62" i="14"/>
  <c r="J62" i="14"/>
  <c r="I62" i="14"/>
  <c r="H62" i="14"/>
  <c r="G62" i="14"/>
  <c r="F62" i="14"/>
  <c r="E62" i="14"/>
  <c r="D62" i="14"/>
  <c r="C62" i="14"/>
  <c r="N57" i="14"/>
  <c r="M57" i="14"/>
  <c r="L57" i="14"/>
  <c r="K57" i="14"/>
  <c r="J57" i="14"/>
  <c r="I57" i="14"/>
  <c r="H57" i="14"/>
  <c r="G57" i="14"/>
  <c r="F57" i="14"/>
  <c r="E57" i="14"/>
  <c r="D57" i="14"/>
  <c r="C57" i="14"/>
  <c r="B55" i="14"/>
  <c r="B54" i="14"/>
  <c r="B53" i="14"/>
  <c r="B52" i="14"/>
  <c r="B51" i="14"/>
  <c r="B50" i="14"/>
  <c r="B49" i="14"/>
  <c r="B48" i="14"/>
  <c r="B47" i="14"/>
  <c r="B46" i="14"/>
  <c r="N39" i="14"/>
  <c r="M39" i="14"/>
  <c r="L39" i="14"/>
  <c r="K39" i="14"/>
  <c r="J39" i="14"/>
  <c r="I39" i="14"/>
  <c r="H39" i="14"/>
  <c r="G39" i="14"/>
  <c r="F39" i="14"/>
  <c r="E39" i="14"/>
  <c r="D39" i="14"/>
  <c r="C39" i="14"/>
  <c r="N38" i="14"/>
  <c r="M38" i="14"/>
  <c r="L38" i="14"/>
  <c r="K38" i="14"/>
  <c r="J38" i="14"/>
  <c r="I38" i="14"/>
  <c r="H38" i="14"/>
  <c r="G38" i="14"/>
  <c r="F38" i="14"/>
  <c r="E38" i="14"/>
  <c r="D38" i="14"/>
  <c r="C38" i="14"/>
  <c r="B38" i="14"/>
  <c r="N37" i="14"/>
  <c r="M37" i="14"/>
  <c r="L37" i="14"/>
  <c r="K37" i="14"/>
  <c r="J37" i="14"/>
  <c r="I37" i="14"/>
  <c r="H37" i="14"/>
  <c r="G37" i="14"/>
  <c r="F37" i="14"/>
  <c r="E37" i="14"/>
  <c r="D37" i="14"/>
  <c r="C37" i="14"/>
  <c r="B37" i="14"/>
  <c r="N36" i="14"/>
  <c r="M36" i="14"/>
  <c r="L36" i="14"/>
  <c r="K36" i="14"/>
  <c r="J36" i="14"/>
  <c r="I36" i="14"/>
  <c r="H36" i="14"/>
  <c r="G36" i="14"/>
  <c r="F36" i="14"/>
  <c r="E36" i="14"/>
  <c r="D36" i="14"/>
  <c r="C36" i="14"/>
  <c r="B36" i="14"/>
  <c r="N35" i="14"/>
  <c r="M35" i="14"/>
  <c r="L35" i="14"/>
  <c r="K35" i="14"/>
  <c r="J35" i="14"/>
  <c r="I35" i="14"/>
  <c r="H35" i="14"/>
  <c r="G35" i="14"/>
  <c r="F35" i="14"/>
  <c r="E35" i="14"/>
  <c r="D35" i="14"/>
  <c r="C35" i="14"/>
  <c r="B35" i="14"/>
  <c r="N34" i="14"/>
  <c r="M34" i="14"/>
  <c r="L34" i="14"/>
  <c r="K34" i="14"/>
  <c r="J34" i="14"/>
  <c r="I34" i="14"/>
  <c r="H34" i="14"/>
  <c r="G34" i="14"/>
  <c r="F34" i="14"/>
  <c r="E34" i="14"/>
  <c r="D34" i="14"/>
  <c r="C34" i="14"/>
  <c r="B34" i="14"/>
  <c r="N33" i="14"/>
  <c r="M33" i="14"/>
  <c r="L33" i="14"/>
  <c r="K33" i="14"/>
  <c r="J33" i="14"/>
  <c r="I33" i="14"/>
  <c r="H33" i="14"/>
  <c r="G33" i="14"/>
  <c r="F33" i="14"/>
  <c r="E33" i="14"/>
  <c r="D33" i="14"/>
  <c r="C33" i="14"/>
  <c r="B33" i="14"/>
  <c r="N32" i="14"/>
  <c r="M32" i="14"/>
  <c r="L32" i="14"/>
  <c r="K32" i="14"/>
  <c r="J32" i="14"/>
  <c r="I32" i="14"/>
  <c r="H32" i="14"/>
  <c r="G32" i="14"/>
  <c r="F32" i="14"/>
  <c r="E32" i="14"/>
  <c r="D32" i="14"/>
  <c r="C32" i="14"/>
  <c r="B32" i="14"/>
  <c r="N31" i="14"/>
  <c r="M31" i="14"/>
  <c r="L31" i="14"/>
  <c r="K31" i="14"/>
  <c r="J31" i="14"/>
  <c r="I31" i="14"/>
  <c r="H31" i="14"/>
  <c r="G31" i="14"/>
  <c r="F31" i="14"/>
  <c r="E31" i="14"/>
  <c r="D31" i="14"/>
  <c r="C31" i="14"/>
  <c r="B31" i="14"/>
  <c r="N30" i="14"/>
  <c r="M30" i="14"/>
  <c r="L30" i="14"/>
  <c r="K30" i="14"/>
  <c r="J30" i="14"/>
  <c r="I30" i="14"/>
  <c r="H30" i="14"/>
  <c r="G30" i="14"/>
  <c r="F30" i="14"/>
  <c r="E30" i="14"/>
  <c r="D30" i="14"/>
  <c r="C30" i="14"/>
  <c r="B30" i="14"/>
  <c r="N29" i="14"/>
  <c r="M29" i="14"/>
  <c r="L29" i="14"/>
  <c r="K29" i="14"/>
  <c r="J29" i="14"/>
  <c r="I29" i="14"/>
  <c r="H29" i="14"/>
  <c r="G29" i="14"/>
  <c r="F29" i="14"/>
  <c r="E29" i="14"/>
  <c r="D29" i="14"/>
  <c r="C29" i="14"/>
  <c r="B29" i="14"/>
  <c r="N28" i="14"/>
  <c r="M28" i="14"/>
  <c r="L28" i="14"/>
  <c r="K28" i="14"/>
  <c r="J28" i="14"/>
  <c r="I28" i="14"/>
  <c r="H28" i="14"/>
  <c r="G28" i="14"/>
  <c r="F28" i="14"/>
  <c r="E28" i="14"/>
  <c r="D28" i="14"/>
  <c r="C28" i="14"/>
  <c r="N27" i="14"/>
  <c r="M27" i="14"/>
  <c r="L27" i="14"/>
  <c r="K27" i="14"/>
  <c r="J27" i="14"/>
  <c r="I27" i="14"/>
  <c r="H27" i="14"/>
  <c r="G27" i="14"/>
  <c r="F27" i="14"/>
  <c r="E27" i="14"/>
  <c r="D27" i="14"/>
  <c r="C27" i="14"/>
  <c r="N24" i="14"/>
  <c r="M24" i="14"/>
  <c r="L24" i="14"/>
  <c r="K24" i="14"/>
  <c r="J24" i="14"/>
  <c r="I24" i="14"/>
  <c r="H24" i="14"/>
  <c r="G24" i="14"/>
  <c r="F24" i="14"/>
  <c r="E24" i="14"/>
  <c r="D24" i="14"/>
  <c r="C24" i="14"/>
  <c r="B23" i="14"/>
  <c r="B56" i="14"/>
  <c r="B12" i="14"/>
  <c r="B28" i="14"/>
  <c r="B11" i="14"/>
  <c r="B27" i="14"/>
  <c r="D1" i="14"/>
  <c r="E1" i="14"/>
  <c r="F1" i="14"/>
  <c r="G1" i="14"/>
  <c r="H1" i="14"/>
  <c r="I1" i="14"/>
  <c r="J1" i="14"/>
  <c r="K1" i="14"/>
  <c r="L1" i="14"/>
  <c r="M1" i="14"/>
  <c r="N1" i="14"/>
  <c r="L97" i="13"/>
  <c r="L96" i="13"/>
  <c r="L95" i="13"/>
  <c r="L94" i="13"/>
  <c r="L93" i="13"/>
  <c r="L92" i="13"/>
  <c r="L91" i="13"/>
  <c r="L90" i="13"/>
  <c r="L89" i="13"/>
  <c r="L88" i="13"/>
  <c r="L87" i="13"/>
  <c r="L86" i="13"/>
  <c r="L85" i="13"/>
  <c r="L84" i="13"/>
  <c r="L83" i="13"/>
  <c r="L82" i="13"/>
  <c r="L81" i="13"/>
  <c r="L80" i="13"/>
  <c r="L79" i="13"/>
  <c r="L78" i="13"/>
  <c r="L77" i="13"/>
  <c r="L76" i="13"/>
  <c r="J66" i="13"/>
  <c r="S64" i="13"/>
  <c r="J63" i="13"/>
  <c r="C63" i="13"/>
  <c r="Q67" i="12"/>
  <c r="P67" i="12"/>
  <c r="O67" i="12"/>
  <c r="N67" i="12"/>
  <c r="M67" i="12"/>
  <c r="L67" i="12"/>
  <c r="K67" i="12"/>
  <c r="J67" i="12"/>
  <c r="I67" i="12"/>
  <c r="H67" i="12"/>
  <c r="G67" i="12"/>
  <c r="F67" i="12"/>
  <c r="E67" i="12"/>
  <c r="D67" i="12"/>
  <c r="C67" i="12"/>
  <c r="Q62" i="12"/>
  <c r="P62" i="12"/>
  <c r="O62" i="12"/>
  <c r="N62" i="12"/>
  <c r="M62" i="12"/>
  <c r="L62" i="12"/>
  <c r="K62" i="12"/>
  <c r="J62" i="12"/>
  <c r="I62" i="12"/>
  <c r="H62" i="12"/>
  <c r="G62" i="12"/>
  <c r="F62" i="12"/>
  <c r="E62" i="12"/>
  <c r="D62" i="12"/>
  <c r="C62" i="12"/>
  <c r="Q57" i="12"/>
  <c r="P57" i="12"/>
  <c r="O57" i="12"/>
  <c r="N57" i="12"/>
  <c r="M57" i="12"/>
  <c r="L57" i="12"/>
  <c r="K57" i="12"/>
  <c r="J57" i="12"/>
  <c r="I57" i="12"/>
  <c r="H57" i="12"/>
  <c r="G57" i="12"/>
  <c r="F57" i="12"/>
  <c r="E57" i="12"/>
  <c r="D57" i="12"/>
  <c r="C57" i="12"/>
  <c r="B55" i="12"/>
  <c r="B54" i="12"/>
  <c r="B53" i="12"/>
  <c r="B52" i="12"/>
  <c r="B51" i="12"/>
  <c r="B50" i="12"/>
  <c r="B49" i="12"/>
  <c r="B48" i="12"/>
  <c r="B47" i="12"/>
  <c r="B46" i="12"/>
  <c r="Q39" i="12"/>
  <c r="P39" i="12"/>
  <c r="O39" i="12"/>
  <c r="N39" i="12"/>
  <c r="M39" i="12"/>
  <c r="L39" i="12"/>
  <c r="K39" i="12"/>
  <c r="J39" i="12"/>
  <c r="I39" i="12"/>
  <c r="H39" i="12"/>
  <c r="G39" i="12"/>
  <c r="F39" i="12"/>
  <c r="E39" i="12"/>
  <c r="D39" i="12"/>
  <c r="C39" i="12"/>
  <c r="Q38" i="12"/>
  <c r="P38" i="12"/>
  <c r="O38" i="12"/>
  <c r="N38" i="12"/>
  <c r="M38" i="12"/>
  <c r="L38" i="12"/>
  <c r="K38" i="12"/>
  <c r="J38" i="12"/>
  <c r="I38" i="12"/>
  <c r="H38" i="12"/>
  <c r="G38" i="12"/>
  <c r="F38" i="12"/>
  <c r="E38" i="12"/>
  <c r="D38" i="12"/>
  <c r="C38" i="12"/>
  <c r="B38" i="12"/>
  <c r="Q37" i="12"/>
  <c r="P37" i="12"/>
  <c r="O37" i="12"/>
  <c r="N37" i="12"/>
  <c r="M37" i="12"/>
  <c r="L37" i="12"/>
  <c r="K37" i="12"/>
  <c r="J37" i="12"/>
  <c r="I37" i="12"/>
  <c r="H37" i="12"/>
  <c r="G37" i="12"/>
  <c r="F37" i="12"/>
  <c r="E37" i="12"/>
  <c r="D37" i="12"/>
  <c r="C37" i="12"/>
  <c r="B37" i="12"/>
  <c r="Q36" i="12"/>
  <c r="P36" i="12"/>
  <c r="O36" i="12"/>
  <c r="N36" i="12"/>
  <c r="M36" i="12"/>
  <c r="L36" i="12"/>
  <c r="K36" i="12"/>
  <c r="J36" i="12"/>
  <c r="I36" i="12"/>
  <c r="H36" i="12"/>
  <c r="G36" i="12"/>
  <c r="F36" i="12"/>
  <c r="E36" i="12"/>
  <c r="D36" i="12"/>
  <c r="C36" i="12"/>
  <c r="B36" i="12"/>
  <c r="Q35" i="12"/>
  <c r="P35" i="12"/>
  <c r="O35" i="12"/>
  <c r="N35" i="12"/>
  <c r="M35" i="12"/>
  <c r="L35" i="12"/>
  <c r="K35" i="12"/>
  <c r="J35" i="12"/>
  <c r="I35" i="12"/>
  <c r="H35" i="12"/>
  <c r="G35" i="12"/>
  <c r="F35" i="12"/>
  <c r="E35" i="12"/>
  <c r="D35" i="12"/>
  <c r="C35" i="12"/>
  <c r="B35" i="12"/>
  <c r="Q34" i="12"/>
  <c r="P34" i="12"/>
  <c r="O34" i="12"/>
  <c r="N34" i="12"/>
  <c r="M34" i="12"/>
  <c r="L34" i="12"/>
  <c r="K34" i="12"/>
  <c r="J34" i="12"/>
  <c r="I34" i="12"/>
  <c r="H34" i="12"/>
  <c r="G34" i="12"/>
  <c r="F34" i="12"/>
  <c r="E34" i="12"/>
  <c r="D34" i="12"/>
  <c r="C34" i="12"/>
  <c r="B34" i="12"/>
  <c r="Q33" i="12"/>
  <c r="P33" i="12"/>
  <c r="O33" i="12"/>
  <c r="N33" i="12"/>
  <c r="M33" i="12"/>
  <c r="L33" i="12"/>
  <c r="K33" i="12"/>
  <c r="J33" i="12"/>
  <c r="I33" i="12"/>
  <c r="H33" i="12"/>
  <c r="G33" i="12"/>
  <c r="F33" i="12"/>
  <c r="E33" i="12"/>
  <c r="D33" i="12"/>
  <c r="C33" i="12"/>
  <c r="B33" i="12"/>
  <c r="Q32" i="12"/>
  <c r="P32" i="12"/>
  <c r="O32" i="12"/>
  <c r="N32" i="12"/>
  <c r="M32" i="12"/>
  <c r="L32" i="12"/>
  <c r="K32" i="12"/>
  <c r="J32" i="12"/>
  <c r="I32" i="12"/>
  <c r="H32" i="12"/>
  <c r="G32" i="12"/>
  <c r="F32" i="12"/>
  <c r="E32" i="12"/>
  <c r="D32" i="12"/>
  <c r="C32" i="12"/>
  <c r="B32" i="12"/>
  <c r="Q31" i="12"/>
  <c r="P31" i="12"/>
  <c r="O31" i="12"/>
  <c r="N31" i="12"/>
  <c r="M31" i="12"/>
  <c r="L31" i="12"/>
  <c r="K31" i="12"/>
  <c r="J31" i="12"/>
  <c r="I31" i="12"/>
  <c r="H31" i="12"/>
  <c r="G31" i="12"/>
  <c r="F31" i="12"/>
  <c r="E31" i="12"/>
  <c r="D31" i="12"/>
  <c r="C31" i="12"/>
  <c r="B31" i="12"/>
  <c r="Q30" i="12"/>
  <c r="P30" i="12"/>
  <c r="O30" i="12"/>
  <c r="N30" i="12"/>
  <c r="M30" i="12"/>
  <c r="L30" i="12"/>
  <c r="K30" i="12"/>
  <c r="J30" i="12"/>
  <c r="I30" i="12"/>
  <c r="H30" i="12"/>
  <c r="G30" i="12"/>
  <c r="F30" i="12"/>
  <c r="E30" i="12"/>
  <c r="D30" i="12"/>
  <c r="C30" i="12"/>
  <c r="B30" i="12"/>
  <c r="Q29" i="12"/>
  <c r="P29" i="12"/>
  <c r="O29" i="12"/>
  <c r="N29" i="12"/>
  <c r="M29" i="12"/>
  <c r="L29" i="12"/>
  <c r="K29" i="12"/>
  <c r="J29" i="12"/>
  <c r="I29" i="12"/>
  <c r="H29" i="12"/>
  <c r="G29" i="12"/>
  <c r="F29" i="12"/>
  <c r="E29" i="12"/>
  <c r="D29" i="12"/>
  <c r="C29" i="12"/>
  <c r="B29" i="12"/>
  <c r="Q28" i="12"/>
  <c r="P28" i="12"/>
  <c r="O28" i="12"/>
  <c r="N28" i="12"/>
  <c r="M28" i="12"/>
  <c r="L28" i="12"/>
  <c r="K28" i="12"/>
  <c r="J28" i="12"/>
  <c r="I28" i="12"/>
  <c r="H28" i="12"/>
  <c r="G28" i="12"/>
  <c r="F28" i="12"/>
  <c r="E28" i="12"/>
  <c r="D28" i="12"/>
  <c r="C28" i="12"/>
  <c r="Q27" i="12"/>
  <c r="P27" i="12"/>
  <c r="O27" i="12"/>
  <c r="N27" i="12"/>
  <c r="M27" i="12"/>
  <c r="L27" i="12"/>
  <c r="K27" i="12"/>
  <c r="J27" i="12"/>
  <c r="I27" i="12"/>
  <c r="H27" i="12"/>
  <c r="G27" i="12"/>
  <c r="F27" i="12"/>
  <c r="E27" i="12"/>
  <c r="D27" i="12"/>
  <c r="C27" i="12"/>
  <c r="Q24" i="12"/>
  <c r="P24" i="12"/>
  <c r="O24" i="12"/>
  <c r="N24" i="12"/>
  <c r="M24" i="12"/>
  <c r="L24" i="12"/>
  <c r="K24" i="12"/>
  <c r="J24" i="12"/>
  <c r="I24" i="12"/>
  <c r="H24" i="12"/>
  <c r="G24" i="12"/>
  <c r="F24" i="12"/>
  <c r="E24" i="12"/>
  <c r="D24" i="12"/>
  <c r="C24" i="12"/>
  <c r="B23" i="12"/>
  <c r="B56" i="12"/>
  <c r="B12" i="12"/>
  <c r="B45" i="12"/>
  <c r="B11" i="12"/>
  <c r="B44" i="12"/>
  <c r="D1" i="12"/>
  <c r="E1" i="12"/>
  <c r="F1" i="12"/>
  <c r="G1" i="12"/>
  <c r="H1" i="12"/>
  <c r="I1" i="12"/>
  <c r="J1" i="12"/>
  <c r="K1" i="12"/>
  <c r="L1" i="12"/>
  <c r="M1" i="12"/>
  <c r="N1" i="12"/>
  <c r="O1" i="12"/>
  <c r="P1" i="12"/>
  <c r="Q1" i="12"/>
  <c r="G67" i="11"/>
  <c r="O64" i="11"/>
  <c r="G64" i="11"/>
  <c r="C64" i="11"/>
  <c r="E40" i="12"/>
  <c r="M40" i="12"/>
  <c r="Q40" i="12"/>
  <c r="L76" i="11"/>
  <c r="K76" i="11"/>
  <c r="E76" i="11"/>
  <c r="H76" i="11"/>
  <c r="L88" i="11"/>
  <c r="H88" i="11"/>
  <c r="K88" i="11"/>
  <c r="E88" i="11"/>
  <c r="P75" i="13"/>
  <c r="O75" i="13"/>
  <c r="E75" i="13"/>
  <c r="E83" i="11"/>
  <c r="L83" i="11"/>
  <c r="H83" i="11"/>
  <c r="K83" i="11"/>
  <c r="L80" i="11"/>
  <c r="H80" i="11"/>
  <c r="K80" i="11"/>
  <c r="E80" i="11"/>
  <c r="H82" i="11"/>
  <c r="E82" i="11"/>
  <c r="K82" i="11"/>
  <c r="L82" i="11"/>
  <c r="H78" i="11"/>
  <c r="E78" i="11"/>
  <c r="K78" i="11"/>
  <c r="L78" i="11"/>
  <c r="L84" i="11"/>
  <c r="E84" i="11"/>
  <c r="H84" i="11"/>
  <c r="K84" i="11"/>
  <c r="K85" i="11"/>
  <c r="H85" i="11"/>
  <c r="L85" i="11"/>
  <c r="E85" i="11"/>
  <c r="E87" i="11"/>
  <c r="H87" i="11"/>
  <c r="K87" i="11"/>
  <c r="L87" i="11"/>
  <c r="K77" i="11"/>
  <c r="L77" i="11"/>
  <c r="E77" i="11"/>
  <c r="H77" i="11"/>
  <c r="K89" i="11"/>
  <c r="E89" i="11"/>
  <c r="L89" i="11"/>
  <c r="H89" i="11"/>
  <c r="O74" i="13"/>
  <c r="E74" i="13"/>
  <c r="P74" i="13"/>
  <c r="H75" i="11"/>
  <c r="E75" i="11"/>
  <c r="K75" i="11"/>
  <c r="L75" i="11"/>
  <c r="E79" i="11"/>
  <c r="H79" i="11"/>
  <c r="K79" i="11"/>
  <c r="L79" i="11"/>
  <c r="K81" i="11"/>
  <c r="E81" i="11"/>
  <c r="L81" i="11"/>
  <c r="H81" i="11"/>
  <c r="H86" i="11"/>
  <c r="K86" i="11"/>
  <c r="L86" i="11"/>
  <c r="E86" i="11"/>
  <c r="D40" i="12"/>
  <c r="H40" i="12"/>
  <c r="L40" i="12"/>
  <c r="G24" i="18"/>
  <c r="G28" i="15"/>
  <c r="F40" i="12"/>
  <c r="J40" i="12"/>
  <c r="N40" i="12"/>
  <c r="C40" i="12"/>
  <c r="G40" i="12"/>
  <c r="K40" i="12"/>
  <c r="O40" i="12"/>
  <c r="D40" i="14"/>
  <c r="F74" i="13"/>
  <c r="L74" i="13"/>
  <c r="L40" i="14"/>
  <c r="P40" i="12"/>
  <c r="I40" i="14"/>
  <c r="B39" i="12"/>
  <c r="B39" i="14"/>
  <c r="B44" i="14"/>
  <c r="B27" i="12"/>
  <c r="B45" i="14"/>
  <c r="C40" i="14"/>
  <c r="F75" i="13"/>
  <c r="G40" i="14"/>
  <c r="K40" i="14"/>
  <c r="F40" i="14"/>
  <c r="J40" i="14"/>
  <c r="N40" i="14"/>
  <c r="E40" i="14"/>
  <c r="M40" i="14"/>
  <c r="H40" i="14"/>
  <c r="P50" i="22"/>
  <c r="E24" i="18"/>
  <c r="A22" i="16"/>
  <c r="A24" i="16"/>
  <c r="E20" i="16"/>
  <c r="I40" i="12"/>
  <c r="B28" i="12"/>
  <c r="P99" i="13"/>
  <c r="L75" i="13"/>
  <c r="L99" i="11"/>
  <c r="E51" i="24"/>
  <c r="E24" i="16"/>
  <c r="R99" i="13"/>
  <c r="N99" i="11"/>
  <c r="D17" i="25"/>
  <c r="C17" i="25"/>
  <c r="B17" i="25"/>
  <c r="J29" i="13"/>
  <c r="D192" i="42"/>
  <c r="D196" i="42"/>
  <c r="D197" i="42"/>
  <c r="D202" i="42"/>
  <c r="I196" i="42"/>
  <c r="I197" i="42"/>
  <c r="J20" i="13"/>
  <c r="J31" i="13"/>
  <c r="L31" i="13"/>
  <c r="E14" i="28"/>
  <c r="I202" i="42"/>
  <c r="J49" i="13"/>
  <c r="G38" i="11"/>
  <c r="G86" i="13"/>
  <c r="H86" i="13"/>
  <c r="G85" i="13"/>
  <c r="H85" i="13"/>
  <c r="G88" i="13"/>
  <c r="H88" i="13"/>
  <c r="G76" i="13"/>
  <c r="H76" i="13"/>
  <c r="G90" i="13"/>
  <c r="H90" i="13"/>
  <c r="G91" i="13"/>
  <c r="H91" i="13"/>
  <c r="G78" i="13"/>
  <c r="H78" i="13"/>
  <c r="G82" i="13"/>
  <c r="H82" i="13"/>
  <c r="G97" i="13"/>
  <c r="H97" i="13"/>
  <c r="G79" i="13"/>
  <c r="H79" i="13"/>
  <c r="G75" i="13"/>
  <c r="H75" i="13"/>
  <c r="G74" i="13"/>
  <c r="H74" i="13"/>
  <c r="G87" i="13"/>
  <c r="H87" i="13"/>
  <c r="G83" i="13"/>
  <c r="H83" i="13"/>
  <c r="G92" i="13"/>
  <c r="H92" i="13"/>
  <c r="G81" i="13"/>
  <c r="H81" i="13"/>
  <c r="G96" i="13"/>
  <c r="H96" i="13"/>
  <c r="G95" i="13"/>
  <c r="H95" i="13"/>
  <c r="G94" i="13"/>
  <c r="H94" i="13"/>
  <c r="G89" i="13"/>
  <c r="H89" i="13"/>
  <c r="G77" i="13"/>
  <c r="H77" i="13"/>
  <c r="G84" i="13"/>
  <c r="H84" i="13"/>
  <c r="G93" i="13"/>
  <c r="H93" i="13"/>
  <c r="G80" i="13"/>
  <c r="H80" i="13"/>
  <c r="J40" i="13"/>
  <c r="L40" i="13"/>
  <c r="G29" i="11"/>
  <c r="M29" i="11"/>
  <c r="J35" i="13"/>
  <c r="J36" i="13"/>
  <c r="G24" i="11"/>
  <c r="G25" i="11"/>
  <c r="M25" i="11"/>
  <c r="J44" i="13"/>
  <c r="L44" i="13"/>
  <c r="G33" i="11"/>
  <c r="M33" i="11"/>
  <c r="M35" i="11"/>
  <c r="L36" i="13"/>
  <c r="J46" i="13"/>
  <c r="L46" i="13"/>
  <c r="I89" i="13"/>
  <c r="J89" i="13"/>
  <c r="K89" i="13"/>
  <c r="F77" i="11"/>
  <c r="G77" i="11"/>
  <c r="F75" i="11"/>
  <c r="G75" i="11"/>
  <c r="F85" i="11"/>
  <c r="G85" i="11"/>
  <c r="F82" i="11"/>
  <c r="G82" i="11"/>
  <c r="F87" i="11"/>
  <c r="G87" i="11"/>
  <c r="F81" i="11"/>
  <c r="G81" i="11"/>
  <c r="F76" i="11"/>
  <c r="G76" i="11"/>
  <c r="F79" i="11"/>
  <c r="G79" i="11"/>
  <c r="F89" i="11"/>
  <c r="G89" i="11"/>
  <c r="F80" i="11"/>
  <c r="G80" i="11"/>
  <c r="F86" i="11"/>
  <c r="G86" i="11"/>
  <c r="F84" i="11"/>
  <c r="G84" i="11"/>
  <c r="F88" i="11"/>
  <c r="G88" i="11"/>
  <c r="F83" i="11"/>
  <c r="G83" i="11"/>
  <c r="F78" i="11"/>
  <c r="G78" i="11"/>
  <c r="J54" i="13"/>
  <c r="L54" i="13"/>
  <c r="G43" i="11"/>
  <c r="M43" i="11"/>
  <c r="I88" i="13"/>
  <c r="J88" i="13"/>
  <c r="K88" i="13"/>
  <c r="I95" i="13"/>
  <c r="J95" i="13"/>
  <c r="K95" i="13"/>
  <c r="I84" i="13"/>
  <c r="J84" i="13"/>
  <c r="K84" i="13"/>
  <c r="I91" i="13"/>
  <c r="J91" i="13"/>
  <c r="K91" i="13"/>
  <c r="I77" i="13"/>
  <c r="J77" i="13"/>
  <c r="K77" i="13"/>
  <c r="I90" i="13"/>
  <c r="J90" i="13"/>
  <c r="K90" i="13"/>
  <c r="I92" i="13"/>
  <c r="J92" i="13"/>
  <c r="K92" i="13"/>
  <c r="I87" i="13"/>
  <c r="J87" i="13"/>
  <c r="K87" i="13"/>
  <c r="I76" i="13"/>
  <c r="J76" i="13"/>
  <c r="K76" i="13"/>
  <c r="I94" i="13"/>
  <c r="J94" i="13"/>
  <c r="K94" i="13"/>
  <c r="I96" i="13"/>
  <c r="J96" i="13"/>
  <c r="K96" i="13"/>
  <c r="I78" i="13"/>
  <c r="J78" i="13"/>
  <c r="K78" i="13"/>
  <c r="I93" i="13"/>
  <c r="J93" i="13"/>
  <c r="K93" i="13"/>
  <c r="I83" i="13"/>
  <c r="J83" i="13"/>
  <c r="K83" i="13"/>
  <c r="I79" i="13"/>
  <c r="J79" i="13"/>
  <c r="K79" i="13"/>
  <c r="I86" i="13"/>
  <c r="J86" i="13"/>
  <c r="K86" i="13"/>
  <c r="I97" i="13"/>
  <c r="J97" i="13"/>
  <c r="K97" i="13"/>
  <c r="I74" i="13"/>
  <c r="J74" i="13"/>
  <c r="K74" i="13"/>
  <c r="I80" i="13"/>
  <c r="J80" i="13"/>
  <c r="K80" i="13"/>
  <c r="I82" i="13"/>
  <c r="J82" i="13"/>
  <c r="K82" i="13"/>
  <c r="I75" i="13"/>
  <c r="J75" i="13"/>
  <c r="K75" i="13"/>
  <c r="I81" i="13"/>
  <c r="J81" i="13"/>
  <c r="K81" i="13"/>
  <c r="I85" i="13"/>
  <c r="J85" i="13"/>
  <c r="K85" i="13"/>
  <c r="J50" i="13"/>
  <c r="L50" i="13"/>
  <c r="L56" i="13"/>
  <c r="G39" i="11"/>
  <c r="M39" i="11"/>
  <c r="M45" i="11"/>
  <c r="M93" i="13"/>
  <c r="N93" i="13"/>
  <c r="M85" i="13"/>
  <c r="N85" i="13"/>
  <c r="M77" i="13"/>
  <c r="N77" i="13"/>
  <c r="M75" i="13"/>
  <c r="N75" i="13"/>
  <c r="M94" i="13"/>
  <c r="N94" i="13"/>
  <c r="M86" i="13"/>
  <c r="N86" i="13"/>
  <c r="M89" i="13"/>
  <c r="N89" i="13"/>
  <c r="Q89" i="13"/>
  <c r="M90" i="13"/>
  <c r="N90" i="13"/>
  <c r="M87" i="13"/>
  <c r="N87" i="13"/>
  <c r="M82" i="13"/>
  <c r="N82" i="13"/>
  <c r="M91" i="13"/>
  <c r="N91" i="13"/>
  <c r="M83" i="13"/>
  <c r="N83" i="13"/>
  <c r="M96" i="13"/>
  <c r="N96" i="13"/>
  <c r="M74" i="13"/>
  <c r="N74" i="13"/>
  <c r="Q74" i="13"/>
  <c r="M92" i="13"/>
  <c r="N92" i="13"/>
  <c r="M84" i="13"/>
  <c r="N84" i="13"/>
  <c r="M97" i="13"/>
  <c r="N97" i="13"/>
  <c r="M88" i="13"/>
  <c r="N88" i="13"/>
  <c r="M78" i="13"/>
  <c r="N78" i="13"/>
  <c r="M79" i="13"/>
  <c r="N79" i="13"/>
  <c r="M76" i="13"/>
  <c r="N76" i="13"/>
  <c r="M81" i="13"/>
  <c r="N81" i="13"/>
  <c r="M95" i="13"/>
  <c r="N95" i="13"/>
  <c r="M80" i="13"/>
  <c r="N80" i="13"/>
  <c r="I87" i="11"/>
  <c r="I76" i="11"/>
  <c r="I79" i="11"/>
  <c r="I81" i="11"/>
  <c r="I82" i="11"/>
  <c r="I86" i="11"/>
  <c r="I84" i="11"/>
  <c r="I89" i="11"/>
  <c r="I80" i="11"/>
  <c r="I78" i="11"/>
  <c r="I77" i="11"/>
  <c r="I85" i="11"/>
  <c r="I88" i="11"/>
  <c r="I75" i="11"/>
  <c r="I83" i="11"/>
  <c r="J89" i="11"/>
  <c r="M89" i="11"/>
  <c r="O89" i="11"/>
  <c r="J84" i="11"/>
  <c r="M84" i="11"/>
  <c r="O84" i="11"/>
  <c r="J81" i="11"/>
  <c r="M81" i="11"/>
  <c r="O81" i="11"/>
  <c r="J77" i="11"/>
  <c r="M77" i="11"/>
  <c r="O77" i="11"/>
  <c r="J86" i="11"/>
  <c r="M86" i="11"/>
  <c r="O86" i="11"/>
  <c r="J85" i="11"/>
  <c r="M85" i="11"/>
  <c r="O85" i="11"/>
  <c r="J83" i="11"/>
  <c r="M83" i="11"/>
  <c r="O83" i="11"/>
  <c r="J79" i="11"/>
  <c r="M79" i="11"/>
  <c r="O79" i="11"/>
  <c r="J75" i="11"/>
  <c r="M75" i="11"/>
  <c r="J78" i="11"/>
  <c r="M78" i="11"/>
  <c r="O78" i="11"/>
  <c r="J76" i="11"/>
  <c r="M76" i="11"/>
  <c r="O76" i="11"/>
  <c r="J88" i="11"/>
  <c r="M88" i="11"/>
  <c r="O88" i="11"/>
  <c r="J80" i="11"/>
  <c r="M80" i="11"/>
  <c r="O80" i="11"/>
  <c r="J82" i="11"/>
  <c r="M82" i="11"/>
  <c r="O82" i="11"/>
  <c r="J87" i="11"/>
  <c r="M87" i="11"/>
  <c r="O87" i="11"/>
  <c r="Q80" i="13"/>
  <c r="S80" i="13"/>
  <c r="Q79" i="13"/>
  <c r="S79" i="13"/>
  <c r="Q84" i="13"/>
  <c r="S84" i="13"/>
  <c r="Q83" i="13"/>
  <c r="S83" i="13"/>
  <c r="Q90" i="13"/>
  <c r="S90" i="13"/>
  <c r="Q75" i="13"/>
  <c r="S75" i="13"/>
  <c r="Q95" i="13"/>
  <c r="S95" i="13"/>
  <c r="Q78" i="13"/>
  <c r="S78" i="13"/>
  <c r="Q92" i="13"/>
  <c r="S92" i="13"/>
  <c r="Q91" i="13"/>
  <c r="S91" i="13"/>
  <c r="Q77" i="13"/>
  <c r="S77" i="13"/>
  <c r="Q81" i="13"/>
  <c r="S81" i="13"/>
  <c r="Q88" i="13"/>
  <c r="S88" i="13"/>
  <c r="Q82" i="13"/>
  <c r="S82" i="13"/>
  <c r="Q86" i="13"/>
  <c r="S86" i="13"/>
  <c r="Q85" i="13"/>
  <c r="S85" i="13"/>
  <c r="Q76" i="13"/>
  <c r="S76" i="13"/>
  <c r="Q97" i="13"/>
  <c r="S97" i="13"/>
  <c r="Q96" i="13"/>
  <c r="S96" i="13"/>
  <c r="Q87" i="13"/>
  <c r="S87" i="13"/>
  <c r="Q94" i="13"/>
  <c r="S94" i="13"/>
  <c r="Q93" i="13"/>
  <c r="S93" i="13"/>
  <c r="S89" i="13"/>
  <c r="S74" i="13"/>
  <c r="M99" i="11"/>
  <c r="M101" i="11"/>
  <c r="O75" i="11"/>
  <c r="O99" i="11"/>
  <c r="S99" i="13"/>
  <c r="Q99" i="13"/>
  <c r="D206" i="42"/>
  <c r="Q101" i="13"/>
  <c r="D210" i="42"/>
  <c r="I210" i="42"/>
  <c r="I286" i="42"/>
  <c r="I206" i="42"/>
  <c r="D211" i="42"/>
  <c r="I211" i="42"/>
  <c r="I11" i="42"/>
  <c r="I285" i="42"/>
  <c r="I284" i="42"/>
  <c r="I287" i="42"/>
  <c r="D15" i="42"/>
  <c r="I15" i="42"/>
  <c r="I18" i="42"/>
  <c r="I20" i="42"/>
  <c r="G6" i="20"/>
  <c r="G10" i="20"/>
  <c r="C31" i="21"/>
  <c r="C35" i="21"/>
</calcChain>
</file>

<file path=xl/sharedStrings.xml><?xml version="1.0" encoding="utf-8"?>
<sst xmlns="http://schemas.openxmlformats.org/spreadsheetml/2006/main" count="1459" uniqueCount="938">
  <si>
    <t>American Transmission Company LLC</t>
  </si>
  <si>
    <t xml:space="preserve">Network Revenue Requirement True-up </t>
  </si>
  <si>
    <t>For the Year Ended December 31, 2018</t>
  </si>
  <si>
    <t>Total Network Revenue Requirement per Attachment O</t>
  </si>
  <si>
    <t>Network Billings</t>
  </si>
  <si>
    <t>2018 True-up to be refunded in 2020</t>
  </si>
  <si>
    <t>page 1 of 5</t>
  </si>
  <si>
    <t>Pending Docket ER19-838</t>
  </si>
  <si>
    <t xml:space="preserve">Formula Rate - Non-Levelized </t>
  </si>
  <si>
    <t>Rate Formula Template</t>
  </si>
  <si>
    <t>For the 12 months ended 12/31/2018</t>
  </si>
  <si>
    <t xml:space="preserve"> </t>
  </si>
  <si>
    <t>Utilizing FERC Form 1 Data</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</si>
  <si>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</si>
  <si>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</si>
  <si>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</si>
  <si>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</si>
  <si>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</si>
  <si>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</si>
  <si>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</si>
  <si>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</si>
  <si>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</si>
  <si>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</si>
  <si>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</si>
  <si>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</si>
  <si>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</si>
  <si>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</si>
  <si>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</si>
  <si>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</si>
  <si>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</si>
  <si>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</si>
  <si>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</si>
  <si>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</si>
  <si>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</si>
  <si>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</si>
  <si>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</si>
  <si>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</si>
  <si>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</si>
  <si>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</si>
  <si>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</si>
  <si>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</si>
  <si>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</si>
  <si>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</si>
  <si>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</si>
  <si>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</si>
  <si>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</si>
  <si>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</si>
  <si>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</si>
  <si>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</si>
  <si>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</si>
  <si>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</si>
  <si>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</si>
  <si>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</si>
  <si>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</si>
  <si>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</si>
  <si>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</si>
  <si>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</si>
  <si>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</si>
  <si>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</si>
  <si>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</si>
  <si>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</si>
  <si>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</si>
  <si>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</si>
  <si>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</si>
  <si>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</si>
  <si>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</si>
  <si>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</si>
  <si>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</si>
  <si>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</si>
  <si>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</si>
  <si>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</si>
  <si>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</si>
  <si>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</si>
  <si>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</si>
  <si>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</si>
  <si>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</si>
  <si>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</si>
  <si>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</si>
  <si>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</si>
  <si>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</si>
  <si>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</si>
  <si>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</si>
  <si>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</si>
  <si>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</si>
  <si>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</si>
  <si>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</si>
  <si>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</si>
  <si>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</si>
  <si>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</si>
  <si>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</si>
  <si>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</si>
  <si>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</si>
  <si>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</si>
  <si>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</si>
  <si>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</si>
  <si>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</si>
  <si>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</si>
  <si>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</si>
  <si>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</si>
  <si>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</si>
  <si>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</si>
  <si>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</si>
  <si>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</si>
  <si>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</si>
  <si>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</si>
  <si>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</si>
  <si>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</si>
  <si>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</si>
  <si>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</si>
  <si>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</si>
  <si>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</si>
  <si>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</si>
  <si>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</si>
  <si>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</si>
  <si>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</si>
  <si>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</si>
  <si>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</si>
  <si>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</si>
  <si>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</si>
  <si>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</si>
  <si>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</si>
  <si>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</si>
  <si>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</si>
  <si>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</si>
  <si>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</si>
  <si>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</si>
  <si>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</si>
  <si>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</si>
  <si>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</si>
  <si>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</si>
  <si>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</si>
  <si>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</si>
  <si>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</si>
  <si>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</si>
  <si>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</si>
  <si>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</si>
  <si>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</si>
  <si>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</si>
  <si>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</si>
  <si>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</si>
  <si>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</si>
  <si>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</si>
  <si>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</si>
  <si>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</si>
  <si>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</si>
  <si>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</si>
  <si>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</si>
  <si>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</si>
  <si>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</si>
  <si>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</si>
  <si>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</si>
  <si>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</si>
  <si>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</si>
  <si>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</si>
  <si>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</si>
  <si>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</si>
  <si>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</si>
  <si>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</si>
  <si>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</si>
  <si>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</si>
  <si>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</si>
  <si>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</si>
  <si>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</si>
  <si>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</si>
  <si>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</si>
  <si>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</si>
  <si>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</si>
  <si>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</si>
  <si>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</si>
  <si>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</si>
  <si>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</si>
  <si>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</si>
  <si>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</si>
  <si>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</si>
  <si>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</si>
  <si>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</si>
  <si>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</si>
  <si>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</si>
  <si>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</si>
  <si>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</si>
  <si>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</si>
  <si>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</si>
  <si>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</si>
  <si>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</si>
  <si>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</si>
  <si>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</si>
  <si>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</si>
  <si>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</si>
  <si>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</si>
  <si>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</si>
  <si>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</si>
  <si>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</si>
  <si>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</si>
  <si>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</si>
  <si>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</si>
  <si>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</si>
  <si>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</si>
  <si>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</si>
  <si>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</si>
  <si>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</si>
  <si>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</si>
  <si>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</si>
  <si>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</si>
  <si>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</si>
  <si>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</si>
  <si>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</si>
  <si>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</si>
  <si>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</si>
  <si>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</si>
  <si>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</si>
  <si>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</si>
  <si>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</si>
  <si>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</si>
  <si>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</si>
  <si>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</si>
  <si>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</si>
  <si>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</si>
  <si>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</si>
  <si>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</si>
  <si>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</si>
  <si>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</si>
  <si>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</si>
  <si>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</si>
  <si>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</si>
  <si>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</si>
  <si>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</si>
  <si>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</si>
  <si>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</si>
  <si>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</si>
  <si>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</si>
  <si>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</si>
  <si>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</si>
  <si>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</si>
  <si>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</si>
  <si>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</si>
  <si>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</si>
  <si>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</si>
  <si>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</si>
  <si>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</si>
  <si>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</si>
  <si>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</si>
  <si>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</si>
  <si>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</si>
  <si>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</si>
  <si>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</si>
  <si>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</si>
  <si>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</si>
  <si>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</si>
  <si>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</si>
  <si>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</si>
  <si>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</si>
  <si>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</si>
  <si>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</si>
  <si>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</si>
  <si>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</si>
  <si>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</si>
  <si>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</si>
  <si>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</si>
  <si>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</si>
  <si>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</si>
  <si>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</si>
  <si>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</si>
  <si>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</si>
  <si>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</si>
  <si>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</si>
  <si>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</si>
  <si>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</si>
  <si>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</si>
  <si>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</si>
  <si>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ROE Determination </t>
  </si>
  <si>
    <t xml:space="preserve">  Common Stock  (line 26)</t>
  </si>
  <si>
    <t>ROE per EL14-12, Effective 9-28-2016</t>
  </si>
  <si>
    <t>Total  (sum lines 27-29)</t>
  </si>
  <si>
    <t>=R</t>
  </si>
  <si>
    <t>RTO Adder per ER15-358, Effective January 6, 2015</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</si>
  <si>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</si>
  <si>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</si>
  <si>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</si>
  <si>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</si>
  <si>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</si>
  <si>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</si>
  <si>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</si>
  <si>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</si>
  <si>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</si>
  <si>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</si>
  <si>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</si>
  <si>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</si>
  <si>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</si>
  <si>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</si>
  <si>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</si>
  <si>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</si>
  <si>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</si>
  <si>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</si>
  <si>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</si>
  <si>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</si>
  <si>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</si>
  <si>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</si>
  <si>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</si>
  <si>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</si>
  <si>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</si>
  <si>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</si>
  <si>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</si>
  <si>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</si>
  <si>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</si>
  <si>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</si>
  <si>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</si>
  <si>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</si>
  <si>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</si>
  <si>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</si>
  <si>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</si>
  <si>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</si>
  <si>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</si>
  <si>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</si>
  <si>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</si>
  <si>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</si>
  <si>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</si>
  <si>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</si>
  <si>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</si>
  <si>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</si>
  <si>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</si>
  <si>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</si>
  <si>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</si>
  <si>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</si>
  <si>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</si>
  <si>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</si>
  <si>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</si>
  <si>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</si>
  <si>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</si>
  <si>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</si>
  <si>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</si>
  <si>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</si>
  <si>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</si>
  <si>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</si>
  <si>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</si>
  <si>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</si>
  <si>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</si>
  <si>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</si>
  <si>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</si>
  <si>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</si>
  <si>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</si>
  <si>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</si>
  <si>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</si>
  <si>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</si>
  <si>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</si>
  <si>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</si>
  <si>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</si>
  <si>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</si>
  <si>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</si>
  <si>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</si>
  <si>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</si>
  <si>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</si>
  <si>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</si>
  <si>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</si>
  <si>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</si>
  <si>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</si>
  <si>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</si>
  <si>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r>
      <t xml:space="preserve">All amounts shown on this page (with the </t>
    </r>
    <r>
      <rPr>
        <sz val="12"/>
        <color rgb="FFFF0000"/>
        <rFont val="Times New Roman"/>
        <family val="1"/>
      </rPr>
      <t xml:space="preserve">following </t>
    </r>
    <r>
      <rPr>
        <sz val="12"/>
        <rFont val="Times New Roman"/>
        <family val="1"/>
      </rPr>
      <t>exception</t>
    </r>
    <r>
      <rPr>
        <sz val="12"/>
        <color rgb="FFFF0000"/>
        <rFont val="Times New Roman"/>
        <family val="1"/>
      </rPr>
      <t>s:</t>
    </r>
    <r>
      <rPr>
        <sz val="12"/>
        <rFont val="Times New Roman"/>
        <family val="1"/>
      </rPr>
      <t xml:space="preserve"> CWC</t>
    </r>
    <r>
      <rPr>
        <sz val="12"/>
        <rFont val="Times New Roman"/>
        <family val="1"/>
      </rPr>
      <t xml:space="preserve"> </t>
    </r>
    <r>
      <rPr>
        <sz val="12"/>
        <color rgb="FFFF0000"/>
        <rFont val="Times New Roman"/>
        <family val="1"/>
      </rPr>
      <t xml:space="preserve">in </t>
    </r>
    <r>
      <rPr>
        <sz val="12"/>
        <rFont val="Times New Roman"/>
        <family val="1"/>
      </rPr>
      <t xml:space="preserve">line 26, </t>
    </r>
    <r>
      <rPr>
        <sz val="12"/>
        <color rgb="FFFF0000"/>
        <rFont val="Times New Roman"/>
        <family val="1"/>
      </rPr>
      <t>Account 282 in line 20, Account 283 in line 21, and Account 190 in line 22)</t>
    </r>
    <r>
      <rPr>
        <sz val="12"/>
        <rFont val="Times New Roman"/>
        <family val="1"/>
      </rPr>
      <t xml:space="preserve"> are based on 13 month averages.  Work papers will be provided.</t>
    </r>
  </si>
  <si>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</si>
  <si>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</si>
  <si>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</si>
  <si>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</si>
  <si>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</si>
  <si>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</si>
  <si>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</si>
  <si>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</si>
  <si>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</si>
  <si>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</si>
  <si>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</si>
  <si>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</si>
  <si>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</si>
  <si>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Monthly network billing ($549,439,356) + 2016 over-collection of $379,809 + 2017 over-collection of $2,033,906</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</si>
  <si>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</si>
  <si>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</si>
  <si>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</si>
  <si>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</si>
  <si>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</si>
  <si>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</si>
  <si>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</si>
  <si>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</si>
  <si>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</si>
  <si>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</si>
  <si>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</si>
  <si>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</si>
  <si>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</si>
  <si>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</si>
  <si>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</si>
  <si>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</si>
  <si>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</si>
  <si>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</si>
  <si>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</si>
  <si>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</si>
  <si>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</si>
  <si>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</si>
  <si>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</si>
  <si>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</si>
  <si>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</si>
  <si>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2018 network billings</t>
  </si>
  <si>
    <t>2018 Attachment O true-up over-collection</t>
  </si>
  <si>
    <t>Attachment GG - ATCLLC</t>
  </si>
  <si>
    <t>Formula Rate calculation</t>
  </si>
  <si>
    <t xml:space="preserve">     Rate Formula Template</t>
  </si>
  <si>
    <t>For  the 12 months ended 12/31/2018</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</si>
  <si>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</si>
  <si>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</si>
  <si>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</si>
  <si>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</si>
  <si>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</si>
  <si>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</si>
  <si>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</si>
  <si>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</si>
  <si>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</si>
  <si>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</si>
  <si>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</si>
  <si>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</si>
  <si>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</si>
  <si>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</si>
  <si>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</si>
  <si>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</si>
  <si>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</si>
  <si>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</si>
  <si>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</si>
  <si>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</si>
  <si>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</si>
  <si>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</si>
  <si>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</si>
  <si>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</si>
  <si>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</si>
  <si>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</si>
  <si>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</si>
  <si>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</si>
  <si>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</si>
  <si>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</si>
  <si>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</si>
  <si>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</si>
  <si>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</si>
  <si>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</si>
  <si>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</si>
  <si>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</si>
  <si>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</si>
  <si>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</si>
  <si>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</si>
  <si>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</si>
  <si>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</si>
  <si>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</si>
  <si>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</si>
  <si>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</si>
  <si>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</si>
  <si>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</si>
  <si>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</si>
  <si>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</si>
  <si>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</si>
  <si>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</si>
  <si>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</si>
  <si>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</si>
  <si>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</si>
  <si>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</si>
  <si>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</si>
  <si>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</si>
  <si>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</si>
  <si>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</si>
  <si>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</si>
  <si>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</si>
  <si>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</si>
  <si>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</si>
  <si>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</si>
  <si>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</si>
  <si>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</si>
  <si>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</si>
  <si>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</si>
  <si>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</si>
  <si>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</si>
  <si>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</si>
  <si>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</si>
  <si>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</si>
  <si>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</si>
  <si>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</si>
  <si>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</si>
  <si>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Werner West-Morgan</t>
  </si>
  <si>
    <t>345 (MTEP06)</t>
  </si>
  <si>
    <t>1b</t>
  </si>
  <si>
    <t>Pleasant Valley - St. Lawrence</t>
  </si>
  <si>
    <t>1453 (MTEP06)</t>
  </si>
  <si>
    <t>1c</t>
  </si>
  <si>
    <t>Cranberry-Conover-Iron River-Plains</t>
  </si>
  <si>
    <t>352 (MTEP06)</t>
  </si>
  <si>
    <t>1d</t>
  </si>
  <si>
    <t>Rockdale-W.Middleton 345kV</t>
  </si>
  <si>
    <t>356 (MTEP08)</t>
  </si>
  <si>
    <t>1e</t>
  </si>
  <si>
    <t>G507-Cedar Ridge Wind Farm</t>
  </si>
  <si>
    <t>1616 (MTEP07)</t>
  </si>
  <si>
    <t>1f</t>
  </si>
  <si>
    <t>GIC706-H012 Glacier Hills Wind Park</t>
  </si>
  <si>
    <t>2452 / 3160 (MTEP09/11)</t>
  </si>
  <si>
    <t>1g</t>
  </si>
  <si>
    <t>2nd Kewaunee Xfr</t>
  </si>
  <si>
    <t>1950 (MTEP11)</t>
  </si>
  <si>
    <t>1h</t>
  </si>
  <si>
    <t>Straits Power Flow Controller</t>
  </si>
  <si>
    <t>2846 (MTEP11)</t>
  </si>
  <si>
    <t>1i</t>
  </si>
  <si>
    <t>G834 Interim Upgrades</t>
  </si>
  <si>
    <t>2837 (MTEP10)</t>
  </si>
  <si>
    <t>1j</t>
  </si>
  <si>
    <t>G833 Interim Upgrades</t>
  </si>
  <si>
    <t>2793 (MTEP10)</t>
  </si>
  <si>
    <t>1k</t>
  </si>
  <si>
    <t>Rebuild Arcadian - Waukesha 138kV lines</t>
  </si>
  <si>
    <t>1270 (MTEP12)</t>
  </si>
  <si>
    <t>1l</t>
  </si>
  <si>
    <t>Arnold Transformer</t>
  </si>
  <si>
    <t>3125 (MTEP12)</t>
  </si>
  <si>
    <t>1m</t>
  </si>
  <si>
    <t>G833/4 Long Term Solution</t>
  </si>
  <si>
    <t>3206 (MTEP11)</t>
  </si>
  <si>
    <t>1n</t>
  </si>
  <si>
    <t>Green Bay to Morgan 345 kV project and Menominee Co to Delta Co 138 kV line</t>
  </si>
  <si>
    <t>3679 (MTEP12)</t>
  </si>
  <si>
    <t>1o</t>
  </si>
  <si>
    <t>Lafayette County Wind GIC-J395 Falcon Substation &amp; Network Upgrades</t>
  </si>
  <si>
    <t>12284 (MTEP17)</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</si>
  <si>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</si>
  <si>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</si>
  <si>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</si>
  <si>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</si>
  <si>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</si>
  <si>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</si>
  <si>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</si>
  <si>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</si>
  <si>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</si>
  <si>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</si>
  <si>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</si>
  <si>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</si>
  <si>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</si>
  <si>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Attachment GG - Supporting Data for Network Upgrade Charge Calculation - Forward Looking Rate Transmission Owner</t>
  </si>
  <si>
    <t xml:space="preserve">Rate Year </t>
  </si>
  <si>
    <t>Reporting Company</t>
  </si>
  <si>
    <t>ATC</t>
  </si>
  <si>
    <t>MTEP Project ID</t>
  </si>
  <si>
    <t>Pricing Zone</t>
  </si>
  <si>
    <t>Allocation Type Per Attachment FF</t>
  </si>
  <si>
    <t>Reliability</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</si>
  <si>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</si>
  <si>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</si>
  <si>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</si>
  <si>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</si>
  <si>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</si>
  <si>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</si>
  <si>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</si>
  <si>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</si>
  <si>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</si>
  <si>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</si>
  <si>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</si>
  <si>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</si>
  <si>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</si>
  <si>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</si>
  <si>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</si>
  <si>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</si>
  <si>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</si>
  <si>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</si>
  <si>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Column (9)</t>
  </si>
  <si>
    <t>Project Amortization Expense</t>
  </si>
  <si>
    <t>Depreciation Expense Total</t>
  </si>
  <si>
    <t>Project O&amp;M Incentive</t>
  </si>
  <si>
    <t>Precertification Expense</t>
  </si>
  <si>
    <t>Column (9a)</t>
  </si>
  <si>
    <t>Precertification Expense Total</t>
  </si>
  <si>
    <t>Attachment GG - Description of Facilities Included in Network Upgrade Charge</t>
  </si>
  <si>
    <t>Facility ID</t>
  </si>
  <si>
    <t>Project Record Date</t>
  </si>
  <si>
    <t>Description of Facilities Included in Network Upgrade Charge as of Record Date</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</si>
  <si>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</si>
  <si>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</si>
  <si>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</si>
  <si>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</si>
  <si>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445, 446, 447, 896, 2460</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</si>
  <si>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</si>
  <si>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</si>
  <si>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</si>
  <si>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</si>
  <si>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</si>
  <si>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</si>
  <si>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G706-H012 Line X-6 Portage-Hamilton-Staff-Friesland-North Randolph 138 kV Uprate</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</si>
  <si>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</si>
  <si>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</si>
  <si>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</si>
  <si>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</si>
  <si>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Construct a new Branch River 345 kV substation and loop the Point Beach-Forest Juction, Point Beach-Sheboygan Energy Center 345 kV lines into Branch River</t>
  </si>
  <si>
    <t>Install AC-DC-AC Back to Back Voltage Source Converter (VSC) power flow controller at the Straits 138-kV substation</t>
  </si>
  <si>
    <t>1989, 1990</t>
  </si>
  <si>
    <t>Rebuild the two Arcadian-Waukesha 138 kV lines</t>
  </si>
  <si>
    <t>Tap the Plains-Dead River 345 kV line into the Arnold 138 kV substation and add a 345/138 kV transformer</t>
  </si>
  <si>
    <t>6910-12, 6919, 6923, 7243</t>
  </si>
  <si>
    <t>New Green Bay area sub to Morgan 345 kV line and new 138 kV line from Holmes to 18th road</t>
  </si>
  <si>
    <t>22380, 22381</t>
  </si>
  <si>
    <t>138 kV Falcon SS Construction and 138 kV Darlington- North Monroe (X-49) Line Upgrade</t>
  </si>
  <si>
    <r>
      <t xml:space="preserve">Attachment MM - </t>
    </r>
    <r>
      <rPr>
        <sz val="10"/>
        <rFont val="Arial"/>
        <family val="2"/>
      </rPr>
      <t>ATCLLC</t>
    </r>
  </si>
  <si>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</si>
  <si>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</si>
  <si>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</si>
  <si>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</si>
  <si>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</si>
  <si>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</si>
  <si>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</si>
  <si>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</si>
  <si>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</si>
  <si>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</si>
  <si>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</si>
  <si>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</si>
  <si>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</si>
  <si>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</si>
  <si>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</si>
  <si>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</si>
  <si>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</si>
  <si>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</si>
  <si>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</si>
  <si>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</si>
  <si>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</si>
  <si>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</si>
  <si>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</si>
  <si>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</si>
  <si>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</si>
  <si>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</si>
  <si>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</si>
  <si>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</si>
  <si>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</si>
  <si>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</si>
  <si>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</si>
  <si>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</si>
  <si>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</si>
  <si>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</si>
  <si>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</si>
  <si>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</si>
  <si>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</si>
  <si>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</si>
  <si>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</si>
  <si>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</si>
  <si>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</si>
  <si>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</si>
  <si>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</si>
  <si>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</si>
  <si>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</si>
  <si>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</si>
  <si>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</si>
  <si>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</si>
  <si>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</si>
  <si>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</si>
  <si>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</si>
  <si>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</si>
  <si>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</si>
  <si>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</si>
  <si>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</si>
  <si>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</si>
  <si>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</si>
  <si>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</si>
  <si>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</si>
  <si>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</si>
  <si>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</si>
  <si>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</si>
  <si>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Pleasant Prairie - Zion Energy Center 345 kV Line</t>
  </si>
  <si>
    <t>2844 (MTEP11)</t>
  </si>
  <si>
    <t>LaCrosse-Madison 345 kV - Dubuque Co - Spring Green 345 kV</t>
  </si>
  <si>
    <t>3127 (MTEP11)</t>
  </si>
  <si>
    <t>1p</t>
  </si>
  <si>
    <t>1q</t>
  </si>
  <si>
    <t>1r</t>
  </si>
  <si>
    <t>1s</t>
  </si>
  <si>
    <t>1t</t>
  </si>
  <si>
    <t>1u</t>
  </si>
  <si>
    <t>1v</t>
  </si>
  <si>
    <t>1w</t>
  </si>
  <si>
    <t>1x</t>
  </si>
  <si>
    <t>MVP Total Annual Revenue Requirements</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</si>
  <si>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</si>
  <si>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</si>
  <si>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</si>
  <si>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</si>
  <si>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</si>
  <si>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r>
      <t xml:space="preserve">Project Depreciation Expense is the actual value booked for the project and included in the Depreciation Expense in Attachment O - </t>
    </r>
    <r>
      <rPr>
        <sz val="10"/>
        <rFont val="Arial"/>
        <family val="2"/>
      </rPr>
      <t>ATCLLC page 3 line 12.</t>
    </r>
  </si>
  <si>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</si>
  <si>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</si>
  <si>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</si>
  <si>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</si>
  <si>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</si>
  <si>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Attachment MM - Supporting Data for Network Upgrade Charge Calculation - Forward Looking Rate Transmission Owner</t>
  </si>
  <si>
    <t>Project 3</t>
  </si>
  <si>
    <t>Project 4</t>
  </si>
  <si>
    <t>Project 5</t>
  </si>
  <si>
    <t>Project 6</t>
  </si>
  <si>
    <t>Project 7</t>
  </si>
  <si>
    <t>Project 8</t>
  </si>
  <si>
    <t>Project 9</t>
  </si>
  <si>
    <t>Project 10</t>
  </si>
  <si>
    <t>Project 11</t>
  </si>
  <si>
    <t>Project 12</t>
  </si>
  <si>
    <t>XYZ</t>
  </si>
  <si>
    <t>MVP</t>
  </si>
  <si>
    <t>Column (10)</t>
  </si>
  <si>
    <t>Column (13)</t>
  </si>
  <si>
    <t>Column (14)</t>
  </si>
  <si>
    <t>Attachment MM - Description of Facilities Included in Network Upgrade Charge</t>
  </si>
  <si>
    <t>3925-26, 5484, 5626-28, 6573, 20607, 20577-81</t>
  </si>
  <si>
    <t>LaCrosse-Madison 345 kV - Dubuque Co - Cardinal 345 kV project</t>
  </si>
  <si>
    <t>Schedule 1 Recoverable Expenses</t>
  </si>
  <si>
    <t>Company:</t>
  </si>
  <si>
    <t xml:space="preserve"> American Transmission Company LLC</t>
  </si>
  <si>
    <t>Rate Year:</t>
  </si>
  <si>
    <t>True-Up Year:</t>
  </si>
  <si>
    <t>Projected or Actual:</t>
  </si>
  <si>
    <t>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</si>
  <si>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</si>
  <si>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</si>
  <si>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</si>
  <si>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</si>
  <si>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</si>
  <si>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</si>
  <si>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</si>
  <si>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</si>
  <si>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</si>
  <si>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</si>
  <si>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</si>
  <si>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</si>
  <si>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</si>
  <si>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</si>
  <si>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</si>
  <si>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</si>
  <si>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</si>
  <si>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</si>
  <si>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</si>
  <si>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</si>
  <si>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</si>
  <si>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</si>
  <si>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</si>
  <si>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</si>
  <si>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</si>
  <si>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</si>
  <si>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</si>
  <si>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</si>
  <si>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</si>
  <si>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</si>
  <si>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</si>
  <si>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</si>
  <si>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</si>
  <si>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2016 Schedule 1 True Up Payable (Over Collection)</t>
  </si>
  <si>
    <t>Interest Accrual booked from July 2016 thru June 2018</t>
  </si>
  <si>
    <t>Applicable Annual Quarter</t>
  </si>
  <si>
    <t>Annual Rate</t>
  </si>
  <si>
    <t>Monthly Rate</t>
  </si>
  <si>
    <t>First Quarter 2016</t>
  </si>
  <si>
    <t>Second Quarter 2016</t>
  </si>
  <si>
    <t>Third Quarter 2016</t>
  </si>
  <si>
    <t>Fourth Quarter 2016</t>
  </si>
  <si>
    <t>First Quarter 2017</t>
  </si>
  <si>
    <t>Second Quarter 2017</t>
  </si>
  <si>
    <t>Third Quarter 2017</t>
  </si>
  <si>
    <t>Average Monthly FERC Rate</t>
  </si>
  <si>
    <t>Over Collected Amount</t>
  </si>
  <si>
    <t>Years</t>
  </si>
  <si>
    <t>Total Interest Due</t>
  </si>
  <si>
    <t>Total True-up</t>
  </si>
  <si>
    <t>American Transmission Company</t>
  </si>
  <si>
    <t>CWIP in Rate Base Detail &amp; Reconciliation to FERC Form No. 1</t>
  </si>
  <si>
    <t>2018 Revenue Requirement and True-up</t>
  </si>
  <si>
    <t>FERC Form No. 1 - Pg200, Line 11, Column c</t>
  </si>
  <si>
    <t>Account 107 Balance</t>
  </si>
  <si>
    <t>CWIP not in Rate Base</t>
  </si>
  <si>
    <t>CWIP in Rate Base</t>
  </si>
  <si>
    <t>13-month average for ratemaking</t>
  </si>
  <si>
    <t>CWIP in Rate Base Detail</t>
  </si>
  <si>
    <t>13-month Avg.</t>
  </si>
  <si>
    <t>Badger Coulee Lines</t>
  </si>
  <si>
    <t>Green Bay - Morgan 345kV Construction</t>
  </si>
  <si>
    <t>Spring Valley - North Lake Geneva New 138kV Line</t>
  </si>
  <si>
    <t>J10-FIRY12 69kV Rebuild</t>
  </si>
  <si>
    <t>Inland Line Rebuild (Seeney-Blaney)</t>
  </si>
  <si>
    <t>M13-Reinforcement</t>
  </si>
  <si>
    <t>Edgewood-Mukwonago-St Martins Rebuild</t>
  </si>
  <si>
    <t>Y124 Boscobel - Lone Rock 69kV Rebuild</t>
  </si>
  <si>
    <t>811 Reconfigure</t>
  </si>
  <si>
    <t>Mount Pleasant Tech Interconnection</t>
  </si>
  <si>
    <t>Highway V Substation - Install Gas Circuit Breakers and Transformers</t>
  </si>
  <si>
    <t>Branch River Project</t>
  </si>
  <si>
    <t>Port Washington - Saukville Rebuild</t>
  </si>
  <si>
    <t>Williams Bay Substation Distribution Interconnection</t>
  </si>
  <si>
    <t>Arpin Substation Asset Renewal</t>
  </si>
  <si>
    <t>X97 Cedar Ridge Wind Generation - Mullet River Rebuild</t>
  </si>
  <si>
    <t>St Martins Distribution Interconnection 3rd Transformer</t>
  </si>
  <si>
    <t>Somers Distribution Interconnection</t>
  </si>
  <si>
    <t>Mount Pleasant Tech Interconnection Project - Racine Ring Bus Upgrade</t>
  </si>
  <si>
    <t>Shorewood-Glendale Fiber-Asset Renewal</t>
  </si>
  <si>
    <t>MINOR PROJECTS (less than $1M)</t>
  </si>
  <si>
    <t>Total monthly CWIP</t>
  </si>
  <si>
    <t>Computation of Average Deferred Tax Balances</t>
  </si>
  <si>
    <t>Month Ended</t>
  </si>
  <si>
    <t>Forecasted Month End Balance</t>
  </si>
  <si>
    <t>Forecasted Change</t>
  </si>
  <si>
    <t>Days to Prorate</t>
  </si>
  <si>
    <t>Days in Calendar Year</t>
  </si>
  <si>
    <t>Prorated Balance</t>
  </si>
  <si>
    <t>Actual Change</t>
  </si>
  <si>
    <t>Actual Month End Balance</t>
  </si>
  <si>
    <t>Forecast to Actual Variance</t>
  </si>
  <si>
    <t>Account 190</t>
  </si>
  <si>
    <t>Total Prorated Balance</t>
  </si>
  <si>
    <t>Average Monthly Variance</t>
  </si>
  <si>
    <t>Adjustment to Rate Base - Account 190</t>
  </si>
  <si>
    <t>Account 282</t>
  </si>
  <si>
    <t>Adjustment to Rate Base - Account 282</t>
  </si>
  <si>
    <t>Account 283</t>
  </si>
  <si>
    <t>Adjustment to Rate Base - Account 283</t>
  </si>
  <si>
    <t>Calculation of Weighted Avg. Debt Rate</t>
  </si>
  <si>
    <t>Description</t>
  </si>
  <si>
    <t>Debt Amount</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</si>
  <si>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</si>
  <si>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</si>
  <si>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</si>
  <si>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</si>
  <si>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</si>
  <si>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</si>
  <si>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</si>
  <si>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</si>
  <si>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</si>
  <si>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</si>
  <si>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</si>
  <si>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</si>
  <si>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</si>
  <si>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</si>
  <si>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</si>
  <si>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</si>
  <si>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</si>
  <si>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</si>
  <si>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</si>
  <si>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</si>
  <si>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</si>
  <si>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</si>
  <si>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</si>
  <si>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</si>
  <si>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</si>
  <si>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</si>
  <si>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11/15/16 $75M</t>
  </si>
  <si>
    <t>1/26/17 $75M</t>
  </si>
  <si>
    <t>10/30/17 $50M</t>
  </si>
  <si>
    <t>1/16/18 $75M</t>
  </si>
  <si>
    <t>4/27/18 $66M - 10 yr</t>
  </si>
  <si>
    <t>4/27/18 $67M - 15yr</t>
  </si>
  <si>
    <t>4/27/18 $67M - 30yr</t>
  </si>
  <si>
    <t>7/18/18 $34M - 10 yr</t>
  </si>
  <si>
    <t>7/18/18 $33M - 15yr</t>
  </si>
  <si>
    <t>7/18/18 $33M - 30yr</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</si>
  <si>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</si>
  <si>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</si>
  <si>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</si>
  <si>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</si>
  <si>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</si>
  <si>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</si>
  <si>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</si>
  <si>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</si>
  <si>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</si>
  <si>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</si>
  <si>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</si>
  <si>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</si>
  <si>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Calculation of Tax on Permanent Items</t>
  </si>
  <si>
    <t>Combined</t>
  </si>
  <si>
    <t>State Only</t>
  </si>
  <si>
    <t>Permanent Items:</t>
  </si>
  <si>
    <t>Equity AFUDC Depr</t>
  </si>
  <si>
    <t>MN Tax</t>
  </si>
  <si>
    <t>Tax Rate</t>
  </si>
  <si>
    <t>Calculation of Excess Deferred Tax Amortization</t>
  </si>
  <si>
    <t>Combined Excess</t>
  </si>
  <si>
    <t>Total Combined</t>
  </si>
  <si>
    <t>Contributed Excess</t>
  </si>
  <si>
    <t>2014 Excess</t>
  </si>
  <si>
    <t>Currently Amortized</t>
  </si>
  <si>
    <t>2015 Excess</t>
  </si>
  <si>
    <t>Excess</t>
  </si>
  <si>
    <t>2016 Excess</t>
  </si>
  <si>
    <t>2017 Excess</t>
  </si>
  <si>
    <t>Excess/(Shortage) Deferred</t>
  </si>
  <si>
    <t>2016 Amortization Amount</t>
  </si>
  <si>
    <t>2017 Amortization Amount</t>
  </si>
  <si>
    <t>2018 Amortization Amount</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</si>
  <si>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</si>
  <si>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</si>
  <si>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</si>
  <si>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</si>
  <si>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</si>
  <si>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</si>
  <si>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</si>
  <si>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</si>
  <si>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</si>
  <si>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</si>
  <si>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</si>
  <si>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</si>
  <si>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</si>
  <si>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</si>
  <si>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</si>
  <si>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</si>
  <si>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</si>
  <si>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</si>
  <si>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</si>
  <si>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</si>
  <si>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</si>
  <si>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</si>
  <si>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</si>
  <si>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</si>
  <si>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</si>
  <si>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</si>
  <si>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2018 Excess Amortization of Excess Balance Prior to TCJA</t>
  </si>
  <si>
    <t>2018 Excess Amortization of Excess Balance Attributable to TCJA</t>
  </si>
  <si>
    <t>Total 2018 Excess Amortization</t>
  </si>
  <si>
    <t>Member Income Tax Rates for Attachment O</t>
  </si>
  <si>
    <t>2018 Actual Results</t>
  </si>
  <si>
    <t>Federal Rate</t>
  </si>
  <si>
    <t>State Rate:</t>
  </si>
  <si>
    <t>Statutory</t>
  </si>
  <si>
    <t>ATC Apportionment Factor</t>
  </si>
  <si>
    <t>Apportioned Rate</t>
  </si>
  <si>
    <t>Wisconsin</t>
  </si>
  <si>
    <t>Minnesota</t>
  </si>
  <si>
    <t>Illinois</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</si>
  <si>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</si>
  <si>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</si>
  <si>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</si>
  <si>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</si>
  <si>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</si>
  <si>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</si>
  <si>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</si>
  <si>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</si>
  <si>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</si>
  <si>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</si>
  <si>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</si>
  <si>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</si>
  <si>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</si>
  <si>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</si>
  <si>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List of Accounting Changes that Affect Formula Rates</t>
  </si>
  <si>
    <t xml:space="preserve">In June 2018, the Federal Energy Regulatory Commission (FERC) initiated a proceeding under Section 206 of the Federal Power Act to examine the methodology used by ATC LLC (the "Company") and eleven other transmission owners to calculate accumulated deferred income tax (ADIT) balances included in their respective formula rates.  FERC investigated the two-step averaging methodology in use by the Company and the other transmission owners at the time the proceeding was initiated.  Specifically, the issue was whether this two-step averaging resulted in unjust and unreasonable transmission rates.  The Company filed an initial brief in August 2018 to address FERC’s concerns and proposed a slight revision to the methodology used to determine ADIT in its rate base, which included elimination of the two-step averaging methodology.  The Company believes this proposed methodology will also comply with the Internal Revenue Service (IRS) normalization rules.  FERC has set a refund effective date of June 27, 2018, the date this proceeding was published in the Federal Register, and issued a final order in December 2018 accepting the Company’s proposed revision.  In order to effect the change, the Company filed for a revision to its Attachment O under the MISO Tariff on January 22, 2019.  FERC approved the change on May 16, 2019, pending resubmission of the required Attachment O modifications to support the approved methodology but excluding miscellaneous ministerial edits that were rejected by FERC, in docket ER19-838, and the Company applied the new ADIT methodology to the calculation of rate base used in the calculation of its 2018 revenue true-up.  </t>
  </si>
  <si>
    <t>There were no other accounting changes that affected formula rate inputs for American Transmission’s 2018 Annual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</si>
</sst>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0.0000%"/>
    <numFmt numFmtId="178" formatCode="[$-409]mmmm\ d\,\ yyyy;@"/>
    <numFmt numFmtId="179" formatCode="m/d/yy"/>
    <numFmt numFmtId="180" formatCode="0.0%"/>
    <numFmt numFmtId="181" formatCode="0.0000000%"/>
    <numFmt numFmtId="182" formatCode="0.00000%"/>
    <numFmt numFmtId="183" formatCode="0.000000%"/>
    <numFmt numFmtId="184" formatCode="m/d/yyyy;@"/>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0"/>
      <name val="Arial"/>
      <family val="2"/>
    </font>
    <font>
      <sz val="11"/>
      <color theme="0"/>
      <name val="Calibri"/>
      <family val="2"/>
      <scheme val="minor"/>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indexed="9"/>
      <name val="Arial MT"/>
    </font>
    <font>
      <sz val="10"/>
      <name val="Arial MT"/>
    </font>
    <font>
      <b/>
      <sz val="10"/>
      <name val="Arial Narrow"/>
      <family val="2"/>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name val="Calibri"/>
      <family val="2"/>
      <scheme val="minor"/>
    </font>
    <font>
      <sz val="12"/>
      <name val="Arial"/>
      <family val="2"/>
    </font>
    <font>
      <b/>
      <sz val="11"/>
      <name val="Calibri"/>
      <family val="2"/>
      <scheme val="minor"/>
    </font>
    <font>
      <sz val="12"/>
      <color indexed="17"/>
      <name val="Arial MT"/>
    </font>
    <font>
      <b/>
      <sz val="12"/>
      <name val="Arial"/>
      <family val="2"/>
    </font>
    <font>
      <b/>
      <sz val="12"/>
      <name val="Arial MT"/>
    </font>
    <font>
      <b/>
      <u/>
      <sz val="12"/>
      <name val="Arial MT"/>
    </font>
    <font>
      <sz val="12"/>
      <color rgb="FFFF0000"/>
      <name val="Arial MT"/>
    </font>
    <font>
      <sz val="12"/>
      <color indexed="10"/>
      <name val="Arial MT"/>
    </font>
    <font>
      <sz val="10"/>
      <color rgb="FFFF0000"/>
      <name val="Arial MT"/>
    </font>
    <font>
      <u/>
      <sz val="12"/>
      <name val="Arial"/>
      <family val="2"/>
    </font>
    <font>
      <sz val="12"/>
      <color rgb="FFFF0000"/>
      <name val="Arial"/>
      <family val="2"/>
    </font>
    <font>
      <sz val="12"/>
      <color indexed="10"/>
      <name val="Arial"/>
      <family val="2"/>
    </font>
    <font>
      <b/>
      <sz val="10"/>
      <color theme="0"/>
      <name val="Arial MT"/>
    </font>
    <font>
      <i/>
      <sz val="10"/>
      <color rgb="FFFF0000"/>
      <name val="Arial"/>
      <family val="2"/>
    </font>
    <font>
      <b/>
      <sz val="10"/>
      <color rgb="FFFF0000"/>
      <name val="Arial"/>
      <family val="2"/>
    </font>
    <font>
      <b/>
      <u/>
      <sz val="10"/>
      <name val="Arial"/>
      <family val="2"/>
    </font>
    <font>
      <u/>
      <sz val="10"/>
      <name val="Arial"/>
      <family val="2"/>
    </font>
    <font>
      <sz val="10"/>
      <color rgb="FFFF0000"/>
      <name val="Arial"/>
      <family val="2"/>
    </font>
    <font>
      <sz val="8"/>
      <color indexed="12"/>
      <name val="Arial"/>
      <family val="2"/>
    </font>
    <font>
      <sz val="8"/>
      <name val="Arial"/>
      <family val="2"/>
    </font>
    <font>
      <b/>
      <sz val="12"/>
      <name val="Calibri"/>
      <family val="2"/>
    </font>
    <font>
      <sz val="12"/>
      <name val="Calibri"/>
      <family val="2"/>
    </font>
    <font>
      <sz val="12"/>
      <color rgb="FF0070C0"/>
      <name val="Times New Roman"/>
      <family val="1"/>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13"/>
        <bgColor indexed="64"/>
      </patternFill>
    </fill>
  </fills>
  <borders count="26">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right/>
      <top style="thin">
        <color indexed="64"/>
      </top>
      <bottom style="medium">
        <color indexed="64"/>
      </bottom>
      <diagonal/>
    </border>
    <border>
      <left/>
      <right/>
      <top style="thin">
        <color indexed="64"/>
      </top>
      <bottom style="double">
        <color indexed="64"/>
      </bottom>
      <diagonal/>
    </border>
    <border>
      <left/>
      <right/>
      <top style="thick">
        <color auto="1"/>
      </top>
      <bottom/>
      <diagonal/>
    </border>
    <border>
      <left/>
      <right/>
      <top style="thick">
        <color indexed="64"/>
      </top>
      <bottom style="thin">
        <color indexed="64"/>
      </bottom>
      <diagonal/>
    </border>
  </borders>
  <cellStyleXfs count="47">
    <xf numFmtId="0" fontId="0" fillId="0" borderId="0"/>
    <xf numFmtId="43" fontId="5" fillId="0" borderId="0" applyFont="0" applyFill="0" applyBorder="0" applyAlignment="0" applyProtection="0"/>
    <xf numFmtId="164" fontId="6" fillId="0" borderId="0" applyProtection="0"/>
    <xf numFmtId="9" fontId="15" fillId="0" borderId="0" applyFont="0" applyFill="0" applyBorder="0" applyAlignment="0" applyProtection="0"/>
    <xf numFmtId="0" fontId="16" fillId="5" borderId="0" applyNumberFormat="0" applyBorder="0" applyAlignment="0" applyProtection="0"/>
    <xf numFmtId="0" fontId="17" fillId="0" borderId="0">
      <alignment vertical="top"/>
    </xf>
    <xf numFmtId="0" fontId="17" fillId="0" borderId="0">
      <alignment vertical="top"/>
    </xf>
    <xf numFmtId="164" fontId="6" fillId="0" borderId="0" applyProtection="0"/>
    <xf numFmtId="0" fontId="25" fillId="0" borderId="0"/>
    <xf numFmtId="164" fontId="6" fillId="0" borderId="0" applyProtection="0"/>
    <xf numFmtId="164" fontId="6" fillId="0" borderId="0" applyProtection="0"/>
    <xf numFmtId="9" fontId="5" fillId="0" borderId="0" applyFont="0" applyFill="0" applyBorder="0" applyAlignment="0" applyProtection="0"/>
    <xf numFmtId="164" fontId="6" fillId="0" borderId="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4" fillId="0" borderId="0"/>
    <xf numFmtId="0" fontId="4" fillId="0" borderId="0"/>
    <xf numFmtId="43" fontId="5"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4" fillId="0" borderId="0"/>
    <xf numFmtId="43" fontId="4"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0" fontId="5" fillId="0" borderId="0"/>
    <xf numFmtId="0" fontId="2" fillId="0" borderId="0"/>
    <xf numFmtId="43" fontId="5"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752">
    <xf numFmtId="0" fontId="0" fillId="0" borderId="0" xfId="0"/>
    <xf numFmtId="167" fontId="7" fillId="2" borderId="0" xfId="2" applyNumberFormat="1" applyFont="1" applyFill="1" applyProtection="1">
      <protection locked="0"/>
    </xf>
    <xf numFmtId="38" fontId="7" fillId="2" borderId="0" xfId="2" applyNumberFormat="1" applyFont="1" applyFill="1" applyBorder="1" applyProtection="1">
      <protection locked="0"/>
    </xf>
    <xf numFmtId="38" fontId="7" fillId="2" borderId="1" xfId="2" applyNumberFormat="1" applyFont="1" applyFill="1" applyBorder="1" applyProtection="1">
      <protection locked="0"/>
    </xf>
    <xf numFmtId="38" fontId="7" fillId="0" borderId="0" xfId="2" applyNumberFormat="1" applyFont="1" applyFill="1" applyBorder="1" applyProtection="1"/>
    <xf numFmtId="174" fontId="7" fillId="2" borderId="0" xfId="2" applyNumberFormat="1" applyFont="1" applyFill="1" applyBorder="1" applyAlignment="1" applyProtection="1">
      <protection locked="0"/>
    </xf>
    <xf numFmtId="3" fontId="7" fillId="0" borderId="0" xfId="2" applyNumberFormat="1" applyFont="1" applyAlignment="1" applyProtection="1"/>
    <xf numFmtId="174" fontId="7" fillId="0" borderId="0" xfId="2" applyNumberFormat="1" applyFont="1" applyFill="1" applyBorder="1" applyAlignment="1" applyProtection="1"/>
    <xf numFmtId="3" fontId="7" fillId="0" borderId="0" xfId="2" applyNumberFormat="1" applyFont="1" applyFill="1" applyAlignment="1" applyProtection="1"/>
    <xf numFmtId="10" fontId="7" fillId="2" borderId="0" xfId="2" applyNumberFormat="1" applyFont="1" applyFill="1" applyProtection="1">
      <protection locked="0"/>
    </xf>
    <xf numFmtId="0" fontId="7" fillId="2" borderId="0" xfId="2" applyNumberFormat="1" applyFont="1" applyFill="1" applyAlignment="1" applyProtection="1">
      <protection locked="0"/>
    </xf>
    <xf numFmtId="0" fontId="7" fillId="2" borderId="0" xfId="2" applyNumberFormat="1" applyFont="1" applyFill="1" applyProtection="1">
      <protection locked="0"/>
    </xf>
    <xf numFmtId="174" fontId="7" fillId="2" borderId="1" xfId="0" applyNumberFormat="1" applyFont="1" applyFill="1" applyBorder="1" applyAlignment="1" applyProtection="1">
      <protection locked="0"/>
    </xf>
    <xf numFmtId="3" fontId="7" fillId="0" borderId="0" xfId="2" applyNumberFormat="1" applyFont="1" applyProtection="1"/>
    <xf numFmtId="42" fontId="7" fillId="0" borderId="0" xfId="0" applyNumberFormat="1" applyFont="1" applyProtection="1"/>
    <xf numFmtId="165" fontId="7" fillId="0" borderId="0" xfId="0" applyNumberFormat="1" applyFont="1" applyAlignment="1" applyProtection="1"/>
    <xf numFmtId="3" fontId="7" fillId="0" borderId="0" xfId="0" applyNumberFormat="1" applyFont="1" applyAlignment="1" applyProtection="1"/>
    <xf numFmtId="3" fontId="7" fillId="0" borderId="1" xfId="0" applyNumberFormat="1" applyFont="1" applyBorder="1" applyAlignment="1" applyProtection="1"/>
    <xf numFmtId="165" fontId="7" fillId="0" borderId="0" xfId="2" applyNumberFormat="1" applyFont="1" applyAlignment="1" applyProtection="1"/>
    <xf numFmtId="42" fontId="7" fillId="0" borderId="2" xfId="2" applyNumberFormat="1" applyFont="1" applyBorder="1" applyAlignment="1" applyProtection="1">
      <alignment horizontal="right"/>
    </xf>
    <xf numFmtId="166" fontId="7" fillId="0" borderId="0" xfId="0" applyNumberFormat="1" applyFont="1" applyProtection="1"/>
    <xf numFmtId="167" fontId="7" fillId="0" borderId="0" xfId="0" applyNumberFormat="1" applyFont="1" applyAlignment="1" applyProtection="1"/>
    <xf numFmtId="169" fontId="7" fillId="0" borderId="0" xfId="0" applyNumberFormat="1" applyFont="1" applyAlignment="1" applyProtection="1"/>
    <xf numFmtId="170" fontId="7" fillId="0" borderId="0" xfId="0" applyNumberFormat="1" applyFont="1" applyAlignment="1" applyProtection="1">
      <alignment horizontal="center"/>
    </xf>
    <xf numFmtId="3" fontId="7" fillId="0" borderId="0" xfId="1" applyNumberFormat="1" applyFont="1" applyAlignment="1" applyProtection="1"/>
    <xf numFmtId="169" fontId="7" fillId="0" borderId="0" xfId="0" applyNumberFormat="1" applyFont="1" applyFill="1" applyAlignment="1" applyProtection="1">
      <alignment horizontal="right"/>
    </xf>
    <xf numFmtId="169" fontId="7" fillId="0" borderId="0" xfId="0" applyNumberFormat="1" applyFont="1" applyFill="1" applyAlignment="1" applyProtection="1"/>
    <xf numFmtId="3" fontId="7" fillId="0" borderId="0" xfId="0" applyNumberFormat="1" applyFont="1" applyFill="1" applyAlignment="1" applyProtection="1"/>
    <xf numFmtId="3" fontId="7" fillId="0" borderId="2" xfId="0" applyNumberFormat="1" applyFont="1" applyBorder="1" applyAlignment="1" applyProtection="1"/>
    <xf numFmtId="3" fontId="7" fillId="0" borderId="0" xfId="0" applyNumberFormat="1" applyFont="1" applyBorder="1" applyAlignment="1" applyProtection="1"/>
    <xf numFmtId="10" fontId="7" fillId="0" borderId="0" xfId="0" applyNumberFormat="1" applyFont="1" applyFill="1" applyAlignment="1" applyProtection="1">
      <alignment horizontal="right"/>
    </xf>
    <xf numFmtId="168" fontId="7" fillId="0" borderId="0" xfId="0" applyNumberFormat="1" applyFont="1" applyFill="1" applyAlignment="1" applyProtection="1">
      <alignment horizontal="right"/>
    </xf>
    <xf numFmtId="3" fontId="7" fillId="0" borderId="0" xfId="0" applyNumberFormat="1" applyFont="1" applyFill="1" applyAlignment="1" applyProtection="1">
      <alignment horizontal="right"/>
    </xf>
    <xf numFmtId="3" fontId="7" fillId="0" borderId="0" xfId="2" applyNumberFormat="1" applyFont="1" applyFill="1" applyAlignment="1" applyProtection="1">
      <alignment horizontal="center"/>
    </xf>
    <xf numFmtId="169" fontId="7" fillId="0" borderId="0" xfId="0" applyNumberFormat="1" applyFont="1" applyFill="1" applyProtection="1"/>
    <xf numFmtId="165" fontId="7" fillId="0" borderId="0" xfId="0" applyNumberFormat="1" applyFont="1" applyFill="1" applyProtection="1"/>
    <xf numFmtId="4" fontId="7" fillId="0" borderId="0" xfId="0" applyNumberFormat="1" applyFont="1" applyAlignment="1" applyProtection="1"/>
    <xf numFmtId="168" fontId="7" fillId="0" borderId="0" xfId="2" applyNumberFormat="1" applyFont="1" applyAlignment="1" applyProtection="1"/>
    <xf numFmtId="168" fontId="7" fillId="0" borderId="1" xfId="2" applyNumberFormat="1" applyFont="1" applyBorder="1" applyAlignment="1" applyProtection="1"/>
    <xf numFmtId="0" fontId="7" fillId="2" borderId="0" xfId="0" applyFont="1" applyFill="1" applyProtection="1">
      <protection locked="0"/>
    </xf>
    <xf numFmtId="3" fontId="7" fillId="2" borderId="0" xfId="2" applyNumberFormat="1" applyFont="1" applyFill="1" applyAlignment="1" applyProtection="1">
      <protection locked="0"/>
    </xf>
    <xf numFmtId="3" fontId="7" fillId="2" borderId="0" xfId="2" applyNumberFormat="1" applyFont="1" applyFill="1" applyProtection="1">
      <protection locked="0"/>
    </xf>
    <xf numFmtId="3" fontId="7" fillId="2" borderId="0" xfId="2" applyNumberFormat="1" applyFont="1" applyFill="1" applyBorder="1" applyProtection="1">
      <protection locked="0"/>
    </xf>
    <xf numFmtId="3" fontId="7" fillId="2" borderId="1" xfId="2" applyNumberFormat="1" applyFont="1" applyFill="1" applyBorder="1" applyProtection="1">
      <protection locked="0"/>
    </xf>
    <xf numFmtId="3" fontId="7" fillId="2" borderId="1" xfId="2" applyNumberFormat="1" applyFont="1" applyFill="1" applyBorder="1" applyAlignment="1" applyProtection="1">
      <protection locked="0"/>
    </xf>
    <xf numFmtId="3" fontId="7" fillId="2" borderId="0" xfId="1" applyNumberFormat="1" applyFont="1" applyFill="1" applyAlignment="1" applyProtection="1">
      <protection locked="0"/>
    </xf>
    <xf numFmtId="3" fontId="7" fillId="2" borderId="0" xfId="2" applyNumberFormat="1" applyFont="1" applyFill="1" applyBorder="1" applyAlignment="1" applyProtection="1">
      <protection locked="0"/>
    </xf>
    <xf numFmtId="3" fontId="7" fillId="2" borderId="0" xfId="1" applyNumberFormat="1" applyFont="1" applyFill="1" applyBorder="1" applyAlignment="1" applyProtection="1">
      <protection locked="0"/>
    </xf>
    <xf numFmtId="3" fontId="7" fillId="2" borderId="0" xfId="0" applyNumberFormat="1" applyFont="1" applyFill="1" applyBorder="1" applyAlignment="1" applyProtection="1">
      <protection locked="0"/>
    </xf>
    <xf numFmtId="3" fontId="7" fillId="2" borderId="1" xfId="0" applyNumberFormat="1" applyFont="1" applyFill="1" applyBorder="1" applyAlignment="1" applyProtection="1">
      <protection locked="0"/>
    </xf>
    <xf numFmtId="174" fontId="7" fillId="2" borderId="0" xfId="2" applyNumberFormat="1" applyFont="1" applyFill="1" applyAlignment="1" applyProtection="1">
      <alignment horizontal="center"/>
      <protection locked="0"/>
    </xf>
    <xf numFmtId="42" fontId="7" fillId="2" borderId="0" xfId="2" applyNumberFormat="1" applyFont="1" applyFill="1" applyAlignment="1" applyProtection="1">
      <alignment horizontal="center"/>
      <protection locked="0"/>
    </xf>
    <xf numFmtId="3" fontId="7" fillId="2" borderId="0" xfId="2" applyNumberFormat="1" applyFont="1" applyFill="1" applyAlignment="1" applyProtection="1">
      <alignment horizontal="center"/>
      <protection locked="0"/>
    </xf>
    <xf numFmtId="3" fontId="7" fillId="2" borderId="1" xfId="2" applyNumberFormat="1" applyFont="1" applyFill="1" applyBorder="1" applyAlignment="1" applyProtection="1">
      <alignment horizontal="center"/>
      <protection locked="0"/>
    </xf>
    <xf numFmtId="174" fontId="7" fillId="2" borderId="0" xfId="2" applyNumberFormat="1" applyFont="1" applyFill="1" applyBorder="1" applyProtection="1">
      <protection locked="0"/>
    </xf>
    <xf numFmtId="168" fontId="7" fillId="2" borderId="0" xfId="2" applyNumberFormat="1" applyFont="1" applyFill="1" applyAlignment="1" applyProtection="1">
      <protection locked="0"/>
    </xf>
    <xf numFmtId="0" fontId="7" fillId="0" borderId="0" xfId="0" applyFont="1" applyProtection="1">
      <protection locked="0"/>
    </xf>
    <xf numFmtId="0" fontId="14" fillId="0" borderId="0" xfId="0" applyFont="1" applyBorder="1" applyAlignment="1" applyProtection="1">
      <alignment vertical="center" wrapText="1"/>
      <protection locked="0"/>
    </xf>
    <xf numFmtId="164" fontId="7" fillId="0" borderId="0" xfId="2" applyFont="1" applyAlignment="1" applyProtection="1">
      <protection locked="0"/>
    </xf>
    <xf numFmtId="0" fontId="7" fillId="0" borderId="0" xfId="2" applyNumberFormat="1" applyFont="1" applyAlignment="1" applyProtection="1">
      <protection locked="0"/>
    </xf>
    <xf numFmtId="0" fontId="7" fillId="0" borderId="0" xfId="2" applyNumberFormat="1" applyFont="1" applyAlignment="1" applyProtection="1">
      <alignment horizontal="left"/>
      <protection locked="0"/>
    </xf>
    <xf numFmtId="0" fontId="7" fillId="0" borderId="0" xfId="2" applyNumberFormat="1" applyFont="1" applyProtection="1">
      <protection locked="0"/>
    </xf>
    <xf numFmtId="3" fontId="7" fillId="0" borderId="0" xfId="2" applyNumberFormat="1" applyFont="1" applyAlignment="1" applyProtection="1">
      <protection locked="0"/>
    </xf>
    <xf numFmtId="0" fontId="7" fillId="0" borderId="0" xfId="2" applyNumberFormat="1" applyFont="1" applyAlignment="1" applyProtection="1">
      <alignment horizontal="center"/>
      <protection locked="0"/>
    </xf>
    <xf numFmtId="0" fontId="8" fillId="0" borderId="0" xfId="2" applyNumberFormat="1" applyFont="1" applyProtection="1">
      <protection locked="0"/>
    </xf>
    <xf numFmtId="49" fontId="7" fillId="0" borderId="0" xfId="2" applyNumberFormat="1" applyFont="1" applyProtection="1">
      <protection locked="0"/>
    </xf>
    <xf numFmtId="0" fontId="7" fillId="0" borderId="1" xfId="2" applyNumberFormat="1" applyFont="1" applyBorder="1" applyAlignment="1" applyProtection="1">
      <alignment horizontal="center"/>
      <protection locked="0"/>
    </xf>
    <xf numFmtId="3" fontId="7" fillId="0" borderId="0" xfId="2" applyNumberFormat="1" applyFont="1" applyProtection="1">
      <protection locked="0"/>
    </xf>
    <xf numFmtId="3" fontId="7" fillId="0" borderId="0" xfId="2" applyNumberFormat="1" applyFont="1" applyFill="1" applyAlignment="1" applyProtection="1">
      <protection locked="0"/>
    </xf>
    <xf numFmtId="0" fontId="7" fillId="0" borderId="1" xfId="2" applyNumberFormat="1" applyFont="1" applyBorder="1" applyAlignment="1" applyProtection="1">
      <alignment horizontal="centerContinuous"/>
      <protection locked="0"/>
    </xf>
    <xf numFmtId="165" fontId="7" fillId="0" borderId="0" xfId="0" applyNumberFormat="1" applyFont="1" applyAlignment="1" applyProtection="1">
      <protection locked="0"/>
    </xf>
    <xf numFmtId="3" fontId="7" fillId="0" borderId="0" xfId="0" applyNumberFormat="1" applyFont="1" applyAlignment="1" applyProtection="1">
      <protection locked="0"/>
    </xf>
    <xf numFmtId="3" fontId="7" fillId="0" borderId="0" xfId="2" applyNumberFormat="1" applyFont="1" applyFill="1" applyBorder="1" applyProtection="1">
      <protection locked="0"/>
    </xf>
    <xf numFmtId="3" fontId="7" fillId="0" borderId="0" xfId="2" applyNumberFormat="1" applyFont="1" applyAlignment="1" applyProtection="1">
      <alignment horizontal="fill"/>
      <protection locked="0"/>
    </xf>
    <xf numFmtId="165" fontId="7" fillId="0" borderId="0" xfId="2" applyNumberFormat="1" applyFont="1" applyAlignment="1" applyProtection="1">
      <protection locked="0"/>
    </xf>
    <xf numFmtId="0" fontId="7" fillId="0" borderId="0" xfId="2" applyNumberFormat="1" applyFont="1" applyFill="1" applyProtection="1">
      <protection locked="0"/>
    </xf>
    <xf numFmtId="166" fontId="7" fillId="0" borderId="0" xfId="2" applyNumberFormat="1" applyFont="1" applyProtection="1">
      <protection locked="0"/>
    </xf>
    <xf numFmtId="166" fontId="7" fillId="0" borderId="0" xfId="2" applyNumberFormat="1" applyFont="1" applyAlignment="1" applyProtection="1">
      <alignment horizontal="center"/>
      <protection locked="0"/>
    </xf>
    <xf numFmtId="164" fontId="7" fillId="0" borderId="0" xfId="2" applyFont="1" applyAlignment="1" applyProtection="1">
      <alignment horizontal="center"/>
      <protection locked="0"/>
    </xf>
    <xf numFmtId="167" fontId="7" fillId="0" borderId="0" xfId="2" applyNumberFormat="1" applyFont="1" applyProtection="1">
      <protection locked="0"/>
    </xf>
    <xf numFmtId="167" fontId="7" fillId="0" borderId="0" xfId="2" applyNumberFormat="1" applyFont="1" applyFill="1" applyProtection="1">
      <protection locked="0"/>
    </xf>
    <xf numFmtId="168" fontId="7" fillId="0" borderId="0" xfId="2" applyNumberFormat="1" applyFont="1" applyProtection="1">
      <protection locked="0"/>
    </xf>
    <xf numFmtId="49" fontId="7" fillId="0" borderId="0" xfId="2" applyNumberFormat="1" applyFont="1" applyAlignment="1" applyProtection="1">
      <alignment horizontal="left"/>
      <protection locked="0"/>
    </xf>
    <xf numFmtId="3" fontId="10" fillId="0" borderId="0" xfId="2" applyNumberFormat="1" applyFont="1" applyAlignment="1" applyProtection="1">
      <alignment horizontal="center"/>
      <protection locked="0"/>
    </xf>
    <xf numFmtId="0" fontId="10" fillId="0" borderId="0" xfId="2" applyNumberFormat="1" applyFont="1" applyAlignment="1" applyProtection="1">
      <alignment horizontal="center"/>
      <protection locked="0"/>
    </xf>
    <xf numFmtId="164" fontId="10" fillId="0" borderId="0" xfId="2" applyFont="1" applyAlignment="1" applyProtection="1">
      <alignment horizontal="center"/>
      <protection locked="0"/>
    </xf>
    <xf numFmtId="3" fontId="10" fillId="0" borderId="0" xfId="2" applyNumberFormat="1" applyFont="1" applyAlignment="1" applyProtection="1">
      <protection locked="0"/>
    </xf>
    <xf numFmtId="0" fontId="10" fillId="0" borderId="0" xfId="2" applyNumberFormat="1" applyFont="1" applyAlignment="1" applyProtection="1">
      <protection locked="0"/>
    </xf>
    <xf numFmtId="169" fontId="7" fillId="0" borderId="0" xfId="2" applyNumberFormat="1" applyFont="1" applyAlignment="1" applyProtection="1">
      <protection locked="0"/>
    </xf>
    <xf numFmtId="169" fontId="7" fillId="0" borderId="0" xfId="0" applyNumberFormat="1" applyFont="1" applyAlignment="1" applyProtection="1">
      <protection locked="0"/>
    </xf>
    <xf numFmtId="170" fontId="7" fillId="0" borderId="0" xfId="0" applyNumberFormat="1" applyFont="1" applyAlignment="1" applyProtection="1">
      <alignment horizontal="center"/>
      <protection locked="0"/>
    </xf>
    <xf numFmtId="170" fontId="7" fillId="0" borderId="0" xfId="2" applyNumberFormat="1" applyFont="1" applyAlignment="1" applyProtection="1">
      <alignment horizontal="center"/>
      <protection locked="0"/>
    </xf>
    <xf numFmtId="0" fontId="7" fillId="0" borderId="0" xfId="2" applyNumberFormat="1" applyFont="1" applyAlignment="1" applyProtection="1">
      <alignment horizontal="fill"/>
      <protection locked="0"/>
    </xf>
    <xf numFmtId="169" fontId="7" fillId="0" borderId="0" xfId="0" applyNumberFormat="1" applyFont="1" applyFill="1" applyAlignment="1" applyProtection="1">
      <alignment horizontal="right"/>
      <protection locked="0"/>
    </xf>
    <xf numFmtId="3" fontId="7" fillId="0" borderId="0" xfId="2" quotePrefix="1" applyNumberFormat="1" applyFont="1" applyAlignment="1" applyProtection="1">
      <alignment horizontal="left"/>
      <protection locked="0"/>
    </xf>
    <xf numFmtId="169" fontId="7" fillId="0" borderId="0" xfId="0" applyNumberFormat="1" applyFont="1" applyFill="1" applyAlignment="1" applyProtection="1">
      <protection locked="0"/>
    </xf>
    <xf numFmtId="3" fontId="7" fillId="0" borderId="0" xfId="0" applyNumberFormat="1" applyFont="1" applyFill="1" applyAlignment="1" applyProtection="1">
      <protection locked="0"/>
    </xf>
    <xf numFmtId="3" fontId="7" fillId="0" borderId="0" xfId="2" applyNumberFormat="1" applyFont="1" applyAlignment="1" applyProtection="1">
      <alignment horizontal="center"/>
      <protection locked="0"/>
    </xf>
    <xf numFmtId="0" fontId="7" fillId="0" borderId="0" xfId="0" applyNumberFormat="1" applyFont="1" applyProtection="1">
      <protection locked="0"/>
    </xf>
    <xf numFmtId="164" fontId="7" fillId="0" borderId="1" xfId="2" applyFont="1" applyBorder="1" applyAlignment="1" applyProtection="1">
      <protection locked="0"/>
    </xf>
    <xf numFmtId="3" fontId="7" fillId="0" borderId="0" xfId="0" applyNumberFormat="1" applyFont="1" applyBorder="1" applyAlignment="1" applyProtection="1">
      <protection locked="0"/>
    </xf>
    <xf numFmtId="0" fontId="7" fillId="0" borderId="0" xfId="2" applyNumberFormat="1" applyFont="1" applyFill="1" applyAlignment="1" applyProtection="1">
      <protection locked="0"/>
    </xf>
    <xf numFmtId="3" fontId="11" fillId="0" borderId="0" xfId="2" applyNumberFormat="1" applyFont="1" applyFill="1" applyAlignment="1" applyProtection="1">
      <protection locked="0"/>
    </xf>
    <xf numFmtId="172" fontId="7" fillId="0" borderId="0" xfId="2" applyNumberFormat="1" applyFont="1" applyFill="1" applyAlignment="1" applyProtection="1">
      <alignment horizontal="left"/>
      <protection locked="0"/>
    </xf>
    <xf numFmtId="0" fontId="7" fillId="0" borderId="0" xfId="2" quotePrefix="1" applyNumberFormat="1" applyFont="1" applyAlignment="1" applyProtection="1">
      <alignment horizontal="left"/>
      <protection locked="0"/>
    </xf>
    <xf numFmtId="0" fontId="7" fillId="0" borderId="0" xfId="0" applyFont="1" applyAlignment="1" applyProtection="1">
      <protection locked="0"/>
    </xf>
    <xf numFmtId="165" fontId="7" fillId="0" borderId="0" xfId="0" applyNumberFormat="1" applyFont="1" applyFill="1" applyAlignment="1" applyProtection="1">
      <alignment horizontal="right"/>
      <protection locked="0"/>
    </xf>
    <xf numFmtId="165" fontId="7" fillId="0" borderId="0" xfId="2" applyNumberFormat="1" applyFont="1" applyAlignment="1" applyProtection="1">
      <alignment horizontal="center"/>
      <protection locked="0"/>
    </xf>
    <xf numFmtId="170" fontId="7" fillId="0" borderId="0" xfId="2" applyNumberFormat="1" applyFont="1" applyAlignment="1" applyProtection="1">
      <alignment horizontal="left"/>
      <protection locked="0"/>
    </xf>
    <xf numFmtId="171" fontId="7" fillId="0" borderId="0" xfId="1" applyNumberFormat="1" applyFont="1" applyBorder="1" applyAlignment="1" applyProtection="1">
      <protection locked="0"/>
    </xf>
    <xf numFmtId="10" fontId="7" fillId="0" borderId="0" xfId="2" applyNumberFormat="1" applyFont="1" applyAlignment="1" applyProtection="1">
      <alignment horizontal="left"/>
      <protection locked="0"/>
    </xf>
    <xf numFmtId="173" fontId="7" fillId="0" borderId="0" xfId="2" applyNumberFormat="1" applyFont="1" applyAlignment="1" applyProtection="1">
      <protection locked="0"/>
    </xf>
    <xf numFmtId="165" fontId="7" fillId="0" borderId="0" xfId="0" applyNumberFormat="1" applyFont="1" applyAlignment="1" applyProtection="1">
      <alignment horizontal="center"/>
      <protection locked="0"/>
    </xf>
    <xf numFmtId="0" fontId="7" fillId="0" borderId="0" xfId="0" applyNumberFormat="1" applyFont="1" applyAlignment="1" applyProtection="1">
      <alignment horizontal="center"/>
      <protection locked="0"/>
    </xf>
    <xf numFmtId="0" fontId="7" fillId="0" borderId="0" xfId="0" applyNumberFormat="1" applyFont="1" applyAlignment="1" applyProtection="1">
      <protection locked="0"/>
    </xf>
    <xf numFmtId="3" fontId="12" fillId="0" borderId="0" xfId="0" applyNumberFormat="1" applyFont="1" applyBorder="1" applyAlignment="1" applyProtection="1">
      <protection locked="0"/>
    </xf>
    <xf numFmtId="3" fontId="12" fillId="0" borderId="0" xfId="0" applyNumberFormat="1" applyFont="1" applyAlignment="1" applyProtection="1">
      <protection locked="0"/>
    </xf>
    <xf numFmtId="0" fontId="12" fillId="0" borderId="0" xfId="0" applyFont="1" applyAlignment="1" applyProtection="1">
      <protection locked="0"/>
    </xf>
    <xf numFmtId="0" fontId="12" fillId="0" borderId="0" xfId="0" applyNumberFormat="1" applyFont="1" applyProtection="1">
      <protection locked="0"/>
    </xf>
    <xf numFmtId="0" fontId="12" fillId="0" borderId="0" xfId="0" applyNumberFormat="1" applyFont="1" applyFill="1" applyProtection="1">
      <protection locked="0"/>
    </xf>
    <xf numFmtId="164" fontId="7" fillId="0" borderId="0" xfId="2" applyFont="1" applyFill="1" applyAlignment="1" applyProtection="1">
      <protection locked="0"/>
    </xf>
    <xf numFmtId="0" fontId="7" fillId="0" borderId="1" xfId="2" applyNumberFormat="1" applyFont="1" applyFill="1" applyBorder="1" applyProtection="1">
      <protection locked="0"/>
    </xf>
    <xf numFmtId="3" fontId="7" fillId="0" borderId="0" xfId="2" applyNumberFormat="1" applyFont="1" applyFill="1" applyAlignment="1" applyProtection="1">
      <alignment horizontal="center"/>
      <protection locked="0"/>
    </xf>
    <xf numFmtId="49" fontId="7" fillId="0" borderId="0" xfId="2" applyNumberFormat="1" applyFont="1" applyFill="1" applyProtection="1">
      <protection locked="0"/>
    </xf>
    <xf numFmtId="49" fontId="7" fillId="0" borderId="0" xfId="2" applyNumberFormat="1" applyFont="1" applyFill="1" applyAlignment="1" applyProtection="1">
      <protection locked="0"/>
    </xf>
    <xf numFmtId="49" fontId="7" fillId="0" borderId="0" xfId="2" applyNumberFormat="1" applyFont="1" applyFill="1" applyAlignment="1" applyProtection="1">
      <alignment horizontal="center"/>
      <protection locked="0"/>
    </xf>
    <xf numFmtId="164" fontId="12" fillId="0" borderId="0" xfId="2" applyFont="1" applyFill="1" applyAlignment="1" applyProtection="1">
      <protection locked="0"/>
    </xf>
    <xf numFmtId="0" fontId="7" fillId="0" borderId="0" xfId="2" applyNumberFormat="1" applyFont="1" applyFill="1" applyAlignment="1" applyProtection="1">
      <alignment horizontal="center"/>
      <protection locked="0"/>
    </xf>
    <xf numFmtId="3" fontId="7" fillId="0" borderId="0" xfId="2" applyNumberFormat="1" applyFont="1" applyFill="1" applyBorder="1" applyAlignment="1" applyProtection="1">
      <protection locked="0"/>
    </xf>
    <xf numFmtId="3" fontId="7" fillId="0" borderId="1" xfId="2" applyNumberFormat="1" applyFont="1" applyBorder="1" applyAlignment="1" applyProtection="1">
      <protection locked="0"/>
    </xf>
    <xf numFmtId="3" fontId="7" fillId="0" borderId="1" xfId="2" applyNumberFormat="1" applyFont="1" applyBorder="1" applyAlignment="1" applyProtection="1">
      <alignment horizontal="center"/>
      <protection locked="0"/>
    </xf>
    <xf numFmtId="4" fontId="7" fillId="0" borderId="0" xfId="2" applyNumberFormat="1" applyFont="1" applyAlignment="1" applyProtection="1">
      <protection locked="0"/>
    </xf>
    <xf numFmtId="3" fontId="7" fillId="0" borderId="0" xfId="0" applyNumberFormat="1" applyFont="1" applyBorder="1" applyAlignment="1" applyProtection="1">
      <alignment horizontal="center"/>
      <protection locked="0"/>
    </xf>
    <xf numFmtId="0" fontId="7" fillId="0" borderId="1" xfId="0" applyNumberFormat="1" applyFont="1" applyBorder="1" applyAlignment="1" applyProtection="1">
      <alignment horizontal="center"/>
      <protection locked="0"/>
    </xf>
    <xf numFmtId="0" fontId="7" fillId="0" borderId="1" xfId="2" applyNumberFormat="1" applyFont="1" applyBorder="1" applyAlignment="1" applyProtection="1">
      <protection locked="0"/>
    </xf>
    <xf numFmtId="9" fontId="7" fillId="0" borderId="0" xfId="2" applyNumberFormat="1" applyFont="1" applyAlignment="1" applyProtection="1">
      <protection locked="0"/>
    </xf>
    <xf numFmtId="168" fontId="7" fillId="0" borderId="0" xfId="2" applyNumberFormat="1" applyFont="1" applyAlignment="1" applyProtection="1">
      <protection locked="0"/>
    </xf>
    <xf numFmtId="3" fontId="7" fillId="0" borderId="0" xfId="2" quotePrefix="1" applyNumberFormat="1" applyFont="1" applyAlignment="1" applyProtection="1">
      <protection locked="0"/>
    </xf>
    <xf numFmtId="0" fontId="7" fillId="0" borderId="0" xfId="2" applyNumberFormat="1" applyFont="1" applyBorder="1" applyAlignment="1" applyProtection="1">
      <alignment horizontal="center"/>
      <protection locked="0"/>
    </xf>
    <xf numFmtId="0" fontId="12" fillId="0" borderId="0" xfId="2" applyNumberFormat="1" applyFont="1" applyProtection="1">
      <protection locked="0"/>
    </xf>
    <xf numFmtId="164" fontId="12" fillId="0" borderId="0" xfId="2" applyFont="1" applyAlignment="1" applyProtection="1">
      <protection locked="0"/>
    </xf>
    <xf numFmtId="38" fontId="7" fillId="0" borderId="0" xfId="2" applyNumberFormat="1" applyFont="1" applyAlignment="1" applyProtection="1">
      <protection locked="0"/>
    </xf>
    <xf numFmtId="0" fontId="7" fillId="0" borderId="1" xfId="2" applyNumberFormat="1" applyFont="1" applyBorder="1" applyProtection="1">
      <protection locked="0"/>
    </xf>
    <xf numFmtId="164" fontId="7" fillId="0" borderId="0" xfId="2" applyFont="1" applyBorder="1" applyAlignment="1" applyProtection="1">
      <protection locked="0"/>
    </xf>
    <xf numFmtId="0" fontId="7" fillId="0" borderId="0" xfId="2" applyNumberFormat="1" applyFont="1" applyBorder="1" applyProtection="1">
      <protection locked="0"/>
    </xf>
    <xf numFmtId="174" fontId="7" fillId="0" borderId="0" xfId="2" applyNumberFormat="1" applyFont="1" applyFill="1" applyBorder="1" applyProtection="1">
      <protection locked="0"/>
    </xf>
    <xf numFmtId="1" fontId="7" fillId="0" borderId="0" xfId="2" applyNumberFormat="1" applyFont="1" applyFill="1" applyProtection="1">
      <protection locked="0"/>
    </xf>
    <xf numFmtId="1" fontId="7" fillId="0" borderId="0" xfId="2" applyNumberFormat="1" applyFont="1" applyFill="1" applyAlignment="1" applyProtection="1">
      <protection locked="0"/>
    </xf>
    <xf numFmtId="0" fontId="7" fillId="0" borderId="0" xfId="2" applyNumberFormat="1" applyFont="1" applyBorder="1" applyAlignment="1" applyProtection="1">
      <protection locked="0"/>
    </xf>
    <xf numFmtId="3" fontId="7" fillId="0" borderId="0" xfId="2" applyNumberFormat="1" applyFont="1" applyFill="1" applyAlignment="1" applyProtection="1">
      <alignment horizontal="right"/>
      <protection locked="0"/>
    </xf>
    <xf numFmtId="0" fontId="7" fillId="0" borderId="0" xfId="0" applyNumberFormat="1" applyFont="1" applyBorder="1" applyAlignment="1" applyProtection="1">
      <protection locked="0"/>
    </xf>
    <xf numFmtId="0" fontId="7" fillId="0" borderId="0" xfId="0" applyNumberFormat="1" applyFont="1" applyBorder="1" applyProtection="1">
      <protection locked="0"/>
    </xf>
    <xf numFmtId="0" fontId="7" fillId="0" borderId="1" xfId="0" applyNumberFormat="1" applyFont="1" applyBorder="1" applyAlignment="1" applyProtection="1">
      <protection locked="0"/>
    </xf>
    <xf numFmtId="0" fontId="7" fillId="0" borderId="1" xfId="0" applyNumberFormat="1" applyFont="1" applyBorder="1" applyProtection="1">
      <protection locked="0"/>
    </xf>
    <xf numFmtId="3" fontId="12" fillId="0" borderId="0" xfId="0" applyNumberFormat="1" applyFont="1" applyFill="1" applyAlignment="1" applyProtection="1">
      <alignment horizontal="right"/>
      <protection locked="0"/>
    </xf>
    <xf numFmtId="174" fontId="7" fillId="0" borderId="0" xfId="2" applyNumberFormat="1" applyFont="1" applyFill="1" applyBorder="1" applyAlignment="1" applyProtection="1">
      <protection locked="0"/>
    </xf>
    <xf numFmtId="164" fontId="7" fillId="0" borderId="0" xfId="2" applyNumberFormat="1" applyFont="1" applyAlignment="1" applyProtection="1">
      <protection locked="0"/>
    </xf>
    <xf numFmtId="174" fontId="7" fillId="0" borderId="0" xfId="2" applyNumberFormat="1" applyFont="1" applyProtection="1">
      <protection locked="0"/>
    </xf>
    <xf numFmtId="0" fontId="7" fillId="0" borderId="0" xfId="2" applyNumberFormat="1" applyFont="1" applyAlignment="1" applyProtection="1">
      <alignment horizontal="left" indent="8"/>
      <protection locked="0"/>
    </xf>
    <xf numFmtId="3" fontId="7" fillId="0" borderId="0" xfId="2" applyNumberFormat="1" applyFont="1" applyAlignment="1" applyProtection="1">
      <alignment vertical="top" wrapText="1"/>
      <protection locked="0"/>
    </xf>
    <xf numFmtId="0" fontId="7" fillId="0" borderId="0" xfId="2" applyNumberFormat="1" applyFont="1" applyAlignment="1" applyProtection="1">
      <alignment vertical="top" wrapText="1"/>
      <protection locked="0"/>
    </xf>
    <xf numFmtId="0" fontId="7" fillId="0" borderId="0" xfId="2" applyNumberFormat="1" applyFont="1" applyAlignment="1" applyProtection="1">
      <alignment horizontal="center" vertical="top" wrapText="1"/>
      <protection locked="0"/>
    </xf>
    <xf numFmtId="0" fontId="7" fillId="0" borderId="0" xfId="2" applyNumberFormat="1" applyFont="1" applyFill="1" applyAlignment="1" applyProtection="1">
      <alignment horizontal="center" vertical="top" wrapText="1"/>
      <protection locked="0"/>
    </xf>
    <xf numFmtId="0" fontId="7" fillId="0" borderId="0" xfId="0" applyFont="1" applyAlignment="1" applyProtection="1">
      <alignment vertical="top" wrapText="1"/>
      <protection locked="0"/>
    </xf>
    <xf numFmtId="3" fontId="7" fillId="0" borderId="0" xfId="2" applyNumberFormat="1" applyFont="1" applyFill="1" applyAlignment="1" applyProtection="1">
      <alignment horizontal="center" vertical="top" wrapText="1"/>
      <protection locked="0"/>
    </xf>
    <xf numFmtId="10" fontId="11" fillId="0" borderId="0" xfId="2" applyNumberFormat="1" applyFont="1" applyFill="1" applyProtection="1">
      <protection locked="0"/>
    </xf>
    <xf numFmtId="0" fontId="7" fillId="0" borderId="0" xfId="0" applyFont="1" applyFill="1" applyProtection="1">
      <protection locked="0"/>
    </xf>
    <xf numFmtId="164" fontId="7" fillId="0" borderId="0" xfId="2" applyFont="1" applyFill="1" applyAlignment="1" applyProtection="1">
      <alignment horizontal="center" vertical="top" wrapText="1"/>
      <protection locked="0"/>
    </xf>
    <xf numFmtId="0" fontId="7" fillId="0"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2" fillId="0" borderId="0" xfId="0" applyFont="1" applyAlignment="1" applyProtection="1">
      <alignment vertical="top" wrapText="1"/>
      <protection locked="0"/>
    </xf>
    <xf numFmtId="0" fontId="12" fillId="0" borderId="0" xfId="0" applyFont="1" applyFill="1" applyAlignment="1" applyProtection="1">
      <alignment vertical="top" wrapText="1"/>
      <protection locked="0"/>
    </xf>
    <xf numFmtId="0" fontId="7" fillId="0" borderId="0" xfId="0" applyFont="1" applyAlignment="1" applyProtection="1">
      <alignment horizontal="center"/>
      <protection locked="0"/>
    </xf>
    <xf numFmtId="0" fontId="7" fillId="0" borderId="0" xfId="0" applyNumberFormat="1" applyFont="1" applyFill="1" applyProtection="1">
      <protection locked="0"/>
    </xf>
    <xf numFmtId="3" fontId="7" fillId="2" borderId="0" xfId="0" applyNumberFormat="1" applyFont="1" applyFill="1" applyBorder="1" applyAlignment="1" applyProtection="1"/>
    <xf numFmtId="3" fontId="7" fillId="2" borderId="1" xfId="0" applyNumberFormat="1" applyFont="1" applyFill="1" applyBorder="1" applyAlignment="1" applyProtection="1"/>
    <xf numFmtId="3" fontId="7" fillId="3" borderId="0" xfId="2" applyNumberFormat="1" applyFont="1" applyFill="1" applyAlignment="1" applyProtection="1">
      <alignment horizontal="center"/>
      <protection locked="0"/>
    </xf>
    <xf numFmtId="168" fontId="7" fillId="3" borderId="0" xfId="0" applyNumberFormat="1" applyFont="1" applyFill="1" applyAlignment="1" applyProtection="1"/>
    <xf numFmtId="168" fontId="7" fillId="3" borderId="0" xfId="0" applyNumberFormat="1" applyFont="1" applyFill="1" applyAlignment="1" applyProtection="1">
      <protection locked="0"/>
    </xf>
    <xf numFmtId="0" fontId="7" fillId="0" borderId="3" xfId="0" applyFont="1" applyBorder="1" applyAlignment="1" applyProtection="1">
      <protection locked="0"/>
    </xf>
    <xf numFmtId="0" fontId="7" fillId="0" borderId="4" xfId="0" applyFont="1" applyBorder="1" applyAlignme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0" xfId="0" applyFont="1" applyBorder="1" applyAlignment="1" applyProtection="1">
      <protection locked="0"/>
    </xf>
    <xf numFmtId="0" fontId="7" fillId="0" borderId="7" xfId="0" applyFont="1" applyBorder="1" applyAlignment="1" applyProtection="1">
      <protection locked="0"/>
    </xf>
    <xf numFmtId="0" fontId="7" fillId="0" borderId="8" xfId="0" applyFont="1" applyBorder="1" applyAlignment="1" applyProtection="1">
      <protection locked="0"/>
    </xf>
    <xf numFmtId="0" fontId="7" fillId="0" borderId="9" xfId="0" applyFont="1" applyBorder="1" applyAlignment="1" applyProtection="1">
      <protection locked="0"/>
    </xf>
    <xf numFmtId="0" fontId="7" fillId="0" borderId="10" xfId="0" applyFont="1" applyBorder="1" applyAlignment="1" applyProtection="1">
      <protection locked="0"/>
    </xf>
    <xf numFmtId="0" fontId="18" fillId="0" borderId="0" xfId="5" applyFont="1">
      <alignment vertical="top"/>
    </xf>
    <xf numFmtId="0" fontId="20" fillId="0" borderId="0" xfId="5" applyFont="1">
      <alignment vertical="top"/>
    </xf>
    <xf numFmtId="0" fontId="20" fillId="0" borderId="0" xfId="6" applyFont="1" applyFill="1" applyBorder="1">
      <alignment vertical="top"/>
    </xf>
    <xf numFmtId="0" fontId="5" fillId="0" borderId="0" xfId="5" applyFont="1">
      <alignment vertical="top"/>
    </xf>
    <xf numFmtId="0" fontId="20" fillId="0" borderId="9" xfId="6" applyFont="1" applyFill="1" applyBorder="1">
      <alignment vertical="top"/>
    </xf>
    <xf numFmtId="0" fontId="17" fillId="0" borderId="0" xfId="5">
      <alignment vertical="top"/>
    </xf>
    <xf numFmtId="174" fontId="22" fillId="6" borderId="0" xfId="7" applyNumberFormat="1" applyFont="1" applyFill="1" applyAlignment="1">
      <alignment horizontal="center" wrapText="1"/>
    </xf>
    <xf numFmtId="0" fontId="20" fillId="7" borderId="11" xfId="5" applyFont="1" applyFill="1" applyBorder="1">
      <alignment vertical="top"/>
    </xf>
    <xf numFmtId="0" fontId="20" fillId="7" borderId="12" xfId="5" applyFont="1" applyFill="1" applyBorder="1">
      <alignment vertical="top"/>
    </xf>
    <xf numFmtId="0" fontId="20" fillId="7" borderId="13" xfId="5" applyFont="1" applyFill="1" applyBorder="1">
      <alignment vertical="top"/>
    </xf>
    <xf numFmtId="0" fontId="20" fillId="7" borderId="0" xfId="5" applyFont="1" applyFill="1">
      <alignment vertical="top"/>
    </xf>
    <xf numFmtId="0" fontId="20" fillId="0" borderId="0" xfId="5" applyFont="1" applyFill="1">
      <alignment vertical="top"/>
    </xf>
    <xf numFmtId="0" fontId="5" fillId="0" borderId="0" xfId="5" applyFont="1" applyFill="1" applyBorder="1" applyAlignment="1">
      <alignment horizontal="right" vertical="top"/>
    </xf>
    <xf numFmtId="0" fontId="5" fillId="7" borderId="0" xfId="5" applyFont="1" applyFill="1" applyBorder="1" applyAlignment="1">
      <alignment horizontal="right" vertical="top"/>
    </xf>
    <xf numFmtId="0" fontId="5" fillId="0" borderId="11" xfId="5" applyFont="1" applyBorder="1">
      <alignment vertical="top"/>
    </xf>
    <xf numFmtId="0" fontId="5" fillId="0" borderId="13" xfId="5" applyFont="1" applyBorder="1">
      <alignment vertical="top"/>
    </xf>
    <xf numFmtId="0" fontId="20" fillId="0" borderId="0" xfId="0" applyFont="1"/>
    <xf numFmtId="0" fontId="24" fillId="0" borderId="16" xfId="0" applyFont="1" applyBorder="1" applyAlignment="1">
      <alignment horizontal="center" wrapText="1"/>
    </xf>
    <xf numFmtId="0" fontId="24" fillId="0" borderId="16" xfId="0" applyFont="1" applyBorder="1" applyAlignment="1">
      <alignment wrapText="1"/>
    </xf>
    <xf numFmtId="0" fontId="0" fillId="0" borderId="18" xfId="0" applyBorder="1" applyAlignment="1">
      <alignment vertical="top"/>
    </xf>
    <xf numFmtId="0" fontId="25" fillId="0" borderId="0" xfId="8" applyAlignment="1">
      <alignment horizontal="center"/>
    </xf>
    <xf numFmtId="0" fontId="26" fillId="0" borderId="0" xfId="8" applyFont="1"/>
    <xf numFmtId="0" fontId="25" fillId="0" borderId="0" xfId="8"/>
    <xf numFmtId="0" fontId="27" fillId="0" borderId="0" xfId="8" applyFont="1"/>
    <xf numFmtId="0" fontId="25" fillId="3" borderId="0" xfId="8" applyFill="1" applyAlignment="1"/>
    <xf numFmtId="0" fontId="25" fillId="3" borderId="0" xfId="8" applyFill="1"/>
    <xf numFmtId="0" fontId="25" fillId="0" borderId="0" xfId="8" applyFill="1"/>
    <xf numFmtId="0" fontId="25" fillId="3" borderId="0" xfId="8" applyFill="1" applyAlignment="1">
      <alignment horizontal="center"/>
    </xf>
    <xf numFmtId="0" fontId="28" fillId="0" borderId="0" xfId="8" quotePrefix="1" applyFont="1" applyAlignment="1">
      <alignment horizontal="center"/>
    </xf>
    <xf numFmtId="0" fontId="28" fillId="0" borderId="0" xfId="8" applyFont="1"/>
    <xf numFmtId="0" fontId="28" fillId="0" borderId="0" xfId="8" applyFont="1" applyAlignment="1">
      <alignment horizontal="center"/>
    </xf>
    <xf numFmtId="0" fontId="28" fillId="0" borderId="0" xfId="8" applyFont="1" applyBorder="1" applyAlignment="1">
      <alignment horizontal="center"/>
    </xf>
    <xf numFmtId="0" fontId="28" fillId="0" borderId="9" xfId="8" applyFont="1" applyBorder="1" applyAlignment="1">
      <alignment horizontal="center"/>
    </xf>
    <xf numFmtId="41" fontId="25" fillId="3" borderId="0" xfId="8" applyNumberFormat="1" applyFill="1"/>
    <xf numFmtId="41" fontId="25" fillId="0" borderId="4" xfId="8" applyNumberFormat="1" applyFill="1" applyBorder="1"/>
    <xf numFmtId="0" fontId="25" fillId="0" borderId="0" xfId="8" applyFill="1" applyAlignment="1">
      <alignment horizontal="center"/>
    </xf>
    <xf numFmtId="41" fontId="25" fillId="0" borderId="4" xfId="8" applyNumberFormat="1" applyBorder="1"/>
    <xf numFmtId="41" fontId="25" fillId="0" borderId="0" xfId="8" applyNumberFormat="1"/>
    <xf numFmtId="0" fontId="25" fillId="0" borderId="0" xfId="8" applyBorder="1" applyAlignment="1">
      <alignment horizontal="center"/>
    </xf>
    <xf numFmtId="0" fontId="25" fillId="0" borderId="9" xfId="8" applyBorder="1" applyAlignment="1">
      <alignment horizontal="center"/>
    </xf>
    <xf numFmtId="0" fontId="25" fillId="0" borderId="0" xfId="8" applyAlignment="1">
      <alignment horizontal="center" vertical="top"/>
    </xf>
    <xf numFmtId="0" fontId="25" fillId="0" borderId="0" xfId="8" quotePrefix="1" applyAlignment="1">
      <alignment horizontal="center"/>
    </xf>
    <xf numFmtId="41" fontId="25" fillId="0" borderId="0" xfId="8" applyNumberFormat="1" applyBorder="1"/>
    <xf numFmtId="0" fontId="25" fillId="0" borderId="0" xfId="8" applyBorder="1"/>
    <xf numFmtId="164" fontId="6" fillId="0" borderId="0" xfId="9" applyFill="1" applyBorder="1" applyAlignment="1"/>
    <xf numFmtId="164" fontId="6" fillId="0" borderId="0" xfId="9" applyFill="1" applyBorder="1" applyAlignment="1">
      <alignment horizontal="right"/>
    </xf>
    <xf numFmtId="164" fontId="6" fillId="0" borderId="0" xfId="9" applyFont="1" applyFill="1" applyBorder="1" applyAlignment="1"/>
    <xf numFmtId="164" fontId="6" fillId="0" borderId="0" xfId="9" applyFont="1" applyFill="1" applyBorder="1" applyAlignment="1">
      <alignment horizontal="right"/>
    </xf>
    <xf numFmtId="0" fontId="31" fillId="0" borderId="0" xfId="9" applyNumberFormat="1" applyFont="1" applyFill="1" applyBorder="1" applyAlignment="1" applyProtection="1">
      <protection locked="0"/>
    </xf>
    <xf numFmtId="0" fontId="31" fillId="0" borderId="0" xfId="9" applyNumberFormat="1" applyFont="1" applyFill="1" applyBorder="1" applyAlignment="1" applyProtection="1">
      <alignment horizontal="left"/>
      <protection locked="0"/>
    </xf>
    <xf numFmtId="0" fontId="31" fillId="0" borderId="0" xfId="9" applyNumberFormat="1" applyFont="1" applyFill="1" applyBorder="1" applyProtection="1">
      <protection locked="0"/>
    </xf>
    <xf numFmtId="164" fontId="6" fillId="3" borderId="0" xfId="9" applyFont="1" applyFill="1" applyBorder="1" applyAlignment="1"/>
    <xf numFmtId="0" fontId="31" fillId="3" borderId="0" xfId="9" applyNumberFormat="1" applyFont="1" applyFill="1" applyBorder="1"/>
    <xf numFmtId="0" fontId="7" fillId="2" borderId="0" xfId="10" applyNumberFormat="1" applyFont="1" applyFill="1" applyAlignment="1">
      <alignment horizontal="right"/>
    </xf>
    <xf numFmtId="0" fontId="6" fillId="0" borderId="0" xfId="9" applyNumberFormat="1" applyFont="1" applyFill="1" applyBorder="1"/>
    <xf numFmtId="0" fontId="33" fillId="0" borderId="0" xfId="9" applyNumberFormat="1" applyFont="1" applyFill="1" applyBorder="1"/>
    <xf numFmtId="3" fontId="31" fillId="0" borderId="0" xfId="9" applyNumberFormat="1" applyFont="1" applyFill="1" applyBorder="1" applyAlignment="1"/>
    <xf numFmtId="0" fontId="31" fillId="0" borderId="0" xfId="9" applyNumberFormat="1" applyFont="1" applyFill="1" applyBorder="1"/>
    <xf numFmtId="0" fontId="33" fillId="0" borderId="0" xfId="9" applyNumberFormat="1" applyFont="1" applyFill="1" applyBorder="1" applyAlignment="1">
      <alignment horizontal="center"/>
    </xf>
    <xf numFmtId="0" fontId="6" fillId="0" borderId="0" xfId="9" applyNumberFormat="1" applyFont="1" applyFill="1" applyBorder="1" applyAlignment="1" applyProtection="1">
      <alignment horizontal="center"/>
      <protection locked="0"/>
    </xf>
    <xf numFmtId="49" fontId="31" fillId="3" borderId="0" xfId="9" applyNumberFormat="1" applyFont="1" applyFill="1" applyBorder="1" applyAlignment="1">
      <alignment horizontal="center"/>
    </xf>
    <xf numFmtId="49" fontId="31" fillId="0" borderId="0" xfId="9" applyNumberFormat="1" applyFont="1" applyFill="1" applyBorder="1"/>
    <xf numFmtId="3" fontId="31" fillId="0" borderId="0" xfId="9" applyNumberFormat="1" applyFont="1" applyFill="1" applyBorder="1"/>
    <xf numFmtId="0" fontId="31" fillId="0" borderId="0" xfId="9" applyNumberFormat="1" applyFont="1" applyFill="1" applyBorder="1" applyAlignment="1">
      <alignment horizontal="center"/>
    </xf>
    <xf numFmtId="49" fontId="31" fillId="0" borderId="0" xfId="9" applyNumberFormat="1" applyFont="1" applyFill="1" applyBorder="1" applyAlignment="1">
      <alignment horizontal="center"/>
    </xf>
    <xf numFmtId="3" fontId="6" fillId="0" borderId="0" xfId="9" applyNumberFormat="1" applyFont="1" applyFill="1" applyBorder="1" applyAlignment="1"/>
    <xf numFmtId="0" fontId="6" fillId="0" borderId="0" xfId="9" applyNumberFormat="1" applyFont="1" applyFill="1" applyBorder="1" applyAlignment="1"/>
    <xf numFmtId="0" fontId="31" fillId="0" borderId="0" xfId="9" applyNumberFormat="1" applyFont="1" applyFill="1" applyBorder="1" applyAlignment="1"/>
    <xf numFmtId="3" fontId="34" fillId="0" borderId="0" xfId="9" applyNumberFormat="1" applyFont="1" applyFill="1" applyBorder="1" applyAlignment="1">
      <alignment horizontal="center"/>
    </xf>
    <xf numFmtId="0" fontId="6" fillId="0" borderId="0" xfId="9" applyNumberFormat="1" applyFont="1" applyFill="1" applyBorder="1" applyAlignment="1">
      <alignment horizontal="center"/>
    </xf>
    <xf numFmtId="164" fontId="34" fillId="0" borderId="0" xfId="9" applyFont="1" applyFill="1" applyBorder="1" applyAlignment="1">
      <alignment horizontal="center"/>
    </xf>
    <xf numFmtId="0" fontId="34" fillId="0" borderId="0" xfId="9" applyNumberFormat="1" applyFont="1" applyFill="1" applyBorder="1" applyAlignment="1" applyProtection="1">
      <alignment horizontal="center"/>
      <protection locked="0"/>
    </xf>
    <xf numFmtId="0" fontId="35" fillId="0" borderId="0" xfId="9" applyNumberFormat="1" applyFont="1" applyFill="1" applyBorder="1" applyAlignment="1">
      <alignment horizontal="center"/>
    </xf>
    <xf numFmtId="0" fontId="34" fillId="0" borderId="0" xfId="9" applyNumberFormat="1" applyFont="1" applyFill="1" applyBorder="1" applyAlignment="1"/>
    <xf numFmtId="0" fontId="36" fillId="0" borderId="0" xfId="9" applyNumberFormat="1" applyFont="1" applyFill="1" applyBorder="1" applyAlignment="1" applyProtection="1">
      <alignment horizontal="center"/>
      <protection locked="0"/>
    </xf>
    <xf numFmtId="3" fontId="6" fillId="0" borderId="0" xfId="9" applyNumberFormat="1" applyFont="1" applyFill="1" applyBorder="1" applyAlignment="1">
      <alignment horizontal="center"/>
    </xf>
    <xf numFmtId="3" fontId="31" fillId="0" borderId="0" xfId="9" applyNumberFormat="1" applyFont="1" applyFill="1" applyBorder="1" applyAlignment="1">
      <alignment horizontal="center"/>
    </xf>
    <xf numFmtId="3" fontId="31" fillId="2" borderId="0" xfId="10" applyNumberFormat="1" applyFont="1" applyFill="1" applyBorder="1" applyAlignment="1"/>
    <xf numFmtId="164" fontId="37" fillId="0" borderId="0" xfId="9" applyFont="1" applyFill="1" applyBorder="1" applyAlignment="1"/>
    <xf numFmtId="3" fontId="31" fillId="3" borderId="0" xfId="9" applyNumberFormat="1" applyFont="1" applyFill="1" applyBorder="1" applyAlignment="1"/>
    <xf numFmtId="3" fontId="31" fillId="0" borderId="4" xfId="10" applyNumberFormat="1" applyFont="1" applyFill="1" applyBorder="1" applyAlignment="1"/>
    <xf numFmtId="10" fontId="31" fillId="0" borderId="0" xfId="9" applyNumberFormat="1" applyFont="1" applyFill="1" applyBorder="1" applyAlignment="1"/>
    <xf numFmtId="10" fontId="30" fillId="0" borderId="0" xfId="11" applyNumberFormat="1" applyFont="1" applyFill="1" applyBorder="1" applyAlignment="1"/>
    <xf numFmtId="10" fontId="34" fillId="0" borderId="0" xfId="9" applyNumberFormat="1" applyFont="1" applyFill="1" applyBorder="1" applyAlignment="1"/>
    <xf numFmtId="3" fontId="35" fillId="0" borderId="0" xfId="9" applyNumberFormat="1" applyFont="1" applyFill="1" applyBorder="1" applyAlignment="1"/>
    <xf numFmtId="169" fontId="34" fillId="0" borderId="0" xfId="9" applyNumberFormat="1" applyFont="1" applyFill="1" applyBorder="1" applyAlignment="1"/>
    <xf numFmtId="49" fontId="6" fillId="0" borderId="0" xfId="9" applyNumberFormat="1" applyFont="1" applyFill="1" applyBorder="1" applyAlignment="1">
      <alignment horizontal="center"/>
    </xf>
    <xf numFmtId="164" fontId="31" fillId="0" borderId="0" xfId="9" applyFont="1" applyFill="1" applyBorder="1" applyAlignment="1">
      <alignment horizontal="center"/>
    </xf>
    <xf numFmtId="0" fontId="34" fillId="0" borderId="0" xfId="9" applyNumberFormat="1" applyFont="1" applyFill="1" applyBorder="1" applyAlignment="1">
      <alignment horizontal="center"/>
    </xf>
    <xf numFmtId="49" fontId="35" fillId="0" borderId="0" xfId="9" applyNumberFormat="1" applyFont="1" applyFill="1" applyBorder="1" applyAlignment="1">
      <alignment horizontal="center"/>
    </xf>
    <xf numFmtId="164" fontId="35" fillId="0" borderId="0" xfId="9" applyFont="1" applyFill="1" applyBorder="1" applyAlignment="1"/>
    <xf numFmtId="3" fontId="34" fillId="0" borderId="0" xfId="9" applyNumberFormat="1" applyFont="1" applyFill="1" applyBorder="1" applyAlignment="1"/>
    <xf numFmtId="10" fontId="34" fillId="0" borderId="0" xfId="11" applyNumberFormat="1" applyFont="1" applyFill="1" applyBorder="1" applyAlignment="1"/>
    <xf numFmtId="0" fontId="6" fillId="0" borderId="0" xfId="9" applyNumberFormat="1" applyFont="1" applyFill="1" applyBorder="1" applyAlignment="1">
      <alignment horizontal="fill"/>
    </xf>
    <xf numFmtId="164" fontId="38" fillId="0" borderId="0" xfId="9" applyFont="1" applyFill="1" applyBorder="1" applyAlignment="1"/>
    <xf numFmtId="170" fontId="31" fillId="0" borderId="0" xfId="9" applyNumberFormat="1" applyFont="1" applyFill="1" applyBorder="1" applyAlignment="1">
      <alignment horizontal="center"/>
    </xf>
    <xf numFmtId="10" fontId="31" fillId="0" borderId="0" xfId="11" applyNumberFormat="1" applyFont="1" applyFill="1" applyBorder="1" applyAlignment="1"/>
    <xf numFmtId="174" fontId="6" fillId="0" borderId="0" xfId="9" applyNumberFormat="1" applyFill="1" applyBorder="1" applyAlignment="1"/>
    <xf numFmtId="164" fontId="31" fillId="0" borderId="0" xfId="9" applyFont="1" applyFill="1" applyBorder="1" applyAlignment="1"/>
    <xf numFmtId="49" fontId="7" fillId="0" borderId="0" xfId="9" applyNumberFormat="1" applyFont="1" applyFill="1" applyBorder="1" applyAlignment="1">
      <alignment horizontal="left"/>
    </xf>
    <xf numFmtId="0" fontId="7" fillId="0" borderId="0" xfId="9" applyNumberFormat="1" applyFont="1" applyFill="1" applyBorder="1" applyAlignment="1">
      <alignment horizontal="right"/>
    </xf>
    <xf numFmtId="0" fontId="6" fillId="0" borderId="0" xfId="9" applyNumberFormat="1" applyFont="1" applyFill="1" applyBorder="1" applyAlignment="1">
      <alignment horizontal="right"/>
    </xf>
    <xf numFmtId="49" fontId="6" fillId="0" borderId="0" xfId="9" applyNumberFormat="1" applyFill="1" applyBorder="1" applyAlignment="1">
      <alignment horizontal="left"/>
    </xf>
    <xf numFmtId="0" fontId="6" fillId="0" borderId="0" xfId="9" applyNumberFormat="1" applyFill="1" applyBorder="1" applyAlignment="1" applyProtection="1">
      <alignment horizontal="center"/>
      <protection locked="0"/>
    </xf>
    <xf numFmtId="164" fontId="31" fillId="0" borderId="0" xfId="9" applyFont="1" applyFill="1" applyBorder="1" applyAlignment="1">
      <alignment horizontal="right"/>
    </xf>
    <xf numFmtId="164" fontId="6" fillId="0" borderId="0" xfId="9" applyFont="1" applyFill="1" applyBorder="1" applyAlignment="1">
      <alignment horizontal="center"/>
    </xf>
    <xf numFmtId="175" fontId="34" fillId="0" borderId="0" xfId="9" applyNumberFormat="1" applyFont="1" applyFill="1" applyBorder="1" applyAlignment="1">
      <alignment horizontal="center"/>
    </xf>
    <xf numFmtId="164" fontId="35" fillId="0" borderId="14" xfId="9" applyFont="1" applyFill="1" applyBorder="1" applyAlignment="1">
      <alignment horizontal="center" wrapText="1"/>
    </xf>
    <xf numFmtId="164" fontId="35" fillId="0" borderId="15" xfId="9" applyFont="1" applyFill="1" applyBorder="1" applyAlignment="1"/>
    <xf numFmtId="164" fontId="35" fillId="0" borderId="15" xfId="9" applyFont="1" applyFill="1" applyBorder="1" applyAlignment="1">
      <alignment horizontal="center" wrapText="1"/>
    </xf>
    <xf numFmtId="0" fontId="34" fillId="0" borderId="15" xfId="9" applyNumberFormat="1" applyFont="1" applyFill="1" applyBorder="1" applyAlignment="1">
      <alignment horizontal="center" wrapText="1"/>
    </xf>
    <xf numFmtId="164" fontId="35" fillId="0" borderId="16" xfId="9" applyFont="1" applyFill="1" applyBorder="1" applyAlignment="1">
      <alignment horizontal="center" wrapText="1"/>
    </xf>
    <xf numFmtId="0" fontId="34" fillId="0" borderId="15" xfId="10" applyNumberFormat="1" applyFont="1" applyFill="1" applyBorder="1" applyAlignment="1">
      <alignment horizontal="center" wrapText="1"/>
    </xf>
    <xf numFmtId="3" fontId="34" fillId="0" borderId="16" xfId="9" applyNumberFormat="1" applyFont="1" applyFill="1" applyBorder="1" applyAlignment="1">
      <alignment horizontal="center" wrapText="1"/>
    </xf>
    <xf numFmtId="3" fontId="34" fillId="0" borderId="15" xfId="9" applyNumberFormat="1" applyFont="1" applyFill="1" applyBorder="1" applyAlignment="1">
      <alignment horizontal="center" wrapText="1"/>
    </xf>
    <xf numFmtId="0" fontId="31" fillId="0" borderId="14" xfId="9" applyNumberFormat="1" applyFont="1" applyFill="1" applyBorder="1"/>
    <xf numFmtId="0" fontId="31" fillId="0" borderId="15" xfId="9" applyNumberFormat="1" applyFont="1" applyFill="1" applyBorder="1"/>
    <xf numFmtId="0" fontId="31" fillId="0" borderId="15" xfId="9" applyNumberFormat="1" applyFont="1" applyFill="1" applyBorder="1" applyAlignment="1">
      <alignment horizontal="center"/>
    </xf>
    <xf numFmtId="0" fontId="31" fillId="0" borderId="16" xfId="9" applyNumberFormat="1" applyFont="1" applyFill="1" applyBorder="1" applyAlignment="1">
      <alignment horizontal="center"/>
    </xf>
    <xf numFmtId="0" fontId="31" fillId="0" borderId="15" xfId="10" applyNumberFormat="1" applyFont="1" applyFill="1" applyBorder="1" applyAlignment="1">
      <alignment horizontal="center" wrapText="1"/>
    </xf>
    <xf numFmtId="0" fontId="31" fillId="0" borderId="16" xfId="9" applyNumberFormat="1" applyFont="1" applyFill="1" applyBorder="1" applyAlignment="1">
      <alignment horizontal="center" wrapText="1"/>
    </xf>
    <xf numFmtId="3" fontId="31" fillId="0" borderId="15" xfId="9" applyNumberFormat="1" applyFont="1" applyFill="1" applyBorder="1" applyAlignment="1">
      <alignment horizontal="center"/>
    </xf>
    <xf numFmtId="3" fontId="31" fillId="0" borderId="16" xfId="9" applyNumberFormat="1" applyFont="1" applyFill="1" applyBorder="1" applyAlignment="1">
      <alignment horizontal="center" wrapText="1"/>
    </xf>
    <xf numFmtId="0" fontId="31" fillId="0" borderId="6" xfId="9" applyNumberFormat="1" applyFont="1" applyFill="1" applyBorder="1"/>
    <xf numFmtId="0" fontId="31" fillId="0" borderId="12" xfId="9" applyNumberFormat="1" applyFont="1" applyFill="1" applyBorder="1"/>
    <xf numFmtId="0" fontId="31" fillId="0" borderId="0" xfId="10" applyNumberFormat="1" applyFont="1" applyFill="1" applyBorder="1"/>
    <xf numFmtId="3" fontId="31" fillId="0" borderId="12" xfId="9" applyNumberFormat="1" applyFont="1" applyFill="1" applyBorder="1" applyAlignment="1"/>
    <xf numFmtId="164" fontId="6" fillId="0" borderId="6" xfId="9" applyFill="1" applyBorder="1" applyAlignment="1">
      <alignment vertical="top"/>
    </xf>
    <xf numFmtId="164" fontId="6" fillId="0" borderId="0" xfId="9" applyFill="1" applyBorder="1" applyAlignment="1">
      <alignment vertical="top"/>
    </xf>
    <xf numFmtId="0" fontId="6" fillId="0" borderId="0" xfId="12" applyNumberFormat="1" applyFont="1" applyFill="1" applyBorder="1" applyAlignment="1">
      <alignment horizontal="left" vertical="top" wrapText="1"/>
    </xf>
    <xf numFmtId="0" fontId="6" fillId="0" borderId="0" xfId="12" applyNumberFormat="1" applyFont="1" applyFill="1" applyBorder="1" applyAlignment="1">
      <alignment horizontal="center" vertical="top"/>
    </xf>
    <xf numFmtId="176" fontId="6" fillId="2" borderId="0" xfId="13" applyNumberFormat="1" applyFont="1" applyFill="1" applyBorder="1" applyAlignment="1">
      <alignment vertical="top"/>
    </xf>
    <xf numFmtId="10" fontId="31" fillId="0" borderId="0" xfId="11" applyNumberFormat="1" applyFont="1" applyFill="1" applyBorder="1" applyAlignment="1">
      <alignment vertical="top"/>
    </xf>
    <xf numFmtId="176" fontId="6" fillId="0" borderId="12" xfId="13" applyNumberFormat="1" applyFont="1" applyFill="1" applyBorder="1" applyAlignment="1">
      <alignment vertical="top"/>
    </xf>
    <xf numFmtId="176" fontId="31" fillId="2" borderId="0" xfId="13" applyNumberFormat="1" applyFont="1" applyFill="1" applyBorder="1" applyAlignment="1">
      <alignment vertical="top"/>
    </xf>
    <xf numFmtId="164" fontId="23" fillId="0" borderId="0" xfId="9" applyFont="1" applyFill="1" applyBorder="1" applyAlignment="1"/>
    <xf numFmtId="0" fontId="23" fillId="0" borderId="0" xfId="10" applyNumberFormat="1" applyFont="1" applyFill="1" applyBorder="1" applyAlignment="1">
      <alignment horizontal="center" vertical="top"/>
    </xf>
    <xf numFmtId="176" fontId="6" fillId="0" borderId="0" xfId="13" applyNumberFormat="1" applyFont="1" applyFill="1" applyBorder="1" applyAlignment="1">
      <alignment vertical="top"/>
    </xf>
    <xf numFmtId="176" fontId="31" fillId="0" borderId="0" xfId="13" applyNumberFormat="1" applyFont="1" applyFill="1" applyBorder="1" applyAlignment="1">
      <alignment vertical="top"/>
    </xf>
    <xf numFmtId="164" fontId="6" fillId="0" borderId="8" xfId="9" applyFill="1" applyBorder="1" applyAlignment="1">
      <alignment vertical="top"/>
    </xf>
    <xf numFmtId="164" fontId="6" fillId="0" borderId="9" xfId="9" applyFill="1" applyBorder="1" applyAlignment="1">
      <alignment vertical="top"/>
    </xf>
    <xf numFmtId="164" fontId="23" fillId="0" borderId="9" xfId="9" applyFont="1" applyFill="1" applyBorder="1" applyAlignment="1">
      <alignment vertical="top"/>
    </xf>
    <xf numFmtId="164" fontId="23" fillId="0" borderId="13" xfId="9" applyFont="1" applyFill="1" applyBorder="1" applyAlignment="1">
      <alignment vertical="top"/>
    </xf>
    <xf numFmtId="174" fontId="31" fillId="0" borderId="0" xfId="9" applyNumberFormat="1" applyFont="1" applyFill="1" applyBorder="1" applyAlignment="1"/>
    <xf numFmtId="164" fontId="5" fillId="0" borderId="0" xfId="9" applyFont="1" applyFill="1" applyBorder="1" applyAlignment="1"/>
    <xf numFmtId="1" fontId="31" fillId="0" borderId="0" xfId="1" applyNumberFormat="1" applyFont="1" applyFill="1" applyBorder="1" applyAlignment="1">
      <alignment horizontal="center"/>
    </xf>
    <xf numFmtId="164" fontId="31" fillId="0" borderId="1" xfId="9" applyFont="1" applyFill="1" applyBorder="1" applyAlignment="1"/>
    <xf numFmtId="164" fontId="6" fillId="0" borderId="0" xfId="9" applyFont="1" applyFill="1" applyBorder="1" applyAlignment="1">
      <alignment horizontal="center" vertical="top"/>
    </xf>
    <xf numFmtId="164" fontId="6" fillId="0" borderId="0" xfId="10" applyFont="1" applyFill="1" applyBorder="1" applyAlignment="1">
      <alignment horizontal="center" vertical="top"/>
    </xf>
    <xf numFmtId="164" fontId="37" fillId="0" borderId="0" xfId="10" applyFont="1" applyFill="1" applyBorder="1" applyAlignment="1"/>
    <xf numFmtId="164" fontId="6" fillId="0" borderId="0" xfId="10" applyFont="1" applyFill="1" applyBorder="1" applyAlignment="1"/>
    <xf numFmtId="164" fontId="39" fillId="0" borderId="0" xfId="10" applyFont="1" applyFill="1" applyBorder="1" applyAlignment="1"/>
    <xf numFmtId="164" fontId="7" fillId="0" borderId="0" xfId="9" applyFont="1" applyFill="1" applyBorder="1" applyAlignment="1"/>
    <xf numFmtId="49" fontId="7" fillId="0" borderId="0" xfId="9" applyNumberFormat="1" applyFont="1" applyFill="1" applyBorder="1" applyAlignment="1">
      <alignment horizontal="center"/>
    </xf>
    <xf numFmtId="0" fontId="31" fillId="4" borderId="0" xfId="9" applyNumberFormat="1" applyFont="1" applyFill="1" applyBorder="1"/>
    <xf numFmtId="0" fontId="31" fillId="4" borderId="0" xfId="9" applyNumberFormat="1" applyFont="1" applyFill="1" applyBorder="1" applyAlignment="1" applyProtection="1">
      <alignment horizontal="right"/>
      <protection locked="0"/>
    </xf>
    <xf numFmtId="49" fontId="31" fillId="0" borderId="0" xfId="9" applyNumberFormat="1" applyFont="1" applyFill="1" applyBorder="1" applyAlignment="1">
      <alignment horizontal="left"/>
    </xf>
    <xf numFmtId="171" fontId="31" fillId="2" borderId="0" xfId="1" applyNumberFormat="1" applyFont="1" applyFill="1" applyBorder="1" applyAlignment="1"/>
    <xf numFmtId="171" fontId="31" fillId="2" borderId="9" xfId="1" applyNumberFormat="1" applyFont="1" applyFill="1" applyBorder="1" applyAlignment="1"/>
    <xf numFmtId="3" fontId="40" fillId="0" borderId="0" xfId="9" applyNumberFormat="1" applyFont="1" applyFill="1" applyBorder="1" applyAlignment="1"/>
    <xf numFmtId="171" fontId="31" fillId="0" borderId="0" xfId="1" applyNumberFormat="1" applyFont="1" applyFill="1" applyBorder="1" applyAlignment="1"/>
    <xf numFmtId="41" fontId="31" fillId="0" borderId="0" xfId="9" applyNumberFormat="1" applyFont="1" applyFill="1" applyBorder="1" applyAlignment="1"/>
    <xf numFmtId="3" fontId="41" fillId="0" borderId="0" xfId="9" applyNumberFormat="1" applyFont="1" applyFill="1" applyBorder="1" applyAlignment="1"/>
    <xf numFmtId="3" fontId="37" fillId="0" borderId="0" xfId="9" applyNumberFormat="1" applyFont="1" applyFill="1" applyBorder="1" applyAlignment="1"/>
    <xf numFmtId="0" fontId="37" fillId="0" borderId="0" xfId="9" applyNumberFormat="1" applyFont="1" applyFill="1" applyBorder="1" applyAlignment="1"/>
    <xf numFmtId="3" fontId="6" fillId="0" borderId="0" xfId="9" applyNumberFormat="1" applyFill="1" applyBorder="1" applyAlignment="1">
      <alignment horizontal="center"/>
    </xf>
    <xf numFmtId="10" fontId="35" fillId="0" borderId="0" xfId="11" applyNumberFormat="1" applyFont="1" applyFill="1" applyBorder="1" applyAlignment="1"/>
    <xf numFmtId="10" fontId="0" fillId="0" borderId="0" xfId="11" applyNumberFormat="1" applyFont="1" applyFill="1" applyBorder="1" applyAlignment="1"/>
    <xf numFmtId="171" fontId="31" fillId="3" borderId="0" xfId="1" applyNumberFormat="1" applyFont="1" applyFill="1" applyBorder="1" applyAlignment="1"/>
    <xf numFmtId="49" fontId="6" fillId="0" borderId="0" xfId="9" applyNumberFormat="1" applyFill="1" applyBorder="1" applyAlignment="1">
      <alignment horizontal="center"/>
    </xf>
    <xf numFmtId="3" fontId="42" fillId="0" borderId="0" xfId="9" applyNumberFormat="1" applyFont="1" applyFill="1" applyBorder="1" applyAlignment="1"/>
    <xf numFmtId="0" fontId="42" fillId="0" borderId="0" xfId="9" applyNumberFormat="1" applyFont="1" applyFill="1" applyBorder="1"/>
    <xf numFmtId="0" fontId="34" fillId="0" borderId="0" xfId="9" applyNumberFormat="1" applyFont="1" applyFill="1" applyBorder="1" applyAlignment="1">
      <alignment horizontal="left"/>
    </xf>
    <xf numFmtId="0" fontId="6" fillId="0" borderId="0" xfId="9" quotePrefix="1" applyNumberFormat="1" applyFill="1" applyBorder="1" applyAlignment="1" applyProtection="1">
      <alignment horizontal="center"/>
      <protection locked="0"/>
    </xf>
    <xf numFmtId="175" fontId="34" fillId="0" borderId="0" xfId="9" quotePrefix="1" applyNumberFormat="1" applyFont="1" applyFill="1" applyBorder="1" applyAlignment="1">
      <alignment horizontal="center"/>
    </xf>
    <xf numFmtId="164" fontId="35" fillId="0" borderId="19" xfId="9" applyFont="1" applyFill="1" applyBorder="1" applyAlignment="1">
      <alignment horizontal="center" wrapText="1"/>
    </xf>
    <xf numFmtId="0" fontId="31" fillId="0" borderId="15" xfId="9" quotePrefix="1" applyNumberFormat="1" applyFont="1" applyFill="1" applyBorder="1" applyAlignment="1">
      <alignment horizontal="center"/>
    </xf>
    <xf numFmtId="0" fontId="31" fillId="0" borderId="16" xfId="9" quotePrefix="1" applyNumberFormat="1" applyFont="1" applyFill="1" applyBorder="1" applyAlignment="1">
      <alignment horizontal="center"/>
    </xf>
    <xf numFmtId="164" fontId="6" fillId="0" borderId="6" xfId="9" applyFill="1" applyBorder="1" applyAlignment="1"/>
    <xf numFmtId="0" fontId="6" fillId="0" borderId="0" xfId="9" applyNumberFormat="1" applyFill="1" applyBorder="1" applyAlignment="1">
      <alignment horizontal="center"/>
    </xf>
    <xf numFmtId="0" fontId="23" fillId="0" borderId="0" xfId="9" applyNumberFormat="1" applyFont="1" applyFill="1" applyBorder="1" applyAlignment="1">
      <alignment horizontal="center"/>
    </xf>
    <xf numFmtId="164" fontId="6" fillId="0" borderId="8" xfId="9" applyFill="1" applyBorder="1" applyAlignment="1"/>
    <xf numFmtId="164" fontId="6" fillId="0" borderId="9" xfId="9" applyFill="1" applyBorder="1" applyAlignment="1"/>
    <xf numFmtId="164" fontId="23" fillId="0" borderId="9" xfId="9" applyFont="1" applyFill="1" applyBorder="1" applyAlignment="1"/>
    <xf numFmtId="164" fontId="23" fillId="0" borderId="13" xfId="9" applyFont="1" applyFill="1" applyBorder="1" applyAlignment="1"/>
    <xf numFmtId="164" fontId="39" fillId="0" borderId="0" xfId="9" applyFont="1" applyFill="1" applyBorder="1" applyAlignment="1"/>
    <xf numFmtId="164" fontId="23" fillId="0" borderId="0" xfId="9" applyFont="1" applyFill="1" applyBorder="1" applyAlignment="1">
      <alignment horizontal="center"/>
    </xf>
    <xf numFmtId="176" fontId="23" fillId="0" borderId="0" xfId="10" applyNumberFormat="1" applyFont="1" applyFill="1" applyBorder="1" applyAlignment="1">
      <alignment horizontal="center" vertical="top"/>
    </xf>
    <xf numFmtId="0" fontId="5" fillId="0" borderId="0" xfId="15"/>
    <xf numFmtId="3" fontId="5" fillId="0" borderId="0" xfId="5" applyNumberFormat="1" applyFont="1" applyAlignment="1">
      <alignment horizontal="center" vertical="top"/>
    </xf>
    <xf numFmtId="0" fontId="18" fillId="9" borderId="0" xfId="5" applyFont="1" applyFill="1">
      <alignment vertical="top"/>
    </xf>
    <xf numFmtId="0" fontId="19" fillId="9" borderId="0" xfId="15" applyFont="1" applyFill="1"/>
    <xf numFmtId="0" fontId="19" fillId="0" borderId="0" xfId="15" applyFont="1"/>
    <xf numFmtId="0" fontId="20" fillId="9" borderId="0" xfId="5" applyFont="1" applyFill="1">
      <alignment vertical="top"/>
    </xf>
    <xf numFmtId="0" fontId="5" fillId="9" borderId="0" xfId="15" applyFill="1"/>
    <xf numFmtId="0" fontId="20" fillId="9" borderId="0" xfId="6" applyFont="1" applyFill="1" applyBorder="1">
      <alignment vertical="top"/>
    </xf>
    <xf numFmtId="0" fontId="5" fillId="9" borderId="9" xfId="15" applyFont="1" applyFill="1" applyBorder="1" applyAlignment="1">
      <alignment horizontal="center"/>
    </xf>
    <xf numFmtId="0" fontId="5" fillId="9" borderId="0" xfId="5" applyFont="1" applyFill="1">
      <alignment vertical="top"/>
    </xf>
    <xf numFmtId="3" fontId="5" fillId="9" borderId="0" xfId="5" applyNumberFormat="1" applyFont="1" applyFill="1" applyAlignment="1">
      <alignment horizontal="center" vertical="top"/>
    </xf>
    <xf numFmtId="0" fontId="20" fillId="9" borderId="9" xfId="6" applyFont="1" applyFill="1" applyBorder="1">
      <alignment vertical="top"/>
    </xf>
    <xf numFmtId="0" fontId="5" fillId="0" borderId="0" xfId="5" applyFont="1" applyAlignment="1">
      <alignment horizontal="center" vertical="top"/>
    </xf>
    <xf numFmtId="0" fontId="17" fillId="9" borderId="0" xfId="5" applyFill="1">
      <alignment vertical="top"/>
    </xf>
    <xf numFmtId="0" fontId="21" fillId="6" borderId="0" xfId="16" applyFont="1" applyFill="1" applyBorder="1" applyAlignment="1"/>
    <xf numFmtId="1" fontId="43" fillId="6" borderId="0" xfId="7" applyNumberFormat="1" applyFont="1" applyFill="1" applyBorder="1" applyAlignment="1">
      <alignment horizontal="center" wrapText="1"/>
    </xf>
    <xf numFmtId="1" fontId="43" fillId="6" borderId="7" xfId="7" applyNumberFormat="1" applyFont="1" applyFill="1" applyBorder="1" applyAlignment="1">
      <alignment horizontal="center" wrapText="1"/>
    </xf>
    <xf numFmtId="174" fontId="43" fillId="6" borderId="0" xfId="7" applyNumberFormat="1" applyFont="1" applyFill="1" applyBorder="1" applyAlignment="1">
      <alignment horizontal="center" wrapText="1"/>
    </xf>
    <xf numFmtId="174" fontId="43" fillId="6" borderId="7" xfId="7" applyNumberFormat="1" applyFont="1" applyFill="1" applyBorder="1" applyAlignment="1">
      <alignment horizontal="center" wrapText="1"/>
    </xf>
    <xf numFmtId="174" fontId="22" fillId="6" borderId="9" xfId="7" applyNumberFormat="1" applyFont="1" applyFill="1" applyBorder="1" applyAlignment="1">
      <alignment horizontal="center" wrapText="1"/>
    </xf>
    <xf numFmtId="174" fontId="22" fillId="6" borderId="10" xfId="7" applyNumberFormat="1" applyFont="1" applyFill="1" applyBorder="1" applyAlignment="1">
      <alignment horizontal="center" wrapText="1"/>
    </xf>
    <xf numFmtId="0" fontId="5" fillId="0" borderId="11" xfId="16" quotePrefix="1" applyFont="1" applyFill="1" applyBorder="1" applyAlignment="1">
      <alignment horizontal="left"/>
    </xf>
    <xf numFmtId="3" fontId="5" fillId="8" borderId="6" xfId="14" applyNumberFormat="1" applyFont="1" applyFill="1" applyBorder="1" applyAlignment="1">
      <alignment horizontal="right" vertical="top"/>
    </xf>
    <xf numFmtId="3" fontId="5" fillId="0" borderId="6" xfId="14" applyNumberFormat="1" applyFont="1" applyFill="1" applyBorder="1" applyAlignment="1">
      <alignment horizontal="right" vertical="top"/>
    </xf>
    <xf numFmtId="3" fontId="5" fillId="8" borderId="12" xfId="14" applyNumberFormat="1" applyFont="1" applyFill="1" applyBorder="1" applyAlignment="1">
      <alignment horizontal="right" vertical="top"/>
    </xf>
    <xf numFmtId="3" fontId="5" fillId="0" borderId="12" xfId="14" applyNumberFormat="1" applyFont="1" applyFill="1" applyBorder="1" applyAlignment="1">
      <alignment horizontal="right" vertical="top"/>
    </xf>
    <xf numFmtId="0" fontId="5" fillId="0" borderId="12" xfId="16" quotePrefix="1" applyFont="1" applyFill="1" applyBorder="1" applyAlignment="1">
      <alignment horizontal="left"/>
    </xf>
    <xf numFmtId="0" fontId="5" fillId="0" borderId="12" xfId="16" applyFont="1" applyFill="1" applyBorder="1"/>
    <xf numFmtId="17" fontId="5" fillId="0" borderId="13" xfId="16" quotePrefix="1" applyNumberFormat="1" applyFont="1" applyFill="1" applyBorder="1"/>
    <xf numFmtId="0" fontId="20" fillId="0" borderId="0" xfId="16" applyFont="1" applyBorder="1" applyAlignment="1">
      <alignment horizontal="right"/>
    </xf>
    <xf numFmtId="174" fontId="5" fillId="0" borderId="15" xfId="5" applyNumberFormat="1" applyFont="1" applyFill="1" applyBorder="1" applyAlignment="1">
      <alignment horizontal="right" vertical="top"/>
    </xf>
    <xf numFmtId="174" fontId="5" fillId="0" borderId="19" xfId="5" applyNumberFormat="1" applyFont="1" applyFill="1" applyBorder="1" applyAlignment="1">
      <alignment horizontal="right" vertical="top"/>
    </xf>
    <xf numFmtId="0" fontId="20" fillId="9" borderId="0" xfId="16" applyFont="1" applyFill="1" applyBorder="1" applyAlignment="1">
      <alignment horizontal="right"/>
    </xf>
    <xf numFmtId="0" fontId="5" fillId="9" borderId="0" xfId="15" applyFill="1" applyBorder="1"/>
    <xf numFmtId="3" fontId="5" fillId="8" borderId="3" xfId="14" applyNumberFormat="1" applyFont="1" applyFill="1" applyBorder="1" applyAlignment="1">
      <alignment horizontal="right" vertical="top"/>
    </xf>
    <xf numFmtId="3" fontId="5" fillId="0" borderId="3" xfId="14" applyNumberFormat="1" applyFont="1" applyFill="1" applyBorder="1" applyAlignment="1">
      <alignment horizontal="right" vertical="top"/>
    </xf>
    <xf numFmtId="3" fontId="5" fillId="8" borderId="11" xfId="14" applyNumberFormat="1" applyFont="1" applyFill="1" applyBorder="1" applyAlignment="1">
      <alignment horizontal="right" vertical="top"/>
    </xf>
    <xf numFmtId="3" fontId="5" fillId="0" borderId="11" xfId="14" applyNumberFormat="1" applyFont="1" applyFill="1" applyBorder="1" applyAlignment="1">
      <alignment horizontal="right" vertical="top"/>
    </xf>
    <xf numFmtId="3" fontId="5" fillId="8" borderId="8" xfId="14" applyNumberFormat="1" applyFont="1" applyFill="1" applyBorder="1" applyAlignment="1">
      <alignment horizontal="right" vertical="top"/>
    </xf>
    <xf numFmtId="3" fontId="5" fillId="0" borderId="8" xfId="14" applyNumberFormat="1" applyFont="1" applyFill="1" applyBorder="1" applyAlignment="1">
      <alignment horizontal="right" vertical="top"/>
    </xf>
    <xf numFmtId="3" fontId="5" fillId="8" borderId="13" xfId="14" applyNumberFormat="1" applyFont="1" applyFill="1" applyBorder="1" applyAlignment="1">
      <alignment horizontal="right" vertical="top"/>
    </xf>
    <xf numFmtId="3" fontId="5" fillId="0" borderId="13" xfId="14" applyNumberFormat="1" applyFont="1" applyFill="1" applyBorder="1" applyAlignment="1">
      <alignment horizontal="right" vertical="top"/>
    </xf>
    <xf numFmtId="0" fontId="20" fillId="0" borderId="4" xfId="16" applyFont="1" applyBorder="1" applyAlignment="1">
      <alignment horizontal="right"/>
    </xf>
    <xf numFmtId="0" fontId="20" fillId="9" borderId="0" xfId="16" applyFont="1" applyFill="1" applyAlignment="1">
      <alignment horizontal="right"/>
    </xf>
    <xf numFmtId="174" fontId="5" fillId="9" borderId="0" xfId="5" applyNumberFormat="1" applyFont="1" applyFill="1" applyBorder="1" applyAlignment="1">
      <alignment horizontal="right" vertical="top"/>
    </xf>
    <xf numFmtId="0" fontId="5" fillId="9" borderId="0" xfId="5" applyFont="1" applyFill="1" applyBorder="1" applyAlignment="1">
      <alignment horizontal="right" vertical="top"/>
    </xf>
    <xf numFmtId="0" fontId="5" fillId="0" borderId="0" xfId="15" applyFill="1"/>
    <xf numFmtId="0" fontId="5" fillId="9" borderId="0" xfId="16" applyFont="1" applyFill="1" applyAlignment="1">
      <alignment horizontal="right"/>
    </xf>
    <xf numFmtId="37" fontId="5" fillId="9" borderId="0" xfId="16" applyNumberFormat="1" applyFont="1" applyFill="1" applyBorder="1" applyAlignment="1">
      <alignment horizontal="right"/>
    </xf>
    <xf numFmtId="0" fontId="20" fillId="7" borderId="9" xfId="5" applyFont="1" applyFill="1" applyBorder="1">
      <alignment vertical="top"/>
    </xf>
    <xf numFmtId="0" fontId="5" fillId="9" borderId="9" xfId="16" applyFont="1" applyFill="1" applyBorder="1"/>
    <xf numFmtId="3" fontId="5" fillId="9" borderId="9" xfId="16" applyNumberFormat="1" applyFont="1" applyFill="1" applyBorder="1" applyAlignment="1">
      <alignment horizontal="right"/>
    </xf>
    <xf numFmtId="0" fontId="5" fillId="9" borderId="9" xfId="16" applyFont="1" applyFill="1" applyBorder="1" applyAlignment="1">
      <alignment horizontal="right"/>
    </xf>
    <xf numFmtId="0" fontId="5" fillId="9" borderId="9" xfId="15" applyFill="1" applyBorder="1"/>
    <xf numFmtId="0" fontId="5" fillId="0" borderId="12" xfId="16" quotePrefix="1" applyFont="1" applyBorder="1" applyAlignment="1">
      <alignment horizontal="left"/>
    </xf>
    <xf numFmtId="0" fontId="20" fillId="7" borderId="4" xfId="5" applyFont="1" applyFill="1" applyBorder="1">
      <alignment vertical="top"/>
    </xf>
    <xf numFmtId="0" fontId="5" fillId="7" borderId="0" xfId="16" applyFont="1" applyFill="1" applyAlignment="1">
      <alignment horizontal="right"/>
    </xf>
    <xf numFmtId="174" fontId="5" fillId="7" borderId="0" xfId="5" applyNumberFormat="1" applyFont="1" applyFill="1" applyBorder="1" applyAlignment="1">
      <alignment horizontal="right" vertical="top"/>
    </xf>
    <xf numFmtId="0" fontId="5" fillId="7" borderId="0" xfId="15" applyFill="1"/>
    <xf numFmtId="0" fontId="5" fillId="7" borderId="9" xfId="15" applyFont="1" applyFill="1" applyBorder="1" applyAlignment="1">
      <alignment horizontal="right"/>
    </xf>
    <xf numFmtId="0" fontId="5" fillId="9" borderId="9" xfId="15" applyFont="1" applyFill="1" applyBorder="1" applyAlignment="1">
      <alignment horizontal="right"/>
    </xf>
    <xf numFmtId="0" fontId="20" fillId="0" borderId="11" xfId="15" applyFont="1" applyBorder="1"/>
    <xf numFmtId="0" fontId="20" fillId="0" borderId="0" xfId="16" applyFont="1" applyAlignment="1">
      <alignment horizontal="right"/>
    </xf>
    <xf numFmtId="174" fontId="5" fillId="0" borderId="14" xfId="5" applyNumberFormat="1" applyFont="1" applyFill="1" applyBorder="1" applyAlignment="1">
      <alignment horizontal="right" vertical="top"/>
    </xf>
    <xf numFmtId="174" fontId="5" fillId="0" borderId="16" xfId="5" applyNumberFormat="1" applyFont="1" applyFill="1" applyBorder="1" applyAlignment="1">
      <alignment horizontal="right" vertical="top"/>
    </xf>
    <xf numFmtId="0" fontId="5" fillId="0" borderId="0" xfId="15" applyFont="1"/>
    <xf numFmtId="0" fontId="5" fillId="0" borderId="0" xfId="15" applyFont="1" applyBorder="1"/>
    <xf numFmtId="0" fontId="5" fillId="0" borderId="0" xfId="15" applyFont="1" applyFill="1"/>
    <xf numFmtId="0" fontId="44" fillId="0" borderId="0" xfId="15" applyFont="1"/>
    <xf numFmtId="171" fontId="44" fillId="0" borderId="0" xfId="1" applyNumberFormat="1" applyFont="1"/>
    <xf numFmtId="176" fontId="0" fillId="2" borderId="0" xfId="13" applyNumberFormat="1" applyFont="1" applyFill="1" applyBorder="1" applyAlignment="1"/>
    <xf numFmtId="176" fontId="0" fillId="0" borderId="0" xfId="13" applyNumberFormat="1" applyFont="1" applyFill="1" applyBorder="1" applyAlignment="1"/>
    <xf numFmtId="164" fontId="6" fillId="0" borderId="12" xfId="9" applyFill="1" applyBorder="1" applyAlignment="1"/>
    <xf numFmtId="176" fontId="0" fillId="0" borderId="12" xfId="13" applyNumberFormat="1" applyFont="1" applyFill="1" applyBorder="1" applyAlignment="1"/>
    <xf numFmtId="176" fontId="0" fillId="3" borderId="0" xfId="13" applyNumberFormat="1" applyFont="1" applyFill="1" applyBorder="1" applyAlignment="1"/>
    <xf numFmtId="176" fontId="31" fillId="2" borderId="0" xfId="13" applyNumberFormat="1" applyFont="1" applyFill="1" applyBorder="1" applyAlignment="1"/>
    <xf numFmtId="176" fontId="31" fillId="0" borderId="12" xfId="13" applyNumberFormat="1" applyFont="1" applyFill="1" applyBorder="1" applyAlignment="1"/>
    <xf numFmtId="0" fontId="5" fillId="0" borderId="0" xfId="15" applyFont="1" applyAlignment="1">
      <alignment horizontal="center"/>
    </xf>
    <xf numFmtId="0" fontId="19" fillId="0" borderId="0" xfId="15" applyFont="1" applyFill="1"/>
    <xf numFmtId="0" fontId="5" fillId="0" borderId="9" xfId="15" applyFont="1" applyFill="1" applyBorder="1" applyAlignment="1">
      <alignment horizontal="center"/>
    </xf>
    <xf numFmtId="0" fontId="21" fillId="6" borderId="0" xfId="16" applyFont="1" applyFill="1" applyAlignment="1"/>
    <xf numFmtId="1" fontId="43" fillId="6" borderId="0" xfId="7" applyNumberFormat="1" applyFont="1" applyFill="1" applyAlignment="1">
      <alignment horizontal="center" wrapText="1"/>
    </xf>
    <xf numFmtId="1" fontId="22" fillId="6" borderId="0" xfId="7" applyNumberFormat="1" applyFont="1" applyFill="1" applyAlignment="1">
      <alignment horizontal="center" wrapText="1"/>
    </xf>
    <xf numFmtId="174" fontId="43" fillId="6" borderId="0" xfId="7" applyNumberFormat="1" applyFont="1" applyFill="1" applyAlignment="1">
      <alignment horizontal="center" wrapText="1"/>
    </xf>
    <xf numFmtId="3" fontId="22" fillId="6" borderId="9" xfId="7" applyNumberFormat="1" applyFont="1" applyFill="1" applyBorder="1" applyAlignment="1">
      <alignment horizontal="center" wrapText="1"/>
    </xf>
    <xf numFmtId="0" fontId="20" fillId="0" borderId="0" xfId="16" applyFont="1" applyFill="1" applyAlignment="1">
      <alignment horizontal="right"/>
    </xf>
    <xf numFmtId="174" fontId="5" fillId="0" borderId="0" xfId="5" applyNumberFormat="1" applyFont="1" applyFill="1" applyBorder="1" applyAlignment="1">
      <alignment horizontal="right" vertical="top"/>
    </xf>
    <xf numFmtId="37" fontId="5" fillId="7" borderId="0" xfId="16" applyNumberFormat="1" applyFont="1" applyFill="1" applyBorder="1" applyAlignment="1">
      <alignment horizontal="right"/>
    </xf>
    <xf numFmtId="37" fontId="5" fillId="0" borderId="0" xfId="16" applyNumberFormat="1" applyFont="1" applyFill="1" applyBorder="1" applyAlignment="1">
      <alignment horizontal="right"/>
    </xf>
    <xf numFmtId="0" fontId="5" fillId="7" borderId="9" xfId="16" applyFont="1" applyFill="1" applyBorder="1"/>
    <xf numFmtId="3" fontId="5" fillId="7" borderId="9" xfId="16" applyNumberFormat="1" applyFont="1" applyFill="1" applyBorder="1" applyAlignment="1">
      <alignment horizontal="right"/>
    </xf>
    <xf numFmtId="0" fontId="5" fillId="7" borderId="9" xfId="16" applyFont="1" applyFill="1" applyBorder="1" applyAlignment="1">
      <alignment horizontal="right"/>
    </xf>
    <xf numFmtId="0" fontId="5" fillId="0" borderId="9" xfId="16" applyFont="1" applyFill="1" applyBorder="1" applyAlignment="1">
      <alignment horizontal="right"/>
    </xf>
    <xf numFmtId="0" fontId="5" fillId="0" borderId="9" xfId="15" applyBorder="1"/>
    <xf numFmtId="0" fontId="5" fillId="0" borderId="9" xfId="15" applyFont="1" applyFill="1" applyBorder="1" applyAlignment="1">
      <alignment horizontal="right"/>
    </xf>
    <xf numFmtId="6" fontId="25" fillId="3" borderId="0" xfId="8" applyNumberFormat="1" applyFill="1"/>
    <xf numFmtId="164" fontId="34" fillId="0" borderId="0" xfId="10" applyFont="1" applyAlignment="1"/>
    <xf numFmtId="164" fontId="31" fillId="0" borderId="0" xfId="10" applyFont="1" applyAlignment="1"/>
    <xf numFmtId="164" fontId="34" fillId="0" borderId="0" xfId="10" quotePrefix="1" applyFont="1" applyAlignment="1">
      <alignment horizontal="left"/>
    </xf>
    <xf numFmtId="164" fontId="31" fillId="0" borderId="0" xfId="10" quotePrefix="1" applyFont="1" applyAlignment="1">
      <alignment horizontal="left"/>
    </xf>
    <xf numFmtId="176" fontId="31" fillId="0" borderId="0" xfId="21" applyNumberFormat="1" applyFont="1" applyAlignment="1"/>
    <xf numFmtId="164" fontId="31" fillId="0" borderId="0" xfId="10" applyFont="1" applyFill="1" applyAlignment="1"/>
    <xf numFmtId="164" fontId="41" fillId="0" borderId="0" xfId="10" applyFont="1" applyAlignment="1"/>
    <xf numFmtId="176" fontId="31" fillId="0" borderId="23" xfId="14" applyNumberFormat="1" applyFont="1" applyBorder="1" applyAlignment="1"/>
    <xf numFmtId="0" fontId="5" fillId="0" borderId="0" xfId="24"/>
    <xf numFmtId="0" fontId="5" fillId="0" borderId="0" xfId="24" applyFont="1"/>
    <xf numFmtId="0" fontId="20" fillId="0" borderId="3" xfId="15" applyFont="1" applyBorder="1"/>
    <xf numFmtId="0" fontId="5" fillId="0" borderId="4" xfId="15" applyBorder="1"/>
    <xf numFmtId="0" fontId="5" fillId="0" borderId="5" xfId="15" applyBorder="1"/>
    <xf numFmtId="0" fontId="5" fillId="0" borderId="0" xfId="25"/>
    <xf numFmtId="0" fontId="46" fillId="0" borderId="6" xfId="15" quotePrefix="1" applyFont="1" applyBorder="1" applyAlignment="1">
      <alignment horizontal="left"/>
    </xf>
    <xf numFmtId="0" fontId="5" fillId="0" borderId="0" xfId="15" applyBorder="1"/>
    <xf numFmtId="0" fontId="5" fillId="0" borderId="7" xfId="15" applyBorder="1"/>
    <xf numFmtId="175" fontId="5" fillId="0" borderId="6" xfId="1" quotePrefix="1" applyNumberFormat="1" applyBorder="1" applyAlignment="1">
      <alignment horizontal="center"/>
    </xf>
    <xf numFmtId="0" fontId="5" fillId="0" borderId="0" xfId="15" quotePrefix="1" applyFont="1" applyBorder="1" applyAlignment="1">
      <alignment horizontal="left"/>
    </xf>
    <xf numFmtId="176" fontId="0" fillId="0" borderId="0" xfId="14" applyNumberFormat="1" applyFont="1" applyFill="1" applyBorder="1"/>
    <xf numFmtId="0" fontId="20" fillId="0" borderId="0" xfId="15" quotePrefix="1" applyFont="1" applyBorder="1" applyAlignment="1">
      <alignment horizontal="left"/>
    </xf>
    <xf numFmtId="0" fontId="46" fillId="0" borderId="0" xfId="15" applyFont="1" applyBorder="1"/>
    <xf numFmtId="176" fontId="5" fillId="0" borderId="0" xfId="15" applyNumberFormat="1" applyFill="1" applyBorder="1"/>
    <xf numFmtId="0" fontId="5" fillId="0" borderId="0" xfId="15" quotePrefix="1" applyBorder="1" applyAlignment="1">
      <alignment horizontal="left"/>
    </xf>
    <xf numFmtId="0" fontId="5" fillId="0" borderId="0" xfId="15" quotePrefix="1" applyFill="1" applyBorder="1" applyAlignment="1">
      <alignment horizontal="left"/>
    </xf>
    <xf numFmtId="176" fontId="0" fillId="0" borderId="0" xfId="1" applyNumberFormat="1" applyFont="1" applyFill="1" applyBorder="1"/>
    <xf numFmtId="0" fontId="20" fillId="0" borderId="0" xfId="15" quotePrefix="1" applyFont="1" applyFill="1" applyBorder="1" applyAlignment="1">
      <alignment horizontal="left"/>
    </xf>
    <xf numFmtId="0" fontId="5" fillId="0" borderId="0" xfId="15" applyFill="1" applyBorder="1"/>
    <xf numFmtId="0" fontId="5" fillId="0" borderId="7" xfId="15" applyFill="1" applyBorder="1"/>
    <xf numFmtId="0" fontId="5" fillId="0" borderId="0" xfId="25" applyFill="1"/>
    <xf numFmtId="0" fontId="5" fillId="0" borderId="0" xfId="15" quotePrefix="1" applyBorder="1" applyAlignment="1">
      <alignment horizontal="left" indent="1"/>
    </xf>
    <xf numFmtId="0" fontId="45" fillId="0" borderId="0" xfId="25" applyFont="1"/>
    <xf numFmtId="0" fontId="20" fillId="0" borderId="0" xfId="15" applyFont="1" applyBorder="1"/>
    <xf numFmtId="176" fontId="5" fillId="0" borderId="0" xfId="14" applyNumberFormat="1" applyFont="1" applyFill="1" applyBorder="1"/>
    <xf numFmtId="176" fontId="5" fillId="0" borderId="7" xfId="15" applyNumberFormat="1" applyFill="1" applyBorder="1"/>
    <xf numFmtId="175" fontId="5" fillId="0" borderId="6" xfId="1" quotePrefix="1" applyNumberFormat="1" applyBorder="1" applyAlignment="1">
      <alignment horizontal="center" vertical="center"/>
    </xf>
    <xf numFmtId="0" fontId="5" fillId="0" borderId="0" xfId="15" quotePrefix="1" applyBorder="1" applyAlignment="1">
      <alignment horizontal="left" wrapText="1"/>
    </xf>
    <xf numFmtId="176" fontId="0" fillId="0" borderId="0" xfId="14" applyNumberFormat="1" applyFont="1" applyFill="1" applyBorder="1" applyAlignment="1">
      <alignment vertical="center"/>
    </xf>
    <xf numFmtId="0" fontId="20" fillId="0" borderId="0" xfId="15" applyFont="1" applyBorder="1" applyAlignment="1">
      <alignment vertical="center"/>
    </xf>
    <xf numFmtId="0" fontId="5" fillId="0" borderId="8" xfId="15" applyBorder="1"/>
    <xf numFmtId="0" fontId="5" fillId="0" borderId="9" xfId="15" applyFont="1" applyBorder="1"/>
    <xf numFmtId="0" fontId="5" fillId="0" borderId="10" xfId="15" applyBorder="1"/>
    <xf numFmtId="0" fontId="5" fillId="0" borderId="3" xfId="15" applyBorder="1"/>
    <xf numFmtId="0" fontId="5" fillId="0" borderId="6" xfId="15" applyBorder="1"/>
    <xf numFmtId="176" fontId="5" fillId="0" borderId="0" xfId="14" applyNumberFormat="1" applyFont="1" applyBorder="1"/>
    <xf numFmtId="44" fontId="5" fillId="0" borderId="0" xfId="15" applyNumberFormat="1"/>
    <xf numFmtId="171" fontId="5" fillId="0" borderId="0" xfId="15" applyNumberFormat="1" applyBorder="1"/>
    <xf numFmtId="176" fontId="5" fillId="0" borderId="23" xfId="14" applyNumberFormat="1" applyFont="1" applyBorder="1"/>
    <xf numFmtId="0" fontId="20" fillId="0" borderId="0" xfId="26" applyFont="1"/>
    <xf numFmtId="0" fontId="20" fillId="0" borderId="0" xfId="26" quotePrefix="1" applyFont="1" applyAlignment="1">
      <alignment horizontal="left"/>
    </xf>
    <xf numFmtId="0" fontId="46" fillId="0" borderId="0" xfId="24" applyFont="1"/>
    <xf numFmtId="171" fontId="5" fillId="0" borderId="0" xfId="1" applyNumberFormat="1" applyFont="1"/>
    <xf numFmtId="0" fontId="5" fillId="0" borderId="0" xfId="24" applyAlignment="1">
      <alignment horizontal="center" wrapText="1"/>
    </xf>
    <xf numFmtId="0" fontId="5" fillId="0" borderId="0" xfId="26" applyFont="1" applyBorder="1" applyAlignment="1">
      <alignment horizontal="center" wrapText="1"/>
    </xf>
    <xf numFmtId="0" fontId="5" fillId="0" borderId="0" xfId="26" quotePrefix="1" applyFont="1" applyBorder="1" applyAlignment="1">
      <alignment horizontal="center" wrapText="1"/>
    </xf>
    <xf numFmtId="171" fontId="5" fillId="0" borderId="0" xfId="1" applyNumberFormat="1" applyFont="1" applyFill="1"/>
    <xf numFmtId="171" fontId="5" fillId="0" borderId="0" xfId="1" applyNumberFormat="1" applyFill="1"/>
    <xf numFmtId="171" fontId="5" fillId="0" borderId="0" xfId="24" applyNumberFormat="1"/>
    <xf numFmtId="0" fontId="5" fillId="0" borderId="0" xfId="26" applyFont="1" applyFill="1"/>
    <xf numFmtId="0" fontId="5" fillId="0" borderId="0" xfId="24" quotePrefix="1" applyAlignment="1">
      <alignment horizontal="left"/>
    </xf>
    <xf numFmtId="171" fontId="5" fillId="4" borderId="0" xfId="26" applyNumberFormat="1" applyFont="1" applyFill="1" applyBorder="1"/>
    <xf numFmtId="0" fontId="47" fillId="0" borderId="0" xfId="24" applyFont="1" applyBorder="1"/>
    <xf numFmtId="14" fontId="47" fillId="0" borderId="0" xfId="24" applyNumberFormat="1" applyFont="1" applyBorder="1" applyAlignment="1">
      <alignment horizontal="center"/>
    </xf>
    <xf numFmtId="0" fontId="46" fillId="0" borderId="0" xfId="24" quotePrefix="1" applyFont="1" applyBorder="1" applyAlignment="1">
      <alignment horizontal="center"/>
    </xf>
    <xf numFmtId="171" fontId="0" fillId="0" borderId="0" xfId="1" applyNumberFormat="1" applyFont="1"/>
    <xf numFmtId="171" fontId="20" fillId="0" borderId="0" xfId="1" applyNumberFormat="1" applyFont="1"/>
    <xf numFmtId="171" fontId="20" fillId="4" borderId="0" xfId="1" applyNumberFormat="1" applyFont="1" applyFill="1"/>
    <xf numFmtId="0" fontId="5" fillId="0" borderId="0" xfId="26" applyFont="1"/>
    <xf numFmtId="0" fontId="5" fillId="0" borderId="9" xfId="26" applyFont="1" applyBorder="1" applyAlignment="1">
      <alignment horizontal="center" wrapText="1"/>
    </xf>
    <xf numFmtId="0" fontId="47" fillId="0" borderId="0" xfId="26" applyFont="1"/>
    <xf numFmtId="179" fontId="5" fillId="0" borderId="0" xfId="26" applyNumberFormat="1" applyFont="1"/>
    <xf numFmtId="170" fontId="5" fillId="0" borderId="0" xfId="24" applyNumberFormat="1"/>
    <xf numFmtId="0" fontId="20" fillId="0" borderId="0" xfId="24" applyFont="1" applyAlignment="1">
      <alignment horizontal="left"/>
    </xf>
    <xf numFmtId="0" fontId="20" fillId="0" borderId="0" xfId="24" applyFont="1"/>
    <xf numFmtId="0" fontId="46" fillId="0" borderId="0" xfId="24" applyFont="1" applyAlignment="1">
      <alignment horizontal="center"/>
    </xf>
    <xf numFmtId="0" fontId="46" fillId="0" borderId="0" xfId="24" quotePrefix="1" applyFont="1" applyAlignment="1">
      <alignment horizontal="center" wrapText="1"/>
    </xf>
    <xf numFmtId="0" fontId="46" fillId="0" borderId="0" xfId="24" applyFont="1" applyAlignment="1">
      <alignment horizontal="center" wrapText="1"/>
    </xf>
    <xf numFmtId="170" fontId="46" fillId="0" borderId="0" xfId="24" applyNumberFormat="1" applyFont="1" applyAlignment="1">
      <alignment horizontal="center" wrapText="1"/>
    </xf>
    <xf numFmtId="180" fontId="0" fillId="0" borderId="0" xfId="11" applyNumberFormat="1" applyFont="1"/>
    <xf numFmtId="170" fontId="0" fillId="0" borderId="0" xfId="11" applyNumberFormat="1" applyFont="1"/>
    <xf numFmtId="10" fontId="0" fillId="0" borderId="0" xfId="11" applyNumberFormat="1" applyFont="1"/>
    <xf numFmtId="0" fontId="47" fillId="0" borderId="0" xfId="24" applyFont="1"/>
    <xf numFmtId="177" fontId="49" fillId="0" borderId="0" xfId="11" applyNumberFormat="1" applyFont="1" applyFill="1"/>
    <xf numFmtId="171" fontId="0" fillId="0" borderId="0" xfId="1" applyNumberFormat="1" applyFont="1" applyBorder="1"/>
    <xf numFmtId="0" fontId="5" fillId="0" borderId="0" xfId="24" applyFill="1" applyProtection="1">
      <protection locked="0"/>
    </xf>
    <xf numFmtId="10" fontId="0" fillId="0" borderId="0" xfId="11" applyNumberFormat="1" applyFont="1" applyBorder="1"/>
    <xf numFmtId="177" fontId="0" fillId="0" borderId="0" xfId="11" applyNumberFormat="1" applyFont="1" applyFill="1" applyBorder="1"/>
    <xf numFmtId="10" fontId="0" fillId="0" borderId="0" xfId="11" applyNumberFormat="1" applyFont="1" applyFill="1" applyBorder="1"/>
    <xf numFmtId="0" fontId="5" fillId="0" borderId="0" xfId="24" applyBorder="1"/>
    <xf numFmtId="177" fontId="5" fillId="0" borderId="0" xfId="24" applyNumberFormat="1"/>
    <xf numFmtId="177" fontId="50" fillId="0" borderId="0" xfId="11" applyNumberFormat="1" applyFont="1" applyFill="1"/>
    <xf numFmtId="0" fontId="5" fillId="0" borderId="0" xfId="24" applyFill="1"/>
    <xf numFmtId="177" fontId="5" fillId="0" borderId="0" xfId="11" applyNumberFormat="1" applyFont="1" applyFill="1" applyBorder="1"/>
    <xf numFmtId="171" fontId="0" fillId="0" borderId="0" xfId="1" applyNumberFormat="1" applyFont="1" applyFill="1" applyBorder="1"/>
    <xf numFmtId="0" fontId="5" fillId="0" borderId="0" xfId="24" applyAlignment="1">
      <alignment horizontal="left"/>
    </xf>
    <xf numFmtId="0" fontId="5" fillId="0" borderId="0" xfId="27" applyFont="1" applyAlignment="1">
      <alignment horizontal="left"/>
    </xf>
    <xf numFmtId="0" fontId="5" fillId="0" borderId="0" xfId="27" quotePrefix="1" applyFont="1" applyAlignment="1">
      <alignment horizontal="left"/>
    </xf>
    <xf numFmtId="0" fontId="5" fillId="0" borderId="0" xfId="24" applyFont="1" applyFill="1"/>
    <xf numFmtId="171" fontId="5" fillId="0" borderId="0" xfId="1" applyNumberFormat="1" applyFont="1" applyFill="1" applyBorder="1"/>
    <xf numFmtId="0" fontId="5" fillId="0" borderId="0" xfId="24" applyFill="1" applyBorder="1"/>
    <xf numFmtId="171" fontId="5" fillId="0" borderId="0" xfId="1" applyNumberFormat="1" applyFont="1" applyFill="1" applyBorder="1" applyProtection="1">
      <protection locked="0"/>
    </xf>
    <xf numFmtId="0" fontId="5" fillId="0" borderId="0" xfId="24" applyBorder="1" applyProtection="1">
      <protection locked="0"/>
    </xf>
    <xf numFmtId="177" fontId="5" fillId="0" borderId="0" xfId="11" applyNumberFormat="1" applyFont="1" applyFill="1" applyBorder="1" applyProtection="1">
      <protection locked="0"/>
    </xf>
    <xf numFmtId="171" fontId="0" fillId="0" borderId="0" xfId="1" applyNumberFormat="1" applyFont="1" applyBorder="1" applyProtection="1">
      <protection locked="0"/>
    </xf>
    <xf numFmtId="177" fontId="0" fillId="0" borderId="0" xfId="11" applyNumberFormat="1" applyFont="1" applyFill="1" applyBorder="1" applyProtection="1">
      <protection locked="0"/>
    </xf>
    <xf numFmtId="0" fontId="48" fillId="0" borderId="0" xfId="24" applyFont="1" applyBorder="1"/>
    <xf numFmtId="171" fontId="5" fillId="0" borderId="9" xfId="1" applyNumberFormat="1" applyFont="1" applyFill="1" applyBorder="1"/>
    <xf numFmtId="171" fontId="0" fillId="0" borderId="9" xfId="1" applyNumberFormat="1" applyFont="1" applyBorder="1"/>
    <xf numFmtId="10" fontId="0" fillId="0" borderId="9" xfId="11" applyNumberFormat="1" applyFont="1" applyBorder="1"/>
    <xf numFmtId="171" fontId="5" fillId="0" borderId="0" xfId="24" applyNumberFormat="1" applyBorder="1"/>
    <xf numFmtId="170" fontId="5" fillId="0" borderId="0" xfId="24" applyNumberFormat="1" applyFill="1" applyBorder="1"/>
    <xf numFmtId="10" fontId="0" fillId="10" borderId="23" xfId="11" applyNumberFormat="1" applyFont="1" applyFill="1" applyBorder="1"/>
    <xf numFmtId="170" fontId="5" fillId="0" borderId="0" xfId="24" applyNumberFormat="1" applyFill="1"/>
    <xf numFmtId="181" fontId="5" fillId="0" borderId="0" xfId="24" applyNumberFormat="1" applyFill="1"/>
    <xf numFmtId="0" fontId="5" fillId="0" borderId="0" xfId="24" applyFont="1" applyBorder="1" applyAlignment="1">
      <alignment horizontal="center"/>
    </xf>
    <xf numFmtId="0" fontId="20" fillId="0" borderId="0" xfId="24" quotePrefix="1" applyFont="1" applyAlignment="1">
      <alignment horizontal="left"/>
    </xf>
    <xf numFmtId="0" fontId="45" fillId="0" borderId="0" xfId="24" applyFont="1"/>
    <xf numFmtId="0" fontId="5" fillId="0" borderId="0" xfId="24" applyAlignment="1">
      <alignment horizontal="center"/>
    </xf>
    <xf numFmtId="37" fontId="5" fillId="0" borderId="4" xfId="24" applyNumberFormat="1" applyBorder="1"/>
    <xf numFmtId="37" fontId="5" fillId="10" borderId="0" xfId="24" applyNumberFormat="1" applyFill="1"/>
    <xf numFmtId="171" fontId="5" fillId="0" borderId="0" xfId="1" applyNumberFormat="1"/>
    <xf numFmtId="0" fontId="20" fillId="0" borderId="0" xfId="31" applyFont="1"/>
    <xf numFmtId="0" fontId="5" fillId="0" borderId="0" xfId="31"/>
    <xf numFmtId="0" fontId="5" fillId="0" borderId="0" xfId="31" applyAlignment="1">
      <alignment horizontal="center"/>
    </xf>
    <xf numFmtId="0" fontId="5" fillId="0" borderId="0" xfId="31" applyBorder="1" applyAlignment="1">
      <alignment horizontal="center"/>
    </xf>
    <xf numFmtId="0" fontId="20" fillId="0" borderId="0" xfId="32" quotePrefix="1" applyFont="1" applyAlignment="1">
      <alignment horizontal="left"/>
    </xf>
    <xf numFmtId="170" fontId="5" fillId="0" borderId="0" xfId="11" quotePrefix="1" applyNumberFormat="1" applyFont="1"/>
    <xf numFmtId="0" fontId="46" fillId="0" borderId="0" xfId="31" applyFont="1" applyBorder="1" applyAlignment="1">
      <alignment horizontal="center"/>
    </xf>
    <xf numFmtId="177" fontId="5" fillId="0" borderId="0" xfId="11" applyNumberFormat="1" applyBorder="1"/>
    <xf numFmtId="0" fontId="5" fillId="0" borderId="0" xfId="31" applyBorder="1"/>
    <xf numFmtId="9" fontId="5" fillId="0" borderId="2" xfId="11" applyBorder="1"/>
    <xf numFmtId="0" fontId="5" fillId="0" borderId="0" xfId="31" applyBorder="1" applyAlignment="1">
      <alignment horizontal="center" wrapText="1"/>
    </xf>
    <xf numFmtId="170" fontId="5" fillId="0" borderId="0" xfId="31" applyNumberFormat="1" applyBorder="1" applyAlignment="1">
      <alignment horizontal="center" wrapText="1"/>
    </xf>
    <xf numFmtId="170" fontId="5" fillId="0" borderId="0" xfId="31" applyNumberFormat="1" applyBorder="1"/>
    <xf numFmtId="0" fontId="5" fillId="0" borderId="0" xfId="31" applyFill="1" applyBorder="1"/>
    <xf numFmtId="0" fontId="5" fillId="0" borderId="0" xfId="31" applyFont="1" applyFill="1" applyBorder="1"/>
    <xf numFmtId="0" fontId="5" fillId="0" borderId="0" xfId="31" applyBorder="1" applyAlignment="1">
      <alignment horizontal="right"/>
    </xf>
    <xf numFmtId="182" fontId="5" fillId="0" borderId="23" xfId="11" applyNumberFormat="1" applyBorder="1"/>
    <xf numFmtId="177" fontId="5" fillId="4" borderId="23" xfId="11" applyNumberFormat="1" applyFill="1" applyBorder="1"/>
    <xf numFmtId="0" fontId="47" fillId="0" borderId="0" xfId="31" applyFont="1" applyBorder="1"/>
    <xf numFmtId="177" fontId="5" fillId="0" borderId="0" xfId="31" applyNumberFormat="1" applyBorder="1"/>
    <xf numFmtId="0" fontId="20" fillId="0" borderId="0" xfId="33" applyFont="1"/>
    <xf numFmtId="0" fontId="5" fillId="0" borderId="0" xfId="33"/>
    <xf numFmtId="0" fontId="20" fillId="0" borderId="0" xfId="33" quotePrefix="1" applyFont="1" applyAlignment="1">
      <alignment horizontal="left"/>
    </xf>
    <xf numFmtId="0" fontId="5" fillId="0" borderId="0" xfId="33" quotePrefix="1" applyFont="1" applyAlignment="1">
      <alignment horizontal="left"/>
    </xf>
    <xf numFmtId="0" fontId="5" fillId="0" borderId="0" xfId="33" applyFont="1"/>
    <xf numFmtId="176" fontId="5" fillId="0" borderId="0" xfId="14" applyNumberFormat="1"/>
    <xf numFmtId="10" fontId="5" fillId="0" borderId="0" xfId="11" applyNumberFormat="1"/>
    <xf numFmtId="10" fontId="5" fillId="0" borderId="9" xfId="11" applyNumberFormat="1" applyBorder="1"/>
    <xf numFmtId="176" fontId="5" fillId="0" borderId="0" xfId="33" applyNumberFormat="1"/>
    <xf numFmtId="0" fontId="5" fillId="0" borderId="0" xfId="33" quotePrefix="1" applyAlignment="1">
      <alignment horizontal="left"/>
    </xf>
    <xf numFmtId="183" fontId="5" fillId="4" borderId="23" xfId="11" applyNumberFormat="1" applyFill="1" applyBorder="1"/>
    <xf numFmtId="177" fontId="5" fillId="0" borderId="0" xfId="33" applyNumberFormat="1"/>
    <xf numFmtId="178" fontId="5" fillId="0" borderId="0" xfId="24" quotePrefix="1" applyNumberFormat="1" applyFont="1" applyAlignment="1">
      <alignment horizontal="left"/>
    </xf>
    <xf numFmtId="0" fontId="5" fillId="0" borderId="0" xfId="0" applyFont="1"/>
    <xf numFmtId="41" fontId="5" fillId="0" borderId="0" xfId="28" applyFont="1"/>
    <xf numFmtId="37" fontId="5" fillId="0" borderId="0" xfId="24" applyNumberFormat="1" applyFont="1"/>
    <xf numFmtId="165" fontId="5" fillId="0" borderId="0" xfId="24" applyNumberFormat="1" applyFont="1"/>
    <xf numFmtId="10" fontId="5" fillId="0" borderId="0" xfId="31" applyNumberFormat="1" applyFont="1" applyBorder="1" applyProtection="1">
      <protection locked="0"/>
    </xf>
    <xf numFmtId="182" fontId="5" fillId="0" borderId="0" xfId="31" applyNumberFormat="1" applyFont="1" applyProtection="1">
      <protection locked="0"/>
    </xf>
    <xf numFmtId="182" fontId="5" fillId="0" borderId="0" xfId="11" applyNumberFormat="1" applyFont="1" applyProtection="1">
      <protection locked="0"/>
    </xf>
    <xf numFmtId="182" fontId="5" fillId="0" borderId="0" xfId="11" applyNumberFormat="1" applyFont="1" applyBorder="1" applyProtection="1">
      <protection locked="0"/>
    </xf>
    <xf numFmtId="10" fontId="5" fillId="0" borderId="0" xfId="31" applyNumberFormat="1" applyFont="1" applyFill="1" applyBorder="1" applyProtection="1">
      <protection locked="0"/>
    </xf>
    <xf numFmtId="176" fontId="5" fillId="0" borderId="0" xfId="14" applyNumberFormat="1" applyFont="1"/>
    <xf numFmtId="10" fontId="5" fillId="0" borderId="0" xfId="11" applyNumberFormat="1" applyFont="1"/>
    <xf numFmtId="176" fontId="5" fillId="0" borderId="9" xfId="14" applyNumberFormat="1" applyFont="1" applyBorder="1"/>
    <xf numFmtId="176" fontId="0" fillId="0" borderId="9" xfId="1" applyNumberFormat="1" applyFont="1" applyFill="1" applyBorder="1"/>
    <xf numFmtId="0" fontId="5" fillId="0" borderId="17" xfId="15" applyBorder="1" applyAlignment="1">
      <alignment horizontal="center" vertical="top" wrapText="1"/>
    </xf>
    <xf numFmtId="0" fontId="5" fillId="0" borderId="17" xfId="15" applyNumberFormat="1" applyFill="1" applyBorder="1" applyAlignment="1">
      <alignment horizontal="left" vertical="top" wrapText="1"/>
    </xf>
    <xf numFmtId="184" fontId="5" fillId="0" borderId="17" xfId="15" applyNumberFormat="1" applyFill="1" applyBorder="1" applyAlignment="1">
      <alignment horizontal="center" vertical="top" wrapText="1"/>
    </xf>
    <xf numFmtId="0" fontId="5" fillId="0" borderId="17" xfId="15" applyFont="1" applyFill="1" applyBorder="1" applyAlignment="1">
      <alignment vertical="top" wrapText="1"/>
    </xf>
    <xf numFmtId="0" fontId="5" fillId="0" borderId="17" xfId="15" applyFill="1" applyBorder="1" applyAlignment="1">
      <alignment horizontal="center" vertical="top" wrapText="1"/>
    </xf>
    <xf numFmtId="0" fontId="5" fillId="0" borderId="18" xfId="15" applyFill="1" applyBorder="1" applyAlignment="1">
      <alignment vertical="top" wrapText="1"/>
    </xf>
    <xf numFmtId="0" fontId="5" fillId="0" borderId="17" xfId="15" applyFont="1" applyFill="1" applyBorder="1" applyAlignment="1">
      <alignment horizontal="center" vertical="top" wrapText="1"/>
    </xf>
    <xf numFmtId="0" fontId="5" fillId="0" borderId="18" xfId="15" applyNumberFormat="1" applyFont="1" applyFill="1" applyBorder="1" applyAlignment="1">
      <alignment horizontal="left" vertical="top" wrapText="1"/>
    </xf>
    <xf numFmtId="184" fontId="5" fillId="0" borderId="17" xfId="15" applyNumberFormat="1" applyFont="1" applyFill="1" applyBorder="1" applyAlignment="1">
      <alignment horizontal="center" vertical="top" wrapText="1"/>
    </xf>
    <xf numFmtId="0" fontId="5" fillId="0" borderId="18" xfId="15" applyFont="1" applyFill="1" applyBorder="1" applyAlignment="1">
      <alignment vertical="top" wrapText="1"/>
    </xf>
    <xf numFmtId="0" fontId="5" fillId="0" borderId="18" xfId="15" applyNumberFormat="1" applyFill="1" applyBorder="1" applyAlignment="1">
      <alignment horizontal="left" vertical="top" wrapText="1"/>
    </xf>
    <xf numFmtId="0" fontId="5" fillId="0" borderId="17" xfId="15" applyNumberFormat="1" applyFont="1" applyFill="1" applyBorder="1" applyAlignment="1">
      <alignment horizontal="left" vertical="top" wrapText="1"/>
    </xf>
    <xf numFmtId="0" fontId="0" fillId="0" borderId="18" xfId="0" applyFill="1" applyBorder="1" applyAlignment="1">
      <alignment vertical="top" wrapText="1"/>
    </xf>
    <xf numFmtId="0" fontId="0" fillId="0" borderId="18" xfId="0" applyFill="1" applyBorder="1" applyAlignment="1">
      <alignment vertical="top"/>
    </xf>
    <xf numFmtId="44" fontId="6" fillId="0" borderId="12" xfId="13" applyNumberFormat="1" applyFont="1" applyFill="1" applyBorder="1" applyAlignment="1">
      <alignment vertical="top"/>
    </xf>
    <xf numFmtId="174" fontId="7" fillId="0" borderId="0" xfId="2" applyNumberFormat="1" applyFont="1" applyAlignment="1" applyProtection="1">
      <protection locked="0"/>
    </xf>
    <xf numFmtId="183" fontId="6" fillId="0" borderId="0" xfId="3" applyNumberFormat="1" applyFont="1" applyFill="1" applyBorder="1" applyAlignment="1"/>
    <xf numFmtId="0" fontId="48" fillId="0" borderId="0" xfId="0" applyFont="1"/>
    <xf numFmtId="0" fontId="51" fillId="0" borderId="0" xfId="0" applyFont="1" applyAlignment="1">
      <alignment horizontal="left"/>
    </xf>
    <xf numFmtId="0" fontId="0" fillId="0" borderId="0" xfId="0" applyAlignment="1">
      <alignment vertical="top" wrapText="1"/>
    </xf>
    <xf numFmtId="0" fontId="52" fillId="0" borderId="0" xfId="0" quotePrefix="1" applyFont="1" applyAlignment="1">
      <alignment horizontal="left" wrapText="1"/>
    </xf>
    <xf numFmtId="0" fontId="45" fillId="0" borderId="0" xfId="0" applyFont="1"/>
    <xf numFmtId="14" fontId="0" fillId="0" borderId="18" xfId="0" applyNumberFormat="1" applyFill="1" applyBorder="1" applyAlignment="1">
      <alignment vertical="top"/>
    </xf>
    <xf numFmtId="0" fontId="21" fillId="6" borderId="0" xfId="16" applyFont="1" applyFill="1" applyAlignment="1">
      <alignment vertical="center"/>
    </xf>
    <xf numFmtId="0" fontId="21" fillId="6" borderId="0" xfId="16" applyFont="1" applyFill="1" applyBorder="1" applyAlignment="1">
      <alignment vertical="center"/>
    </xf>
    <xf numFmtId="0" fontId="6" fillId="0" borderId="0" xfId="12" applyNumberFormat="1" applyFont="1" applyFill="1" applyBorder="1" applyAlignment="1">
      <alignment horizontal="center" vertical="top" wrapText="1"/>
    </xf>
    <xf numFmtId="0" fontId="30" fillId="0" borderId="24" xfId="44" applyFont="1" applyFill="1" applyBorder="1" applyAlignment="1">
      <alignment horizontal="center" vertical="center"/>
    </xf>
    <xf numFmtId="0" fontId="30" fillId="0" borderId="25" xfId="44" applyFont="1" applyFill="1" applyBorder="1"/>
    <xf numFmtId="0" fontId="30" fillId="0" borderId="24" xfId="44" applyFont="1" applyFill="1" applyBorder="1"/>
    <xf numFmtId="0" fontId="30" fillId="0" borderId="0" xfId="44" applyFont="1" applyFill="1"/>
    <xf numFmtId="176" fontId="20" fillId="0" borderId="3" xfId="14" applyNumberFormat="1" applyFont="1" applyFill="1" applyBorder="1" applyAlignment="1"/>
    <xf numFmtId="0" fontId="30" fillId="0" borderId="4" xfId="44" applyFont="1" applyFill="1" applyBorder="1"/>
    <xf numFmtId="0" fontId="30" fillId="0" borderId="5" xfId="44" applyFont="1" applyFill="1" applyBorder="1"/>
    <xf numFmtId="0" fontId="5" fillId="0" borderId="6" xfId="40" applyFont="1" applyFill="1" applyBorder="1"/>
    <xf numFmtId="0" fontId="30" fillId="0" borderId="0" xfId="44" applyFont="1" applyFill="1" applyBorder="1"/>
    <xf numFmtId="0" fontId="30" fillId="0" borderId="7" xfId="44" applyFont="1" applyFill="1" applyBorder="1"/>
    <xf numFmtId="0" fontId="30" fillId="0" borderId="6" xfId="44" applyFont="1" applyFill="1" applyBorder="1"/>
    <xf numFmtId="0" fontId="30" fillId="0" borderId="20" xfId="4" applyFont="1" applyFill="1" applyBorder="1" applyAlignment="1">
      <alignment horizontal="center" vertical="top" wrapText="1"/>
    </xf>
    <xf numFmtId="0" fontId="30" fillId="0" borderId="21" xfId="4" applyFont="1" applyFill="1" applyBorder="1" applyAlignment="1">
      <alignment horizontal="center" vertical="top" wrapText="1"/>
    </xf>
    <xf numFmtId="0" fontId="30" fillId="0" borderId="6" xfId="44" applyFont="1" applyFill="1" applyBorder="1" applyAlignment="1">
      <alignment horizontal="left" indent="1"/>
    </xf>
    <xf numFmtId="10" fontId="30" fillId="0" borderId="0" xfId="44" applyNumberFormat="1" applyFont="1" applyFill="1" applyBorder="1"/>
    <xf numFmtId="171" fontId="32" fillId="0" borderId="0" xfId="19" applyNumberFormat="1" applyFont="1" applyFill="1" applyBorder="1" applyAlignment="1">
      <alignment horizontal="right"/>
    </xf>
    <xf numFmtId="168" fontId="30" fillId="0" borderId="0" xfId="44" applyNumberFormat="1" applyFont="1" applyFill="1" applyBorder="1"/>
    <xf numFmtId="41" fontId="5" fillId="0" borderId="0" xfId="19" applyNumberFormat="1" applyFont="1" applyFill="1" applyBorder="1"/>
    <xf numFmtId="6" fontId="30" fillId="0" borderId="0" xfId="44" applyNumberFormat="1" applyFont="1" applyFill="1" applyBorder="1"/>
    <xf numFmtId="6" fontId="30" fillId="0" borderId="22" xfId="44" applyNumberFormat="1" applyFont="1" applyFill="1" applyBorder="1"/>
    <xf numFmtId="0" fontId="30" fillId="0" borderId="8" xfId="44" applyFont="1" applyFill="1" applyBorder="1"/>
    <xf numFmtId="0" fontId="30" fillId="0" borderId="9" xfId="44" applyFont="1" applyFill="1" applyBorder="1"/>
    <xf numFmtId="0" fontId="30" fillId="0" borderId="10" xfId="44" applyFont="1" applyFill="1" applyBorder="1"/>
    <xf numFmtId="0" fontId="32" fillId="0" borderId="0" xfId="44" applyFont="1" applyFill="1" applyAlignment="1">
      <alignment horizontal="left" indent="2"/>
    </xf>
    <xf numFmtId="41" fontId="5" fillId="0" borderId="0" xfId="26" applyNumberFormat="1" applyFont="1"/>
    <xf numFmtId="1" fontId="0" fillId="0" borderId="0" xfId="0" applyNumberFormat="1" applyProtection="1"/>
    <xf numFmtId="0" fontId="5" fillId="0" borderId="0" xfId="26" applyFont="1" applyBorder="1"/>
    <xf numFmtId="41" fontId="5" fillId="0" borderId="0" xfId="26" applyNumberFormat="1" applyFont="1" applyBorder="1"/>
    <xf numFmtId="0" fontId="20" fillId="0" borderId="0" xfId="26" applyFont="1" applyBorder="1"/>
    <xf numFmtId="0" fontId="5" fillId="0" borderId="0" xfId="26" applyFont="1" applyAlignment="1">
      <alignment horizontal="right"/>
    </xf>
    <xf numFmtId="41" fontId="5" fillId="0" borderId="23" xfId="26" applyNumberFormat="1" applyFont="1" applyBorder="1"/>
    <xf numFmtId="0" fontId="20" fillId="0" borderId="0" xfId="26" applyFont="1" applyAlignment="1">
      <alignment horizontal="right"/>
    </xf>
    <xf numFmtId="41" fontId="20" fillId="0" borderId="23" xfId="26" applyNumberFormat="1" applyFont="1" applyBorder="1"/>
    <xf numFmtId="0" fontId="5" fillId="0" borderId="0" xfId="0" applyFont="1" applyFill="1"/>
    <xf numFmtId="0" fontId="0" fillId="0" borderId="0" xfId="0" applyFill="1"/>
    <xf numFmtId="0" fontId="5" fillId="0" borderId="0" xfId="15" quotePrefix="1" applyFont="1" applyFill="1" applyBorder="1" applyAlignment="1">
      <alignment horizontal="left"/>
    </xf>
    <xf numFmtId="176" fontId="48" fillId="0" borderId="0" xfId="15" applyNumberFormat="1" applyFont="1" applyFill="1" applyBorder="1"/>
    <xf numFmtId="44" fontId="48" fillId="0" borderId="0" xfId="15" applyNumberFormat="1" applyFont="1" applyFill="1" applyBorder="1"/>
    <xf numFmtId="44" fontId="5" fillId="0" borderId="0" xfId="33" applyNumberFormat="1"/>
    <xf numFmtId="183" fontId="5" fillId="0" borderId="0" xfId="33" applyNumberFormat="1"/>
    <xf numFmtId="0" fontId="1" fillId="0" borderId="0" xfId="45"/>
    <xf numFmtId="0" fontId="1" fillId="0" borderId="0" xfId="45" applyAlignment="1">
      <alignment horizontal="center"/>
    </xf>
    <xf numFmtId="49" fontId="1" fillId="0" borderId="0" xfId="45" applyNumberFormat="1" applyAlignment="1">
      <alignment horizontal="center"/>
    </xf>
    <xf numFmtId="0" fontId="1" fillId="0" borderId="0" xfId="45" quotePrefix="1" applyAlignment="1">
      <alignment horizontal="center"/>
    </xf>
    <xf numFmtId="171" fontId="0" fillId="0" borderId="0" xfId="46" applyNumberFormat="1" applyFont="1"/>
    <xf numFmtId="171" fontId="1" fillId="0" borderId="0" xfId="45" applyNumberFormat="1"/>
    <xf numFmtId="0" fontId="1" fillId="0" borderId="9" xfId="45" applyBorder="1" applyAlignment="1">
      <alignment horizontal="center"/>
    </xf>
    <xf numFmtId="171" fontId="0" fillId="0" borderId="9" xfId="46" applyNumberFormat="1" applyFont="1" applyBorder="1"/>
    <xf numFmtId="0" fontId="1" fillId="0" borderId="9" xfId="45" applyBorder="1"/>
    <xf numFmtId="0" fontId="1" fillId="0" borderId="0" xfId="45" applyBorder="1"/>
    <xf numFmtId="171" fontId="1" fillId="0" borderId="0" xfId="45" applyNumberFormat="1" applyFill="1"/>
    <xf numFmtId="171" fontId="0" fillId="0" borderId="0" xfId="46" applyNumberFormat="1" applyFont="1" applyBorder="1"/>
    <xf numFmtId="0" fontId="1" fillId="0" borderId="0" xfId="45" quotePrefix="1" applyAlignment="1">
      <alignment horizontal="left"/>
    </xf>
    <xf numFmtId="171" fontId="1" fillId="4" borderId="0" xfId="45" applyNumberFormat="1" applyFill="1"/>
    <xf numFmtId="0" fontId="5" fillId="0" borderId="0" xfId="24" applyFont="1" applyAlignment="1"/>
    <xf numFmtId="0" fontId="5" fillId="0" borderId="0" xfId="24" quotePrefix="1" applyFont="1" applyAlignment="1">
      <alignment horizontal="left"/>
    </xf>
    <xf numFmtId="0" fontId="5" fillId="0" borderId="0" xfId="24" applyFont="1" applyFill="1" applyAlignment="1"/>
    <xf numFmtId="0" fontId="30" fillId="0" borderId="0" xfId="45" applyFont="1" applyFill="1"/>
    <xf numFmtId="0" fontId="52" fillId="0" borderId="0" xfId="0" applyFont="1" applyFill="1" applyAlignment="1">
      <alignment horizontal="left" vertical="top" wrapText="1"/>
    </xf>
    <xf numFmtId="0" fontId="7" fillId="0" borderId="0" xfId="0" applyFont="1" applyAlignment="1" applyProtection="1">
      <alignment horizontal="right"/>
      <protection locked="0"/>
    </xf>
    <xf numFmtId="0" fontId="7" fillId="2" borderId="0" xfId="0" applyNumberFormat="1" applyFont="1" applyFill="1" applyAlignment="1" applyProtection="1">
      <alignment horizontal="right"/>
      <protection locked="0"/>
    </xf>
    <xf numFmtId="0" fontId="7" fillId="0" borderId="0" xfId="2" applyNumberFormat="1" applyFont="1" applyAlignment="1" applyProtection="1">
      <alignment horizontal="right"/>
      <protection locked="0"/>
    </xf>
    <xf numFmtId="0" fontId="7" fillId="0" borderId="0" xfId="2" applyNumberFormat="1" applyFont="1" applyAlignment="1" applyProtection="1">
      <alignment horizontal="right"/>
    </xf>
    <xf numFmtId="3" fontId="7" fillId="0" borderId="0" xfId="2" applyNumberFormat="1" applyFont="1" applyAlignment="1" applyProtection="1">
      <alignment horizontal="right"/>
      <protection locked="0"/>
    </xf>
    <xf numFmtId="3" fontId="7" fillId="0" borderId="0" xfId="2" applyNumberFormat="1" applyFont="1" applyAlignment="1" applyProtection="1">
      <alignment horizontal="right"/>
    </xf>
    <xf numFmtId="3" fontId="7" fillId="0" borderId="0" xfId="2" applyNumberFormat="1" applyFont="1" applyAlignment="1" applyProtection="1">
      <alignment horizontal="left"/>
      <protection locked="0"/>
    </xf>
    <xf numFmtId="171" fontId="7" fillId="0" borderId="0" xfId="1" applyNumberFormat="1" applyFont="1" applyAlignment="1" applyProtection="1">
      <protection locked="0"/>
    </xf>
    <xf numFmtId="164" fontId="7" fillId="0" borderId="0" xfId="2" applyFont="1" applyAlignment="1" applyProtection="1">
      <alignment horizontal="right"/>
    </xf>
    <xf numFmtId="10" fontId="53" fillId="4" borderId="7" xfId="11" applyNumberFormat="1" applyFont="1" applyFill="1" applyBorder="1" applyAlignment="1" applyProtection="1">
      <protection locked="0"/>
    </xf>
    <xf numFmtId="174" fontId="7" fillId="0" borderId="0" xfId="2" applyNumberFormat="1" applyFont="1" applyAlignment="1" applyProtection="1">
      <alignment horizontal="right"/>
    </xf>
    <xf numFmtId="0" fontId="7" fillId="0" borderId="0" xfId="0" applyFont="1" applyAlignment="1" applyProtection="1">
      <alignment horizontal="center" vertical="top"/>
      <protection locked="0"/>
    </xf>
    <xf numFmtId="49" fontId="7" fillId="0" borderId="0" xfId="2" applyNumberFormat="1" applyFont="1" applyAlignment="1" applyProtection="1">
      <alignment horizontal="center"/>
      <protection locked="0"/>
    </xf>
    <xf numFmtId="0" fontId="7" fillId="0" borderId="0" xfId="0" applyNumberFormat="1" applyFont="1" applyFill="1" applyAlignment="1" applyProtection="1">
      <alignment vertical="top" wrapText="1"/>
      <protection locked="0"/>
    </xf>
    <xf numFmtId="0" fontId="7" fillId="0" borderId="0" xfId="2" applyNumberFormat="1" applyFont="1" applyFill="1" applyAlignment="1" applyProtection="1">
      <alignment vertical="top" wrapText="1"/>
      <protection locked="0"/>
    </xf>
    <xf numFmtId="0" fontId="7" fillId="0" borderId="0" xfId="2" quotePrefix="1" applyNumberFormat="1" applyFont="1" applyFill="1" applyAlignment="1" applyProtection="1">
      <alignment horizontal="left" vertical="top" wrapText="1"/>
      <protection locked="0"/>
    </xf>
    <xf numFmtId="0" fontId="7" fillId="0" borderId="0" xfId="0" quotePrefix="1" applyNumberFormat="1" applyFont="1" applyFill="1" applyAlignment="1" applyProtection="1">
      <alignment horizontal="left" vertical="top" wrapText="1"/>
      <protection locked="0"/>
    </xf>
    <xf numFmtId="49" fontId="7" fillId="0" borderId="0" xfId="2" applyNumberFormat="1" applyFont="1" applyAlignment="1" applyProtection="1">
      <alignment horizontal="center"/>
      <protection locked="0"/>
    </xf>
    <xf numFmtId="164" fontId="7" fillId="0" borderId="0" xfId="2" applyFont="1" applyAlignment="1" applyProtection="1">
      <alignment horizontal="center"/>
    </xf>
    <xf numFmtId="49" fontId="7" fillId="0" borderId="0" xfId="2" applyNumberFormat="1" applyFont="1" applyAlignment="1" applyProtection="1">
      <alignment horizontal="center"/>
    </xf>
    <xf numFmtId="0" fontId="7" fillId="0" borderId="0" xfId="0" applyNumberFormat="1" applyFont="1" applyAlignment="1" applyProtection="1">
      <alignment horizontal="left" wrapText="1"/>
      <protection locked="0"/>
    </xf>
    <xf numFmtId="0" fontId="9" fillId="0" borderId="0" xfId="2" applyNumberFormat="1" applyFont="1" applyFill="1" applyAlignment="1" applyProtection="1">
      <alignment vertical="top" wrapText="1"/>
      <protection locked="0"/>
    </xf>
    <xf numFmtId="164" fontId="6" fillId="0" borderId="0" xfId="9" applyFont="1" applyFill="1" applyBorder="1" applyAlignment="1">
      <alignment horizontal="left"/>
    </xf>
    <xf numFmtId="164" fontId="6" fillId="0" borderId="0" xfId="10" applyFont="1" applyFill="1" applyBorder="1" applyAlignment="1">
      <alignment horizontal="left" vertical="top" wrapText="1"/>
    </xf>
    <xf numFmtId="164" fontId="6" fillId="0" borderId="0" xfId="9" applyFont="1" applyFill="1" applyBorder="1" applyAlignment="1">
      <alignment horizontal="left" vertical="top" wrapText="1"/>
    </xf>
    <xf numFmtId="164" fontId="6" fillId="0" borderId="0" xfId="9" applyFont="1" applyFill="1" applyBorder="1" applyAlignment="1">
      <alignment horizontal="left" wrapText="1"/>
    </xf>
    <xf numFmtId="0" fontId="25" fillId="0" borderId="0" xfId="8" applyAlignment="1">
      <alignment vertical="top" wrapText="1"/>
    </xf>
    <xf numFmtId="0" fontId="25" fillId="0" borderId="0" xfId="8" applyAlignment="1">
      <alignment horizontal="left" vertical="top" wrapText="1"/>
    </xf>
  </cellXfs>
  <cellStyles count="47">
    <cellStyle name="Accent5" xfId="4" builtinId="45"/>
    <cellStyle name="Comma" xfId="1" builtinId="3"/>
    <cellStyle name="Comma [0] 2" xfId="28" xr:uid="{00000000-0005-0000-0000-000002000000}"/>
    <cellStyle name="Comma 2" xfId="30" xr:uid="{00000000-0005-0000-0000-000003000000}"/>
    <cellStyle name="Comma 2 2" xfId="19" xr:uid="{00000000-0005-0000-0000-000004000000}"/>
    <cellStyle name="Comma 3" xfId="37" xr:uid="{83C8BC18-4C35-4169-9CF9-C486A238A232}"/>
    <cellStyle name="Comma 4" xfId="46" xr:uid="{75943F2E-3468-4177-9B4D-3344A4DB9ABF}"/>
    <cellStyle name="Comma 5" xfId="43" xr:uid="{4CC96DF3-983F-4F94-9C02-EB78D502B1B7}"/>
    <cellStyle name="Currency 10" xfId="14" xr:uid="{00000000-0005-0000-0000-000006000000}"/>
    <cellStyle name="Currency 2" xfId="13" xr:uid="{00000000-0005-0000-0000-000007000000}"/>
    <cellStyle name="Currency 3" xfId="39" xr:uid="{75FF9B15-4D56-4402-A541-058D8DAFE2CE}"/>
    <cellStyle name="Currency 4" xfId="21" xr:uid="{00000000-0005-0000-0000-000008000000}"/>
    <cellStyle name="Normal" xfId="0" builtinId="0"/>
    <cellStyle name="Normal 11 2" xfId="41" xr:uid="{6690EB4F-5FDC-46E1-BD99-5C07320A3AEC}"/>
    <cellStyle name="Normal 2" xfId="8" xr:uid="{00000000-0005-0000-0000-00000A000000}"/>
    <cellStyle name="Normal 2 3 2" xfId="31" xr:uid="{00000000-0005-0000-0000-00000B000000}"/>
    <cellStyle name="Normal 20" xfId="9" xr:uid="{00000000-0005-0000-0000-00000C000000}"/>
    <cellStyle name="Normal 23" xfId="24" xr:uid="{00000000-0005-0000-0000-00000D000000}"/>
    <cellStyle name="Normal 27 2" xfId="17" xr:uid="{00000000-0005-0000-0000-00000E000000}"/>
    <cellStyle name="Normal 27 2 2" xfId="44" xr:uid="{4BB5B3C6-D3FE-4A9B-A1EB-42FFEE8E211D}"/>
    <cellStyle name="Normal 28" xfId="22" xr:uid="{00000000-0005-0000-0000-00000F000000}"/>
    <cellStyle name="Normal 28 2" xfId="32" xr:uid="{00000000-0005-0000-0000-000010000000}"/>
    <cellStyle name="Normal 3" xfId="15" xr:uid="{00000000-0005-0000-0000-000011000000}"/>
    <cellStyle name="Normal 4" xfId="29" xr:uid="{00000000-0005-0000-0000-000012000000}"/>
    <cellStyle name="Normal 5" xfId="36" xr:uid="{49ED3274-5973-4256-BB19-1808E1880921}"/>
    <cellStyle name="Normal 6" xfId="45" xr:uid="{CBA94ED5-B3B7-4DE0-BEFC-075B7C4B5F1A}"/>
    <cellStyle name="Normal 6 2 2 2" xfId="18" xr:uid="{00000000-0005-0000-0000-000013000000}"/>
    <cellStyle name="Normal 6 2 2 2 2" xfId="40" xr:uid="{EA5B2CA6-1E7C-4CE2-ADAA-AFC1DB995834}"/>
    <cellStyle name="Normal 6 2 2 3" xfId="34" xr:uid="{00000000-0005-0000-0000-000014000000}"/>
    <cellStyle name="Normal 6 3 2 2" xfId="35" xr:uid="{00000000-0005-0000-0000-000015000000}"/>
    <cellStyle name="Normal 6 3 2 3" xfId="42" xr:uid="{E4E7BAC1-1BDC-49A7-B51D-0CC0246B4F5A}"/>
    <cellStyle name="Normal 7" xfId="10" xr:uid="{00000000-0005-0000-0000-000016000000}"/>
    <cellStyle name="Normal_01_2011 - Revenue True up" xfId="27" xr:uid="{00000000-0005-0000-0000-000017000000}"/>
    <cellStyle name="Normal_Attachment GG (2)" xfId="7" xr:uid="{00000000-0005-0000-0000-000018000000}"/>
    <cellStyle name="Normal_Attachment GG Template ER11-28 11-18-10" xfId="12" xr:uid="{00000000-0005-0000-0000-00001B000000}"/>
    <cellStyle name="Normal_Attachment O Support - 2004 True-up" xfId="26" xr:uid="{00000000-0005-0000-0000-00001C000000}"/>
    <cellStyle name="Normal_Attachment Os for 2002 True-up" xfId="2" xr:uid="{00000000-0005-0000-0000-00001D000000}"/>
    <cellStyle name="Normal_Schedule O Info for Mike 2" xfId="16" xr:uid="{00000000-0005-0000-0000-00001E000000}"/>
    <cellStyle name="Normal_Sheet1" xfId="6" xr:uid="{00000000-0005-0000-0000-00001F000000}"/>
    <cellStyle name="Normal_Sheet3" xfId="5" xr:uid="{00000000-0005-0000-0000-000020000000}"/>
    <cellStyle name="Normal_Solomon Queries - wo Proj. &amp; Task 2" xfId="25" xr:uid="{00000000-0005-0000-0000-000021000000}"/>
    <cellStyle name="Normal_TE Ownership % - 2008" xfId="33" xr:uid="{00000000-0005-0000-0000-000022000000}"/>
    <cellStyle name="Percent" xfId="3" builtinId="5"/>
    <cellStyle name="Percent 2" xfId="11" xr:uid="{00000000-0005-0000-0000-000024000000}"/>
    <cellStyle name="Percent 3" xfId="20" xr:uid="{00000000-0005-0000-0000-000025000000}"/>
    <cellStyle name="Percent 4" xfId="38" xr:uid="{D68FB49A-5E9D-422D-B36F-C7D1E7893E4D}"/>
    <cellStyle name="Percent 5" xfId="23" xr:uid="{00000000-0005-0000-0000-00002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tcllc.sharepoint.com/Tax/Accruals/2010/2010&#173;_Tax%20Accr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oasis.oati.com/woa/docs/ATC/ATCdocs/ATC_2018_Attach_O_GG_MM-0409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inancial%20Planning%20and%20Capital%20Allocation\2016%20Budget%20Planning\OASIS%20Posting%20(10.01.15)\01.05.16%20Posting\MISO-2016_ATC_Attach_O_GG_MM_Sch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 val="Schedule 9"/>
      <sheetName val="Network TU-TU Int"/>
      <sheetName val="Network True-up Int"/>
      <sheetName val="Schedule 8 - Non-Firm"/>
      <sheetName val="Schedule 7 - Firm"/>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row>
        <row r="11">
          <cell r="C11">
            <v>147960618.42000002</v>
          </cell>
          <cell r="D11">
            <v>8751971.6799999997</v>
          </cell>
          <cell r="E11">
            <v>88215724.020000011</v>
          </cell>
          <cell r="F11">
            <v>141173979.72999999</v>
          </cell>
          <cell r="G11">
            <v>1379725.86</v>
          </cell>
          <cell r="H11">
            <v>2141426.6300000004</v>
          </cell>
          <cell r="I11">
            <v>626602.79500000004</v>
          </cell>
          <cell r="J11">
            <v>298602.39500000002</v>
          </cell>
          <cell r="K11">
            <v>14970695.85</v>
          </cell>
          <cell r="L11">
            <v>24136106.719999999</v>
          </cell>
          <cell r="M11">
            <v>124241713.36</v>
          </cell>
          <cell r="N11">
            <v>0</v>
          </cell>
          <cell r="O11">
            <v>26877677.399999999</v>
          </cell>
          <cell r="P11">
            <v>211459893.57186997</v>
          </cell>
          <cell r="Q11">
            <v>2915340.7949999999</v>
          </cell>
          <cell r="R11">
            <v>0</v>
          </cell>
        </row>
        <row r="12">
          <cell r="C12">
            <v>147960618.42000002</v>
          </cell>
          <cell r="D12">
            <v>8751971.6799999997</v>
          </cell>
          <cell r="E12">
            <v>88215724.020000011</v>
          </cell>
          <cell r="F12">
            <v>141173979.72999999</v>
          </cell>
          <cell r="G12">
            <v>1379725.86</v>
          </cell>
          <cell r="H12">
            <v>2141426.6300000004</v>
          </cell>
          <cell r="I12">
            <v>626602.79500000004</v>
          </cell>
          <cell r="J12">
            <v>298602.39500000002</v>
          </cell>
          <cell r="K12">
            <v>14970695.85</v>
          </cell>
          <cell r="L12">
            <v>24981725.260000002</v>
          </cell>
          <cell r="M12">
            <v>124241713.36</v>
          </cell>
          <cell r="N12">
            <v>0</v>
          </cell>
          <cell r="O12">
            <v>26877677.399999999</v>
          </cell>
          <cell r="P12">
            <v>219324512.07786995</v>
          </cell>
          <cell r="Q12">
            <v>2916924.9350000001</v>
          </cell>
          <cell r="R12">
            <v>0</v>
          </cell>
        </row>
        <row r="13">
          <cell r="C13">
            <v>147960618.42000002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25762425.220000003</v>
          </cell>
          <cell r="M13">
            <v>124241713.36</v>
          </cell>
          <cell r="N13">
            <v>0</v>
          </cell>
          <cell r="O13">
            <v>26877677.399999999</v>
          </cell>
          <cell r="P13">
            <v>223558811.42036998</v>
          </cell>
          <cell r="Q13">
            <v>2917636.09</v>
          </cell>
          <cell r="R13">
            <v>0</v>
          </cell>
        </row>
        <row r="14">
          <cell r="C14">
            <v>147960618.42000002</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26073701.660000004</v>
          </cell>
          <cell r="M14">
            <v>124241713.36</v>
          </cell>
          <cell r="N14">
            <v>0</v>
          </cell>
          <cell r="O14">
            <v>26877677.399999999</v>
          </cell>
          <cell r="P14">
            <v>229636488.47236997</v>
          </cell>
          <cell r="Q14">
            <v>2917892.34</v>
          </cell>
          <cell r="R14">
            <v>0</v>
          </cell>
        </row>
        <row r="15">
          <cell r="C15">
            <v>147960618.42000002</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26210764.190000005</v>
          </cell>
          <cell r="M15">
            <v>124241713.36</v>
          </cell>
          <cell r="N15">
            <v>0</v>
          </cell>
          <cell r="O15">
            <v>26877677.399999999</v>
          </cell>
          <cell r="P15">
            <v>234402287.36587</v>
          </cell>
          <cell r="Q15">
            <v>2917892.34</v>
          </cell>
          <cell r="R15">
            <v>0</v>
          </cell>
        </row>
        <row r="16">
          <cell r="C16">
            <v>147960618.42000002</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26286529.170000006</v>
          </cell>
          <cell r="M16">
            <v>124241713.36</v>
          </cell>
          <cell r="N16">
            <v>0</v>
          </cell>
          <cell r="O16">
            <v>26877677.399999999</v>
          </cell>
          <cell r="P16">
            <v>238793857.54837</v>
          </cell>
          <cell r="Q16">
            <v>2917892.34</v>
          </cell>
          <cell r="R16">
            <v>0</v>
          </cell>
        </row>
        <row r="17">
          <cell r="C17">
            <v>147960618.42000002</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26301963.610000007</v>
          </cell>
          <cell r="M17">
            <v>124241713.36</v>
          </cell>
          <cell r="N17">
            <v>0</v>
          </cell>
          <cell r="O17">
            <v>26877677.399999999</v>
          </cell>
          <cell r="P17">
            <v>243379805.21937001</v>
          </cell>
          <cell r="Q17">
            <v>2917892.34</v>
          </cell>
          <cell r="R17">
            <v>0</v>
          </cell>
        </row>
        <row r="18">
          <cell r="C18">
            <v>147960618.42000002</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26308610.270000007</v>
          </cell>
          <cell r="M18">
            <v>124241713.36</v>
          </cell>
          <cell r="N18">
            <v>0</v>
          </cell>
          <cell r="O18">
            <v>26877677.399999999</v>
          </cell>
          <cell r="P18">
            <v>247748576.45336998</v>
          </cell>
          <cell r="Q18">
            <v>2917892.34</v>
          </cell>
          <cell r="R18">
            <v>0</v>
          </cell>
        </row>
        <row r="19">
          <cell r="C19">
            <v>147960618.42000002</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26310996.930000007</v>
          </cell>
          <cell r="M19">
            <v>124241713.36</v>
          </cell>
          <cell r="N19">
            <v>0</v>
          </cell>
          <cell r="O19">
            <v>26877677.399999999</v>
          </cell>
          <cell r="P19">
            <v>250701743.09837002</v>
          </cell>
          <cell r="Q19">
            <v>2917892.34</v>
          </cell>
          <cell r="R19">
            <v>0</v>
          </cell>
        </row>
        <row r="20">
          <cell r="C20">
            <v>147960618.42000002</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26313383.590000007</v>
          </cell>
          <cell r="M20">
            <v>124241713.36</v>
          </cell>
          <cell r="N20">
            <v>0</v>
          </cell>
          <cell r="O20">
            <v>26877677.399999999</v>
          </cell>
          <cell r="P20">
            <v>253531781.05587</v>
          </cell>
          <cell r="Q20">
            <v>2917892.34</v>
          </cell>
          <cell r="R20">
            <v>0</v>
          </cell>
        </row>
        <row r="21">
          <cell r="C21">
            <v>147960618.42000002</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26315770.250000007</v>
          </cell>
          <cell r="M21">
            <v>124241713.36</v>
          </cell>
          <cell r="N21">
            <v>0</v>
          </cell>
          <cell r="O21">
            <v>26877677.399999999</v>
          </cell>
          <cell r="P21">
            <v>255605978.10337001</v>
          </cell>
          <cell r="Q21">
            <v>2917892.34</v>
          </cell>
          <cell r="R21">
            <v>0</v>
          </cell>
        </row>
        <row r="22">
          <cell r="C22">
            <v>147960618.42000002</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26318156.910000008</v>
          </cell>
          <cell r="M22">
            <v>124241713.36</v>
          </cell>
          <cell r="N22">
            <v>0</v>
          </cell>
          <cell r="O22">
            <v>26877677.399999999</v>
          </cell>
          <cell r="P22">
            <v>257313802.50336999</v>
          </cell>
          <cell r="Q22">
            <v>2917892.34</v>
          </cell>
          <cell r="R22">
            <v>0</v>
          </cell>
        </row>
        <row r="23">
          <cell r="C23">
            <v>147960618.42000002</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26320543.570000008</v>
          </cell>
          <cell r="M23">
            <v>124241713.36</v>
          </cell>
          <cell r="N23">
            <v>0</v>
          </cell>
          <cell r="O23">
            <v>26877677.399999999</v>
          </cell>
          <cell r="P23">
            <v>258797336.47487003</v>
          </cell>
          <cell r="Q23">
            <v>2917892.34</v>
          </cell>
          <cell r="R23">
            <v>0</v>
          </cell>
        </row>
        <row r="24">
          <cell r="C24">
            <v>147960618.42000005</v>
          </cell>
          <cell r="D24">
            <v>8751971.6800000034</v>
          </cell>
          <cell r="E24">
            <v>88215724.019999996</v>
          </cell>
          <cell r="F24">
            <v>141173979.72999999</v>
          </cell>
          <cell r="G24">
            <v>1379725.8599999999</v>
          </cell>
          <cell r="H24">
            <v>2141426.63</v>
          </cell>
          <cell r="I24">
            <v>626602.79500000004</v>
          </cell>
          <cell r="J24">
            <v>298602.39500000002</v>
          </cell>
          <cell r="K24">
            <v>14970695.849999996</v>
          </cell>
          <cell r="L24">
            <v>25972359.796153851</v>
          </cell>
          <cell r="M24">
            <v>124241713.35999997</v>
          </cell>
          <cell r="N24">
            <v>0</v>
          </cell>
          <cell r="O24">
            <v>26877677.399999995</v>
          </cell>
          <cell r="P24">
            <v>240327297.95117772</v>
          </cell>
          <cell r="Q24">
            <v>2917601.94</v>
          </cell>
          <cell r="R24">
            <v>0</v>
          </cell>
        </row>
        <row r="27">
          <cell r="C27">
            <v>33283871.797506988</v>
          </cell>
          <cell r="D27">
            <v>2322805.5230000038</v>
          </cell>
          <cell r="E27">
            <v>19586329.980000019</v>
          </cell>
          <cell r="F27">
            <v>16941280.489999995</v>
          </cell>
          <cell r="G27">
            <v>350338.76499999908</v>
          </cell>
          <cell r="H27">
            <v>339740.8600000001</v>
          </cell>
          <cell r="I27">
            <v>104152.1449999999</v>
          </cell>
          <cell r="J27">
            <v>-62196.000604000001</v>
          </cell>
          <cell r="K27">
            <v>2509842.1399999987</v>
          </cell>
          <cell r="L27">
            <v>0</v>
          </cell>
          <cell r="M27">
            <v>13219810.799999997</v>
          </cell>
          <cell r="N27">
            <v>0</v>
          </cell>
          <cell r="O27">
            <v>1925457.7877949998</v>
          </cell>
          <cell r="P27">
            <v>2757884.3994772136</v>
          </cell>
          <cell r="Q27">
            <v>20106.795362375211</v>
          </cell>
          <cell r="R27">
            <v>0</v>
          </cell>
        </row>
        <row r="28">
          <cell r="C28">
            <v>33592544.670424819</v>
          </cell>
          <cell r="D28">
            <v>2343971.1030000038</v>
          </cell>
          <cell r="E28">
            <v>19770884.670000017</v>
          </cell>
          <cell r="F28">
            <v>17214196.269999996</v>
          </cell>
          <cell r="G28">
            <v>353572.549999999</v>
          </cell>
          <cell r="H28">
            <v>344847.17999999993</v>
          </cell>
          <cell r="I28">
            <v>105738.15499999991</v>
          </cell>
          <cell r="J28">
            <v>-60961.77737133333</v>
          </cell>
          <cell r="K28">
            <v>2548485.2699999996</v>
          </cell>
          <cell r="L28">
            <v>0</v>
          </cell>
          <cell r="M28">
            <v>13598206.829999998</v>
          </cell>
          <cell r="N28">
            <v>0</v>
          </cell>
          <cell r="O28">
            <v>1987836.3974274993</v>
          </cell>
          <cell r="P28">
            <v>2959077.4395374656</v>
          </cell>
          <cell r="Q28">
            <v>26872.815457437653</v>
          </cell>
          <cell r="R28">
            <v>0</v>
          </cell>
        </row>
        <row r="29">
          <cell r="C29">
            <v>33901217.543342665</v>
          </cell>
          <cell r="D29">
            <v>2365136.6830000039</v>
          </cell>
          <cell r="E29">
            <v>19955439.360000014</v>
          </cell>
          <cell r="F29">
            <v>17487112.049999997</v>
          </cell>
          <cell r="G29">
            <v>356806.33499999903</v>
          </cell>
          <cell r="H29">
            <v>349953.5</v>
          </cell>
          <cell r="I29">
            <v>107324.16499999992</v>
          </cell>
          <cell r="J29">
            <v>-59727.554138666659</v>
          </cell>
          <cell r="K29">
            <v>2587128.3999999985</v>
          </cell>
          <cell r="L29">
            <v>5890.2545070424676</v>
          </cell>
          <cell r="M29">
            <v>13976602.859999999</v>
          </cell>
          <cell r="N29">
            <v>0</v>
          </cell>
          <cell r="O29">
            <v>2050215.0070599988</v>
          </cell>
          <cell r="P29">
            <v>3160342.740660578</v>
          </cell>
          <cell r="Q29">
            <v>33642.512077416759</v>
          </cell>
          <cell r="R29">
            <v>0</v>
          </cell>
        </row>
        <row r="30">
          <cell r="C30">
            <v>34209890.416260511</v>
          </cell>
          <cell r="D30">
            <v>2386302.263000004</v>
          </cell>
          <cell r="E30">
            <v>20139994.050000027</v>
          </cell>
          <cell r="F30">
            <v>17760027.829999998</v>
          </cell>
          <cell r="G30">
            <v>360040.11999999906</v>
          </cell>
          <cell r="H30">
            <v>355059.82000000007</v>
          </cell>
          <cell r="I30">
            <v>108910.17499999993</v>
          </cell>
          <cell r="J30">
            <v>-58493.330905999988</v>
          </cell>
          <cell r="K30">
            <v>2625771.5299999975</v>
          </cell>
          <cell r="L30">
            <v>65680.549705125391</v>
          </cell>
          <cell r="M30">
            <v>14354998.890000001</v>
          </cell>
          <cell r="N30">
            <v>0</v>
          </cell>
          <cell r="O30">
            <v>2112593.6166924983</v>
          </cell>
          <cell r="P30">
            <v>3361655.1742185354</v>
          </cell>
          <cell r="Q30">
            <v>40413.859169625212</v>
          </cell>
          <cell r="R30">
            <v>0</v>
          </cell>
        </row>
        <row r="31">
          <cell r="C31">
            <v>34518563.289178342</v>
          </cell>
          <cell r="D31">
            <v>2407467.8430000041</v>
          </cell>
          <cell r="E31">
            <v>20324548.740000024</v>
          </cell>
          <cell r="F31">
            <v>18032943.609999999</v>
          </cell>
          <cell r="G31">
            <v>363273.90499999898</v>
          </cell>
          <cell r="H31">
            <v>360166.1399999999</v>
          </cell>
          <cell r="I31">
            <v>110496.18499999988</v>
          </cell>
          <cell r="J31">
            <v>-57259.107673333318</v>
          </cell>
          <cell r="K31">
            <v>2664414.6599999983</v>
          </cell>
          <cell r="L31">
            <v>126193.2656410411</v>
          </cell>
          <cell r="M31">
            <v>14733394.919999987</v>
          </cell>
          <cell r="N31">
            <v>0</v>
          </cell>
          <cell r="O31">
            <v>2174972.2263249978</v>
          </cell>
          <cell r="P31">
            <v>3563000.1838566065</v>
          </cell>
          <cell r="Q31">
            <v>47185.800975375343</v>
          </cell>
          <cell r="R31">
            <v>0</v>
          </cell>
        </row>
        <row r="32">
          <cell r="C32">
            <v>34827236.162096173</v>
          </cell>
          <cell r="D32">
            <v>2428633.4230000041</v>
          </cell>
          <cell r="E32">
            <v>20509103.430000022</v>
          </cell>
          <cell r="F32">
            <v>18305859.390000001</v>
          </cell>
          <cell r="G32">
            <v>366507.6899999989</v>
          </cell>
          <cell r="H32">
            <v>365272.45999999996</v>
          </cell>
          <cell r="I32">
            <v>112082.19499999989</v>
          </cell>
          <cell r="J32">
            <v>-56024.884440666705</v>
          </cell>
          <cell r="K32">
            <v>2703057.7899999991</v>
          </cell>
          <cell r="L32">
            <v>187024.08086533099</v>
          </cell>
          <cell r="M32">
            <v>15111790.949999988</v>
          </cell>
          <cell r="N32">
            <v>0</v>
          </cell>
          <cell r="O32">
            <v>2237350.8359574974</v>
          </cell>
          <cell r="P32">
            <v>3764378.1793966293</v>
          </cell>
          <cell r="Q32">
            <v>53957.742781125009</v>
          </cell>
          <cell r="R32">
            <v>0</v>
          </cell>
        </row>
        <row r="33">
          <cell r="C33">
            <v>35135909.035014018</v>
          </cell>
          <cell r="D33">
            <v>2449799.0030000042</v>
          </cell>
          <cell r="E33">
            <v>20693658.120000035</v>
          </cell>
          <cell r="F33">
            <v>18578775.170000002</v>
          </cell>
          <cell r="G33">
            <v>369741.47499999893</v>
          </cell>
          <cell r="H33">
            <v>370378.78</v>
          </cell>
          <cell r="I33">
            <v>113668.2049999999</v>
          </cell>
          <cell r="J33">
            <v>-54790.661208000034</v>
          </cell>
          <cell r="K33">
            <v>2741700.9199999981</v>
          </cell>
          <cell r="L33">
            <v>248030.73398071155</v>
          </cell>
          <cell r="M33">
            <v>15490186.979999989</v>
          </cell>
          <cell r="N33">
            <v>0</v>
          </cell>
          <cell r="O33">
            <v>2299729.4455900006</v>
          </cell>
          <cell r="P33">
            <v>3965777.5746445954</v>
          </cell>
          <cell r="Q33">
            <v>60729.684586875141</v>
          </cell>
          <cell r="R33">
            <v>0</v>
          </cell>
        </row>
        <row r="34">
          <cell r="C34">
            <v>35444581.907931864</v>
          </cell>
          <cell r="D34">
            <v>2470964.5830000043</v>
          </cell>
          <cell r="E34">
            <v>20878212.810000032</v>
          </cell>
          <cell r="F34">
            <v>18851690.950000003</v>
          </cell>
          <cell r="G34">
            <v>372975.25999999896</v>
          </cell>
          <cell r="H34">
            <v>375485.10000000009</v>
          </cell>
          <cell r="I34">
            <v>115254.21499999985</v>
          </cell>
          <cell r="J34">
            <v>-53556.437975333363</v>
          </cell>
          <cell r="K34">
            <v>2780344.049999997</v>
          </cell>
          <cell r="L34">
            <v>309073.20785891637</v>
          </cell>
          <cell r="M34">
            <v>15868583.00999999</v>
          </cell>
          <cell r="N34">
            <v>0</v>
          </cell>
          <cell r="O34">
            <v>2362108.0552225001</v>
          </cell>
          <cell r="P34">
            <v>4167208.0168311894</v>
          </cell>
          <cell r="Q34">
            <v>67501.626392625272</v>
          </cell>
          <cell r="R34">
            <v>0</v>
          </cell>
        </row>
        <row r="35">
          <cell r="C35">
            <v>35753254.780849695</v>
          </cell>
          <cell r="D35">
            <v>2492130.1630000044</v>
          </cell>
          <cell r="E35">
            <v>21062767.50000003</v>
          </cell>
          <cell r="F35">
            <v>19124606.730000004</v>
          </cell>
          <cell r="G35">
            <v>376209.04499999888</v>
          </cell>
          <cell r="H35">
            <v>380591.42000000016</v>
          </cell>
          <cell r="I35">
            <v>116840.22499999986</v>
          </cell>
          <cell r="J35">
            <v>-52322.214742666692</v>
          </cell>
          <cell r="K35">
            <v>2818987.1799999978</v>
          </cell>
          <cell r="L35">
            <v>370131.10752720758</v>
          </cell>
          <cell r="M35">
            <v>16246979.039999992</v>
          </cell>
          <cell r="N35">
            <v>0</v>
          </cell>
          <cell r="O35">
            <v>2424486.6648549996</v>
          </cell>
          <cell r="P35">
            <v>4369686.1746113896</v>
          </cell>
          <cell r="Q35">
            <v>74273.568198374938</v>
          </cell>
          <cell r="R35">
            <v>0</v>
          </cell>
        </row>
        <row r="36">
          <cell r="C36">
            <v>36061927.653767526</v>
          </cell>
          <cell r="D36">
            <v>2513295.7430000044</v>
          </cell>
          <cell r="E36">
            <v>21247322.190000027</v>
          </cell>
          <cell r="F36">
            <v>19397522.510000005</v>
          </cell>
          <cell r="G36">
            <v>379442.82999999879</v>
          </cell>
          <cell r="H36">
            <v>385697.74</v>
          </cell>
          <cell r="I36">
            <v>118426.23499999987</v>
          </cell>
          <cell r="J36">
            <v>-51087.991510000022</v>
          </cell>
          <cell r="K36">
            <v>2857630.3099999987</v>
          </cell>
          <cell r="L36">
            <v>431194.54623558372</v>
          </cell>
          <cell r="M36">
            <v>16625375.069999993</v>
          </cell>
          <cell r="N36">
            <v>0</v>
          </cell>
          <cell r="O36">
            <v>2486865.2744874991</v>
          </cell>
          <cell r="P36">
            <v>4652635.9540822208</v>
          </cell>
          <cell r="Q36">
            <v>81045.51000412507</v>
          </cell>
          <cell r="R36">
            <v>0</v>
          </cell>
        </row>
        <row r="37">
          <cell r="C37">
            <v>36370600.526685372</v>
          </cell>
          <cell r="D37">
            <v>2534461.3230000045</v>
          </cell>
          <cell r="E37">
            <v>21431876.880000032</v>
          </cell>
          <cell r="F37">
            <v>19670438.290000007</v>
          </cell>
          <cell r="G37">
            <v>382676.61499999883</v>
          </cell>
          <cell r="H37">
            <v>390804.06000000006</v>
          </cell>
          <cell r="I37">
            <v>120012.24499999988</v>
          </cell>
          <cell r="J37">
            <v>-49853.768277333351</v>
          </cell>
          <cell r="K37">
            <v>2896273.4399999976</v>
          </cell>
          <cell r="L37">
            <v>492263.52398404106</v>
          </cell>
          <cell r="M37">
            <v>17003771.099999994</v>
          </cell>
          <cell r="N37">
            <v>0</v>
          </cell>
          <cell r="O37">
            <v>2549243.8841199987</v>
          </cell>
          <cell r="P37">
            <v>4936546.9476118684</v>
          </cell>
          <cell r="Q37">
            <v>87817.451809875201</v>
          </cell>
          <cell r="R37">
            <v>0</v>
          </cell>
        </row>
        <row r="38">
          <cell r="C38">
            <v>36679273.399603218</v>
          </cell>
          <cell r="D38">
            <v>2555626.9030000046</v>
          </cell>
          <cell r="E38">
            <v>21616431.570000038</v>
          </cell>
          <cell r="F38">
            <v>19943354.070000008</v>
          </cell>
          <cell r="G38">
            <v>385910.39999999886</v>
          </cell>
          <cell r="H38">
            <v>395910.38000000012</v>
          </cell>
          <cell r="I38">
            <v>121598.25499999989</v>
          </cell>
          <cell r="J38">
            <v>-48619.54504466668</v>
          </cell>
          <cell r="K38">
            <v>2934916.5699999966</v>
          </cell>
          <cell r="L38">
            <v>553338.04077258334</v>
          </cell>
          <cell r="M38">
            <v>17382167.12999998</v>
          </cell>
          <cell r="N38">
            <v>0</v>
          </cell>
          <cell r="O38">
            <v>2611622.4937524982</v>
          </cell>
          <cell r="P38">
            <v>5220607.8301141262</v>
          </cell>
          <cell r="Q38">
            <v>94589.393615625333</v>
          </cell>
          <cell r="R38">
            <v>0</v>
          </cell>
        </row>
        <row r="39">
          <cell r="C39">
            <v>36987946.272521049</v>
          </cell>
          <cell r="D39">
            <v>2576792.4830000047</v>
          </cell>
          <cell r="E39">
            <v>21800986.260000035</v>
          </cell>
          <cell r="F39">
            <v>20216269.850000009</v>
          </cell>
          <cell r="G39">
            <v>389144.18499999878</v>
          </cell>
          <cell r="H39">
            <v>401016.69999999995</v>
          </cell>
          <cell r="I39">
            <v>123184.26499999984</v>
          </cell>
          <cell r="J39">
            <v>-47385.321812000067</v>
          </cell>
          <cell r="K39">
            <v>2973559.6999999974</v>
          </cell>
          <cell r="L39">
            <v>614418.09660120681</v>
          </cell>
          <cell r="M39">
            <v>17760563.159999982</v>
          </cell>
          <cell r="N39">
            <v>0</v>
          </cell>
          <cell r="O39">
            <v>2674001.1033849977</v>
          </cell>
          <cell r="P39">
            <v>5794505.2688883543</v>
          </cell>
          <cell r="Q39">
            <v>101361.335421375</v>
          </cell>
          <cell r="R39">
            <v>0</v>
          </cell>
        </row>
        <row r="40">
          <cell r="C40">
            <v>35135909.035014018</v>
          </cell>
          <cell r="D40">
            <v>2449799.0030000038</v>
          </cell>
          <cell r="E40">
            <v>20693658.120000027</v>
          </cell>
          <cell r="F40">
            <v>18578775.170000002</v>
          </cell>
          <cell r="G40">
            <v>369741.47499999893</v>
          </cell>
          <cell r="H40">
            <v>370378.78000000014</v>
          </cell>
          <cell r="I40">
            <v>113668.20499999987</v>
          </cell>
          <cell r="J40">
            <v>-54790.66120800002</v>
          </cell>
          <cell r="K40">
            <v>2741700.9199999976</v>
          </cell>
          <cell r="L40">
            <v>261787.49289836848</v>
          </cell>
          <cell r="M40">
            <v>15490186.979999991</v>
          </cell>
          <cell r="N40">
            <v>0</v>
          </cell>
          <cell r="O40">
            <v>2299729.4455899987</v>
          </cell>
          <cell r="P40">
            <v>4051792.7603023672</v>
          </cell>
          <cell r="Q40">
            <v>60730.622757863937</v>
          </cell>
          <cell r="R40">
            <v>0</v>
          </cell>
        </row>
        <row r="44">
          <cell r="C44">
            <v>114676746.62249303</v>
          </cell>
          <cell r="D44">
            <v>6429166.1569999959</v>
          </cell>
          <cell r="E44">
            <v>68629394.039999992</v>
          </cell>
          <cell r="F44">
            <v>124232699.23999999</v>
          </cell>
          <cell r="G44">
            <v>1029387.095000001</v>
          </cell>
          <cell r="H44">
            <v>1801685.7700000003</v>
          </cell>
          <cell r="I44">
            <v>522450.65000000014</v>
          </cell>
          <cell r="J44">
            <v>360798.39560400002</v>
          </cell>
          <cell r="K44">
            <v>12460853.710000001</v>
          </cell>
          <cell r="L44">
            <v>24136106.719999999</v>
          </cell>
          <cell r="M44">
            <v>111021902.56</v>
          </cell>
          <cell r="N44">
            <v>0</v>
          </cell>
          <cell r="O44">
            <v>24952219.612204999</v>
          </cell>
          <cell r="P44">
            <v>208702009.17239276</v>
          </cell>
          <cell r="Q44">
            <v>2895233.9996376247</v>
          </cell>
          <cell r="R44">
            <v>0</v>
          </cell>
        </row>
        <row r="45">
          <cell r="C45">
            <v>114368073.7495752</v>
          </cell>
          <cell r="D45">
            <v>6408000.5769999959</v>
          </cell>
          <cell r="E45">
            <v>68444839.349999994</v>
          </cell>
          <cell r="F45">
            <v>123959783.45999999</v>
          </cell>
          <cell r="G45">
            <v>1026153.3100000011</v>
          </cell>
          <cell r="H45">
            <v>1796579.4500000004</v>
          </cell>
          <cell r="I45">
            <v>520864.64000000013</v>
          </cell>
          <cell r="J45">
            <v>359564.17237133335</v>
          </cell>
          <cell r="K45">
            <v>12422210.58</v>
          </cell>
          <cell r="L45">
            <v>24981725.260000002</v>
          </cell>
          <cell r="M45">
            <v>110643506.53</v>
          </cell>
          <cell r="N45">
            <v>0</v>
          </cell>
          <cell r="O45">
            <v>24889841.002572499</v>
          </cell>
          <cell r="P45">
            <v>216365434.63833249</v>
          </cell>
          <cell r="Q45">
            <v>2890052.1195425624</v>
          </cell>
          <cell r="R45">
            <v>0</v>
          </cell>
        </row>
        <row r="46">
          <cell r="C46">
            <v>114059400.87665735</v>
          </cell>
          <cell r="D46">
            <v>6386834.9969999958</v>
          </cell>
          <cell r="E46">
            <v>68260284.659999996</v>
          </cell>
          <cell r="F46">
            <v>123686867.67999999</v>
          </cell>
          <cell r="G46">
            <v>1022919.5250000011</v>
          </cell>
          <cell r="H46">
            <v>1791473.1300000004</v>
          </cell>
          <cell r="I46">
            <v>519278.63000000012</v>
          </cell>
          <cell r="J46">
            <v>358329.94913866668</v>
          </cell>
          <cell r="K46">
            <v>12383567.450000001</v>
          </cell>
          <cell r="L46">
            <v>25756534.96549296</v>
          </cell>
          <cell r="M46">
            <v>110265110.5</v>
          </cell>
          <cell r="N46">
            <v>0</v>
          </cell>
          <cell r="O46">
            <v>24827462.39294</v>
          </cell>
          <cell r="P46">
            <v>220398468.6797094</v>
          </cell>
          <cell r="Q46">
            <v>2883993.5779225831</v>
          </cell>
          <cell r="R46">
            <v>0</v>
          </cell>
        </row>
        <row r="47">
          <cell r="C47">
            <v>113750728.00373951</v>
          </cell>
          <cell r="D47">
            <v>6365669.4169999957</v>
          </cell>
          <cell r="E47">
            <v>68075729.969999984</v>
          </cell>
          <cell r="F47">
            <v>123413951.89999999</v>
          </cell>
          <cell r="G47">
            <v>1019685.740000001</v>
          </cell>
          <cell r="H47">
            <v>1786366.8100000003</v>
          </cell>
          <cell r="I47">
            <v>517692.62000000011</v>
          </cell>
          <cell r="J47">
            <v>357095.72590600001</v>
          </cell>
          <cell r="K47">
            <v>12344924.320000002</v>
          </cell>
          <cell r="L47">
            <v>26008021.110294878</v>
          </cell>
          <cell r="M47">
            <v>109886714.47</v>
          </cell>
          <cell r="N47">
            <v>0</v>
          </cell>
          <cell r="O47">
            <v>24765083.7833075</v>
          </cell>
          <cell r="P47">
            <v>226274833.29815143</v>
          </cell>
          <cell r="Q47">
            <v>2877478.4808303746</v>
          </cell>
          <cell r="R47">
            <v>0</v>
          </cell>
        </row>
        <row r="48">
          <cell r="C48">
            <v>113442055.13082168</v>
          </cell>
          <cell r="D48">
            <v>6344503.8369999956</v>
          </cell>
          <cell r="E48">
            <v>67891175.279999986</v>
          </cell>
          <cell r="F48">
            <v>123141036.11999999</v>
          </cell>
          <cell r="G48">
            <v>1016451.9550000011</v>
          </cell>
          <cell r="H48">
            <v>1781260.4900000005</v>
          </cell>
          <cell r="I48">
            <v>516106.61000000016</v>
          </cell>
          <cell r="J48">
            <v>355861.50267333334</v>
          </cell>
          <cell r="K48">
            <v>12306281.190000001</v>
          </cell>
          <cell r="L48">
            <v>26084570.924358964</v>
          </cell>
          <cell r="M48">
            <v>109508318.44000001</v>
          </cell>
          <cell r="N48">
            <v>0</v>
          </cell>
          <cell r="O48">
            <v>24702705.173675001</v>
          </cell>
          <cell r="P48">
            <v>230839287.18201339</v>
          </cell>
          <cell r="Q48">
            <v>2870706.5390246245</v>
          </cell>
          <cell r="R48">
            <v>0</v>
          </cell>
        </row>
        <row r="49">
          <cell r="C49">
            <v>113133382.25790384</v>
          </cell>
          <cell r="D49">
            <v>6323338.2569999956</v>
          </cell>
          <cell r="E49">
            <v>67706620.589999989</v>
          </cell>
          <cell r="F49">
            <v>122868120.33999999</v>
          </cell>
          <cell r="G49">
            <v>1013218.1700000012</v>
          </cell>
          <cell r="H49">
            <v>1776154.1700000004</v>
          </cell>
          <cell r="I49">
            <v>514520.60000000015</v>
          </cell>
          <cell r="J49">
            <v>354627.27944066672</v>
          </cell>
          <cell r="K49">
            <v>12267638.060000001</v>
          </cell>
          <cell r="L49">
            <v>26099505.089134675</v>
          </cell>
          <cell r="M49">
            <v>109129922.41000001</v>
          </cell>
          <cell r="N49">
            <v>0</v>
          </cell>
          <cell r="O49">
            <v>24640326.564042501</v>
          </cell>
          <cell r="P49">
            <v>235029479.36897337</v>
          </cell>
          <cell r="Q49">
            <v>2863934.5972188748</v>
          </cell>
          <cell r="R49">
            <v>0</v>
          </cell>
        </row>
        <row r="50">
          <cell r="C50">
            <v>112824709.384986</v>
          </cell>
          <cell r="D50">
            <v>6302172.6769999955</v>
          </cell>
          <cell r="E50">
            <v>67522065.899999976</v>
          </cell>
          <cell r="F50">
            <v>122595204.55999999</v>
          </cell>
          <cell r="G50">
            <v>1009984.3850000012</v>
          </cell>
          <cell r="H50">
            <v>1771047.8500000003</v>
          </cell>
          <cell r="I50">
            <v>512934.59000000014</v>
          </cell>
          <cell r="J50">
            <v>353393.05620800005</v>
          </cell>
          <cell r="K50">
            <v>12228994.930000002</v>
          </cell>
          <cell r="L50">
            <v>26053932.876019295</v>
          </cell>
          <cell r="M50">
            <v>108751526.38000001</v>
          </cell>
          <cell r="N50">
            <v>0</v>
          </cell>
          <cell r="O50">
            <v>24577947.954409998</v>
          </cell>
          <cell r="P50">
            <v>239414027.64472541</v>
          </cell>
          <cell r="Q50">
            <v>2857162.6554131247</v>
          </cell>
          <cell r="R50">
            <v>0</v>
          </cell>
        </row>
        <row r="51">
          <cell r="C51">
            <v>112516036.51206815</v>
          </cell>
          <cell r="D51">
            <v>6281007.0969999954</v>
          </cell>
          <cell r="E51">
            <v>67337511.209999979</v>
          </cell>
          <cell r="F51">
            <v>122322288.77999999</v>
          </cell>
          <cell r="G51">
            <v>1006750.6000000011</v>
          </cell>
          <cell r="H51">
            <v>1765941.5300000003</v>
          </cell>
          <cell r="I51">
            <v>511348.58000000019</v>
          </cell>
          <cell r="J51">
            <v>352158.83297533338</v>
          </cell>
          <cell r="K51">
            <v>12190351.800000003</v>
          </cell>
          <cell r="L51">
            <v>25999537.062141091</v>
          </cell>
          <cell r="M51">
            <v>108373130.35000001</v>
          </cell>
          <cell r="N51">
            <v>0</v>
          </cell>
          <cell r="O51">
            <v>24515569.344777498</v>
          </cell>
          <cell r="P51">
            <v>243581368.43653879</v>
          </cell>
          <cell r="Q51">
            <v>2850390.7136073746</v>
          </cell>
          <cell r="R51">
            <v>0</v>
          </cell>
        </row>
        <row r="52">
          <cell r="C52">
            <v>112207363.63915032</v>
          </cell>
          <cell r="D52">
            <v>6259841.5169999953</v>
          </cell>
          <cell r="E52">
            <v>67152956.519999981</v>
          </cell>
          <cell r="F52">
            <v>122049372.99999999</v>
          </cell>
          <cell r="G52">
            <v>1003516.8150000012</v>
          </cell>
          <cell r="H52">
            <v>1760835.2100000002</v>
          </cell>
          <cell r="I52">
            <v>509762.57000000018</v>
          </cell>
          <cell r="J52">
            <v>350924.60974266671</v>
          </cell>
          <cell r="K52">
            <v>12151708.670000002</v>
          </cell>
          <cell r="L52">
            <v>25940865.8224728</v>
          </cell>
          <cell r="M52">
            <v>107994734.32000001</v>
          </cell>
          <cell r="N52">
            <v>0</v>
          </cell>
          <cell r="O52">
            <v>24453190.735144999</v>
          </cell>
          <cell r="P52">
            <v>246332056.92375863</v>
          </cell>
          <cell r="Q52">
            <v>2843618.7718016249</v>
          </cell>
          <cell r="R52">
            <v>0</v>
          </cell>
        </row>
        <row r="53">
          <cell r="C53">
            <v>111898690.76623249</v>
          </cell>
          <cell r="D53">
            <v>6238675.9369999953</v>
          </cell>
          <cell r="E53">
            <v>66968401.829999983</v>
          </cell>
          <cell r="F53">
            <v>121776457.21999998</v>
          </cell>
          <cell r="G53">
            <v>1000283.0300000013</v>
          </cell>
          <cell r="H53">
            <v>1755728.8900000004</v>
          </cell>
          <cell r="I53">
            <v>508176.56000000017</v>
          </cell>
          <cell r="J53">
            <v>349690.38651000004</v>
          </cell>
          <cell r="K53">
            <v>12113065.540000001</v>
          </cell>
          <cell r="L53">
            <v>25882189.043764424</v>
          </cell>
          <cell r="M53">
            <v>107616338.29000001</v>
          </cell>
          <cell r="N53">
            <v>0</v>
          </cell>
          <cell r="O53">
            <v>24390812.125512499</v>
          </cell>
          <cell r="P53">
            <v>248879145.10178778</v>
          </cell>
          <cell r="Q53">
            <v>2836846.8299958748</v>
          </cell>
          <cell r="R53">
            <v>0</v>
          </cell>
        </row>
        <row r="54">
          <cell r="C54">
            <v>111590017.89331464</v>
          </cell>
          <cell r="D54">
            <v>6217510.3569999952</v>
          </cell>
          <cell r="E54">
            <v>66783847.139999978</v>
          </cell>
          <cell r="F54">
            <v>121503541.43999998</v>
          </cell>
          <cell r="G54">
            <v>997049.24500000128</v>
          </cell>
          <cell r="H54">
            <v>1750622.5700000003</v>
          </cell>
          <cell r="I54">
            <v>506590.55000000016</v>
          </cell>
          <cell r="J54">
            <v>348456.16327733337</v>
          </cell>
          <cell r="K54">
            <v>12074422.410000002</v>
          </cell>
          <cell r="L54">
            <v>25823506.726015966</v>
          </cell>
          <cell r="M54">
            <v>107237942.26000001</v>
          </cell>
          <cell r="N54">
            <v>0</v>
          </cell>
          <cell r="O54">
            <v>24328433.51588</v>
          </cell>
          <cell r="P54">
            <v>250669431.15575814</v>
          </cell>
          <cell r="Q54">
            <v>2830074.8881901246</v>
          </cell>
          <cell r="R54">
            <v>0</v>
          </cell>
        </row>
        <row r="55">
          <cell r="C55">
            <v>111281345.0203968</v>
          </cell>
          <cell r="D55">
            <v>6196344.7769999951</v>
          </cell>
          <cell r="E55">
            <v>66599292.449999973</v>
          </cell>
          <cell r="F55">
            <v>121230625.65999998</v>
          </cell>
          <cell r="G55">
            <v>993815.46000000124</v>
          </cell>
          <cell r="H55">
            <v>1745516.2500000002</v>
          </cell>
          <cell r="I55">
            <v>505004.54000000015</v>
          </cell>
          <cell r="J55">
            <v>347221.9400446667</v>
          </cell>
          <cell r="K55">
            <v>12035779.280000003</v>
          </cell>
          <cell r="L55">
            <v>25764818.869227424</v>
          </cell>
          <cell r="M55">
            <v>106859546.23000002</v>
          </cell>
          <cell r="N55">
            <v>0</v>
          </cell>
          <cell r="O55">
            <v>24266054.9062475</v>
          </cell>
          <cell r="P55">
            <v>252093194.67325586</v>
          </cell>
          <cell r="Q55">
            <v>2823302.9463843745</v>
          </cell>
          <cell r="R55">
            <v>0</v>
          </cell>
        </row>
        <row r="56">
          <cell r="C56">
            <v>110972672.14747897</v>
          </cell>
          <cell r="D56">
            <v>6175179.196999995</v>
          </cell>
          <cell r="E56">
            <v>66414737.759999976</v>
          </cell>
          <cell r="F56">
            <v>120957709.87999998</v>
          </cell>
          <cell r="G56">
            <v>990581.67500000133</v>
          </cell>
          <cell r="H56">
            <v>1740409.9300000004</v>
          </cell>
          <cell r="I56">
            <v>503418.5300000002</v>
          </cell>
          <cell r="J56">
            <v>345987.71681200009</v>
          </cell>
          <cell r="K56">
            <v>11997136.150000002</v>
          </cell>
          <cell r="L56">
            <v>25706125.473398801</v>
          </cell>
          <cell r="M56">
            <v>106481150.20000002</v>
          </cell>
          <cell r="N56">
            <v>0</v>
          </cell>
          <cell r="O56">
            <v>24203676.296615001</v>
          </cell>
          <cell r="P56">
            <v>253002831.20598167</v>
          </cell>
          <cell r="Q56">
            <v>2816531.0045786249</v>
          </cell>
          <cell r="R56">
            <v>0</v>
          </cell>
        </row>
        <row r="57">
          <cell r="C57">
            <v>112824709.384986</v>
          </cell>
          <cell r="D57">
            <v>6302172.6769999955</v>
          </cell>
          <cell r="E57">
            <v>67522065.899999991</v>
          </cell>
          <cell r="F57">
            <v>122595204.56</v>
          </cell>
          <cell r="G57">
            <v>1009984.3850000011</v>
          </cell>
          <cell r="H57">
            <v>1771047.8500000003</v>
          </cell>
          <cell r="I57">
            <v>512934.59000000014</v>
          </cell>
          <cell r="J57">
            <v>353393.05620799999</v>
          </cell>
          <cell r="K57">
            <v>12228994.930000003</v>
          </cell>
          <cell r="L57">
            <v>25710572.303255484</v>
          </cell>
          <cell r="M57">
            <v>108751526.38000003</v>
          </cell>
          <cell r="N57">
            <v>0</v>
          </cell>
          <cell r="O57">
            <v>24577947.954409998</v>
          </cell>
          <cell r="P57">
            <v>236275505.19087532</v>
          </cell>
          <cell r="Q57">
            <v>2856871.3172421362</v>
          </cell>
          <cell r="R57">
            <v>0</v>
          </cell>
        </row>
        <row r="60">
          <cell r="C60">
            <v>3704074.4750140277</v>
          </cell>
          <cell r="D60">
            <v>253986.96000000008</v>
          </cell>
          <cell r="E60">
            <v>2214656.2799999998</v>
          </cell>
          <cell r="F60">
            <v>3274989.3600000013</v>
          </cell>
          <cell r="G60">
            <v>38805.42</v>
          </cell>
          <cell r="H60">
            <v>61275.839999999997</v>
          </cell>
          <cell r="I60">
            <v>19032.120000000003</v>
          </cell>
          <cell r="J60">
            <v>14810.678792000004</v>
          </cell>
          <cell r="K60">
            <v>463717.56000000006</v>
          </cell>
          <cell r="L60">
            <v>614418.09660120844</v>
          </cell>
          <cell r="M60">
            <v>4540752.3600000013</v>
          </cell>
          <cell r="N60">
            <v>0</v>
          </cell>
          <cell r="O60">
            <v>748543.3155899999</v>
          </cell>
          <cell r="P60">
            <v>3036620.8694111579</v>
          </cell>
          <cell r="Q60">
            <v>81254.540058999992</v>
          </cell>
          <cell r="R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C62">
            <v>3704074.4750140277</v>
          </cell>
          <cell r="D62">
            <v>253986.96000000008</v>
          </cell>
          <cell r="E62">
            <v>2214656.2799999998</v>
          </cell>
          <cell r="F62">
            <v>3274989.3600000013</v>
          </cell>
          <cell r="G62">
            <v>38805.42</v>
          </cell>
          <cell r="H62">
            <v>61275.839999999997</v>
          </cell>
          <cell r="I62">
            <v>19032.120000000003</v>
          </cell>
          <cell r="J62">
            <v>14810.678792000004</v>
          </cell>
          <cell r="K62">
            <v>463717.56000000006</v>
          </cell>
          <cell r="L62">
            <v>614418.09660120844</v>
          </cell>
          <cell r="M62">
            <v>4540752.3600000013</v>
          </cell>
          <cell r="N62">
            <v>0</v>
          </cell>
          <cell r="O62">
            <v>748543.3155899999</v>
          </cell>
          <cell r="P62">
            <v>3036620.8694111579</v>
          </cell>
          <cell r="Q62">
            <v>81254.540058999992</v>
          </cell>
          <cell r="R62">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C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
  <sheetViews>
    <sheetView showGridLines="0" tabSelected="1" topLeftCell="E1" zoomScale="75" zoomScaleNormal="75" workbookViewId="0">
      <selection activeCell="G14" sqref="G14"/>
    </sheetView>
  </sheetViews>
  <sheetFormatPr defaultRowHeight="15"/>
  <cols>
    <col min="1" max="1" width="11.33203125" style="473" customWidth="1"/>
    <col min="2" max="2" width="11.6640625" style="473" bestFit="1" customWidth="1"/>
    <col min="3" max="5" width="9.109375" style="473"/>
    <col min="6" max="6" width="12" style="473" bestFit="1" customWidth="1"/>
    <col min="7" max="7" width="20.88671875" style="473" bestFit="1" customWidth="1"/>
    <col min="8" max="8" width="9.109375" style="473"/>
    <col min="9" max="9" width="26.33203125" style="473" bestFit="1" customWidth="1"/>
    <col min="10" max="10" width="9.109375" style="473"/>
    <col min="11" max="11" width="10.6640625" style="473" customWidth="1"/>
    <col min="12" max="242" width="9.109375" style="473"/>
    <col min="243" max="243" width="11.33203125" style="473" customWidth="1"/>
    <col min="244" max="244" width="11.6640625" style="473" bestFit="1" customWidth="1"/>
    <col min="245" max="247" width="9.109375" style="473"/>
    <col min="248" max="248" width="12" style="473" bestFit="1" customWidth="1"/>
    <col min="249" max="249" width="18.33203125" style="473" bestFit="1" customWidth="1"/>
    <col min="250" max="250" width="9.109375" style="473"/>
    <col min="251" max="251" width="26.33203125" style="473" bestFit="1" customWidth="1"/>
    <col min="252" max="498" width="9.109375" style="473"/>
    <col min="499" max="499" width="11.33203125" style="473" customWidth="1"/>
    <col min="500" max="500" width="11.6640625" style="473" bestFit="1" customWidth="1"/>
    <col min="501" max="503" width="9.109375" style="473"/>
    <col min="504" max="504" width="12" style="473" bestFit="1" customWidth="1"/>
    <col min="505" max="505" width="18.33203125" style="473" bestFit="1" customWidth="1"/>
    <col min="506" max="506" width="9.109375" style="473"/>
    <col min="507" max="507" width="26.33203125" style="473" bestFit="1" customWidth="1"/>
    <col min="508" max="754" width="9.109375" style="473"/>
    <col min="755" max="755" width="11.33203125" style="473" customWidth="1"/>
    <col min="756" max="756" width="11.6640625" style="473" bestFit="1" customWidth="1"/>
    <col min="757" max="759" width="9.109375" style="473"/>
    <col min="760" max="760" width="12" style="473" bestFit="1" customWidth="1"/>
    <col min="761" max="761" width="18.33203125" style="473" bestFit="1" customWidth="1"/>
    <col min="762" max="762" width="9.109375" style="473"/>
    <col min="763" max="763" width="26.33203125" style="473" bestFit="1" customWidth="1"/>
    <col min="764" max="1010" width="9.109375" style="473"/>
    <col min="1011" max="1011" width="11.33203125" style="473" customWidth="1"/>
    <col min="1012" max="1012" width="11.6640625" style="473" bestFit="1" customWidth="1"/>
    <col min="1013" max="1015" width="9.109375" style="473"/>
    <col min="1016" max="1016" width="12" style="473" bestFit="1" customWidth="1"/>
    <col min="1017" max="1017" width="18.33203125" style="473" bestFit="1" customWidth="1"/>
    <col min="1018" max="1018" width="9.109375" style="473"/>
    <col min="1019" max="1019" width="26.33203125" style="473" bestFit="1" customWidth="1"/>
    <col min="1020" max="1266" width="9.109375" style="473"/>
    <col min="1267" max="1267" width="11.33203125" style="473" customWidth="1"/>
    <col min="1268" max="1268" width="11.6640625" style="473" bestFit="1" customWidth="1"/>
    <col min="1269" max="1271" width="9.109375" style="473"/>
    <col min="1272" max="1272" width="12" style="473" bestFit="1" customWidth="1"/>
    <col min="1273" max="1273" width="18.33203125" style="473" bestFit="1" customWidth="1"/>
    <col min="1274" max="1274" width="9.109375" style="473"/>
    <col min="1275" max="1275" width="26.33203125" style="473" bestFit="1" customWidth="1"/>
    <col min="1276" max="1522" width="9.109375" style="473"/>
    <col min="1523" max="1523" width="11.33203125" style="473" customWidth="1"/>
    <col min="1524" max="1524" width="11.6640625" style="473" bestFit="1" customWidth="1"/>
    <col min="1525" max="1527" width="9.109375" style="473"/>
    <col min="1528" max="1528" width="12" style="473" bestFit="1" customWidth="1"/>
    <col min="1529" max="1529" width="18.33203125" style="473" bestFit="1" customWidth="1"/>
    <col min="1530" max="1530" width="9.109375" style="473"/>
    <col min="1531" max="1531" width="26.33203125" style="473" bestFit="1" customWidth="1"/>
    <col min="1532" max="1778" width="9.109375" style="473"/>
    <col min="1779" max="1779" width="11.33203125" style="473" customWidth="1"/>
    <col min="1780" max="1780" width="11.6640625" style="473" bestFit="1" customWidth="1"/>
    <col min="1781" max="1783" width="9.109375" style="473"/>
    <col min="1784" max="1784" width="12" style="473" bestFit="1" customWidth="1"/>
    <col min="1785" max="1785" width="18.33203125" style="473" bestFit="1" customWidth="1"/>
    <col min="1786" max="1786" width="9.109375" style="473"/>
    <col min="1787" max="1787" width="26.33203125" style="473" bestFit="1" customWidth="1"/>
    <col min="1788" max="2034" width="9.109375" style="473"/>
    <col min="2035" max="2035" width="11.33203125" style="473" customWidth="1"/>
    <col min="2036" max="2036" width="11.6640625" style="473" bestFit="1" customWidth="1"/>
    <col min="2037" max="2039" width="9.109375" style="473"/>
    <col min="2040" max="2040" width="12" style="473" bestFit="1" customWidth="1"/>
    <col min="2041" max="2041" width="18.33203125" style="473" bestFit="1" customWidth="1"/>
    <col min="2042" max="2042" width="9.109375" style="473"/>
    <col min="2043" max="2043" width="26.33203125" style="473" bestFit="1" customWidth="1"/>
    <col min="2044" max="2290" width="9.109375" style="473"/>
    <col min="2291" max="2291" width="11.33203125" style="473" customWidth="1"/>
    <col min="2292" max="2292" width="11.6640625" style="473" bestFit="1" customWidth="1"/>
    <col min="2293" max="2295" width="9.109375" style="473"/>
    <col min="2296" max="2296" width="12" style="473" bestFit="1" customWidth="1"/>
    <col min="2297" max="2297" width="18.33203125" style="473" bestFit="1" customWidth="1"/>
    <col min="2298" max="2298" width="9.109375" style="473"/>
    <col min="2299" max="2299" width="26.33203125" style="473" bestFit="1" customWidth="1"/>
    <col min="2300" max="2546" width="9.109375" style="473"/>
    <col min="2547" max="2547" width="11.33203125" style="473" customWidth="1"/>
    <col min="2548" max="2548" width="11.6640625" style="473" bestFit="1" customWidth="1"/>
    <col min="2549" max="2551" width="9.109375" style="473"/>
    <col min="2552" max="2552" width="12" style="473" bestFit="1" customWidth="1"/>
    <col min="2553" max="2553" width="18.33203125" style="473" bestFit="1" customWidth="1"/>
    <col min="2554" max="2554" width="9.109375" style="473"/>
    <col min="2555" max="2555" width="26.33203125" style="473" bestFit="1" customWidth="1"/>
    <col min="2556" max="2802" width="9.109375" style="473"/>
    <col min="2803" max="2803" width="11.33203125" style="473" customWidth="1"/>
    <col min="2804" max="2804" width="11.6640625" style="473" bestFit="1" customWidth="1"/>
    <col min="2805" max="2807" width="9.109375" style="473"/>
    <col min="2808" max="2808" width="12" style="473" bestFit="1" customWidth="1"/>
    <col min="2809" max="2809" width="18.33203125" style="473" bestFit="1" customWidth="1"/>
    <col min="2810" max="2810" width="9.109375" style="473"/>
    <col min="2811" max="2811" width="26.33203125" style="473" bestFit="1" customWidth="1"/>
    <col min="2812" max="3058" width="9.109375" style="473"/>
    <col min="3059" max="3059" width="11.33203125" style="473" customWidth="1"/>
    <col min="3060" max="3060" width="11.6640625" style="473" bestFit="1" customWidth="1"/>
    <col min="3061" max="3063" width="9.109375" style="473"/>
    <col min="3064" max="3064" width="12" style="473" bestFit="1" customWidth="1"/>
    <col min="3065" max="3065" width="18.33203125" style="473" bestFit="1" customWidth="1"/>
    <col min="3066" max="3066" width="9.109375" style="473"/>
    <col min="3067" max="3067" width="26.33203125" style="473" bestFit="1" customWidth="1"/>
    <col min="3068" max="3314" width="9.109375" style="473"/>
    <col min="3315" max="3315" width="11.33203125" style="473" customWidth="1"/>
    <col min="3316" max="3316" width="11.6640625" style="473" bestFit="1" customWidth="1"/>
    <col min="3317" max="3319" width="9.109375" style="473"/>
    <col min="3320" max="3320" width="12" style="473" bestFit="1" customWidth="1"/>
    <col min="3321" max="3321" width="18.33203125" style="473" bestFit="1" customWidth="1"/>
    <col min="3322" max="3322" width="9.109375" style="473"/>
    <col min="3323" max="3323" width="26.33203125" style="473" bestFit="1" customWidth="1"/>
    <col min="3324" max="3570" width="9.109375" style="473"/>
    <col min="3571" max="3571" width="11.33203125" style="473" customWidth="1"/>
    <col min="3572" max="3572" width="11.6640625" style="473" bestFit="1" customWidth="1"/>
    <col min="3573" max="3575" width="9.109375" style="473"/>
    <col min="3576" max="3576" width="12" style="473" bestFit="1" customWidth="1"/>
    <col min="3577" max="3577" width="18.33203125" style="473" bestFit="1" customWidth="1"/>
    <col min="3578" max="3578" width="9.109375" style="473"/>
    <col min="3579" max="3579" width="26.33203125" style="473" bestFit="1" customWidth="1"/>
    <col min="3580" max="3826" width="9.109375" style="473"/>
    <col min="3827" max="3827" width="11.33203125" style="473" customWidth="1"/>
    <col min="3828" max="3828" width="11.6640625" style="473" bestFit="1" customWidth="1"/>
    <col min="3829" max="3831" width="9.109375" style="473"/>
    <col min="3832" max="3832" width="12" style="473" bestFit="1" customWidth="1"/>
    <col min="3833" max="3833" width="18.33203125" style="473" bestFit="1" customWidth="1"/>
    <col min="3834" max="3834" width="9.109375" style="473"/>
    <col min="3835" max="3835" width="26.33203125" style="473" bestFit="1" customWidth="1"/>
    <col min="3836" max="4082" width="9.109375" style="473"/>
    <col min="4083" max="4083" width="11.33203125" style="473" customWidth="1"/>
    <col min="4084" max="4084" width="11.6640625" style="473" bestFit="1" customWidth="1"/>
    <col min="4085" max="4087" width="9.109375" style="473"/>
    <col min="4088" max="4088" width="12" style="473" bestFit="1" customWidth="1"/>
    <col min="4089" max="4089" width="18.33203125" style="473" bestFit="1" customWidth="1"/>
    <col min="4090" max="4090" width="9.109375" style="473"/>
    <col min="4091" max="4091" width="26.33203125" style="473" bestFit="1" customWidth="1"/>
    <col min="4092" max="4338" width="9.109375" style="473"/>
    <col min="4339" max="4339" width="11.33203125" style="473" customWidth="1"/>
    <col min="4340" max="4340" width="11.6640625" style="473" bestFit="1" customWidth="1"/>
    <col min="4341" max="4343" width="9.109375" style="473"/>
    <col min="4344" max="4344" width="12" style="473" bestFit="1" customWidth="1"/>
    <col min="4345" max="4345" width="18.33203125" style="473" bestFit="1" customWidth="1"/>
    <col min="4346" max="4346" width="9.109375" style="473"/>
    <col min="4347" max="4347" width="26.33203125" style="473" bestFit="1" customWidth="1"/>
    <col min="4348" max="4594" width="9.109375" style="473"/>
    <col min="4595" max="4595" width="11.33203125" style="473" customWidth="1"/>
    <col min="4596" max="4596" width="11.6640625" style="473" bestFit="1" customWidth="1"/>
    <col min="4597" max="4599" width="9.109375" style="473"/>
    <col min="4600" max="4600" width="12" style="473" bestFit="1" customWidth="1"/>
    <col min="4601" max="4601" width="18.33203125" style="473" bestFit="1" customWidth="1"/>
    <col min="4602" max="4602" width="9.109375" style="473"/>
    <col min="4603" max="4603" width="26.33203125" style="473" bestFit="1" customWidth="1"/>
    <col min="4604" max="4850" width="9.109375" style="473"/>
    <col min="4851" max="4851" width="11.33203125" style="473" customWidth="1"/>
    <col min="4852" max="4852" width="11.6640625" style="473" bestFit="1" customWidth="1"/>
    <col min="4853" max="4855" width="9.109375" style="473"/>
    <col min="4856" max="4856" width="12" style="473" bestFit="1" customWidth="1"/>
    <col min="4857" max="4857" width="18.33203125" style="473" bestFit="1" customWidth="1"/>
    <col min="4858" max="4858" width="9.109375" style="473"/>
    <col min="4859" max="4859" width="26.33203125" style="473" bestFit="1" customWidth="1"/>
    <col min="4860" max="5106" width="9.109375" style="473"/>
    <col min="5107" max="5107" width="11.33203125" style="473" customWidth="1"/>
    <col min="5108" max="5108" width="11.6640625" style="473" bestFit="1" customWidth="1"/>
    <col min="5109" max="5111" width="9.109375" style="473"/>
    <col min="5112" max="5112" width="12" style="473" bestFit="1" customWidth="1"/>
    <col min="5113" max="5113" width="18.33203125" style="473" bestFit="1" customWidth="1"/>
    <col min="5114" max="5114" width="9.109375" style="473"/>
    <col min="5115" max="5115" width="26.33203125" style="473" bestFit="1" customWidth="1"/>
    <col min="5116" max="5362" width="9.109375" style="473"/>
    <col min="5363" max="5363" width="11.33203125" style="473" customWidth="1"/>
    <col min="5364" max="5364" width="11.6640625" style="473" bestFit="1" customWidth="1"/>
    <col min="5365" max="5367" width="9.109375" style="473"/>
    <col min="5368" max="5368" width="12" style="473" bestFit="1" customWidth="1"/>
    <col min="5369" max="5369" width="18.33203125" style="473" bestFit="1" customWidth="1"/>
    <col min="5370" max="5370" width="9.109375" style="473"/>
    <col min="5371" max="5371" width="26.33203125" style="473" bestFit="1" customWidth="1"/>
    <col min="5372" max="5618" width="9.109375" style="473"/>
    <col min="5619" max="5619" width="11.33203125" style="473" customWidth="1"/>
    <col min="5620" max="5620" width="11.6640625" style="473" bestFit="1" customWidth="1"/>
    <col min="5621" max="5623" width="9.109375" style="473"/>
    <col min="5624" max="5624" width="12" style="473" bestFit="1" customWidth="1"/>
    <col min="5625" max="5625" width="18.33203125" style="473" bestFit="1" customWidth="1"/>
    <col min="5626" max="5626" width="9.109375" style="473"/>
    <col min="5627" max="5627" width="26.33203125" style="473" bestFit="1" customWidth="1"/>
    <col min="5628" max="5874" width="9.109375" style="473"/>
    <col min="5875" max="5875" width="11.33203125" style="473" customWidth="1"/>
    <col min="5876" max="5876" width="11.6640625" style="473" bestFit="1" customWidth="1"/>
    <col min="5877" max="5879" width="9.109375" style="473"/>
    <col min="5880" max="5880" width="12" style="473" bestFit="1" customWidth="1"/>
    <col min="5881" max="5881" width="18.33203125" style="473" bestFit="1" customWidth="1"/>
    <col min="5882" max="5882" width="9.109375" style="473"/>
    <col min="5883" max="5883" width="26.33203125" style="473" bestFit="1" customWidth="1"/>
    <col min="5884" max="6130" width="9.109375" style="473"/>
    <col min="6131" max="6131" width="11.33203125" style="473" customWidth="1"/>
    <col min="6132" max="6132" width="11.6640625" style="473" bestFit="1" customWidth="1"/>
    <col min="6133" max="6135" width="9.109375" style="473"/>
    <col min="6136" max="6136" width="12" style="473" bestFit="1" customWidth="1"/>
    <col min="6137" max="6137" width="18.33203125" style="473" bestFit="1" customWidth="1"/>
    <col min="6138" max="6138" width="9.109375" style="473"/>
    <col min="6139" max="6139" width="26.33203125" style="473" bestFit="1" customWidth="1"/>
    <col min="6140" max="6386" width="9.109375" style="473"/>
    <col min="6387" max="6387" width="11.33203125" style="473" customWidth="1"/>
    <col min="6388" max="6388" width="11.6640625" style="473" bestFit="1" customWidth="1"/>
    <col min="6389" max="6391" width="9.109375" style="473"/>
    <col min="6392" max="6392" width="12" style="473" bestFit="1" customWidth="1"/>
    <col min="6393" max="6393" width="18.33203125" style="473" bestFit="1" customWidth="1"/>
    <col min="6394" max="6394" width="9.109375" style="473"/>
    <col min="6395" max="6395" width="26.33203125" style="473" bestFit="1" customWidth="1"/>
    <col min="6396" max="6642" width="9.109375" style="473"/>
    <col min="6643" max="6643" width="11.33203125" style="473" customWidth="1"/>
    <col min="6644" max="6644" width="11.6640625" style="473" bestFit="1" customWidth="1"/>
    <col min="6645" max="6647" width="9.109375" style="473"/>
    <col min="6648" max="6648" width="12" style="473" bestFit="1" customWidth="1"/>
    <col min="6649" max="6649" width="18.33203125" style="473" bestFit="1" customWidth="1"/>
    <col min="6650" max="6650" width="9.109375" style="473"/>
    <col min="6651" max="6651" width="26.33203125" style="473" bestFit="1" customWidth="1"/>
    <col min="6652" max="6898" width="9.109375" style="473"/>
    <col min="6899" max="6899" width="11.33203125" style="473" customWidth="1"/>
    <col min="6900" max="6900" width="11.6640625" style="473" bestFit="1" customWidth="1"/>
    <col min="6901" max="6903" width="9.109375" style="473"/>
    <col min="6904" max="6904" width="12" style="473" bestFit="1" customWidth="1"/>
    <col min="6905" max="6905" width="18.33203125" style="473" bestFit="1" customWidth="1"/>
    <col min="6906" max="6906" width="9.109375" style="473"/>
    <col min="6907" max="6907" width="26.33203125" style="473" bestFit="1" customWidth="1"/>
    <col min="6908" max="7154" width="9.109375" style="473"/>
    <col min="7155" max="7155" width="11.33203125" style="473" customWidth="1"/>
    <col min="7156" max="7156" width="11.6640625" style="473" bestFit="1" customWidth="1"/>
    <col min="7157" max="7159" width="9.109375" style="473"/>
    <col min="7160" max="7160" width="12" style="473" bestFit="1" customWidth="1"/>
    <col min="7161" max="7161" width="18.33203125" style="473" bestFit="1" customWidth="1"/>
    <col min="7162" max="7162" width="9.109375" style="473"/>
    <col min="7163" max="7163" width="26.33203125" style="473" bestFit="1" customWidth="1"/>
    <col min="7164" max="7410" width="9.109375" style="473"/>
    <col min="7411" max="7411" width="11.33203125" style="473" customWidth="1"/>
    <col min="7412" max="7412" width="11.6640625" style="473" bestFit="1" customWidth="1"/>
    <col min="7413" max="7415" width="9.109375" style="473"/>
    <col min="7416" max="7416" width="12" style="473" bestFit="1" customWidth="1"/>
    <col min="7417" max="7417" width="18.33203125" style="473" bestFit="1" customWidth="1"/>
    <col min="7418" max="7418" width="9.109375" style="473"/>
    <col min="7419" max="7419" width="26.33203125" style="473" bestFit="1" customWidth="1"/>
    <col min="7420" max="7666" width="9.109375" style="473"/>
    <col min="7667" max="7667" width="11.33203125" style="473" customWidth="1"/>
    <col min="7668" max="7668" width="11.6640625" style="473" bestFit="1" customWidth="1"/>
    <col min="7669" max="7671" width="9.109375" style="473"/>
    <col min="7672" max="7672" width="12" style="473" bestFit="1" customWidth="1"/>
    <col min="7673" max="7673" width="18.33203125" style="473" bestFit="1" customWidth="1"/>
    <col min="7674" max="7674" width="9.109375" style="473"/>
    <col min="7675" max="7675" width="26.33203125" style="473" bestFit="1" customWidth="1"/>
    <col min="7676" max="7922" width="9.109375" style="473"/>
    <col min="7923" max="7923" width="11.33203125" style="473" customWidth="1"/>
    <col min="7924" max="7924" width="11.6640625" style="473" bestFit="1" customWidth="1"/>
    <col min="7925" max="7927" width="9.109375" style="473"/>
    <col min="7928" max="7928" width="12" style="473" bestFit="1" customWidth="1"/>
    <col min="7929" max="7929" width="18.33203125" style="473" bestFit="1" customWidth="1"/>
    <col min="7930" max="7930" width="9.109375" style="473"/>
    <col min="7931" max="7931" width="26.33203125" style="473" bestFit="1" customWidth="1"/>
    <col min="7932" max="8178" width="9.109375" style="473"/>
    <col min="8179" max="8179" width="11.33203125" style="473" customWidth="1"/>
    <col min="8180" max="8180" width="11.6640625" style="473" bestFit="1" customWidth="1"/>
    <col min="8181" max="8183" width="9.109375" style="473"/>
    <col min="8184" max="8184" width="12" style="473" bestFit="1" customWidth="1"/>
    <col min="8185" max="8185" width="18.33203125" style="473" bestFit="1" customWidth="1"/>
    <col min="8186" max="8186" width="9.109375" style="473"/>
    <col min="8187" max="8187" width="26.33203125" style="473" bestFit="1" customWidth="1"/>
    <col min="8188" max="8434" width="9.109375" style="473"/>
    <col min="8435" max="8435" width="11.33203125" style="473" customWidth="1"/>
    <col min="8436" max="8436" width="11.6640625" style="473" bestFit="1" customWidth="1"/>
    <col min="8437" max="8439" width="9.109375" style="473"/>
    <col min="8440" max="8440" width="12" style="473" bestFit="1" customWidth="1"/>
    <col min="8441" max="8441" width="18.33203125" style="473" bestFit="1" customWidth="1"/>
    <col min="8442" max="8442" width="9.109375" style="473"/>
    <col min="8443" max="8443" width="26.33203125" style="473" bestFit="1" customWidth="1"/>
    <col min="8444" max="8690" width="9.109375" style="473"/>
    <col min="8691" max="8691" width="11.33203125" style="473" customWidth="1"/>
    <col min="8692" max="8692" width="11.6640625" style="473" bestFit="1" customWidth="1"/>
    <col min="8693" max="8695" width="9.109375" style="473"/>
    <col min="8696" max="8696" width="12" style="473" bestFit="1" customWidth="1"/>
    <col min="8697" max="8697" width="18.33203125" style="473" bestFit="1" customWidth="1"/>
    <col min="8698" max="8698" width="9.109375" style="473"/>
    <col min="8699" max="8699" width="26.33203125" style="473" bestFit="1" customWidth="1"/>
    <col min="8700" max="8946" width="9.109375" style="473"/>
    <col min="8947" max="8947" width="11.33203125" style="473" customWidth="1"/>
    <col min="8948" max="8948" width="11.6640625" style="473" bestFit="1" customWidth="1"/>
    <col min="8949" max="8951" width="9.109375" style="473"/>
    <col min="8952" max="8952" width="12" style="473" bestFit="1" customWidth="1"/>
    <col min="8953" max="8953" width="18.33203125" style="473" bestFit="1" customWidth="1"/>
    <col min="8954" max="8954" width="9.109375" style="473"/>
    <col min="8955" max="8955" width="26.33203125" style="473" bestFit="1" customWidth="1"/>
    <col min="8956" max="9202" width="9.109375" style="473"/>
    <col min="9203" max="9203" width="11.33203125" style="473" customWidth="1"/>
    <col min="9204" max="9204" width="11.6640625" style="473" bestFit="1" customWidth="1"/>
    <col min="9205" max="9207" width="9.109375" style="473"/>
    <col min="9208" max="9208" width="12" style="473" bestFit="1" customWidth="1"/>
    <col min="9209" max="9209" width="18.33203125" style="473" bestFit="1" customWidth="1"/>
    <col min="9210" max="9210" width="9.109375" style="473"/>
    <col min="9211" max="9211" width="26.33203125" style="473" bestFit="1" customWidth="1"/>
    <col min="9212" max="9458" width="9.109375" style="473"/>
    <col min="9459" max="9459" width="11.33203125" style="473" customWidth="1"/>
    <col min="9460" max="9460" width="11.6640625" style="473" bestFit="1" customWidth="1"/>
    <col min="9461" max="9463" width="9.109375" style="473"/>
    <col min="9464" max="9464" width="12" style="473" bestFit="1" customWidth="1"/>
    <col min="9465" max="9465" width="18.33203125" style="473" bestFit="1" customWidth="1"/>
    <col min="9466" max="9466" width="9.109375" style="473"/>
    <col min="9467" max="9467" width="26.33203125" style="473" bestFit="1" customWidth="1"/>
    <col min="9468" max="9714" width="9.109375" style="473"/>
    <col min="9715" max="9715" width="11.33203125" style="473" customWidth="1"/>
    <col min="9716" max="9716" width="11.6640625" style="473" bestFit="1" customWidth="1"/>
    <col min="9717" max="9719" width="9.109375" style="473"/>
    <col min="9720" max="9720" width="12" style="473" bestFit="1" customWidth="1"/>
    <col min="9721" max="9721" width="18.33203125" style="473" bestFit="1" customWidth="1"/>
    <col min="9722" max="9722" width="9.109375" style="473"/>
    <col min="9723" max="9723" width="26.33203125" style="473" bestFit="1" customWidth="1"/>
    <col min="9724" max="9970" width="9.109375" style="473"/>
    <col min="9971" max="9971" width="11.33203125" style="473" customWidth="1"/>
    <col min="9972" max="9972" width="11.6640625" style="473" bestFit="1" customWidth="1"/>
    <col min="9973" max="9975" width="9.109375" style="473"/>
    <col min="9976" max="9976" width="12" style="473" bestFit="1" customWidth="1"/>
    <col min="9977" max="9977" width="18.33203125" style="473" bestFit="1" customWidth="1"/>
    <col min="9978" max="9978" width="9.109375" style="473"/>
    <col min="9979" max="9979" width="26.33203125" style="473" bestFit="1" customWidth="1"/>
    <col min="9980" max="10226" width="9.109375" style="473"/>
    <col min="10227" max="10227" width="11.33203125" style="473" customWidth="1"/>
    <col min="10228" max="10228" width="11.6640625" style="473" bestFit="1" customWidth="1"/>
    <col min="10229" max="10231" width="9.109375" style="473"/>
    <col min="10232" max="10232" width="12" style="473" bestFit="1" customWidth="1"/>
    <col min="10233" max="10233" width="18.33203125" style="473" bestFit="1" customWidth="1"/>
    <col min="10234" max="10234" width="9.109375" style="473"/>
    <col min="10235" max="10235" width="26.33203125" style="473" bestFit="1" customWidth="1"/>
    <col min="10236" max="10482" width="9.109375" style="473"/>
    <col min="10483" max="10483" width="11.33203125" style="473" customWidth="1"/>
    <col min="10484" max="10484" width="11.6640625" style="473" bestFit="1" customWidth="1"/>
    <col min="10485" max="10487" width="9.109375" style="473"/>
    <col min="10488" max="10488" width="12" style="473" bestFit="1" customWidth="1"/>
    <col min="10489" max="10489" width="18.33203125" style="473" bestFit="1" customWidth="1"/>
    <col min="10490" max="10490" width="9.109375" style="473"/>
    <col min="10491" max="10491" width="26.33203125" style="473" bestFit="1" customWidth="1"/>
    <col min="10492" max="10738" width="9.109375" style="473"/>
    <col min="10739" max="10739" width="11.33203125" style="473" customWidth="1"/>
    <col min="10740" max="10740" width="11.6640625" style="473" bestFit="1" customWidth="1"/>
    <col min="10741" max="10743" width="9.109375" style="473"/>
    <col min="10744" max="10744" width="12" style="473" bestFit="1" customWidth="1"/>
    <col min="10745" max="10745" width="18.33203125" style="473" bestFit="1" customWidth="1"/>
    <col min="10746" max="10746" width="9.109375" style="473"/>
    <col min="10747" max="10747" width="26.33203125" style="473" bestFit="1" customWidth="1"/>
    <col min="10748" max="10994" width="9.109375" style="473"/>
    <col min="10995" max="10995" width="11.33203125" style="473" customWidth="1"/>
    <col min="10996" max="10996" width="11.6640625" style="473" bestFit="1" customWidth="1"/>
    <col min="10997" max="10999" width="9.109375" style="473"/>
    <col min="11000" max="11000" width="12" style="473" bestFit="1" customWidth="1"/>
    <col min="11001" max="11001" width="18.33203125" style="473" bestFit="1" customWidth="1"/>
    <col min="11002" max="11002" width="9.109375" style="473"/>
    <col min="11003" max="11003" width="26.33203125" style="473" bestFit="1" customWidth="1"/>
    <col min="11004" max="11250" width="9.109375" style="473"/>
    <col min="11251" max="11251" width="11.33203125" style="473" customWidth="1"/>
    <col min="11252" max="11252" width="11.6640625" style="473" bestFit="1" customWidth="1"/>
    <col min="11253" max="11255" width="9.109375" style="473"/>
    <col min="11256" max="11256" width="12" style="473" bestFit="1" customWidth="1"/>
    <col min="11257" max="11257" width="18.33203125" style="473" bestFit="1" customWidth="1"/>
    <col min="11258" max="11258" width="9.109375" style="473"/>
    <col min="11259" max="11259" width="26.33203125" style="473" bestFit="1" customWidth="1"/>
    <col min="11260" max="11506" width="9.109375" style="473"/>
    <col min="11507" max="11507" width="11.33203125" style="473" customWidth="1"/>
    <col min="11508" max="11508" width="11.6640625" style="473" bestFit="1" customWidth="1"/>
    <col min="11509" max="11511" width="9.109375" style="473"/>
    <col min="11512" max="11512" width="12" style="473" bestFit="1" customWidth="1"/>
    <col min="11513" max="11513" width="18.33203125" style="473" bestFit="1" customWidth="1"/>
    <col min="11514" max="11514" width="9.109375" style="473"/>
    <col min="11515" max="11515" width="26.33203125" style="473" bestFit="1" customWidth="1"/>
    <col min="11516" max="11762" width="9.109375" style="473"/>
    <col min="11763" max="11763" width="11.33203125" style="473" customWidth="1"/>
    <col min="11764" max="11764" width="11.6640625" style="473" bestFit="1" customWidth="1"/>
    <col min="11765" max="11767" width="9.109375" style="473"/>
    <col min="11768" max="11768" width="12" style="473" bestFit="1" customWidth="1"/>
    <col min="11769" max="11769" width="18.33203125" style="473" bestFit="1" customWidth="1"/>
    <col min="11770" max="11770" width="9.109375" style="473"/>
    <col min="11771" max="11771" width="26.33203125" style="473" bestFit="1" customWidth="1"/>
    <col min="11772" max="12018" width="9.109375" style="473"/>
    <col min="12019" max="12019" width="11.33203125" style="473" customWidth="1"/>
    <col min="12020" max="12020" width="11.6640625" style="473" bestFit="1" customWidth="1"/>
    <col min="12021" max="12023" width="9.109375" style="473"/>
    <col min="12024" max="12024" width="12" style="473" bestFit="1" customWidth="1"/>
    <col min="12025" max="12025" width="18.33203125" style="473" bestFit="1" customWidth="1"/>
    <col min="12026" max="12026" width="9.109375" style="473"/>
    <col min="12027" max="12027" width="26.33203125" style="473" bestFit="1" customWidth="1"/>
    <col min="12028" max="12274" width="9.109375" style="473"/>
    <col min="12275" max="12275" width="11.33203125" style="473" customWidth="1"/>
    <col min="12276" max="12276" width="11.6640625" style="473" bestFit="1" customWidth="1"/>
    <col min="12277" max="12279" width="9.109375" style="473"/>
    <col min="12280" max="12280" width="12" style="473" bestFit="1" customWidth="1"/>
    <col min="12281" max="12281" width="18.33203125" style="473" bestFit="1" customWidth="1"/>
    <col min="12282" max="12282" width="9.109375" style="473"/>
    <col min="12283" max="12283" width="26.33203125" style="473" bestFit="1" customWidth="1"/>
    <col min="12284" max="12530" width="9.109375" style="473"/>
    <col min="12531" max="12531" width="11.33203125" style="473" customWidth="1"/>
    <col min="12532" max="12532" width="11.6640625" style="473" bestFit="1" customWidth="1"/>
    <col min="12533" max="12535" width="9.109375" style="473"/>
    <col min="12536" max="12536" width="12" style="473" bestFit="1" customWidth="1"/>
    <col min="12537" max="12537" width="18.33203125" style="473" bestFit="1" customWidth="1"/>
    <col min="12538" max="12538" width="9.109375" style="473"/>
    <col min="12539" max="12539" width="26.33203125" style="473" bestFit="1" customWidth="1"/>
    <col min="12540" max="12786" width="9.109375" style="473"/>
    <col min="12787" max="12787" width="11.33203125" style="473" customWidth="1"/>
    <col min="12788" max="12788" width="11.6640625" style="473" bestFit="1" customWidth="1"/>
    <col min="12789" max="12791" width="9.109375" style="473"/>
    <col min="12792" max="12792" width="12" style="473" bestFit="1" customWidth="1"/>
    <col min="12793" max="12793" width="18.33203125" style="473" bestFit="1" customWidth="1"/>
    <col min="12794" max="12794" width="9.109375" style="473"/>
    <col min="12795" max="12795" width="26.33203125" style="473" bestFit="1" customWidth="1"/>
    <col min="12796" max="13042" width="9.109375" style="473"/>
    <col min="13043" max="13043" width="11.33203125" style="473" customWidth="1"/>
    <col min="13044" max="13044" width="11.6640625" style="473" bestFit="1" customWidth="1"/>
    <col min="13045" max="13047" width="9.109375" style="473"/>
    <col min="13048" max="13048" width="12" style="473" bestFit="1" customWidth="1"/>
    <col min="13049" max="13049" width="18.33203125" style="473" bestFit="1" customWidth="1"/>
    <col min="13050" max="13050" width="9.109375" style="473"/>
    <col min="13051" max="13051" width="26.33203125" style="473" bestFit="1" customWidth="1"/>
    <col min="13052" max="13298" width="9.109375" style="473"/>
    <col min="13299" max="13299" width="11.33203125" style="473" customWidth="1"/>
    <col min="13300" max="13300" width="11.6640625" style="473" bestFit="1" customWidth="1"/>
    <col min="13301" max="13303" width="9.109375" style="473"/>
    <col min="13304" max="13304" width="12" style="473" bestFit="1" customWidth="1"/>
    <col min="13305" max="13305" width="18.33203125" style="473" bestFit="1" customWidth="1"/>
    <col min="13306" max="13306" width="9.109375" style="473"/>
    <col min="13307" max="13307" width="26.33203125" style="473" bestFit="1" customWidth="1"/>
    <col min="13308" max="13554" width="9.109375" style="473"/>
    <col min="13555" max="13555" width="11.33203125" style="473" customWidth="1"/>
    <col min="13556" max="13556" width="11.6640625" style="473" bestFit="1" customWidth="1"/>
    <col min="13557" max="13559" width="9.109375" style="473"/>
    <col min="13560" max="13560" width="12" style="473" bestFit="1" customWidth="1"/>
    <col min="13561" max="13561" width="18.33203125" style="473" bestFit="1" customWidth="1"/>
    <col min="13562" max="13562" width="9.109375" style="473"/>
    <col min="13563" max="13563" width="26.33203125" style="473" bestFit="1" customWidth="1"/>
    <col min="13564" max="13810" width="9.109375" style="473"/>
    <col min="13811" max="13811" width="11.33203125" style="473" customWidth="1"/>
    <col min="13812" max="13812" width="11.6640625" style="473" bestFit="1" customWidth="1"/>
    <col min="13813" max="13815" width="9.109375" style="473"/>
    <col min="13816" max="13816" width="12" style="473" bestFit="1" customWidth="1"/>
    <col min="13817" max="13817" width="18.33203125" style="473" bestFit="1" customWidth="1"/>
    <col min="13818" max="13818" width="9.109375" style="473"/>
    <col min="13819" max="13819" width="26.33203125" style="473" bestFit="1" customWidth="1"/>
    <col min="13820" max="14066" width="9.109375" style="473"/>
    <col min="14067" max="14067" width="11.33203125" style="473" customWidth="1"/>
    <col min="14068" max="14068" width="11.6640625" style="473" bestFit="1" customWidth="1"/>
    <col min="14069" max="14071" width="9.109375" style="473"/>
    <col min="14072" max="14072" width="12" style="473" bestFit="1" customWidth="1"/>
    <col min="14073" max="14073" width="18.33203125" style="473" bestFit="1" customWidth="1"/>
    <col min="14074" max="14074" width="9.109375" style="473"/>
    <col min="14075" max="14075" width="26.33203125" style="473" bestFit="1" customWidth="1"/>
    <col min="14076" max="14322" width="9.109375" style="473"/>
    <col min="14323" max="14323" width="11.33203125" style="473" customWidth="1"/>
    <col min="14324" max="14324" width="11.6640625" style="473" bestFit="1" customWidth="1"/>
    <col min="14325" max="14327" width="9.109375" style="473"/>
    <col min="14328" max="14328" width="12" style="473" bestFit="1" customWidth="1"/>
    <col min="14329" max="14329" width="18.33203125" style="473" bestFit="1" customWidth="1"/>
    <col min="14330" max="14330" width="9.109375" style="473"/>
    <col min="14331" max="14331" width="26.33203125" style="473" bestFit="1" customWidth="1"/>
    <col min="14332" max="14578" width="9.109375" style="473"/>
    <col min="14579" max="14579" width="11.33203125" style="473" customWidth="1"/>
    <col min="14580" max="14580" width="11.6640625" style="473" bestFit="1" customWidth="1"/>
    <col min="14581" max="14583" width="9.109375" style="473"/>
    <col min="14584" max="14584" width="12" style="473" bestFit="1" customWidth="1"/>
    <col min="14585" max="14585" width="18.33203125" style="473" bestFit="1" customWidth="1"/>
    <col min="14586" max="14586" width="9.109375" style="473"/>
    <col min="14587" max="14587" width="26.33203125" style="473" bestFit="1" customWidth="1"/>
    <col min="14588" max="14834" width="9.109375" style="473"/>
    <col min="14835" max="14835" width="11.33203125" style="473" customWidth="1"/>
    <col min="14836" max="14836" width="11.6640625" style="473" bestFit="1" customWidth="1"/>
    <col min="14837" max="14839" width="9.109375" style="473"/>
    <col min="14840" max="14840" width="12" style="473" bestFit="1" customWidth="1"/>
    <col min="14841" max="14841" width="18.33203125" style="473" bestFit="1" customWidth="1"/>
    <col min="14842" max="14842" width="9.109375" style="473"/>
    <col min="14843" max="14843" width="26.33203125" style="473" bestFit="1" customWidth="1"/>
    <col min="14844" max="15090" width="9.109375" style="473"/>
    <col min="15091" max="15091" width="11.33203125" style="473" customWidth="1"/>
    <col min="15092" max="15092" width="11.6640625" style="473" bestFit="1" customWidth="1"/>
    <col min="15093" max="15095" width="9.109375" style="473"/>
    <col min="15096" max="15096" width="12" style="473" bestFit="1" customWidth="1"/>
    <col min="15097" max="15097" width="18.33203125" style="473" bestFit="1" customWidth="1"/>
    <col min="15098" max="15098" width="9.109375" style="473"/>
    <col min="15099" max="15099" width="26.33203125" style="473" bestFit="1" customWidth="1"/>
    <col min="15100" max="15346" width="9.109375" style="473"/>
    <col min="15347" max="15347" width="11.33203125" style="473" customWidth="1"/>
    <col min="15348" max="15348" width="11.6640625" style="473" bestFit="1" customWidth="1"/>
    <col min="15349" max="15351" width="9.109375" style="473"/>
    <col min="15352" max="15352" width="12" style="473" bestFit="1" customWidth="1"/>
    <col min="15353" max="15353" width="18.33203125" style="473" bestFit="1" customWidth="1"/>
    <col min="15354" max="15354" width="9.109375" style="473"/>
    <col min="15355" max="15355" width="26.33203125" style="473" bestFit="1" customWidth="1"/>
    <col min="15356" max="15602" width="9.109375" style="473"/>
    <col min="15603" max="15603" width="11.33203125" style="473" customWidth="1"/>
    <col min="15604" max="15604" width="11.6640625" style="473" bestFit="1" customWidth="1"/>
    <col min="15605" max="15607" width="9.109375" style="473"/>
    <col min="15608" max="15608" width="12" style="473" bestFit="1" customWidth="1"/>
    <col min="15609" max="15609" width="18.33203125" style="473" bestFit="1" customWidth="1"/>
    <col min="15610" max="15610" width="9.109375" style="473"/>
    <col min="15611" max="15611" width="26.33203125" style="473" bestFit="1" customWidth="1"/>
    <col min="15612" max="15858" width="9.109375" style="473"/>
    <col min="15859" max="15859" width="11.33203125" style="473" customWidth="1"/>
    <col min="15860" max="15860" width="11.6640625" style="473" bestFit="1" customWidth="1"/>
    <col min="15861" max="15863" width="9.109375" style="473"/>
    <col min="15864" max="15864" width="12" style="473" bestFit="1" customWidth="1"/>
    <col min="15865" max="15865" width="18.33203125" style="473" bestFit="1" customWidth="1"/>
    <col min="15866" max="15866" width="9.109375" style="473"/>
    <col min="15867" max="15867" width="26.33203125" style="473" bestFit="1" customWidth="1"/>
    <col min="15868" max="16114" width="9.109375" style="473"/>
    <col min="16115" max="16115" width="11.33203125" style="473" customWidth="1"/>
    <col min="16116" max="16116" width="11.6640625" style="473" bestFit="1" customWidth="1"/>
    <col min="16117" max="16119" width="9.109375" style="473"/>
    <col min="16120" max="16120" width="12" style="473" bestFit="1" customWidth="1"/>
    <col min="16121" max="16121" width="18.33203125" style="473" bestFit="1" customWidth="1"/>
    <col min="16122" max="16122" width="9.109375" style="473"/>
    <col min="16123" max="16123" width="26.33203125" style="473" bestFit="1" customWidth="1"/>
    <col min="16124" max="16382" width="9.109375" style="473"/>
    <col min="16383" max="16384" width="9.109375" style="473" customWidth="1"/>
  </cols>
  <sheetData>
    <row r="1" spans="1:9" ht="15.6">
      <c r="A1" s="472" t="s">
        <v>0</v>
      </c>
    </row>
    <row r="2" spans="1:9" ht="15.6">
      <c r="A2" s="472" t="s">
        <v>1</v>
      </c>
    </row>
    <row r="3" spans="1:9" ht="15.6">
      <c r="A3" s="474" t="s">
        <v>2</v>
      </c>
    </row>
    <row r="6" spans="1:9">
      <c r="A6" s="475" t="s">
        <v>3</v>
      </c>
      <c r="G6" s="476">
        <f>'ATC Attach O ER19-838'!I20</f>
        <v>541958313.60614061</v>
      </c>
      <c r="H6" s="477"/>
      <c r="I6" s="478"/>
    </row>
    <row r="7" spans="1:9">
      <c r="G7" s="476"/>
      <c r="H7" s="477"/>
      <c r="I7" s="478"/>
    </row>
    <row r="8" spans="1:9">
      <c r="A8" s="475" t="s">
        <v>4</v>
      </c>
      <c r="G8" s="476">
        <f>'Revenue Breakout'!C12</f>
        <v>551853071.47000003</v>
      </c>
      <c r="H8" s="477"/>
      <c r="I8" s="478"/>
    </row>
    <row r="9" spans="1:9">
      <c r="G9" s="476"/>
      <c r="I9" s="478"/>
    </row>
    <row r="10" spans="1:9" ht="15.6" thickBot="1">
      <c r="A10" s="473" t="s">
        <v>5</v>
      </c>
      <c r="G10" s="479">
        <f>G8-G6</f>
        <v>9894757.8638594151</v>
      </c>
      <c r="I10" s="478"/>
    </row>
    <row r="11" spans="1:9" ht="15.6" thickTop="1">
      <c r="G11" s="476"/>
      <c r="I11" s="478"/>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10D2-61FE-41AF-86CA-DAF95C94F5CD}">
  <sheetPr>
    <tabColor rgb="FF00B0F0"/>
  </sheetPr>
  <dimension ref="A1:T337"/>
  <sheetViews>
    <sheetView showGridLines="0" zoomScale="70" zoomScaleNormal="70" zoomScaleSheetLayoutView="80" workbookViewId="0">
      <selection activeCell="D315" sqref="D315"/>
    </sheetView>
  </sheetViews>
  <sheetFormatPr defaultColWidth="9.109375" defaultRowHeight="15.6"/>
  <cols>
    <col min="1" max="1" width="5.6640625" style="56" customWidth="1"/>
    <col min="2" max="2" width="35.44140625" style="56" customWidth="1"/>
    <col min="3" max="3" width="42.5546875" style="56" customWidth="1"/>
    <col min="4" max="4" width="16.33203125" style="56" customWidth="1"/>
    <col min="5" max="5" width="5.6640625" style="56" customWidth="1"/>
    <col min="6" max="6" width="7.33203125" style="56" customWidth="1"/>
    <col min="7" max="7" width="12.88671875" style="56" customWidth="1"/>
    <col min="8" max="8" width="4.88671875" style="56" customWidth="1"/>
    <col min="9" max="9" width="18.44140625" style="56" customWidth="1"/>
    <col min="10" max="10" width="2.5546875" style="56" customWidth="1"/>
    <col min="11" max="11" width="11.44140625" style="56" customWidth="1"/>
    <col min="12" max="12" width="19.88671875" style="56" customWidth="1"/>
    <col min="13" max="13" width="28.5546875" style="56" customWidth="1"/>
    <col min="14" max="14" width="9.109375" style="56"/>
    <col min="15" max="15" width="12.44140625" style="56" customWidth="1"/>
    <col min="16" max="16" width="13.5546875" style="56" customWidth="1"/>
    <col min="17" max="16384" width="9.109375" style="56"/>
  </cols>
  <sheetData>
    <row r="1" spans="1:17">
      <c r="K1" s="724" t="s">
        <v>6</v>
      </c>
      <c r="N1" s="57"/>
      <c r="O1" s="57"/>
      <c r="P1" s="57"/>
      <c r="Q1" s="57"/>
    </row>
    <row r="2" spans="1:17">
      <c r="M2" s="57" t="s">
        <v>7</v>
      </c>
      <c r="N2" s="57"/>
      <c r="O2" s="57"/>
      <c r="P2" s="57"/>
      <c r="Q2" s="57"/>
    </row>
    <row r="3" spans="1:17">
      <c r="A3" s="58"/>
      <c r="B3" s="59" t="s">
        <v>8</v>
      </c>
      <c r="C3" s="59"/>
      <c r="D3" s="60" t="s">
        <v>9</v>
      </c>
      <c r="E3" s="59"/>
      <c r="F3" s="59"/>
      <c r="G3" s="10"/>
      <c r="H3" s="11"/>
      <c r="I3" s="39"/>
      <c r="J3" s="11"/>
      <c r="K3" s="725" t="s">
        <v>10</v>
      </c>
      <c r="L3" s="61"/>
      <c r="M3" s="57"/>
      <c r="N3" s="57"/>
      <c r="O3" s="57"/>
      <c r="P3" s="57"/>
      <c r="Q3" s="57"/>
    </row>
    <row r="4" spans="1:17">
      <c r="A4" s="58"/>
      <c r="B4" s="59"/>
      <c r="C4" s="62" t="s">
        <v>11</v>
      </c>
      <c r="D4" s="62" t="s">
        <v>12</v>
      </c>
      <c r="E4" s="62"/>
      <c r="F4" s="62"/>
      <c r="G4" s="62"/>
      <c r="H4" s="61"/>
      <c r="I4" s="61"/>
      <c r="J4" s="61"/>
      <c r="K4" s="61"/>
      <c r="L4" s="61"/>
      <c r="M4" s="57"/>
      <c r="N4" s="57"/>
      <c r="O4" s="57"/>
      <c r="P4" s="57"/>
      <c r="Q4" s="57"/>
    </row>
    <row r="5" spans="1:17">
      <c r="A5" s="58"/>
      <c r="B5" s="61"/>
      <c r="C5" s="61"/>
      <c r="D5" s="61"/>
      <c r="E5" s="61"/>
      <c r="F5" s="61"/>
      <c r="G5" s="61"/>
      <c r="H5" s="61"/>
      <c r="I5" s="61"/>
      <c r="J5" s="61"/>
      <c r="K5" s="61"/>
      <c r="L5" s="61"/>
    </row>
    <row r="6" spans="1:17">
      <c r="A6" s="741" t="s">
        <v>0</v>
      </c>
      <c r="B6" s="741"/>
      <c r="C6" s="741"/>
      <c r="D6" s="741"/>
      <c r="E6" s="741"/>
      <c r="F6" s="741"/>
      <c r="G6" s="741"/>
      <c r="H6" s="741"/>
      <c r="I6" s="741"/>
      <c r="J6" s="741"/>
      <c r="K6" s="741"/>
      <c r="L6" s="61"/>
    </row>
    <row r="7" spans="1:17" ht="16.2">
      <c r="A7" s="63"/>
      <c r="B7" s="64" t="s">
        <v>13</v>
      </c>
      <c r="C7" s="61"/>
      <c r="D7" s="736"/>
      <c r="E7" s="61"/>
      <c r="F7" s="61"/>
      <c r="G7" s="61"/>
      <c r="H7" s="61"/>
      <c r="I7" s="61"/>
      <c r="J7" s="61"/>
      <c r="K7" s="61"/>
      <c r="L7" s="61"/>
    </row>
    <row r="8" spans="1:17" ht="16.2">
      <c r="A8" s="63"/>
      <c r="B8" s="64" t="s">
        <v>14</v>
      </c>
      <c r="C8" s="61"/>
      <c r="D8" s="65"/>
      <c r="E8" s="61"/>
      <c r="F8" s="61"/>
      <c r="G8" s="61"/>
      <c r="H8" s="61"/>
      <c r="I8" s="61"/>
      <c r="J8" s="61"/>
      <c r="K8" s="61"/>
      <c r="L8" s="61"/>
    </row>
    <row r="9" spans="1:17">
      <c r="A9" s="63" t="s">
        <v>15</v>
      </c>
      <c r="B9" s="61"/>
      <c r="C9" s="61"/>
      <c r="D9" s="65"/>
      <c r="E9" s="61"/>
      <c r="F9" s="61"/>
      <c r="G9" s="61"/>
      <c r="H9" s="61"/>
      <c r="I9" s="63" t="s">
        <v>16</v>
      </c>
      <c r="J9" s="61"/>
      <c r="K9" s="61"/>
      <c r="L9" s="61"/>
    </row>
    <row r="10" spans="1:17" ht="16.2" thickBot="1">
      <c r="A10" s="66" t="s">
        <v>17</v>
      </c>
      <c r="B10" s="61"/>
      <c r="C10" s="61"/>
      <c r="D10" s="61"/>
      <c r="E10" s="61"/>
      <c r="F10" s="61"/>
      <c r="G10" s="61"/>
      <c r="H10" s="61"/>
      <c r="I10" s="66" t="s">
        <v>18</v>
      </c>
      <c r="J10" s="61"/>
      <c r="K10" s="61"/>
      <c r="L10" s="61"/>
    </row>
    <row r="11" spans="1:17">
      <c r="A11" s="63">
        <v>1</v>
      </c>
      <c r="B11" s="61" t="s">
        <v>19</v>
      </c>
      <c r="C11" s="61"/>
      <c r="D11" s="67"/>
      <c r="E11" s="61"/>
      <c r="F11" s="61"/>
      <c r="G11" s="61"/>
      <c r="H11" s="61"/>
      <c r="I11" s="14">
        <f>+I211</f>
        <v>551719777.60614061</v>
      </c>
      <c r="J11" s="61"/>
      <c r="K11" s="61"/>
      <c r="L11" s="61"/>
    </row>
    <row r="12" spans="1:17">
      <c r="A12" s="63"/>
      <c r="B12" s="61"/>
      <c r="C12" s="61"/>
      <c r="D12" s="61"/>
      <c r="E12" s="61"/>
      <c r="F12" s="61"/>
      <c r="G12" s="61"/>
      <c r="H12" s="61"/>
      <c r="I12" s="67"/>
      <c r="J12" s="61"/>
      <c r="K12" s="61"/>
      <c r="L12" s="61"/>
    </row>
    <row r="13" spans="1:17" ht="16.2" thickBot="1">
      <c r="A13" s="63" t="s">
        <v>11</v>
      </c>
      <c r="B13" s="59" t="s">
        <v>20</v>
      </c>
      <c r="C13" s="68" t="s">
        <v>21</v>
      </c>
      <c r="D13" s="66" t="s">
        <v>22</v>
      </c>
      <c r="E13" s="62"/>
      <c r="F13" s="69" t="s">
        <v>23</v>
      </c>
      <c r="G13" s="69"/>
      <c r="H13" s="61"/>
      <c r="I13" s="67"/>
      <c r="J13" s="61"/>
      <c r="K13" s="61"/>
      <c r="L13" s="61"/>
    </row>
    <row r="14" spans="1:17">
      <c r="A14" s="63">
        <v>2</v>
      </c>
      <c r="B14" s="59" t="s">
        <v>24</v>
      </c>
      <c r="C14" s="62" t="s">
        <v>25</v>
      </c>
      <c r="D14" s="8">
        <f>I280</f>
        <v>1728752</v>
      </c>
      <c r="E14" s="62"/>
      <c r="F14" s="62" t="s">
        <v>26</v>
      </c>
      <c r="G14" s="15">
        <f>I231</f>
        <v>1</v>
      </c>
      <c r="H14" s="71"/>
      <c r="I14" s="16">
        <f>+G14*D14</f>
        <v>1728752</v>
      </c>
      <c r="J14" s="61"/>
      <c r="K14" s="61"/>
      <c r="L14" s="61"/>
    </row>
    <row r="15" spans="1:17">
      <c r="A15" s="63">
        <v>3</v>
      </c>
      <c r="B15" s="59" t="s">
        <v>27</v>
      </c>
      <c r="C15" s="62" t="s">
        <v>28</v>
      </c>
      <c r="D15" s="8">
        <f>I287</f>
        <v>8032711.9999999814</v>
      </c>
      <c r="E15" s="62"/>
      <c r="F15" s="62" t="s">
        <v>26</v>
      </c>
      <c r="G15" s="15">
        <f>+G14</f>
        <v>1</v>
      </c>
      <c r="H15" s="71"/>
      <c r="I15" s="16">
        <f>+G15*D15</f>
        <v>8032711.9999999814</v>
      </c>
      <c r="J15" s="61"/>
      <c r="K15" s="61"/>
      <c r="L15" s="61"/>
    </row>
    <row r="16" spans="1:17">
      <c r="A16" s="63">
        <v>4</v>
      </c>
      <c r="B16" s="72" t="s">
        <v>29</v>
      </c>
      <c r="C16" s="62"/>
      <c r="D16" s="40">
        <v>0</v>
      </c>
      <c r="E16" s="62"/>
      <c r="F16" s="62" t="s">
        <v>26</v>
      </c>
      <c r="G16" s="15">
        <f>+G15</f>
        <v>1</v>
      </c>
      <c r="H16" s="71"/>
      <c r="I16" s="16">
        <f>+G16*D16</f>
        <v>0</v>
      </c>
      <c r="J16" s="61"/>
      <c r="K16" s="61"/>
      <c r="L16" s="61"/>
    </row>
    <row r="17" spans="1:12" ht="16.2" thickBot="1">
      <c r="A17" s="63">
        <v>5</v>
      </c>
      <c r="B17" s="72" t="s">
        <v>30</v>
      </c>
      <c r="C17" s="62"/>
      <c r="D17" s="40">
        <v>0</v>
      </c>
      <c r="E17" s="62"/>
      <c r="F17" s="62" t="s">
        <v>26</v>
      </c>
      <c r="G17" s="15">
        <f>+G16</f>
        <v>1</v>
      </c>
      <c r="H17" s="71"/>
      <c r="I17" s="17">
        <f>+G17*D17</f>
        <v>0</v>
      </c>
      <c r="J17" s="61"/>
      <c r="K17" s="61"/>
      <c r="L17" s="61"/>
    </row>
    <row r="18" spans="1:12">
      <c r="A18" s="63">
        <v>6</v>
      </c>
      <c r="B18" s="59" t="s">
        <v>31</v>
      </c>
      <c r="C18" s="61"/>
      <c r="D18" s="73" t="s">
        <v>11</v>
      </c>
      <c r="E18" s="62"/>
      <c r="F18" s="62"/>
      <c r="G18" s="70"/>
      <c r="H18" s="71"/>
      <c r="I18" s="16">
        <f>SUM(I14:I17)</f>
        <v>9761463.9999999814</v>
      </c>
      <c r="J18" s="61"/>
      <c r="K18" s="61"/>
      <c r="L18" s="61"/>
    </row>
    <row r="19" spans="1:12">
      <c r="A19" s="63"/>
      <c r="B19" s="58"/>
      <c r="C19" s="61"/>
      <c r="D19" s="62" t="s">
        <v>11</v>
      </c>
      <c r="E19" s="61"/>
      <c r="F19" s="61"/>
      <c r="G19" s="74"/>
      <c r="H19" s="61"/>
      <c r="I19" s="58"/>
      <c r="J19" s="61"/>
      <c r="K19" s="61"/>
      <c r="L19" s="61"/>
    </row>
    <row r="20" spans="1:12" ht="16.2" thickBot="1">
      <c r="A20" s="63">
        <v>7</v>
      </c>
      <c r="B20" s="59" t="s">
        <v>32</v>
      </c>
      <c r="C20" s="61" t="s">
        <v>33</v>
      </c>
      <c r="D20" s="73" t="s">
        <v>11</v>
      </c>
      <c r="E20" s="62"/>
      <c r="F20" s="62"/>
      <c r="G20" s="62"/>
      <c r="H20" s="62"/>
      <c r="I20" s="19">
        <f>I11-I18</f>
        <v>541958313.60614061</v>
      </c>
      <c r="J20" s="61"/>
      <c r="K20" s="61"/>
      <c r="L20" s="61"/>
    </row>
    <row r="21" spans="1:12" ht="16.2" thickTop="1">
      <c r="A21" s="63"/>
      <c r="B21" s="58"/>
      <c r="C21" s="61"/>
      <c r="D21" s="73"/>
      <c r="E21" s="62"/>
      <c r="F21" s="62"/>
      <c r="G21" s="62"/>
      <c r="H21" s="62"/>
      <c r="I21" s="58"/>
      <c r="J21" s="61"/>
      <c r="K21" s="61"/>
      <c r="L21" s="61"/>
    </row>
    <row r="22" spans="1:12">
      <c r="A22" s="63"/>
      <c r="B22" s="59" t="s">
        <v>34</v>
      </c>
      <c r="C22" s="61"/>
      <c r="D22" s="67"/>
      <c r="E22" s="61"/>
      <c r="F22" s="61"/>
      <c r="G22" s="61"/>
      <c r="H22" s="61"/>
      <c r="I22" s="67"/>
      <c r="J22" s="61"/>
      <c r="K22" s="61"/>
      <c r="L22" s="61"/>
    </row>
    <row r="23" spans="1:12">
      <c r="A23" s="63">
        <v>8</v>
      </c>
      <c r="B23" s="59" t="s">
        <v>35</v>
      </c>
      <c r="C23" s="58"/>
      <c r="D23" s="67"/>
      <c r="E23" s="61"/>
      <c r="F23" s="61"/>
      <c r="G23" s="75" t="s">
        <v>36</v>
      </c>
      <c r="H23" s="61"/>
      <c r="I23" s="41">
        <v>0</v>
      </c>
      <c r="J23" s="61"/>
      <c r="K23" s="61"/>
      <c r="L23" s="58"/>
    </row>
    <row r="24" spans="1:12">
      <c r="A24" s="63">
        <v>9</v>
      </c>
      <c r="B24" s="59" t="s">
        <v>37</v>
      </c>
      <c r="C24" s="62"/>
      <c r="D24" s="62"/>
      <c r="E24" s="62"/>
      <c r="F24" s="62"/>
      <c r="G24" s="68" t="s">
        <v>38</v>
      </c>
      <c r="H24" s="62"/>
      <c r="I24" s="41">
        <v>0</v>
      </c>
      <c r="J24" s="61"/>
      <c r="K24" s="61"/>
      <c r="L24" s="58"/>
    </row>
    <row r="25" spans="1:12">
      <c r="A25" s="63">
        <v>10</v>
      </c>
      <c r="B25" s="72" t="s">
        <v>39</v>
      </c>
      <c r="C25" s="61"/>
      <c r="D25" s="61"/>
      <c r="E25" s="61"/>
      <c r="F25" s="58"/>
      <c r="G25" s="75" t="s">
        <v>40</v>
      </c>
      <c r="H25" s="61"/>
      <c r="I25" s="41">
        <v>0</v>
      </c>
      <c r="J25" s="61"/>
      <c r="K25" s="61"/>
      <c r="L25" s="58"/>
    </row>
    <row r="26" spans="1:12">
      <c r="A26" s="63">
        <v>11</v>
      </c>
      <c r="B26" s="59" t="s">
        <v>41</v>
      </c>
      <c r="C26" s="61"/>
      <c r="D26" s="61"/>
      <c r="E26" s="61"/>
      <c r="F26" s="58"/>
      <c r="G26" s="75" t="s">
        <v>42</v>
      </c>
      <c r="H26" s="61"/>
      <c r="I26" s="42">
        <v>0</v>
      </c>
      <c r="J26" s="61"/>
      <c r="K26" s="61"/>
      <c r="L26" s="58"/>
    </row>
    <row r="27" spans="1:12">
      <c r="A27" s="63">
        <v>12</v>
      </c>
      <c r="B27" s="72" t="s">
        <v>43</v>
      </c>
      <c r="C27" s="61"/>
      <c r="D27" s="61"/>
      <c r="E27" s="61"/>
      <c r="F27" s="61"/>
      <c r="G27" s="61"/>
      <c r="H27" s="61"/>
      <c r="I27" s="42">
        <v>0</v>
      </c>
      <c r="J27" s="61"/>
      <c r="K27" s="61"/>
      <c r="L27" s="58"/>
    </row>
    <row r="28" spans="1:12">
      <c r="A28" s="63">
        <v>13</v>
      </c>
      <c r="B28" s="72" t="s">
        <v>44</v>
      </c>
      <c r="C28" s="61"/>
      <c r="D28" s="61"/>
      <c r="E28" s="61"/>
      <c r="F28" s="61"/>
      <c r="G28" s="75"/>
      <c r="H28" s="61"/>
      <c r="I28" s="42">
        <v>0</v>
      </c>
      <c r="J28" s="61"/>
      <c r="K28" s="61"/>
      <c r="L28" s="58"/>
    </row>
    <row r="29" spans="1:12" ht="16.2" thickBot="1">
      <c r="A29" s="63">
        <v>14</v>
      </c>
      <c r="B29" s="72" t="s">
        <v>45</v>
      </c>
      <c r="C29" s="61"/>
      <c r="D29" s="61"/>
      <c r="E29" s="61"/>
      <c r="F29" s="61"/>
      <c r="G29" s="61"/>
      <c r="H29" s="61"/>
      <c r="I29" s="43">
        <v>0</v>
      </c>
      <c r="J29" s="61"/>
      <c r="K29" s="61"/>
      <c r="L29" s="58"/>
    </row>
    <row r="30" spans="1:12">
      <c r="A30" s="63">
        <v>15</v>
      </c>
      <c r="B30" s="59" t="s">
        <v>46</v>
      </c>
      <c r="C30" s="61"/>
      <c r="D30" s="61"/>
      <c r="E30" s="61"/>
      <c r="F30" s="61"/>
      <c r="G30" s="61"/>
      <c r="H30" s="61"/>
      <c r="I30" s="13">
        <f>SUM(I23:I29)</f>
        <v>0</v>
      </c>
      <c r="J30" s="61"/>
      <c r="K30" s="61"/>
      <c r="L30" s="61"/>
    </row>
    <row r="31" spans="1:12">
      <c r="A31" s="63"/>
      <c r="B31" s="59"/>
      <c r="C31" s="61"/>
      <c r="D31" s="61"/>
      <c r="E31" s="61"/>
      <c r="F31" s="61"/>
      <c r="G31" s="61"/>
      <c r="H31" s="61"/>
      <c r="I31" s="67"/>
      <c r="J31" s="61"/>
      <c r="K31" s="61"/>
      <c r="L31" s="61"/>
    </row>
    <row r="32" spans="1:12">
      <c r="A32" s="63">
        <v>16</v>
      </c>
      <c r="B32" s="59" t="s">
        <v>47</v>
      </c>
      <c r="C32" s="61" t="s">
        <v>48</v>
      </c>
      <c r="D32" s="20">
        <f>IF(I30&gt;0,I20/I30,0)</f>
        <v>0</v>
      </c>
      <c r="E32" s="61"/>
      <c r="F32" s="61"/>
      <c r="G32" s="61"/>
      <c r="H32" s="61"/>
      <c r="I32" s="58"/>
      <c r="J32" s="61"/>
      <c r="K32" s="61"/>
      <c r="L32" s="61"/>
    </row>
    <row r="33" spans="1:12">
      <c r="A33" s="63">
        <v>17</v>
      </c>
      <c r="B33" s="59" t="s">
        <v>49</v>
      </c>
      <c r="C33" s="61" t="s">
        <v>50</v>
      </c>
      <c r="D33" s="20">
        <f>+D32/12</f>
        <v>0</v>
      </c>
      <c r="E33" s="61"/>
      <c r="F33" s="61"/>
      <c r="G33" s="61"/>
      <c r="H33" s="61"/>
      <c r="I33" s="58"/>
      <c r="J33" s="61"/>
      <c r="K33" s="61"/>
      <c r="L33" s="61"/>
    </row>
    <row r="34" spans="1:12">
      <c r="A34" s="63"/>
      <c r="B34" s="59"/>
      <c r="C34" s="61"/>
      <c r="D34" s="76"/>
      <c r="E34" s="61"/>
      <c r="F34" s="61"/>
      <c r="G34" s="61"/>
      <c r="H34" s="61"/>
      <c r="I34" s="58"/>
      <c r="J34" s="61"/>
      <c r="K34" s="61"/>
      <c r="L34" s="61"/>
    </row>
    <row r="35" spans="1:12">
      <c r="A35" s="63"/>
      <c r="B35" s="59"/>
      <c r="C35" s="61"/>
      <c r="D35" s="77" t="s">
        <v>51</v>
      </c>
      <c r="E35" s="61"/>
      <c r="F35" s="61"/>
      <c r="G35" s="61"/>
      <c r="H35" s="61"/>
      <c r="I35" s="78" t="s">
        <v>52</v>
      </c>
      <c r="J35" s="61"/>
      <c r="K35" s="61"/>
      <c r="L35" s="61"/>
    </row>
    <row r="36" spans="1:12">
      <c r="A36" s="63">
        <v>18</v>
      </c>
      <c r="B36" s="59" t="s">
        <v>53</v>
      </c>
      <c r="C36" s="60" t="s">
        <v>54</v>
      </c>
      <c r="D36" s="20">
        <f>+D32/52</f>
        <v>0</v>
      </c>
      <c r="E36" s="61"/>
      <c r="F36" s="61"/>
      <c r="G36" s="61"/>
      <c r="H36" s="61"/>
      <c r="I36" s="21">
        <f>+D32/52</f>
        <v>0</v>
      </c>
      <c r="J36" s="61"/>
      <c r="K36" s="61"/>
      <c r="L36" s="61"/>
    </row>
    <row r="37" spans="1:12">
      <c r="A37" s="63">
        <v>19</v>
      </c>
      <c r="B37" s="59" t="s">
        <v>55</v>
      </c>
      <c r="C37" s="60" t="s">
        <v>56</v>
      </c>
      <c r="D37" s="20">
        <f>+D36/5</f>
        <v>0</v>
      </c>
      <c r="E37" s="61" t="s">
        <v>57</v>
      </c>
      <c r="F37" s="58"/>
      <c r="G37" s="61"/>
      <c r="H37" s="61"/>
      <c r="I37" s="21">
        <f>+D32/365</f>
        <v>0</v>
      </c>
      <c r="J37" s="61"/>
      <c r="K37" s="61"/>
      <c r="L37" s="61"/>
    </row>
    <row r="38" spans="1:12">
      <c r="A38" s="63">
        <v>20</v>
      </c>
      <c r="B38" s="59" t="s">
        <v>58</v>
      </c>
      <c r="C38" s="60" t="s">
        <v>59</v>
      </c>
      <c r="D38" s="20">
        <f>+D37/16*1000</f>
        <v>0</v>
      </c>
      <c r="E38" s="61" t="s">
        <v>60</v>
      </c>
      <c r="F38" s="58"/>
      <c r="G38" s="61"/>
      <c r="H38" s="61"/>
      <c r="I38" s="21">
        <f>+I37/24*1000</f>
        <v>0</v>
      </c>
      <c r="J38" s="61"/>
      <c r="K38" s="61" t="s">
        <v>11</v>
      </c>
      <c r="L38" s="61"/>
    </row>
    <row r="39" spans="1:12">
      <c r="A39" s="63"/>
      <c r="B39" s="59"/>
      <c r="C39" s="61" t="s">
        <v>61</v>
      </c>
      <c r="D39" s="61"/>
      <c r="E39" s="61" t="s">
        <v>62</v>
      </c>
      <c r="F39" s="58"/>
      <c r="G39" s="61"/>
      <c r="H39" s="61"/>
      <c r="I39" s="58"/>
      <c r="J39" s="61"/>
      <c r="K39" s="61" t="s">
        <v>11</v>
      </c>
      <c r="L39" s="61"/>
    </row>
    <row r="40" spans="1:12">
      <c r="A40" s="63"/>
      <c r="B40" s="59"/>
      <c r="C40" s="61"/>
      <c r="D40" s="61"/>
      <c r="E40" s="61"/>
      <c r="F40" s="58"/>
      <c r="G40" s="61"/>
      <c r="H40" s="61"/>
      <c r="I40" s="58"/>
      <c r="J40" s="61"/>
      <c r="K40" s="61" t="s">
        <v>11</v>
      </c>
      <c r="L40" s="61"/>
    </row>
    <row r="41" spans="1:12">
      <c r="A41" s="63">
        <v>21</v>
      </c>
      <c r="B41" s="59" t="s">
        <v>63</v>
      </c>
      <c r="C41" s="61" t="s">
        <v>64</v>
      </c>
      <c r="D41" s="1">
        <v>0</v>
      </c>
      <c r="E41" s="79" t="s">
        <v>65</v>
      </c>
      <c r="F41" s="79"/>
      <c r="G41" s="79"/>
      <c r="H41" s="79"/>
      <c r="I41" s="79">
        <v>0</v>
      </c>
      <c r="J41" s="79" t="s">
        <v>65</v>
      </c>
      <c r="K41" s="61"/>
      <c r="L41" s="61"/>
    </row>
    <row r="42" spans="1:12">
      <c r="A42" s="63">
        <v>22</v>
      </c>
      <c r="B42" s="59"/>
      <c r="C42" s="61"/>
      <c r="D42" s="1">
        <v>0</v>
      </c>
      <c r="E42" s="79" t="s">
        <v>66</v>
      </c>
      <c r="F42" s="79"/>
      <c r="G42" s="79"/>
      <c r="H42" s="79"/>
      <c r="I42" s="79">
        <v>0</v>
      </c>
      <c r="J42" s="79" t="s">
        <v>66</v>
      </c>
      <c r="K42" s="61"/>
      <c r="L42" s="61"/>
    </row>
    <row r="43" spans="1:12">
      <c r="A43" s="63"/>
      <c r="B43" s="59"/>
      <c r="C43" s="61"/>
      <c r="D43" s="80"/>
      <c r="E43" s="79"/>
      <c r="F43" s="79"/>
      <c r="G43" s="79"/>
      <c r="H43" s="79"/>
      <c r="I43" s="79"/>
      <c r="J43" s="79"/>
      <c r="K43" s="61"/>
      <c r="L43" s="61"/>
    </row>
    <row r="44" spans="1:12">
      <c r="A44" s="63"/>
      <c r="B44" s="59"/>
      <c r="C44" s="61"/>
      <c r="D44" s="80"/>
      <c r="E44" s="79"/>
      <c r="F44" s="79"/>
      <c r="G44" s="79"/>
      <c r="H44" s="79"/>
      <c r="I44" s="79"/>
      <c r="J44" s="79"/>
      <c r="K44" s="61"/>
      <c r="L44" s="61"/>
    </row>
    <row r="45" spans="1:12">
      <c r="A45" s="63"/>
      <c r="B45" s="59"/>
      <c r="C45" s="61"/>
      <c r="D45" s="80"/>
      <c r="E45" s="79"/>
      <c r="F45" s="79"/>
      <c r="G45" s="79"/>
      <c r="H45" s="79"/>
      <c r="I45" s="79"/>
      <c r="J45" s="79"/>
      <c r="K45" s="61"/>
      <c r="L45" s="61"/>
    </row>
    <row r="46" spans="1:12">
      <c r="A46" s="63"/>
      <c r="B46" s="59"/>
      <c r="C46" s="61"/>
      <c r="D46" s="80"/>
      <c r="E46" s="79"/>
      <c r="F46" s="79"/>
      <c r="G46" s="79"/>
      <c r="H46" s="79"/>
      <c r="I46" s="79"/>
      <c r="J46" s="79"/>
      <c r="K46" s="61"/>
      <c r="L46" s="61"/>
    </row>
    <row r="47" spans="1:12">
      <c r="A47" s="63"/>
      <c r="B47" s="59"/>
      <c r="C47" s="61"/>
      <c r="D47" s="80"/>
      <c r="E47" s="79"/>
      <c r="F47" s="79"/>
      <c r="G47" s="79"/>
      <c r="H47" s="79"/>
      <c r="I47" s="79"/>
      <c r="J47" s="79"/>
      <c r="K47" s="61"/>
      <c r="L47" s="61"/>
    </row>
    <row r="48" spans="1:12">
      <c r="A48" s="63"/>
      <c r="B48" s="59"/>
      <c r="C48" s="61"/>
      <c r="D48" s="80"/>
      <c r="E48" s="79"/>
      <c r="F48" s="79"/>
      <c r="G48" s="79"/>
      <c r="H48" s="79"/>
      <c r="I48" s="79"/>
      <c r="J48" s="79"/>
      <c r="K48" s="61"/>
      <c r="L48" s="61"/>
    </row>
    <row r="49" spans="1:12">
      <c r="A49" s="63"/>
      <c r="B49" s="59"/>
      <c r="C49" s="61"/>
      <c r="D49" s="80"/>
      <c r="E49" s="79"/>
      <c r="F49" s="79"/>
      <c r="G49" s="79"/>
      <c r="H49" s="79"/>
      <c r="I49" s="79"/>
      <c r="J49" s="79"/>
      <c r="K49" s="61"/>
      <c r="L49" s="61"/>
    </row>
    <row r="50" spans="1:12">
      <c r="A50" s="63"/>
      <c r="B50" s="59"/>
      <c r="C50" s="61"/>
      <c r="D50" s="80"/>
      <c r="E50" s="79"/>
      <c r="F50" s="79"/>
      <c r="G50" s="79"/>
      <c r="H50" s="79"/>
      <c r="I50" s="79"/>
      <c r="J50" s="79"/>
      <c r="K50" s="61"/>
      <c r="L50" s="61"/>
    </row>
    <row r="51" spans="1:12">
      <c r="A51" s="63"/>
      <c r="B51" s="59"/>
      <c r="C51" s="61"/>
      <c r="D51" s="80"/>
      <c r="E51" s="79"/>
      <c r="F51" s="79"/>
      <c r="G51" s="79"/>
      <c r="H51" s="79"/>
      <c r="I51" s="79"/>
      <c r="J51" s="79"/>
      <c r="K51" s="61"/>
      <c r="L51" s="61"/>
    </row>
    <row r="52" spans="1:12">
      <c r="A52" s="63"/>
      <c r="B52" s="59"/>
      <c r="C52" s="61"/>
      <c r="D52" s="80"/>
      <c r="E52" s="79"/>
      <c r="F52" s="79"/>
      <c r="G52" s="79"/>
      <c r="H52" s="79"/>
      <c r="I52" s="79"/>
      <c r="J52" s="79"/>
      <c r="K52" s="61"/>
      <c r="L52" s="61"/>
    </row>
    <row r="53" spans="1:12">
      <c r="A53" s="63"/>
      <c r="B53" s="59"/>
      <c r="C53" s="61"/>
      <c r="D53" s="80"/>
      <c r="E53" s="79"/>
      <c r="F53" s="79"/>
      <c r="G53" s="79"/>
      <c r="H53" s="79"/>
      <c r="I53" s="79"/>
      <c r="J53" s="79"/>
      <c r="K53" s="61"/>
      <c r="L53" s="61"/>
    </row>
    <row r="54" spans="1:12">
      <c r="A54" s="63"/>
      <c r="B54" s="59"/>
      <c r="C54" s="61"/>
      <c r="D54" s="80"/>
      <c r="E54" s="79"/>
      <c r="F54" s="79"/>
      <c r="G54" s="79"/>
      <c r="H54" s="79"/>
      <c r="I54" s="79"/>
      <c r="J54" s="79"/>
      <c r="K54" s="61"/>
      <c r="L54" s="61"/>
    </row>
    <row r="55" spans="1:12">
      <c r="A55" s="63"/>
      <c r="B55" s="59"/>
      <c r="C55" s="61"/>
      <c r="D55" s="80"/>
      <c r="E55" s="79"/>
      <c r="F55" s="79"/>
      <c r="G55" s="79"/>
      <c r="H55" s="79"/>
      <c r="I55" s="79"/>
      <c r="J55" s="79"/>
      <c r="K55" s="61"/>
      <c r="L55" s="61"/>
    </row>
    <row r="56" spans="1:12">
      <c r="A56" s="63"/>
      <c r="B56" s="59"/>
      <c r="C56" s="61"/>
      <c r="D56" s="80"/>
      <c r="E56" s="79"/>
      <c r="F56" s="79"/>
      <c r="G56" s="79"/>
      <c r="H56" s="79"/>
      <c r="I56" s="79"/>
      <c r="J56" s="79"/>
      <c r="K56" s="61"/>
      <c r="L56" s="61"/>
    </row>
    <row r="57" spans="1:12">
      <c r="A57" s="63"/>
      <c r="B57" s="59"/>
      <c r="C57" s="61"/>
      <c r="D57" s="80"/>
      <c r="E57" s="79"/>
      <c r="F57" s="79"/>
      <c r="G57" s="79"/>
      <c r="H57" s="79"/>
      <c r="I57" s="79"/>
      <c r="J57" s="79"/>
      <c r="K57" s="61"/>
      <c r="L57" s="61"/>
    </row>
    <row r="58" spans="1:12">
      <c r="A58" s="63"/>
      <c r="B58" s="59"/>
      <c r="C58" s="61"/>
      <c r="D58" s="80"/>
      <c r="E58" s="79"/>
      <c r="F58" s="79"/>
      <c r="G58" s="79"/>
      <c r="H58" s="79"/>
      <c r="I58" s="79"/>
      <c r="J58" s="79"/>
      <c r="K58" s="61"/>
      <c r="L58" s="61"/>
    </row>
    <row r="59" spans="1:12">
      <c r="A59" s="63"/>
      <c r="B59" s="59"/>
      <c r="C59" s="61"/>
      <c r="D59" s="80"/>
      <c r="E59" s="79"/>
      <c r="F59" s="79"/>
      <c r="G59" s="79"/>
      <c r="H59" s="79"/>
      <c r="I59" s="79"/>
      <c r="J59" s="79"/>
      <c r="K59" s="61"/>
      <c r="L59" s="61"/>
    </row>
    <row r="60" spans="1:12">
      <c r="A60" s="63"/>
      <c r="B60" s="59"/>
      <c r="C60" s="61"/>
      <c r="D60" s="80"/>
      <c r="E60" s="79"/>
      <c r="F60" s="79"/>
      <c r="G60" s="79"/>
      <c r="H60" s="79"/>
      <c r="I60" s="79"/>
      <c r="J60" s="79"/>
      <c r="K60" s="61"/>
      <c r="L60" s="61"/>
    </row>
    <row r="61" spans="1:12">
      <c r="A61" s="63"/>
      <c r="B61" s="59"/>
      <c r="C61" s="61"/>
      <c r="D61" s="80"/>
      <c r="E61" s="79"/>
      <c r="F61" s="79"/>
      <c r="G61" s="79"/>
      <c r="H61" s="79"/>
      <c r="I61" s="79"/>
      <c r="J61" s="79"/>
      <c r="K61" s="61"/>
      <c r="L61" s="61"/>
    </row>
    <row r="62" spans="1:12">
      <c r="A62" s="63"/>
      <c r="B62" s="59"/>
      <c r="C62" s="61"/>
      <c r="D62" s="80"/>
      <c r="E62" s="79"/>
      <c r="F62" s="79"/>
      <c r="G62" s="79"/>
      <c r="H62" s="79"/>
      <c r="I62" s="79"/>
      <c r="J62" s="79"/>
      <c r="K62" s="61"/>
      <c r="L62" s="61"/>
    </row>
    <row r="63" spans="1:12">
      <c r="A63" s="63"/>
      <c r="B63" s="59"/>
      <c r="C63" s="61"/>
      <c r="D63" s="80"/>
      <c r="E63" s="79"/>
      <c r="F63" s="79"/>
      <c r="G63" s="79"/>
      <c r="H63" s="79"/>
      <c r="I63" s="79"/>
      <c r="J63" s="79"/>
      <c r="K63" s="61"/>
      <c r="L63" s="61"/>
    </row>
    <row r="64" spans="1:12">
      <c r="A64" s="63"/>
      <c r="B64" s="59"/>
      <c r="C64" s="61"/>
      <c r="D64" s="80"/>
      <c r="E64" s="79"/>
      <c r="F64" s="79"/>
      <c r="G64" s="79"/>
      <c r="H64" s="79"/>
      <c r="I64" s="79"/>
      <c r="J64" s="79"/>
      <c r="K64" s="61"/>
      <c r="L64" s="61"/>
    </row>
    <row r="65" spans="1:12">
      <c r="A65" s="63"/>
      <c r="B65" s="59"/>
      <c r="C65" s="61"/>
      <c r="D65" s="80"/>
      <c r="E65" s="79"/>
      <c r="F65" s="79"/>
      <c r="G65" s="79"/>
      <c r="H65" s="79"/>
      <c r="I65" s="79"/>
      <c r="J65" s="79"/>
      <c r="K65" s="61"/>
      <c r="L65" s="61"/>
    </row>
    <row r="66" spans="1:12">
      <c r="A66" s="63"/>
      <c r="B66" s="59"/>
      <c r="C66" s="61"/>
      <c r="D66" s="80"/>
      <c r="E66" s="79"/>
      <c r="F66" s="79"/>
      <c r="G66" s="79"/>
      <c r="H66" s="79"/>
      <c r="I66" s="79"/>
      <c r="J66" s="79"/>
      <c r="K66" s="61"/>
      <c r="L66" s="61"/>
    </row>
    <row r="67" spans="1:12">
      <c r="A67" s="63"/>
      <c r="B67" s="59"/>
      <c r="C67" s="61"/>
      <c r="D67" s="80"/>
      <c r="E67" s="79"/>
      <c r="F67" s="79"/>
      <c r="G67" s="79"/>
      <c r="H67" s="79"/>
      <c r="I67" s="79"/>
      <c r="J67" s="79"/>
      <c r="K67" s="61"/>
      <c r="L67" s="61"/>
    </row>
    <row r="68" spans="1:12">
      <c r="A68" s="63"/>
      <c r="B68" s="59"/>
      <c r="C68" s="61"/>
      <c r="D68" s="80"/>
      <c r="E68" s="79"/>
      <c r="F68" s="79"/>
      <c r="G68" s="79"/>
      <c r="H68" s="79"/>
      <c r="I68" s="79"/>
      <c r="J68" s="79"/>
      <c r="K68" s="61"/>
      <c r="L68" s="61"/>
    </row>
    <row r="69" spans="1:12">
      <c r="A69" s="63"/>
      <c r="B69" s="59"/>
      <c r="C69" s="61"/>
      <c r="D69" s="80"/>
      <c r="E69" s="79"/>
      <c r="F69" s="79"/>
      <c r="G69" s="79"/>
      <c r="H69" s="79"/>
      <c r="I69" s="79"/>
      <c r="J69" s="79"/>
      <c r="K69" s="61"/>
      <c r="L69" s="61"/>
    </row>
    <row r="70" spans="1:12">
      <c r="A70" s="63"/>
      <c r="B70" s="59"/>
      <c r="C70" s="61"/>
      <c r="D70" s="80"/>
      <c r="E70" s="79"/>
      <c r="F70" s="79"/>
      <c r="G70" s="79"/>
      <c r="H70" s="79"/>
      <c r="I70" s="79"/>
      <c r="J70" s="79"/>
      <c r="K70" s="61"/>
      <c r="L70" s="61"/>
    </row>
    <row r="71" spans="1:12">
      <c r="A71" s="63"/>
      <c r="B71" s="59"/>
      <c r="C71" s="61"/>
      <c r="D71" s="80"/>
      <c r="E71" s="79"/>
      <c r="F71" s="79"/>
      <c r="G71" s="79"/>
      <c r="H71" s="79"/>
      <c r="I71" s="79"/>
      <c r="J71" s="79"/>
      <c r="K71" s="61"/>
      <c r="L71" s="61"/>
    </row>
    <row r="72" spans="1:12">
      <c r="A72" s="63"/>
      <c r="B72" s="59"/>
      <c r="C72" s="61"/>
      <c r="D72" s="80"/>
      <c r="E72" s="79"/>
      <c r="F72" s="79"/>
      <c r="G72" s="79"/>
      <c r="H72" s="79"/>
      <c r="I72" s="79"/>
      <c r="J72" s="79"/>
      <c r="K72" s="61"/>
      <c r="L72" s="61"/>
    </row>
    <row r="73" spans="1:12">
      <c r="A73" s="63"/>
      <c r="B73" s="59"/>
      <c r="C73" s="61"/>
      <c r="D73" s="80"/>
      <c r="E73" s="79"/>
      <c r="F73" s="79"/>
      <c r="G73" s="79"/>
      <c r="H73" s="79"/>
      <c r="I73" s="79"/>
      <c r="J73" s="79"/>
      <c r="K73" s="61"/>
      <c r="L73" s="61"/>
    </row>
    <row r="74" spans="1:12">
      <c r="A74" s="63"/>
      <c r="B74" s="59"/>
      <c r="C74" s="61"/>
      <c r="D74" s="80"/>
      <c r="E74" s="79"/>
      <c r="F74" s="79"/>
      <c r="G74" s="79"/>
      <c r="H74" s="79"/>
      <c r="I74" s="79"/>
      <c r="J74" s="79"/>
      <c r="K74" s="61"/>
      <c r="L74" s="61"/>
    </row>
    <row r="75" spans="1:12">
      <c r="A75" s="58"/>
      <c r="B75" s="59"/>
      <c r="C75" s="61"/>
      <c r="D75" s="61"/>
      <c r="E75" s="61"/>
      <c r="F75" s="61"/>
      <c r="G75" s="61"/>
      <c r="H75" s="61"/>
      <c r="I75" s="81"/>
      <c r="J75" s="61"/>
      <c r="K75" s="726" t="s">
        <v>67</v>
      </c>
      <c r="L75" s="61"/>
    </row>
    <row r="76" spans="1:12">
      <c r="A76" s="58"/>
      <c r="B76" s="61"/>
      <c r="C76" s="61"/>
      <c r="D76" s="61"/>
      <c r="E76" s="61"/>
      <c r="F76" s="61"/>
      <c r="G76" s="61"/>
      <c r="H76" s="61"/>
      <c r="I76" s="61"/>
      <c r="J76" s="61"/>
      <c r="K76" s="61"/>
      <c r="L76" s="61"/>
    </row>
    <row r="77" spans="1:12">
      <c r="A77" s="58"/>
      <c r="B77" s="59" t="s">
        <v>8</v>
      </c>
      <c r="C77" s="59"/>
      <c r="D77" s="60" t="s">
        <v>9</v>
      </c>
      <c r="E77" s="59"/>
      <c r="F77" s="59"/>
      <c r="G77" s="59"/>
      <c r="H77" s="59"/>
      <c r="J77" s="59"/>
      <c r="K77" s="727" t="str">
        <f>K3</f>
        <v>For the 12 months ended 12/31/2018</v>
      </c>
      <c r="L77" s="59"/>
    </row>
    <row r="78" spans="1:12">
      <c r="A78" s="58"/>
      <c r="B78" s="59" t="s">
        <v>68</v>
      </c>
      <c r="C78" s="62"/>
      <c r="D78" s="62" t="s">
        <v>12</v>
      </c>
      <c r="E78" s="62"/>
      <c r="F78" s="62"/>
      <c r="G78" s="62"/>
      <c r="H78" s="62"/>
      <c r="I78" s="62"/>
      <c r="J78" s="62"/>
      <c r="K78" s="62"/>
      <c r="L78" s="61"/>
    </row>
    <row r="79" spans="1:12">
      <c r="A79" s="58"/>
      <c r="B79" s="59"/>
      <c r="C79" s="62" t="s">
        <v>11</v>
      </c>
      <c r="D79" s="62" t="s">
        <v>11</v>
      </c>
      <c r="E79" s="62"/>
      <c r="F79" s="62"/>
      <c r="G79" s="62" t="s">
        <v>11</v>
      </c>
      <c r="H79" s="62"/>
      <c r="I79" s="62"/>
      <c r="J79" s="62"/>
      <c r="K79" s="62"/>
      <c r="L79" s="62"/>
    </row>
    <row r="80" spans="1:12">
      <c r="A80" s="742" t="str">
        <f>A6</f>
        <v>American Transmission Company LLC</v>
      </c>
      <c r="B80" s="742"/>
      <c r="C80" s="742"/>
      <c r="D80" s="742"/>
      <c r="E80" s="742"/>
      <c r="F80" s="742"/>
      <c r="G80" s="742"/>
      <c r="H80" s="742"/>
      <c r="I80" s="742"/>
      <c r="J80" s="742"/>
      <c r="K80" s="742"/>
      <c r="L80" s="62"/>
    </row>
    <row r="81" spans="1:12">
      <c r="A81" s="58"/>
      <c r="B81" s="63" t="s">
        <v>69</v>
      </c>
      <c r="C81" s="63" t="s">
        <v>70</v>
      </c>
      <c r="D81" s="63" t="s">
        <v>71</v>
      </c>
      <c r="E81" s="62" t="s">
        <v>11</v>
      </c>
      <c r="F81" s="62"/>
      <c r="G81" s="82" t="s">
        <v>72</v>
      </c>
      <c r="H81" s="62"/>
      <c r="I81" s="736" t="s">
        <v>73</v>
      </c>
      <c r="J81" s="62"/>
      <c r="K81" s="63"/>
      <c r="L81" s="63"/>
    </row>
    <row r="82" spans="1:12">
      <c r="A82" s="58"/>
      <c r="B82" s="59"/>
      <c r="C82" s="83" t="s">
        <v>74</v>
      </c>
      <c r="D82" s="62"/>
      <c r="E82" s="62"/>
      <c r="F82" s="62"/>
      <c r="G82" s="63"/>
      <c r="H82" s="62"/>
      <c r="I82" s="84" t="s">
        <v>75</v>
      </c>
      <c r="J82" s="62"/>
      <c r="K82" s="63"/>
      <c r="L82" s="63"/>
    </row>
    <row r="83" spans="1:12">
      <c r="A83" s="63" t="s">
        <v>15</v>
      </c>
      <c r="B83" s="59"/>
      <c r="C83" s="85" t="s">
        <v>76</v>
      </c>
      <c r="D83" s="84" t="s">
        <v>77</v>
      </c>
      <c r="E83" s="86"/>
      <c r="F83" s="84" t="s">
        <v>78</v>
      </c>
      <c r="G83" s="58"/>
      <c r="H83" s="86"/>
      <c r="I83" s="63" t="s">
        <v>79</v>
      </c>
      <c r="J83" s="62"/>
      <c r="K83" s="63"/>
      <c r="L83" s="63"/>
    </row>
    <row r="84" spans="1:12" ht="16.2" thickBot="1">
      <c r="A84" s="66" t="s">
        <v>17</v>
      </c>
      <c r="B84" s="87" t="s">
        <v>80</v>
      </c>
      <c r="C84" s="62"/>
      <c r="D84" s="62"/>
      <c r="E84" s="62"/>
      <c r="F84" s="62"/>
      <c r="G84" s="62"/>
      <c r="H84" s="62"/>
      <c r="I84" s="62"/>
      <c r="J84" s="62"/>
      <c r="K84" s="62"/>
      <c r="L84" s="62"/>
    </row>
    <row r="85" spans="1:12">
      <c r="A85" s="63"/>
      <c r="B85" s="59" t="s">
        <v>81</v>
      </c>
      <c r="C85" s="62"/>
      <c r="D85" s="62"/>
      <c r="E85" s="62"/>
      <c r="F85" s="62"/>
      <c r="G85" s="62"/>
      <c r="H85" s="62"/>
      <c r="I85" s="62"/>
      <c r="J85" s="62"/>
      <c r="K85" s="62"/>
      <c r="L85" s="62"/>
    </row>
    <row r="86" spans="1:12">
      <c r="A86" s="63">
        <v>1</v>
      </c>
      <c r="B86" s="59" t="s">
        <v>82</v>
      </c>
      <c r="C86" s="71" t="s">
        <v>83</v>
      </c>
      <c r="D86" s="40">
        <v>0</v>
      </c>
      <c r="E86" s="62"/>
      <c r="F86" s="62" t="s">
        <v>84</v>
      </c>
      <c r="G86" s="88" t="s">
        <v>11</v>
      </c>
      <c r="H86" s="62"/>
      <c r="I86" s="62">
        <v>0</v>
      </c>
      <c r="J86" s="62"/>
      <c r="K86" s="62"/>
      <c r="L86" s="58"/>
    </row>
    <row r="87" spans="1:12">
      <c r="A87" s="63" t="s">
        <v>85</v>
      </c>
      <c r="B87" s="59" t="s">
        <v>86</v>
      </c>
      <c r="C87" s="71" t="s">
        <v>87</v>
      </c>
      <c r="D87" s="40">
        <v>5419815851</v>
      </c>
      <c r="E87" s="62"/>
      <c r="F87" s="62" t="s">
        <v>26</v>
      </c>
      <c r="G87" s="22">
        <f>I231</f>
        <v>1</v>
      </c>
      <c r="H87" s="71"/>
      <c r="I87" s="16">
        <f>+G87*D87</f>
        <v>5419815851</v>
      </c>
      <c r="J87" s="62"/>
      <c r="K87" s="62"/>
      <c r="L87" s="58"/>
    </row>
    <row r="88" spans="1:12">
      <c r="A88" s="63" t="s">
        <v>88</v>
      </c>
      <c r="B88" s="60" t="s">
        <v>89</v>
      </c>
      <c r="C88" s="62"/>
      <c r="D88" s="40">
        <f>CWIP!P49</f>
        <v>353415407</v>
      </c>
      <c r="E88" s="62"/>
      <c r="F88" s="62" t="s">
        <v>26</v>
      </c>
      <c r="G88" s="22">
        <f>G87</f>
        <v>1</v>
      </c>
      <c r="H88" s="71"/>
      <c r="I88" s="16">
        <f>+G88*D88</f>
        <v>353415407</v>
      </c>
      <c r="J88" s="62"/>
      <c r="K88" s="62"/>
      <c r="L88" s="58"/>
    </row>
    <row r="89" spans="1:12">
      <c r="A89" s="63">
        <v>3</v>
      </c>
      <c r="B89" s="59" t="s">
        <v>90</v>
      </c>
      <c r="C89" s="71" t="s">
        <v>91</v>
      </c>
      <c r="D89" s="40">
        <v>0</v>
      </c>
      <c r="E89" s="62"/>
      <c r="F89" s="62" t="s">
        <v>84</v>
      </c>
      <c r="G89" s="89" t="s">
        <v>11</v>
      </c>
      <c r="H89" s="71"/>
      <c r="I89" s="71">
        <v>0</v>
      </c>
      <c r="J89" s="62"/>
      <c r="K89" s="62"/>
      <c r="L89" s="58"/>
    </row>
    <row r="90" spans="1:12">
      <c r="A90" s="63">
        <v>4</v>
      </c>
      <c r="B90" s="59" t="s">
        <v>92</v>
      </c>
      <c r="C90" s="71" t="s">
        <v>93</v>
      </c>
      <c r="D90" s="40">
        <v>244137542</v>
      </c>
      <c r="E90" s="62"/>
      <c r="F90" s="62" t="s">
        <v>94</v>
      </c>
      <c r="G90" s="22">
        <f>I248</f>
        <v>1</v>
      </c>
      <c r="H90" s="71"/>
      <c r="I90" s="16">
        <f>+G90*D90</f>
        <v>244137542</v>
      </c>
      <c r="J90" s="62"/>
      <c r="K90" s="62"/>
      <c r="L90" s="58"/>
    </row>
    <row r="91" spans="1:12" ht="16.2" thickBot="1">
      <c r="A91" s="63">
        <v>5</v>
      </c>
      <c r="B91" s="59" t="s">
        <v>95</v>
      </c>
      <c r="C91" s="62" t="s">
        <v>96</v>
      </c>
      <c r="D91" s="44">
        <v>0</v>
      </c>
      <c r="E91" s="62"/>
      <c r="F91" s="62" t="s">
        <v>97</v>
      </c>
      <c r="G91" s="22">
        <f>K252</f>
        <v>1</v>
      </c>
      <c r="H91" s="71"/>
      <c r="I91" s="17">
        <f>+G91*D91</f>
        <v>0</v>
      </c>
      <c r="J91" s="62"/>
      <c r="K91" s="62"/>
      <c r="L91" s="58"/>
    </row>
    <row r="92" spans="1:12">
      <c r="A92" s="63">
        <v>6</v>
      </c>
      <c r="B92" s="59" t="s">
        <v>98</v>
      </c>
      <c r="C92" s="62"/>
      <c r="D92" s="6">
        <f>SUM(D86:D91)</f>
        <v>6017368800</v>
      </c>
      <c r="E92" s="62"/>
      <c r="F92" s="62" t="s">
        <v>99</v>
      </c>
      <c r="G92" s="23">
        <f>IF(I92&gt;0,I92/D92,0)</f>
        <v>1</v>
      </c>
      <c r="H92" s="71"/>
      <c r="I92" s="16">
        <f>SUM(I86:I91)</f>
        <v>6017368800</v>
      </c>
      <c r="J92" s="62"/>
      <c r="K92" s="91"/>
      <c r="L92" s="62"/>
    </row>
    <row r="93" spans="1:12">
      <c r="A93" s="58"/>
      <c r="B93" s="59"/>
      <c r="C93" s="62"/>
      <c r="D93" s="62"/>
      <c r="E93" s="62"/>
      <c r="F93" s="62"/>
      <c r="G93" s="91"/>
      <c r="H93" s="62"/>
      <c r="I93" s="62"/>
      <c r="J93" s="62"/>
      <c r="K93" s="91"/>
      <c r="L93" s="62"/>
    </row>
    <row r="94" spans="1:12">
      <c r="A94" s="58"/>
      <c r="B94" s="59" t="s">
        <v>100</v>
      </c>
      <c r="C94" s="62"/>
      <c r="D94" s="62"/>
      <c r="E94" s="62"/>
      <c r="F94" s="62"/>
      <c r="G94" s="62"/>
      <c r="H94" s="62"/>
      <c r="I94" s="62"/>
      <c r="J94" s="62"/>
      <c r="K94" s="62"/>
      <c r="L94" s="62"/>
    </row>
    <row r="95" spans="1:12">
      <c r="A95" s="63">
        <v>7</v>
      </c>
      <c r="B95" s="59" t="s">
        <v>82</v>
      </c>
      <c r="C95" s="62" t="s">
        <v>101</v>
      </c>
      <c r="D95" s="40">
        <v>0</v>
      </c>
      <c r="E95" s="62"/>
      <c r="F95" s="62" t="s">
        <v>84</v>
      </c>
      <c r="G95" s="88" t="s">
        <v>11</v>
      </c>
      <c r="H95" s="62"/>
      <c r="I95" s="62">
        <v>0</v>
      </c>
      <c r="J95" s="62"/>
      <c r="K95" s="62"/>
      <c r="L95" s="62"/>
    </row>
    <row r="96" spans="1:12">
      <c r="A96" s="63" t="s">
        <v>102</v>
      </c>
      <c r="B96" s="59" t="s">
        <v>86</v>
      </c>
      <c r="C96" s="62" t="s">
        <v>103</v>
      </c>
      <c r="D96" s="45">
        <v>1470289972</v>
      </c>
      <c r="E96" s="62"/>
      <c r="F96" s="62" t="s">
        <v>26</v>
      </c>
      <c r="G96" s="22">
        <f>+G87</f>
        <v>1</v>
      </c>
      <c r="H96" s="71"/>
      <c r="I96" s="16">
        <f>+G96*D96</f>
        <v>1470289972</v>
      </c>
      <c r="J96" s="62"/>
      <c r="K96" s="62"/>
      <c r="L96" s="62"/>
    </row>
    <row r="97" spans="1:12">
      <c r="A97" s="63" t="s">
        <v>104</v>
      </c>
      <c r="B97" s="60" t="s">
        <v>89</v>
      </c>
      <c r="C97" s="62"/>
      <c r="D97" s="45">
        <v>0</v>
      </c>
      <c r="E97" s="62"/>
      <c r="F97" s="62" t="s">
        <v>26</v>
      </c>
      <c r="G97" s="22">
        <f>G96</f>
        <v>1</v>
      </c>
      <c r="H97" s="71"/>
      <c r="I97" s="16">
        <f>+G97*D97</f>
        <v>0</v>
      </c>
      <c r="J97" s="62"/>
      <c r="K97" s="62"/>
      <c r="L97" s="62"/>
    </row>
    <row r="98" spans="1:12">
      <c r="A98" s="63">
        <v>9</v>
      </c>
      <c r="B98" s="59" t="s">
        <v>90</v>
      </c>
      <c r="C98" s="62" t="s">
        <v>105</v>
      </c>
      <c r="D98" s="40">
        <v>0</v>
      </c>
      <c r="E98" s="62"/>
      <c r="F98" s="62" t="s">
        <v>84</v>
      </c>
      <c r="G98" s="22" t="str">
        <f>+G89</f>
        <v xml:space="preserve"> </v>
      </c>
      <c r="H98" s="71"/>
      <c r="I98" s="71" t="s">
        <v>11</v>
      </c>
      <c r="J98" s="62"/>
      <c r="K98" s="62"/>
      <c r="L98" s="62"/>
    </row>
    <row r="99" spans="1:12">
      <c r="A99" s="63">
        <v>10</v>
      </c>
      <c r="B99" s="59" t="s">
        <v>92</v>
      </c>
      <c r="C99" s="62" t="s">
        <v>106</v>
      </c>
      <c r="D99" s="40">
        <v>100116265</v>
      </c>
      <c r="E99" s="62"/>
      <c r="F99" s="62" t="s">
        <v>94</v>
      </c>
      <c r="G99" s="22">
        <f>+G90</f>
        <v>1</v>
      </c>
      <c r="H99" s="71"/>
      <c r="I99" s="16">
        <f>+G99*D99</f>
        <v>100116265</v>
      </c>
      <c r="J99" s="62"/>
      <c r="K99" s="62"/>
      <c r="L99" s="62"/>
    </row>
    <row r="100" spans="1:12" ht="16.2" thickBot="1">
      <c r="A100" s="63">
        <v>11</v>
      </c>
      <c r="B100" s="59" t="s">
        <v>95</v>
      </c>
      <c r="C100" s="62" t="s">
        <v>96</v>
      </c>
      <c r="D100" s="44">
        <v>0</v>
      </c>
      <c r="E100" s="62"/>
      <c r="F100" s="62" t="s">
        <v>97</v>
      </c>
      <c r="G100" s="22">
        <f>+G91</f>
        <v>1</v>
      </c>
      <c r="H100" s="71"/>
      <c r="I100" s="17">
        <f>+G100*D100</f>
        <v>0</v>
      </c>
      <c r="J100" s="62"/>
      <c r="K100" s="62"/>
      <c r="L100" s="62"/>
    </row>
    <row r="101" spans="1:12">
      <c r="A101" s="63">
        <v>12</v>
      </c>
      <c r="B101" s="59" t="s">
        <v>107</v>
      </c>
      <c r="C101" s="62"/>
      <c r="D101" s="24">
        <f>SUM(D95:D100)</f>
        <v>1570406237</v>
      </c>
      <c r="E101" s="62"/>
      <c r="F101" s="62"/>
      <c r="G101" s="71"/>
      <c r="H101" s="71"/>
      <c r="I101" s="16">
        <f>SUM(I95:I100)</f>
        <v>1570406237</v>
      </c>
      <c r="J101" s="62"/>
      <c r="K101" s="62"/>
      <c r="L101" s="92"/>
    </row>
    <row r="102" spans="1:12">
      <c r="A102" s="63"/>
      <c r="B102" s="58"/>
      <c r="C102" s="62" t="s">
        <v>11</v>
      </c>
      <c r="D102" s="58"/>
      <c r="E102" s="62"/>
      <c r="F102" s="62"/>
      <c r="G102" s="91"/>
      <c r="H102" s="62"/>
      <c r="I102" s="58"/>
      <c r="J102" s="62"/>
      <c r="K102" s="91"/>
      <c r="L102" s="62"/>
    </row>
    <row r="103" spans="1:12">
      <c r="A103" s="63"/>
      <c r="B103" s="59" t="s">
        <v>108</v>
      </c>
      <c r="C103" s="62"/>
      <c r="D103" s="62"/>
      <c r="E103" s="62"/>
      <c r="F103" s="62"/>
      <c r="G103" s="62"/>
      <c r="H103" s="62"/>
      <c r="I103" s="62"/>
      <c r="J103" s="62"/>
      <c r="K103" s="62"/>
      <c r="L103" s="62"/>
    </row>
    <row r="104" spans="1:12">
      <c r="A104" s="63">
        <v>13</v>
      </c>
      <c r="B104" s="59" t="s">
        <v>82</v>
      </c>
      <c r="C104" s="62" t="s">
        <v>109</v>
      </c>
      <c r="D104" s="16">
        <f t="shared" ref="D104:D109" si="0">D86-D95</f>
        <v>0</v>
      </c>
      <c r="E104" s="71"/>
      <c r="F104" s="71"/>
      <c r="G104" s="90"/>
      <c r="H104" s="71"/>
      <c r="I104" s="71" t="s">
        <v>11</v>
      </c>
      <c r="J104" s="62"/>
      <c r="K104" s="91"/>
      <c r="L104" s="62"/>
    </row>
    <row r="105" spans="1:12">
      <c r="A105" s="63" t="s">
        <v>110</v>
      </c>
      <c r="B105" s="59" t="s">
        <v>86</v>
      </c>
      <c r="C105" s="62" t="s">
        <v>111</v>
      </c>
      <c r="D105" s="16">
        <f t="shared" si="0"/>
        <v>3949525879</v>
      </c>
      <c r="E105" s="71"/>
      <c r="F105" s="71"/>
      <c r="G105" s="89"/>
      <c r="H105" s="71"/>
      <c r="I105" s="16">
        <f>I87-I96</f>
        <v>3949525879</v>
      </c>
      <c r="J105" s="62"/>
      <c r="K105" s="91"/>
      <c r="L105" s="62"/>
    </row>
    <row r="106" spans="1:12">
      <c r="A106" s="63" t="s">
        <v>112</v>
      </c>
      <c r="B106" s="60" t="s">
        <v>89</v>
      </c>
      <c r="C106" s="62"/>
      <c r="D106" s="16">
        <f t="shared" si="0"/>
        <v>353415407</v>
      </c>
      <c r="E106" s="71"/>
      <c r="F106" s="71"/>
      <c r="G106" s="89"/>
      <c r="H106" s="71"/>
      <c r="I106" s="16">
        <f>I88-I97</f>
        <v>353415407</v>
      </c>
      <c r="J106" s="62"/>
      <c r="K106" s="91"/>
      <c r="L106" s="62"/>
    </row>
    <row r="107" spans="1:12">
      <c r="A107" s="63">
        <v>15</v>
      </c>
      <c r="B107" s="59" t="s">
        <v>90</v>
      </c>
      <c r="C107" s="62" t="s">
        <v>113</v>
      </c>
      <c r="D107" s="16">
        <f t="shared" si="0"/>
        <v>0</v>
      </c>
      <c r="E107" s="71"/>
      <c r="F107" s="71"/>
      <c r="G107" s="90"/>
      <c r="H107" s="71"/>
      <c r="I107" s="71" t="s">
        <v>11</v>
      </c>
      <c r="J107" s="62"/>
      <c r="K107" s="91"/>
      <c r="L107" s="62"/>
    </row>
    <row r="108" spans="1:12">
      <c r="A108" s="63">
        <v>16</v>
      </c>
      <c r="B108" s="59" t="s">
        <v>114</v>
      </c>
      <c r="C108" s="62" t="s">
        <v>115</v>
      </c>
      <c r="D108" s="16">
        <f t="shared" si="0"/>
        <v>144021277</v>
      </c>
      <c r="E108" s="71"/>
      <c r="F108" s="71"/>
      <c r="G108" s="90"/>
      <c r="H108" s="71"/>
      <c r="I108" s="16">
        <f>I90-I99</f>
        <v>144021277</v>
      </c>
      <c r="J108" s="62"/>
      <c r="K108" s="91"/>
      <c r="L108" s="62"/>
    </row>
    <row r="109" spans="1:12" ht="16.2" thickBot="1">
      <c r="A109" s="63">
        <v>17</v>
      </c>
      <c r="B109" s="59" t="s">
        <v>95</v>
      </c>
      <c r="C109" s="62" t="s">
        <v>116</v>
      </c>
      <c r="D109" s="17">
        <f t="shared" si="0"/>
        <v>0</v>
      </c>
      <c r="E109" s="71"/>
      <c r="F109" s="71"/>
      <c r="G109" s="90"/>
      <c r="H109" s="71"/>
      <c r="I109" s="17">
        <f>I91-I100</f>
        <v>0</v>
      </c>
      <c r="J109" s="62"/>
      <c r="K109" s="91"/>
      <c r="L109" s="62"/>
    </row>
    <row r="110" spans="1:12">
      <c r="A110" s="63">
        <v>18</v>
      </c>
      <c r="B110" s="59" t="s">
        <v>117</v>
      </c>
      <c r="C110" s="62"/>
      <c r="D110" s="16">
        <f>SUM(D104:D109)</f>
        <v>4446962563</v>
      </c>
      <c r="E110" s="71"/>
      <c r="F110" s="71" t="s">
        <v>118</v>
      </c>
      <c r="G110" s="23">
        <f>IF(I110&gt;0,I110/D110,0)</f>
        <v>1</v>
      </c>
      <c r="H110" s="71"/>
      <c r="I110" s="16">
        <f>SUM(I104:I109)</f>
        <v>4446962563</v>
      </c>
      <c r="J110" s="62"/>
      <c r="K110" s="62"/>
      <c r="L110" s="73"/>
    </row>
    <row r="111" spans="1:12">
      <c r="A111" s="63"/>
      <c r="B111" s="58"/>
      <c r="C111" s="62"/>
      <c r="D111" s="58"/>
      <c r="E111" s="62"/>
      <c r="F111" s="58"/>
      <c r="G111" s="58"/>
      <c r="H111" s="62"/>
      <c r="I111" s="58"/>
      <c r="J111" s="62"/>
      <c r="K111" s="91"/>
      <c r="L111" s="62"/>
    </row>
    <row r="112" spans="1:12">
      <c r="A112" s="63"/>
      <c r="B112" s="59" t="s">
        <v>119</v>
      </c>
      <c r="C112" s="62"/>
      <c r="D112" s="62"/>
      <c r="E112" s="62"/>
      <c r="F112" s="62"/>
      <c r="G112" s="62"/>
      <c r="H112" s="62"/>
      <c r="I112" s="62"/>
      <c r="J112" s="62"/>
      <c r="K112" s="62"/>
      <c r="L112" s="62"/>
    </row>
    <row r="113" spans="1:12">
      <c r="A113" s="63">
        <v>19</v>
      </c>
      <c r="B113" s="59" t="s">
        <v>120</v>
      </c>
      <c r="C113" s="62" t="s">
        <v>121</v>
      </c>
      <c r="D113" s="40">
        <v>0</v>
      </c>
      <c r="E113" s="68"/>
      <c r="F113" s="68" t="s">
        <v>84</v>
      </c>
      <c r="G113" s="93" t="s">
        <v>122</v>
      </c>
      <c r="H113" s="71"/>
      <c r="I113" s="71">
        <v>0</v>
      </c>
      <c r="J113" s="62"/>
      <c r="K113" s="91"/>
      <c r="L113" s="91"/>
    </row>
    <row r="114" spans="1:12">
      <c r="A114" s="63">
        <v>20</v>
      </c>
      <c r="B114" s="59" t="s">
        <v>123</v>
      </c>
      <c r="C114" s="62" t="s">
        <v>124</v>
      </c>
      <c r="D114" s="47">
        <f>'Def. Tax Avg Calc'!K40</f>
        <v>-846883991</v>
      </c>
      <c r="E114" s="62"/>
      <c r="F114" s="62" t="s">
        <v>125</v>
      </c>
      <c r="G114" s="22">
        <f>+G110</f>
        <v>1</v>
      </c>
      <c r="H114" s="71"/>
      <c r="I114" s="16">
        <f>D114*G114</f>
        <v>-846883991</v>
      </c>
      <c r="J114" s="62"/>
      <c r="K114" s="91"/>
      <c r="L114" s="91"/>
    </row>
    <row r="115" spans="1:12">
      <c r="A115" s="63">
        <v>21</v>
      </c>
      <c r="B115" s="59" t="s">
        <v>126</v>
      </c>
      <c r="C115" s="62" t="s">
        <v>127</v>
      </c>
      <c r="D115" s="47">
        <f>'Def. Tax Avg Calc'!K58</f>
        <v>-3913662</v>
      </c>
      <c r="E115" s="62"/>
      <c r="F115" s="62" t="s">
        <v>125</v>
      </c>
      <c r="G115" s="22">
        <f>+G114</f>
        <v>1</v>
      </c>
      <c r="H115" s="71"/>
      <c r="I115" s="16">
        <f>D115*G115</f>
        <v>-3913662</v>
      </c>
      <c r="J115" s="62"/>
      <c r="K115" s="91"/>
      <c r="L115" s="91"/>
    </row>
    <row r="116" spans="1:12">
      <c r="A116" s="63">
        <v>22</v>
      </c>
      <c r="B116" s="59" t="s">
        <v>128</v>
      </c>
      <c r="C116" s="62" t="s">
        <v>129</v>
      </c>
      <c r="D116" s="46">
        <f>'Def. Tax Avg Calc'!K22</f>
        <v>16475332</v>
      </c>
      <c r="E116" s="62"/>
      <c r="F116" s="62" t="s">
        <v>125</v>
      </c>
      <c r="G116" s="22">
        <f>+G115</f>
        <v>1</v>
      </c>
      <c r="H116" s="71"/>
      <c r="I116" s="16">
        <f>D116*G116</f>
        <v>16475332</v>
      </c>
      <c r="J116" s="62"/>
      <c r="K116" s="91"/>
      <c r="L116" s="91"/>
    </row>
    <row r="117" spans="1:12" ht="16.2" thickBot="1">
      <c r="A117" s="63">
        <v>23</v>
      </c>
      <c r="B117" s="58" t="s">
        <v>130</v>
      </c>
      <c r="C117" s="58" t="s">
        <v>131</v>
      </c>
      <c r="D117" s="44">
        <v>0</v>
      </c>
      <c r="E117" s="62"/>
      <c r="F117" s="62" t="s">
        <v>125</v>
      </c>
      <c r="G117" s="22">
        <f>+G115</f>
        <v>1</v>
      </c>
      <c r="H117" s="71"/>
      <c r="I117" s="17">
        <f>D117*G117</f>
        <v>0</v>
      </c>
      <c r="J117" s="62"/>
      <c r="K117" s="91"/>
      <c r="L117" s="91"/>
    </row>
    <row r="118" spans="1:12">
      <c r="A118" s="63">
        <v>24</v>
      </c>
      <c r="B118" s="59" t="s">
        <v>132</v>
      </c>
      <c r="C118" s="62"/>
      <c r="D118" s="16">
        <f>SUM(D113:D117)</f>
        <v>-834322321</v>
      </c>
      <c r="E118" s="62"/>
      <c r="F118" s="62"/>
      <c r="G118" s="71"/>
      <c r="H118" s="71"/>
      <c r="I118" s="16">
        <f>SUM(I113:I117)</f>
        <v>-834322321</v>
      </c>
      <c r="J118" s="62"/>
      <c r="K118" s="62"/>
      <c r="L118" s="92"/>
    </row>
    <row r="119" spans="1:12">
      <c r="A119" s="63"/>
      <c r="B119" s="58"/>
      <c r="C119" s="62"/>
      <c r="D119" s="58"/>
      <c r="E119" s="62"/>
      <c r="F119" s="62"/>
      <c r="G119" s="91"/>
      <c r="H119" s="62"/>
      <c r="I119" s="58"/>
      <c r="J119" s="62"/>
      <c r="K119" s="91"/>
      <c r="L119" s="62"/>
    </row>
    <row r="120" spans="1:12">
      <c r="A120" s="63">
        <v>25</v>
      </c>
      <c r="B120" s="59" t="s">
        <v>133</v>
      </c>
      <c r="C120" s="94" t="s">
        <v>134</v>
      </c>
      <c r="D120" s="40">
        <v>14235503</v>
      </c>
      <c r="E120" s="62"/>
      <c r="F120" s="62" t="s">
        <v>26</v>
      </c>
      <c r="G120" s="22">
        <f>+G96</f>
        <v>1</v>
      </c>
      <c r="H120" s="71"/>
      <c r="I120" s="16">
        <f>+G120*D120</f>
        <v>14235503</v>
      </c>
      <c r="J120" s="62"/>
      <c r="K120" s="62"/>
      <c r="L120" s="62"/>
    </row>
    <row r="121" spans="1:12">
      <c r="A121" s="63"/>
      <c r="B121" s="59"/>
      <c r="C121" s="62"/>
      <c r="D121" s="62"/>
      <c r="E121" s="62"/>
      <c r="F121" s="62"/>
      <c r="G121" s="71"/>
      <c r="H121" s="71"/>
      <c r="I121" s="71"/>
      <c r="J121" s="62"/>
      <c r="K121" s="62"/>
      <c r="L121" s="62"/>
    </row>
    <row r="122" spans="1:12">
      <c r="A122" s="63"/>
      <c r="B122" s="59" t="s">
        <v>135</v>
      </c>
      <c r="C122" s="62" t="s">
        <v>11</v>
      </c>
      <c r="D122" s="62"/>
      <c r="E122" s="62"/>
      <c r="F122" s="62"/>
      <c r="G122" s="71"/>
      <c r="H122" s="71"/>
      <c r="I122" s="71"/>
      <c r="J122" s="62"/>
      <c r="K122" s="62"/>
      <c r="L122" s="62"/>
    </row>
    <row r="123" spans="1:12">
      <c r="A123" s="63">
        <v>26</v>
      </c>
      <c r="B123" s="59" t="s">
        <v>136</v>
      </c>
      <c r="C123" s="58" t="s">
        <v>137</v>
      </c>
      <c r="D123" s="8">
        <f>+D165/8</f>
        <v>20283349.75</v>
      </c>
      <c r="E123" s="68"/>
      <c r="F123" s="68"/>
      <c r="G123" s="95"/>
      <c r="H123" s="96"/>
      <c r="I123" s="27">
        <f>+I165/8</f>
        <v>18483443.041155312</v>
      </c>
      <c r="J123" s="61"/>
      <c r="K123" s="91"/>
      <c r="L123" s="97"/>
    </row>
    <row r="124" spans="1:12">
      <c r="A124" s="63">
        <v>27</v>
      </c>
      <c r="B124" s="59" t="s">
        <v>138</v>
      </c>
      <c r="C124" s="94" t="s">
        <v>139</v>
      </c>
      <c r="D124" s="40">
        <v>2946121</v>
      </c>
      <c r="E124" s="62"/>
      <c r="F124" s="62" t="s">
        <v>140</v>
      </c>
      <c r="G124" s="22">
        <f>I240</f>
        <v>0.88066290261745184</v>
      </c>
      <c r="H124" s="71"/>
      <c r="I124" s="16">
        <f>+G124*D124</f>
        <v>2594539.4713222296</v>
      </c>
      <c r="J124" s="62" t="s">
        <v>11</v>
      </c>
      <c r="K124" s="91"/>
      <c r="L124" s="97"/>
    </row>
    <row r="125" spans="1:12" ht="16.2" thickBot="1">
      <c r="A125" s="63">
        <v>28</v>
      </c>
      <c r="B125" s="59" t="s">
        <v>141</v>
      </c>
      <c r="C125" s="71" t="s">
        <v>142</v>
      </c>
      <c r="D125" s="44">
        <v>9981993</v>
      </c>
      <c r="E125" s="62"/>
      <c r="F125" s="62" t="s">
        <v>143</v>
      </c>
      <c r="G125" s="22">
        <f>+G92</f>
        <v>1</v>
      </c>
      <c r="H125" s="71"/>
      <c r="I125" s="17">
        <f>+G125*D125</f>
        <v>9981993</v>
      </c>
      <c r="J125" s="62"/>
      <c r="K125" s="91"/>
      <c r="L125" s="97"/>
    </row>
    <row r="126" spans="1:12">
      <c r="A126" s="63">
        <v>29</v>
      </c>
      <c r="B126" s="59" t="s">
        <v>144</v>
      </c>
      <c r="C126" s="61"/>
      <c r="D126" s="6">
        <f>SUM(D123:D125)</f>
        <v>33211463.75</v>
      </c>
      <c r="E126" s="61"/>
      <c r="F126" s="61"/>
      <c r="G126" s="98"/>
      <c r="H126" s="98"/>
      <c r="I126" s="16">
        <f>I123+I124+I125</f>
        <v>31059975.512477543</v>
      </c>
      <c r="J126" s="61"/>
      <c r="K126" s="61"/>
      <c r="L126" s="92"/>
    </row>
    <row r="127" spans="1:12" ht="16.2" thickBot="1">
      <c r="A127" s="58"/>
      <c r="B127" s="58"/>
      <c r="C127" s="62"/>
      <c r="D127" s="99"/>
      <c r="E127" s="62"/>
      <c r="F127" s="62"/>
      <c r="G127" s="62"/>
      <c r="H127" s="62"/>
      <c r="I127" s="99"/>
      <c r="J127" s="62"/>
      <c r="K127" s="62"/>
      <c r="L127" s="62"/>
    </row>
    <row r="128" spans="1:12" ht="16.2" thickBot="1">
      <c r="A128" s="63">
        <v>30</v>
      </c>
      <c r="B128" s="59" t="s">
        <v>145</v>
      </c>
      <c r="C128" s="62"/>
      <c r="D128" s="28">
        <f>+D126+D120+D118+D110</f>
        <v>3660087208.75</v>
      </c>
      <c r="E128" s="71"/>
      <c r="F128" s="71"/>
      <c r="G128" s="90"/>
      <c r="H128" s="71"/>
      <c r="I128" s="28">
        <f>+I126+I120+I118+I110</f>
        <v>3657935720.5124774</v>
      </c>
      <c r="J128" s="62"/>
      <c r="K128" s="91"/>
      <c r="L128" s="62"/>
    </row>
    <row r="129" spans="1:12" ht="16.2" thickTop="1">
      <c r="A129" s="63"/>
      <c r="B129" s="59"/>
      <c r="C129" s="62"/>
      <c r="D129" s="100"/>
      <c r="E129" s="71"/>
      <c r="F129" s="71"/>
      <c r="G129" s="90"/>
      <c r="H129" s="71"/>
      <c r="I129" s="100"/>
      <c r="J129" s="62"/>
      <c r="K129" s="91"/>
      <c r="L129" s="62"/>
    </row>
    <row r="130" spans="1:12">
      <c r="A130" s="63"/>
      <c r="B130" s="59"/>
      <c r="C130" s="62"/>
      <c r="D130" s="100"/>
      <c r="E130" s="71"/>
      <c r="F130" s="71"/>
      <c r="G130" s="90"/>
      <c r="H130" s="71"/>
      <c r="I130" s="100"/>
      <c r="J130" s="62"/>
      <c r="K130" s="91"/>
      <c r="L130" s="62"/>
    </row>
    <row r="131" spans="1:12">
      <c r="A131" s="63"/>
      <c r="B131" s="59"/>
      <c r="C131" s="62"/>
      <c r="D131" s="100"/>
      <c r="E131" s="71"/>
      <c r="F131" s="71"/>
      <c r="G131" s="90"/>
      <c r="H131" s="71"/>
      <c r="I131" s="100"/>
      <c r="J131" s="62"/>
      <c r="K131" s="91"/>
      <c r="L131" s="62"/>
    </row>
    <row r="132" spans="1:12">
      <c r="A132" s="63"/>
      <c r="B132" s="59"/>
      <c r="C132" s="62"/>
      <c r="D132" s="100"/>
      <c r="E132" s="71"/>
      <c r="F132" s="71"/>
      <c r="G132" s="90"/>
      <c r="H132" s="71"/>
      <c r="I132" s="100"/>
      <c r="J132" s="62"/>
      <c r="K132" s="91"/>
      <c r="L132" s="62"/>
    </row>
    <row r="133" spans="1:12">
      <c r="A133" s="63"/>
      <c r="B133" s="59"/>
      <c r="C133" s="62"/>
      <c r="D133" s="100"/>
      <c r="E133" s="71"/>
      <c r="F133" s="71"/>
      <c r="G133" s="90"/>
      <c r="H133" s="71"/>
      <c r="I133" s="100"/>
      <c r="J133" s="62"/>
      <c r="K133" s="91"/>
      <c r="L133" s="62"/>
    </row>
    <row r="134" spans="1:12">
      <c r="A134" s="63"/>
      <c r="B134" s="59"/>
      <c r="C134" s="62"/>
      <c r="D134" s="100"/>
      <c r="E134" s="71"/>
      <c r="F134" s="71"/>
      <c r="G134" s="90"/>
      <c r="H134" s="71"/>
      <c r="I134" s="100"/>
      <c r="J134" s="62"/>
      <c r="K134" s="91"/>
      <c r="L134" s="62"/>
    </row>
    <row r="135" spans="1:12">
      <c r="A135" s="63"/>
      <c r="B135" s="59"/>
      <c r="C135" s="62"/>
      <c r="D135" s="100"/>
      <c r="E135" s="71"/>
      <c r="F135" s="71"/>
      <c r="G135" s="90"/>
      <c r="H135" s="71"/>
      <c r="I135" s="100"/>
      <c r="J135" s="62"/>
      <c r="K135" s="91"/>
      <c r="L135" s="62"/>
    </row>
    <row r="136" spans="1:12">
      <c r="A136" s="63"/>
      <c r="B136" s="59"/>
      <c r="C136" s="62"/>
      <c r="D136" s="100"/>
      <c r="E136" s="71"/>
      <c r="F136" s="71"/>
      <c r="G136" s="90"/>
      <c r="H136" s="71"/>
      <c r="I136" s="100"/>
      <c r="J136" s="62"/>
      <c r="K136" s="91"/>
      <c r="L136" s="62"/>
    </row>
    <row r="137" spans="1:12">
      <c r="A137" s="63"/>
      <c r="B137" s="59"/>
      <c r="C137" s="62"/>
      <c r="D137" s="100"/>
      <c r="E137" s="71"/>
      <c r="F137" s="71"/>
      <c r="G137" s="90"/>
      <c r="H137" s="71"/>
      <c r="I137" s="100"/>
      <c r="J137" s="62"/>
      <c r="K137" s="91"/>
      <c r="L137" s="62"/>
    </row>
    <row r="138" spans="1:12">
      <c r="A138" s="63"/>
      <c r="B138" s="59"/>
      <c r="C138" s="62"/>
      <c r="D138" s="100"/>
      <c r="E138" s="71"/>
      <c r="F138" s="71"/>
      <c r="G138" s="90"/>
      <c r="H138" s="71"/>
      <c r="I138" s="100"/>
      <c r="J138" s="62"/>
      <c r="K138" s="91"/>
      <c r="L138" s="62"/>
    </row>
    <row r="139" spans="1:12">
      <c r="A139" s="63"/>
      <c r="B139" s="59"/>
      <c r="C139" s="62"/>
      <c r="D139" s="100"/>
      <c r="E139" s="71"/>
      <c r="F139" s="71"/>
      <c r="G139" s="90"/>
      <c r="H139" s="71"/>
      <c r="I139" s="100"/>
      <c r="J139" s="62"/>
      <c r="K139" s="91"/>
      <c r="L139" s="62"/>
    </row>
    <row r="140" spans="1:12">
      <c r="A140" s="63"/>
      <c r="B140" s="59"/>
      <c r="C140" s="62"/>
      <c r="D140" s="100"/>
      <c r="E140" s="71"/>
      <c r="F140" s="71"/>
      <c r="G140" s="90"/>
      <c r="H140" s="71"/>
      <c r="I140" s="100"/>
      <c r="J140" s="62"/>
      <c r="K140" s="91"/>
      <c r="L140" s="62"/>
    </row>
    <row r="141" spans="1:12">
      <c r="A141" s="63"/>
      <c r="B141" s="59"/>
      <c r="C141" s="62"/>
      <c r="D141" s="100"/>
      <c r="E141" s="71"/>
      <c r="F141" s="71"/>
      <c r="G141" s="90"/>
      <c r="H141" s="71"/>
      <c r="I141" s="100"/>
      <c r="J141" s="62"/>
      <c r="K141" s="91"/>
      <c r="L141" s="62"/>
    </row>
    <row r="142" spans="1:12">
      <c r="A142" s="63"/>
      <c r="B142" s="59"/>
      <c r="C142" s="62"/>
      <c r="D142" s="100"/>
      <c r="E142" s="71"/>
      <c r="F142" s="71"/>
      <c r="G142" s="90"/>
      <c r="H142" s="71"/>
      <c r="I142" s="100"/>
      <c r="J142" s="62"/>
      <c r="K142" s="91"/>
      <c r="L142" s="62"/>
    </row>
    <row r="143" spans="1:12">
      <c r="A143" s="63"/>
      <c r="B143" s="59"/>
      <c r="C143" s="62"/>
      <c r="D143" s="100"/>
      <c r="E143" s="71"/>
      <c r="F143" s="71"/>
      <c r="G143" s="90"/>
      <c r="H143" s="71"/>
      <c r="I143" s="100"/>
      <c r="J143" s="62"/>
      <c r="K143" s="91"/>
      <c r="L143" s="62"/>
    </row>
    <row r="144" spans="1:12">
      <c r="A144" s="63"/>
      <c r="B144" s="59"/>
      <c r="C144" s="62"/>
      <c r="D144" s="100"/>
      <c r="E144" s="71"/>
      <c r="F144" s="71"/>
      <c r="G144" s="90"/>
      <c r="H144" s="71"/>
      <c r="I144" s="100"/>
      <c r="J144" s="62"/>
      <c r="K144" s="91"/>
      <c r="L144" s="62"/>
    </row>
    <row r="145" spans="1:12">
      <c r="A145" s="63"/>
      <c r="B145" s="59"/>
      <c r="C145" s="62"/>
      <c r="D145" s="100"/>
      <c r="E145" s="71"/>
      <c r="F145" s="71"/>
      <c r="G145" s="90"/>
      <c r="H145" s="71"/>
      <c r="I145" s="100"/>
      <c r="J145" s="62"/>
      <c r="K145" s="91"/>
      <c r="L145" s="62"/>
    </row>
    <row r="146" spans="1:12">
      <c r="A146" s="63"/>
      <c r="B146" s="59"/>
      <c r="C146" s="62"/>
      <c r="D146" s="62"/>
      <c r="E146" s="62"/>
      <c r="F146" s="62"/>
      <c r="G146" s="62"/>
      <c r="H146" s="62"/>
      <c r="I146" s="62"/>
      <c r="J146" s="62"/>
      <c r="K146" s="728" t="s">
        <v>146</v>
      </c>
      <c r="L146" s="62"/>
    </row>
    <row r="147" spans="1:12">
      <c r="A147" s="63"/>
      <c r="B147" s="59"/>
      <c r="C147" s="62"/>
      <c r="D147" s="62"/>
      <c r="E147" s="62"/>
      <c r="F147" s="62"/>
      <c r="G147" s="62"/>
      <c r="H147" s="62"/>
      <c r="I147" s="62"/>
      <c r="J147" s="62"/>
      <c r="K147" s="728"/>
      <c r="L147" s="62"/>
    </row>
    <row r="148" spans="1:12">
      <c r="A148" s="63"/>
      <c r="B148" s="59" t="s">
        <v>8</v>
      </c>
      <c r="C148" s="62"/>
      <c r="D148" s="62" t="s">
        <v>9</v>
      </c>
      <c r="E148" s="62"/>
      <c r="F148" s="62"/>
      <c r="G148" s="62"/>
      <c r="H148" s="62"/>
      <c r="J148" s="62"/>
      <c r="K148" s="729" t="str">
        <f>K3</f>
        <v>For the 12 months ended 12/31/2018</v>
      </c>
      <c r="L148" s="62"/>
    </row>
    <row r="149" spans="1:12">
      <c r="A149" s="63"/>
      <c r="B149" s="59"/>
      <c r="C149" s="62"/>
      <c r="D149" s="62" t="s">
        <v>12</v>
      </c>
      <c r="E149" s="62"/>
      <c r="F149" s="62"/>
      <c r="G149" s="62"/>
      <c r="H149" s="62"/>
      <c r="I149" s="62"/>
      <c r="J149" s="62"/>
      <c r="K149" s="62"/>
      <c r="L149" s="62"/>
    </row>
    <row r="150" spans="1:12">
      <c r="A150" s="63"/>
      <c r="B150" s="58"/>
      <c r="C150" s="62"/>
      <c r="D150" s="62"/>
      <c r="E150" s="62"/>
      <c r="F150" s="62"/>
      <c r="G150" s="62"/>
      <c r="H150" s="62"/>
      <c r="I150" s="62"/>
      <c r="J150" s="62"/>
      <c r="K150" s="62"/>
      <c r="L150" s="62"/>
    </row>
    <row r="151" spans="1:12">
      <c r="A151" s="743" t="str">
        <f>A6</f>
        <v>American Transmission Company LLC</v>
      </c>
      <c r="B151" s="743"/>
      <c r="C151" s="743"/>
      <c r="D151" s="743"/>
      <c r="E151" s="743"/>
      <c r="F151" s="743"/>
      <c r="G151" s="743"/>
      <c r="H151" s="743"/>
      <c r="I151" s="743"/>
      <c r="J151" s="743"/>
      <c r="K151" s="743"/>
      <c r="L151" s="62"/>
    </row>
    <row r="152" spans="1:12">
      <c r="A152" s="63"/>
      <c r="B152" s="63" t="s">
        <v>69</v>
      </c>
      <c r="C152" s="63" t="s">
        <v>70</v>
      </c>
      <c r="D152" s="63" t="s">
        <v>71</v>
      </c>
      <c r="E152" s="62" t="s">
        <v>11</v>
      </c>
      <c r="F152" s="62"/>
      <c r="G152" s="82" t="s">
        <v>72</v>
      </c>
      <c r="H152" s="62"/>
      <c r="I152" s="736" t="s">
        <v>73</v>
      </c>
      <c r="J152" s="62"/>
      <c r="K152" s="62"/>
      <c r="L152" s="61"/>
    </row>
    <row r="153" spans="1:12">
      <c r="A153" s="63" t="s">
        <v>15</v>
      </c>
      <c r="B153" s="59"/>
      <c r="C153" s="83" t="s">
        <v>74</v>
      </c>
      <c r="D153" s="62"/>
      <c r="E153" s="62"/>
      <c r="F153" s="62"/>
      <c r="G153" s="63"/>
      <c r="H153" s="62"/>
      <c r="I153" s="84" t="s">
        <v>75</v>
      </c>
      <c r="J153" s="62"/>
      <c r="K153" s="84"/>
      <c r="L153" s="63"/>
    </row>
    <row r="154" spans="1:12" ht="16.2" thickBot="1">
      <c r="A154" s="66" t="s">
        <v>17</v>
      </c>
      <c r="B154" s="59"/>
      <c r="C154" s="85" t="s">
        <v>76</v>
      </c>
      <c r="D154" s="84" t="s">
        <v>77</v>
      </c>
      <c r="E154" s="86"/>
      <c r="F154" s="84" t="s">
        <v>78</v>
      </c>
      <c r="G154" s="58"/>
      <c r="H154" s="86"/>
      <c r="I154" s="63" t="s">
        <v>79</v>
      </c>
      <c r="J154" s="62"/>
      <c r="K154" s="84"/>
      <c r="L154" s="84"/>
    </row>
    <row r="155" spans="1:12">
      <c r="A155" s="63"/>
      <c r="B155" s="59" t="s">
        <v>147</v>
      </c>
      <c r="C155" s="62"/>
      <c r="D155" s="62"/>
      <c r="E155" s="62"/>
      <c r="F155" s="62"/>
      <c r="G155" s="62"/>
      <c r="H155" s="62"/>
      <c r="I155" s="62"/>
      <c r="J155" s="62"/>
      <c r="K155" s="62"/>
      <c r="L155" s="62"/>
    </row>
    <row r="156" spans="1:12">
      <c r="A156" s="63">
        <v>1</v>
      </c>
      <c r="B156" s="59" t="s">
        <v>148</v>
      </c>
      <c r="C156" s="62" t="s">
        <v>149</v>
      </c>
      <c r="D156" s="40">
        <v>120099209</v>
      </c>
      <c r="E156" s="62"/>
      <c r="F156" s="62" t="s">
        <v>140</v>
      </c>
      <c r="G156" s="22">
        <f>I240</f>
        <v>0.88066290261745184</v>
      </c>
      <c r="H156" s="71"/>
      <c r="I156" s="16">
        <f>+G156*D156</f>
        <v>105766918</v>
      </c>
      <c r="J156" s="61"/>
      <c r="K156" s="62"/>
      <c r="L156" s="62"/>
    </row>
    <row r="157" spans="1:12">
      <c r="A157" s="63" t="s">
        <v>150</v>
      </c>
      <c r="B157" s="101" t="s">
        <v>151</v>
      </c>
      <c r="C157" s="68"/>
      <c r="D157" s="40">
        <v>0</v>
      </c>
      <c r="E157" s="62"/>
      <c r="F157" s="102"/>
      <c r="G157" s="95">
        <v>1</v>
      </c>
      <c r="H157" s="71"/>
      <c r="I157" s="16">
        <f>+G157*D157</f>
        <v>0</v>
      </c>
      <c r="J157" s="61"/>
      <c r="K157" s="62"/>
      <c r="L157" s="62"/>
    </row>
    <row r="158" spans="1:12">
      <c r="A158" s="63">
        <v>2</v>
      </c>
      <c r="B158" s="59" t="s">
        <v>152</v>
      </c>
      <c r="C158" s="62" t="s">
        <v>153</v>
      </c>
      <c r="D158" s="40">
        <v>0</v>
      </c>
      <c r="E158" s="62"/>
      <c r="F158" s="62" t="s">
        <v>11</v>
      </c>
      <c r="G158" s="89">
        <v>1</v>
      </c>
      <c r="H158" s="71"/>
      <c r="I158" s="16">
        <f t="shared" ref="I158:I164" si="1">+G158*D158</f>
        <v>0</v>
      </c>
      <c r="J158" s="61"/>
      <c r="K158" s="62"/>
      <c r="L158" s="62"/>
    </row>
    <row r="159" spans="1:12">
      <c r="A159" s="63">
        <v>3</v>
      </c>
      <c r="B159" s="59" t="s">
        <v>154</v>
      </c>
      <c r="C159" s="62" t="s">
        <v>155</v>
      </c>
      <c r="D159" s="40">
        <v>42527063</v>
      </c>
      <c r="E159" s="62"/>
      <c r="F159" s="62" t="s">
        <v>94</v>
      </c>
      <c r="G159" s="22">
        <f>+G99</f>
        <v>1</v>
      </c>
      <c r="H159" s="71"/>
      <c r="I159" s="16">
        <f t="shared" si="1"/>
        <v>42527063</v>
      </c>
      <c r="J159" s="62"/>
      <c r="K159" s="62" t="s">
        <v>11</v>
      </c>
      <c r="L159" s="62"/>
    </row>
    <row r="160" spans="1:12">
      <c r="A160" s="63">
        <v>4</v>
      </c>
      <c r="B160" s="59" t="s">
        <v>156</v>
      </c>
      <c r="C160" s="62"/>
      <c r="D160" s="45">
        <v>0</v>
      </c>
      <c r="E160" s="62"/>
      <c r="F160" s="62" t="s">
        <v>94</v>
      </c>
      <c r="G160" s="22">
        <f>+G159</f>
        <v>1</v>
      </c>
      <c r="H160" s="71"/>
      <c r="I160" s="16">
        <f t="shared" si="1"/>
        <v>0</v>
      </c>
      <c r="J160" s="62"/>
      <c r="K160" s="62"/>
      <c r="L160" s="62"/>
    </row>
    <row r="161" spans="1:12">
      <c r="A161" s="63">
        <v>5</v>
      </c>
      <c r="B161" s="101" t="s">
        <v>157</v>
      </c>
      <c r="C161" s="68"/>
      <c r="D161" s="40">
        <v>920596</v>
      </c>
      <c r="E161" s="62"/>
      <c r="F161" s="62" t="s">
        <v>94</v>
      </c>
      <c r="G161" s="22">
        <f>+G160</f>
        <v>1</v>
      </c>
      <c r="H161" s="71"/>
      <c r="I161" s="16">
        <f t="shared" si="1"/>
        <v>920596</v>
      </c>
      <c r="J161" s="62"/>
      <c r="K161" s="62"/>
      <c r="L161" s="62"/>
    </row>
    <row r="162" spans="1:12">
      <c r="A162" s="63" t="s">
        <v>158</v>
      </c>
      <c r="B162" s="101" t="s">
        <v>159</v>
      </c>
      <c r="C162" s="68"/>
      <c r="D162" s="40">
        <v>561122</v>
      </c>
      <c r="E162" s="62"/>
      <c r="F162" s="103" t="s">
        <v>140</v>
      </c>
      <c r="G162" s="26">
        <f>+G156</f>
        <v>0.88066290261745184</v>
      </c>
      <c r="H162" s="71"/>
      <c r="I162" s="16">
        <f>+G162*D162</f>
        <v>494159.32924250979</v>
      </c>
      <c r="J162" s="62"/>
      <c r="K162" s="62"/>
      <c r="L162" s="62"/>
    </row>
    <row r="163" spans="1:12">
      <c r="A163" s="63">
        <v>6</v>
      </c>
      <c r="B163" s="59" t="s">
        <v>95</v>
      </c>
      <c r="C163" s="62" t="s">
        <v>96</v>
      </c>
      <c r="D163" s="40">
        <v>0</v>
      </c>
      <c r="E163" s="62"/>
      <c r="F163" s="62" t="s">
        <v>97</v>
      </c>
      <c r="G163" s="22">
        <f>+G100</f>
        <v>1</v>
      </c>
      <c r="H163" s="71"/>
      <c r="I163" s="16">
        <f t="shared" si="1"/>
        <v>0</v>
      </c>
      <c r="J163" s="62"/>
      <c r="K163" s="62"/>
      <c r="L163" s="62"/>
    </row>
    <row r="164" spans="1:12" ht="16.2" thickBot="1">
      <c r="A164" s="63">
        <v>7</v>
      </c>
      <c r="B164" s="59" t="s">
        <v>160</v>
      </c>
      <c r="C164" s="62"/>
      <c r="D164" s="44">
        <v>0</v>
      </c>
      <c r="E164" s="62"/>
      <c r="F164" s="62" t="s">
        <v>11</v>
      </c>
      <c r="G164" s="89">
        <v>1</v>
      </c>
      <c r="H164" s="71"/>
      <c r="I164" s="17">
        <f t="shared" si="1"/>
        <v>0</v>
      </c>
      <c r="J164" s="62"/>
      <c r="K164" s="62"/>
      <c r="L164" s="62"/>
    </row>
    <row r="165" spans="1:12">
      <c r="A165" s="63">
        <v>8</v>
      </c>
      <c r="B165" s="59" t="s">
        <v>161</v>
      </c>
      <c r="C165" s="62"/>
      <c r="D165" s="6">
        <f>D156+D159+D162+D163+D164-D158-D160-D161-D157</f>
        <v>162266798</v>
      </c>
      <c r="E165" s="62"/>
      <c r="F165" s="62"/>
      <c r="G165" s="71"/>
      <c r="H165" s="71"/>
      <c r="I165" s="16">
        <f>+I156-I158+I159-I160-I161+I163+I164+I162-I157</f>
        <v>147867544.3292425</v>
      </c>
      <c r="J165" s="62"/>
      <c r="K165" s="62"/>
      <c r="L165" s="92"/>
    </row>
    <row r="166" spans="1:12">
      <c r="A166" s="63"/>
      <c r="B166" s="58"/>
      <c r="C166" s="62"/>
      <c r="D166" s="58"/>
      <c r="E166" s="62"/>
      <c r="F166" s="62"/>
      <c r="G166" s="62"/>
      <c r="H166" s="62"/>
      <c r="I166" s="58"/>
      <c r="J166" s="62"/>
      <c r="K166" s="62"/>
      <c r="L166" s="62"/>
    </row>
    <row r="167" spans="1:12">
      <c r="A167" s="63"/>
      <c r="B167" s="59" t="s">
        <v>162</v>
      </c>
      <c r="C167" s="62"/>
      <c r="D167" s="62"/>
      <c r="E167" s="62"/>
      <c r="F167" s="62"/>
      <c r="G167" s="62"/>
      <c r="H167" s="62"/>
      <c r="I167" s="62"/>
      <c r="J167" s="62"/>
      <c r="K167" s="62"/>
      <c r="L167" s="62"/>
    </row>
    <row r="168" spans="1:12">
      <c r="A168" s="63">
        <v>9</v>
      </c>
      <c r="B168" s="59" t="s">
        <v>86</v>
      </c>
      <c r="C168" s="94" t="s">
        <v>163</v>
      </c>
      <c r="D168" s="40">
        <v>150503477</v>
      </c>
      <c r="E168" s="62"/>
      <c r="F168" s="62" t="s">
        <v>26</v>
      </c>
      <c r="G168" s="22">
        <f>+G120</f>
        <v>1</v>
      </c>
      <c r="H168" s="71"/>
      <c r="I168" s="16">
        <f>+G168*D168</f>
        <v>150503477</v>
      </c>
      <c r="J168" s="62"/>
      <c r="K168" s="91"/>
      <c r="L168" s="62"/>
    </row>
    <row r="169" spans="1:12">
      <c r="A169" s="63">
        <v>10</v>
      </c>
      <c r="B169" s="104" t="s">
        <v>92</v>
      </c>
      <c r="C169" s="94" t="s">
        <v>164</v>
      </c>
      <c r="D169" s="40">
        <v>16219952</v>
      </c>
      <c r="E169" s="62"/>
      <c r="F169" s="62" t="s">
        <v>94</v>
      </c>
      <c r="G169" s="22">
        <f>+G159</f>
        <v>1</v>
      </c>
      <c r="H169" s="71"/>
      <c r="I169" s="16">
        <f>+G169*D169</f>
        <v>16219952</v>
      </c>
      <c r="J169" s="62"/>
      <c r="K169" s="91"/>
      <c r="L169" s="62"/>
    </row>
    <row r="170" spans="1:12" ht="16.2" thickBot="1">
      <c r="A170" s="63">
        <v>11</v>
      </c>
      <c r="B170" s="59" t="s">
        <v>95</v>
      </c>
      <c r="C170" s="94" t="s">
        <v>165</v>
      </c>
      <c r="D170" s="44">
        <v>0</v>
      </c>
      <c r="E170" s="62"/>
      <c r="F170" s="62" t="s">
        <v>97</v>
      </c>
      <c r="G170" s="22">
        <f>+G163</f>
        <v>1</v>
      </c>
      <c r="H170" s="71"/>
      <c r="I170" s="17">
        <f>+G170*D170</f>
        <v>0</v>
      </c>
      <c r="J170" s="62"/>
      <c r="K170" s="91"/>
      <c r="L170" s="62"/>
    </row>
    <row r="171" spans="1:12">
      <c r="A171" s="63">
        <v>12</v>
      </c>
      <c r="B171" s="59" t="s">
        <v>166</v>
      </c>
      <c r="C171" s="62"/>
      <c r="D171" s="6">
        <f>SUM(D168:D170)</f>
        <v>166723429</v>
      </c>
      <c r="E171" s="62"/>
      <c r="F171" s="62"/>
      <c r="G171" s="71"/>
      <c r="H171" s="71"/>
      <c r="I171" s="16">
        <f>SUM(I168:I170)</f>
        <v>166723429</v>
      </c>
      <c r="J171" s="62"/>
      <c r="K171" s="62"/>
      <c r="L171" s="62"/>
    </row>
    <row r="172" spans="1:12">
      <c r="A172" s="63"/>
      <c r="B172" s="59"/>
      <c r="C172" s="62"/>
      <c r="D172" s="62"/>
      <c r="E172" s="62"/>
      <c r="F172" s="62"/>
      <c r="G172" s="71"/>
      <c r="H172" s="71"/>
      <c r="I172" s="71"/>
      <c r="J172" s="62"/>
      <c r="K172" s="62"/>
      <c r="L172" s="62"/>
    </row>
    <row r="173" spans="1:12">
      <c r="A173" s="63" t="s">
        <v>11</v>
      </c>
      <c r="B173" s="59" t="s">
        <v>167</v>
      </c>
      <c r="C173" s="58"/>
      <c r="D173" s="62"/>
      <c r="E173" s="62"/>
      <c r="F173" s="62"/>
      <c r="G173" s="71"/>
      <c r="H173" s="71"/>
      <c r="I173" s="71"/>
      <c r="J173" s="62"/>
      <c r="K173" s="62"/>
      <c r="L173" s="62"/>
    </row>
    <row r="174" spans="1:12">
      <c r="A174" s="63"/>
      <c r="B174" s="59" t="s">
        <v>168</v>
      </c>
      <c r="C174" s="58"/>
      <c r="D174" s="58"/>
      <c r="E174" s="62"/>
      <c r="F174" s="62"/>
      <c r="G174" s="105"/>
      <c r="H174" s="71"/>
      <c r="I174" s="105"/>
      <c r="J174" s="62"/>
      <c r="K174" s="91"/>
      <c r="L174" s="97"/>
    </row>
    <row r="175" spans="1:12">
      <c r="A175" s="63">
        <v>13</v>
      </c>
      <c r="B175" s="59" t="s">
        <v>169</v>
      </c>
      <c r="C175" s="62" t="s">
        <v>170</v>
      </c>
      <c r="D175" s="40">
        <v>3899685</v>
      </c>
      <c r="E175" s="62"/>
      <c r="F175" s="62" t="s">
        <v>94</v>
      </c>
      <c r="G175" s="15">
        <f>+G169</f>
        <v>1</v>
      </c>
      <c r="H175" s="71"/>
      <c r="I175" s="16">
        <f>+G175*D175</f>
        <v>3899685</v>
      </c>
      <c r="J175" s="62"/>
      <c r="K175" s="91"/>
      <c r="L175" s="97"/>
    </row>
    <row r="176" spans="1:12">
      <c r="A176" s="63">
        <v>14</v>
      </c>
      <c r="B176" s="59" t="s">
        <v>171</v>
      </c>
      <c r="C176" s="62" t="s">
        <v>170</v>
      </c>
      <c r="D176" s="40">
        <v>0</v>
      </c>
      <c r="E176" s="62"/>
      <c r="F176" s="62" t="s">
        <v>94</v>
      </c>
      <c r="G176" s="15">
        <f>+G175</f>
        <v>1</v>
      </c>
      <c r="H176" s="71"/>
      <c r="I176" s="16">
        <f>+G176*D176</f>
        <v>0</v>
      </c>
      <c r="J176" s="62"/>
      <c r="K176" s="91"/>
      <c r="L176" s="97"/>
    </row>
    <row r="177" spans="1:12">
      <c r="A177" s="63">
        <v>15</v>
      </c>
      <c r="B177" s="59" t="s">
        <v>172</v>
      </c>
      <c r="C177" s="62" t="s">
        <v>11</v>
      </c>
      <c r="D177" s="58"/>
      <c r="E177" s="62"/>
      <c r="F177" s="62"/>
      <c r="G177" s="105"/>
      <c r="H177" s="71"/>
      <c r="I177" s="105"/>
      <c r="J177" s="62"/>
      <c r="K177" s="91"/>
      <c r="L177" s="97"/>
    </row>
    <row r="178" spans="1:12">
      <c r="A178" s="63">
        <v>16</v>
      </c>
      <c r="B178" s="59" t="s">
        <v>173</v>
      </c>
      <c r="C178" s="62" t="s">
        <v>170</v>
      </c>
      <c r="D178" s="40">
        <v>16264416</v>
      </c>
      <c r="E178" s="62"/>
      <c r="F178" s="62" t="s">
        <v>143</v>
      </c>
      <c r="G178" s="15">
        <f>+G92</f>
        <v>1</v>
      </c>
      <c r="H178" s="71"/>
      <c r="I178" s="16">
        <f>+G178*D178</f>
        <v>16264416</v>
      </c>
      <c r="J178" s="62"/>
      <c r="K178" s="91"/>
      <c r="L178" s="97"/>
    </row>
    <row r="179" spans="1:12">
      <c r="A179" s="63">
        <v>17</v>
      </c>
      <c r="B179" s="59" t="s">
        <v>174</v>
      </c>
      <c r="C179" s="62" t="s">
        <v>170</v>
      </c>
      <c r="D179" s="40">
        <v>0</v>
      </c>
      <c r="E179" s="62"/>
      <c r="F179" s="68" t="s">
        <v>84</v>
      </c>
      <c r="G179" s="106" t="s">
        <v>122</v>
      </c>
      <c r="H179" s="71"/>
      <c r="I179" s="71">
        <v>0</v>
      </c>
      <c r="J179" s="62"/>
      <c r="K179" s="91"/>
      <c r="L179" s="97"/>
    </row>
    <row r="180" spans="1:12">
      <c r="A180" s="63">
        <v>18</v>
      </c>
      <c r="B180" s="59" t="s">
        <v>175</v>
      </c>
      <c r="C180" s="62" t="s">
        <v>170</v>
      </c>
      <c r="D180" s="40">
        <v>7733282</v>
      </c>
      <c r="E180" s="62"/>
      <c r="F180" s="62" t="s">
        <v>143</v>
      </c>
      <c r="G180" s="15">
        <f>+G178</f>
        <v>1</v>
      </c>
      <c r="H180" s="71"/>
      <c r="I180" s="16">
        <f>+G180*D180</f>
        <v>7733282</v>
      </c>
      <c r="J180" s="62"/>
      <c r="K180" s="91"/>
      <c r="L180" s="97"/>
    </row>
    <row r="181" spans="1:12" ht="16.2" thickBot="1">
      <c r="A181" s="63">
        <v>19</v>
      </c>
      <c r="B181" s="59" t="s">
        <v>176</v>
      </c>
      <c r="C181" s="62"/>
      <c r="D181" s="44"/>
      <c r="E181" s="62"/>
      <c r="F181" s="62" t="s">
        <v>143</v>
      </c>
      <c r="G181" s="15">
        <f>+G178</f>
        <v>1</v>
      </c>
      <c r="H181" s="71"/>
      <c r="I181" s="17">
        <f>+G181*D181</f>
        <v>0</v>
      </c>
      <c r="J181" s="62"/>
      <c r="K181" s="91"/>
      <c r="L181" s="97"/>
    </row>
    <row r="182" spans="1:12">
      <c r="A182" s="63">
        <v>20</v>
      </c>
      <c r="B182" s="59" t="s">
        <v>177</v>
      </c>
      <c r="C182" s="62"/>
      <c r="D182" s="6">
        <f>SUM(D175:D181)</f>
        <v>27897383</v>
      </c>
      <c r="E182" s="62"/>
      <c r="F182" s="62"/>
      <c r="G182" s="70"/>
      <c r="H182" s="71"/>
      <c r="I182" s="16">
        <f>SUM(I175:I181)</f>
        <v>27897383</v>
      </c>
      <c r="J182" s="62"/>
      <c r="K182" s="62"/>
      <c r="L182" s="92"/>
    </row>
    <row r="183" spans="1:12">
      <c r="A183" s="63"/>
      <c r="B183" s="59"/>
      <c r="C183" s="62"/>
      <c r="D183" s="62"/>
      <c r="E183" s="62"/>
      <c r="F183" s="62"/>
      <c r="G183" s="74"/>
      <c r="H183" s="62"/>
      <c r="I183" s="62"/>
      <c r="J183" s="62"/>
      <c r="K183" s="62"/>
      <c r="L183" s="92"/>
    </row>
    <row r="184" spans="1:12">
      <c r="A184" s="63" t="s">
        <v>11</v>
      </c>
      <c r="B184" s="59" t="s">
        <v>178</v>
      </c>
      <c r="C184" s="62" t="s">
        <v>179</v>
      </c>
      <c r="D184" s="62"/>
      <c r="E184" s="62"/>
      <c r="F184" s="58"/>
      <c r="G184" s="107"/>
      <c r="H184" s="62"/>
      <c r="I184" s="58"/>
      <c r="J184" s="62"/>
      <c r="K184" s="58"/>
      <c r="L184" s="62"/>
    </row>
    <row r="185" spans="1:12">
      <c r="A185" s="63">
        <v>21</v>
      </c>
      <c r="B185" s="108" t="s">
        <v>180</v>
      </c>
      <c r="C185" s="62"/>
      <c r="D185" s="30">
        <f>IF(D312&gt;0,(1-((1-D313)*(1-D312))/(1-D313*D312*D314))*(1-D315),0)</f>
        <v>0.24431730016980788</v>
      </c>
      <c r="E185" s="62"/>
      <c r="F185" s="58"/>
      <c r="G185" s="107"/>
      <c r="H185" s="62"/>
      <c r="I185" s="58"/>
      <c r="J185" s="62"/>
      <c r="K185" s="58"/>
      <c r="L185" s="62"/>
    </row>
    <row r="186" spans="1:12">
      <c r="A186" s="63">
        <v>22</v>
      </c>
      <c r="B186" s="58" t="s">
        <v>181</v>
      </c>
      <c r="C186" s="62"/>
      <c r="D186" s="30">
        <f>IF(I271&gt;0,(D185/(1-D185))*(1-I268/I271),0)</f>
        <v>0.22675014811199459</v>
      </c>
      <c r="E186" s="62"/>
      <c r="F186" s="58"/>
      <c r="G186" s="107"/>
      <c r="H186" s="62"/>
      <c r="I186" s="58"/>
      <c r="J186" s="62"/>
      <c r="K186" s="58"/>
      <c r="L186" s="62"/>
    </row>
    <row r="187" spans="1:12">
      <c r="A187" s="63"/>
      <c r="B187" s="59" t="s">
        <v>182</v>
      </c>
      <c r="C187" s="62"/>
      <c r="D187" s="62"/>
      <c r="E187" s="62"/>
      <c r="F187" s="58"/>
      <c r="G187" s="107"/>
      <c r="H187" s="62"/>
      <c r="I187" s="58"/>
      <c r="J187" s="62"/>
      <c r="K187" s="58"/>
      <c r="L187" s="62"/>
    </row>
    <row r="188" spans="1:12">
      <c r="A188" s="63"/>
      <c r="B188" s="59" t="s">
        <v>183</v>
      </c>
      <c r="C188" s="62"/>
      <c r="D188" s="62"/>
      <c r="E188" s="62"/>
      <c r="F188" s="58"/>
      <c r="G188" s="107"/>
      <c r="H188" s="62"/>
      <c r="I188" s="58"/>
      <c r="J188" s="62"/>
      <c r="K188" s="58"/>
      <c r="L188" s="62"/>
    </row>
    <row r="189" spans="1:12">
      <c r="A189" s="63">
        <v>23</v>
      </c>
      <c r="B189" s="108" t="s">
        <v>184</v>
      </c>
      <c r="C189" s="62"/>
      <c r="D189" s="31">
        <f>IF(D185&gt;0,1/(1-D185),0)</f>
        <v>1.323306726784546</v>
      </c>
      <c r="E189" s="62"/>
      <c r="F189" s="58"/>
      <c r="G189" s="107"/>
      <c r="H189" s="62"/>
      <c r="I189" s="58"/>
      <c r="J189" s="62"/>
      <c r="K189" s="58"/>
      <c r="L189" s="62"/>
    </row>
    <row r="190" spans="1:12">
      <c r="A190" s="63">
        <v>24</v>
      </c>
      <c r="B190" s="59" t="s">
        <v>185</v>
      </c>
      <c r="C190" s="62"/>
      <c r="D190" s="45">
        <v>-119336</v>
      </c>
      <c r="E190" s="62"/>
      <c r="F190" s="58"/>
      <c r="G190" s="107"/>
      <c r="H190" s="62"/>
      <c r="I190" s="58"/>
      <c r="J190" s="62"/>
      <c r="K190" s="58"/>
      <c r="L190" s="62"/>
    </row>
    <row r="191" spans="1:12">
      <c r="A191" s="63" t="s">
        <v>186</v>
      </c>
      <c r="B191" s="59" t="s">
        <v>187</v>
      </c>
      <c r="C191" s="62"/>
      <c r="D191" s="45">
        <f>-ROUND('Excess Deferreds'!F42,0)</f>
        <v>-4349634</v>
      </c>
      <c r="E191" s="62"/>
      <c r="F191" s="58"/>
      <c r="G191" s="109"/>
      <c r="H191" s="62"/>
      <c r="I191" s="58"/>
      <c r="J191" s="62"/>
      <c r="K191" s="58"/>
      <c r="L191" s="62"/>
    </row>
    <row r="192" spans="1:12">
      <c r="A192" s="63" t="s">
        <v>188</v>
      </c>
      <c r="B192" s="59" t="s">
        <v>189</v>
      </c>
      <c r="C192" s="62"/>
      <c r="D192" s="45">
        <f>ROUND(Permanent!B17,0)</f>
        <v>196111</v>
      </c>
      <c r="E192" s="62"/>
      <c r="F192" s="58"/>
      <c r="G192" s="107"/>
      <c r="H192" s="62"/>
      <c r="I192" s="58"/>
      <c r="J192" s="62"/>
      <c r="K192" s="58"/>
      <c r="L192" s="62"/>
    </row>
    <row r="193" spans="1:12">
      <c r="A193" s="63">
        <v>25</v>
      </c>
      <c r="B193" s="108" t="s">
        <v>190</v>
      </c>
      <c r="C193" s="110"/>
      <c r="D193" s="16">
        <f>D186*D199</f>
        <v>64018197.10269586</v>
      </c>
      <c r="E193" s="71"/>
      <c r="F193" s="71" t="s">
        <v>84</v>
      </c>
      <c r="G193" s="70"/>
      <c r="H193" s="71"/>
      <c r="I193" s="16">
        <f>D186*I199</f>
        <v>63980565.65016529</v>
      </c>
      <c r="J193" s="62"/>
      <c r="K193" s="730" t="s">
        <v>11</v>
      </c>
      <c r="L193" s="62"/>
    </row>
    <row r="194" spans="1:12">
      <c r="A194" s="63">
        <v>26</v>
      </c>
      <c r="B194" s="58" t="s">
        <v>191</v>
      </c>
      <c r="C194" s="110"/>
      <c r="D194" s="29">
        <f>D189*D190</f>
        <v>-157918.13154756057</v>
      </c>
      <c r="E194" s="71"/>
      <c r="F194" s="105" t="s">
        <v>125</v>
      </c>
      <c r="G194" s="15">
        <f>G110</f>
        <v>1</v>
      </c>
      <c r="H194" s="71"/>
      <c r="I194" s="29">
        <f>G194*D194</f>
        <v>-157918.13154756057</v>
      </c>
      <c r="J194" s="62"/>
      <c r="K194" s="730"/>
      <c r="L194" s="62"/>
    </row>
    <row r="195" spans="1:12">
      <c r="A195" s="63" t="s">
        <v>192</v>
      </c>
      <c r="B195" s="58" t="s">
        <v>193</v>
      </c>
      <c r="C195" s="110"/>
      <c r="D195" s="29">
        <f>D189*D191</f>
        <v>-5755899.9312507715</v>
      </c>
      <c r="E195" s="71"/>
      <c r="F195" s="105" t="s">
        <v>125</v>
      </c>
      <c r="G195" s="15">
        <f>G194</f>
        <v>1</v>
      </c>
      <c r="H195" s="71"/>
      <c r="I195" s="29">
        <f>G195*D195</f>
        <v>-5755899.9312507715</v>
      </c>
      <c r="J195" s="62"/>
      <c r="K195" s="730"/>
      <c r="L195" s="62"/>
    </row>
    <row r="196" spans="1:12" ht="16.2" thickBot="1">
      <c r="A196" s="63" t="s">
        <v>194</v>
      </c>
      <c r="B196" s="58" t="s">
        <v>195</v>
      </c>
      <c r="C196" s="110"/>
      <c r="D196" s="17">
        <f>D189*D192</f>
        <v>259515.00549644409</v>
      </c>
      <c r="E196" s="71"/>
      <c r="F196" s="105" t="s">
        <v>125</v>
      </c>
      <c r="G196" s="15">
        <f>G195</f>
        <v>1</v>
      </c>
      <c r="H196" s="71"/>
      <c r="I196" s="17">
        <f>G196*D196</f>
        <v>259515.00549644409</v>
      </c>
      <c r="J196" s="62"/>
      <c r="K196" s="730"/>
      <c r="L196" s="62"/>
    </row>
    <row r="197" spans="1:12">
      <c r="A197" s="63">
        <v>27</v>
      </c>
      <c r="B197" s="108" t="s">
        <v>196</v>
      </c>
      <c r="C197" s="58"/>
      <c r="D197" s="32">
        <f>SUM(D193:D196)</f>
        <v>58363894.045393966</v>
      </c>
      <c r="E197" s="71"/>
      <c r="F197" s="71" t="s">
        <v>11</v>
      </c>
      <c r="G197" s="70" t="s">
        <v>11</v>
      </c>
      <c r="H197" s="71"/>
      <c r="I197" s="32">
        <f>SUM(I193:I196)</f>
        <v>58326262.592863396</v>
      </c>
      <c r="J197" s="62"/>
      <c r="K197" s="62"/>
      <c r="L197" s="62"/>
    </row>
    <row r="198" spans="1:12">
      <c r="A198" s="63" t="s">
        <v>11</v>
      </c>
      <c r="B198" s="58"/>
      <c r="C198" s="111"/>
      <c r="D198" s="731"/>
      <c r="E198" s="62"/>
      <c r="F198" s="62"/>
      <c r="G198" s="74"/>
      <c r="H198" s="62"/>
      <c r="I198" s="731"/>
      <c r="J198" s="62"/>
      <c r="K198" s="62"/>
      <c r="L198" s="62"/>
    </row>
    <row r="199" spans="1:12">
      <c r="A199" s="63">
        <v>28</v>
      </c>
      <c r="B199" s="59" t="s">
        <v>197</v>
      </c>
      <c r="C199" s="91"/>
      <c r="D199" s="16">
        <f>+$I271*D128</f>
        <v>282329240.51311541</v>
      </c>
      <c r="E199" s="71"/>
      <c r="F199" s="71" t="s">
        <v>84</v>
      </c>
      <c r="G199" s="112"/>
      <c r="H199" s="71"/>
      <c r="I199" s="16">
        <f>+$I271*I128</f>
        <v>282163280.5221566</v>
      </c>
      <c r="J199" s="62"/>
      <c r="K199" s="58"/>
      <c r="L199" s="62"/>
    </row>
    <row r="200" spans="1:12">
      <c r="A200" s="63"/>
      <c r="B200" s="108" t="s">
        <v>198</v>
      </c>
      <c r="C200" s="58"/>
      <c r="D200" s="71"/>
      <c r="E200" s="71"/>
      <c r="F200" s="71"/>
      <c r="G200" s="112"/>
      <c r="H200" s="71"/>
      <c r="I200" s="71"/>
      <c r="J200" s="62"/>
      <c r="K200" s="91"/>
      <c r="L200" s="62"/>
    </row>
    <row r="201" spans="1:12">
      <c r="A201" s="63"/>
      <c r="B201" s="59"/>
      <c r="C201" s="58"/>
      <c r="D201" s="100"/>
      <c r="E201" s="71"/>
      <c r="F201" s="71"/>
      <c r="G201" s="112"/>
      <c r="H201" s="71"/>
      <c r="I201" s="100"/>
      <c r="J201" s="62"/>
      <c r="K201" s="91"/>
      <c r="L201" s="62"/>
    </row>
    <row r="202" spans="1:12">
      <c r="A202" s="63">
        <v>29</v>
      </c>
      <c r="B202" s="59" t="s">
        <v>199</v>
      </c>
      <c r="C202" s="62"/>
      <c r="D202" s="29">
        <f>+D199+D197+D182+D171+D165</f>
        <v>697580744.55850935</v>
      </c>
      <c r="E202" s="71"/>
      <c r="F202" s="71"/>
      <c r="G202" s="71"/>
      <c r="H202" s="71"/>
      <c r="I202" s="29">
        <f>+I199+I197+I182+I171+I165</f>
        <v>682977899.4442625</v>
      </c>
      <c r="J202" s="61"/>
      <c r="K202" s="61"/>
      <c r="L202" s="61"/>
    </row>
    <row r="203" spans="1:12">
      <c r="A203" s="63"/>
      <c r="B203" s="59"/>
      <c r="C203" s="62"/>
      <c r="D203" s="100"/>
      <c r="E203" s="71"/>
      <c r="F203" s="71"/>
      <c r="G203" s="71"/>
      <c r="H203" s="71"/>
      <c r="I203" s="100"/>
      <c r="J203" s="61"/>
      <c r="K203" s="61"/>
      <c r="L203" s="61"/>
    </row>
    <row r="204" spans="1:12">
      <c r="A204" s="113">
        <v>30</v>
      </c>
      <c r="B204" s="114" t="s">
        <v>200</v>
      </c>
      <c r="C204" s="71"/>
      <c r="D204" s="115"/>
      <c r="E204" s="116"/>
      <c r="F204" s="116"/>
      <c r="G204" s="116"/>
      <c r="H204" s="116"/>
      <c r="I204" s="115"/>
      <c r="J204" s="61"/>
      <c r="K204" s="61"/>
      <c r="L204" s="61"/>
    </row>
    <row r="205" spans="1:12">
      <c r="A205" s="113"/>
      <c r="B205" s="744" t="s">
        <v>201</v>
      </c>
      <c r="C205" s="744"/>
      <c r="D205" s="117"/>
      <c r="E205" s="117"/>
      <c r="F205" s="117"/>
      <c r="G205" s="117"/>
      <c r="H205" s="117"/>
      <c r="I205" s="117"/>
      <c r="J205" s="61"/>
      <c r="K205" s="61"/>
      <c r="L205" s="61"/>
    </row>
    <row r="206" spans="1:12">
      <c r="A206" s="113"/>
      <c r="B206" s="114" t="s">
        <v>202</v>
      </c>
      <c r="C206" s="71"/>
      <c r="D206" s="48">
        <f>'ATC Attach GG ER15-123'!M101</f>
        <v>99673447.216751233</v>
      </c>
      <c r="E206" s="71"/>
      <c r="F206" s="71"/>
      <c r="G206" s="71"/>
      <c r="H206" s="71"/>
      <c r="I206" s="174">
        <f>D206</f>
        <v>99673447.216751233</v>
      </c>
      <c r="J206" s="61"/>
      <c r="K206" s="61"/>
      <c r="L206" s="61"/>
    </row>
    <row r="207" spans="1:12">
      <c r="A207" s="63"/>
      <c r="B207" s="59"/>
      <c r="C207" s="62"/>
      <c r="D207" s="100"/>
      <c r="E207" s="71"/>
      <c r="F207" s="71"/>
      <c r="G207" s="71"/>
      <c r="H207" s="71"/>
      <c r="I207" s="100"/>
      <c r="J207" s="61"/>
      <c r="K207" s="61"/>
      <c r="L207" s="61"/>
    </row>
    <row r="208" spans="1:12" s="117" customFormat="1" ht="15.75" customHeight="1">
      <c r="A208" s="113" t="s">
        <v>203</v>
      </c>
      <c r="B208" s="114" t="s">
        <v>204</v>
      </c>
      <c r="C208" s="71"/>
      <c r="D208" s="115"/>
      <c r="E208" s="116"/>
      <c r="F208" s="116"/>
      <c r="G208" s="116"/>
      <c r="H208" s="116"/>
      <c r="I208" s="115"/>
      <c r="J208" s="118"/>
      <c r="K208" s="119"/>
    </row>
    <row r="209" spans="1:12" s="117" customFormat="1">
      <c r="A209" s="113"/>
      <c r="B209" s="744" t="s">
        <v>201</v>
      </c>
      <c r="C209" s="744"/>
      <c r="J209" s="118"/>
      <c r="K209" s="119"/>
    </row>
    <row r="210" spans="1:12" s="117" customFormat="1" ht="16.2" thickBot="1">
      <c r="A210" s="113"/>
      <c r="B210" s="114" t="s">
        <v>205</v>
      </c>
      <c r="C210" s="71"/>
      <c r="D210" s="49">
        <f>'Attach MM ER15-123'!Q101</f>
        <v>31584674.621370677</v>
      </c>
      <c r="E210" s="71"/>
      <c r="F210" s="71"/>
      <c r="G210" s="71"/>
      <c r="H210" s="71"/>
      <c r="I210" s="175">
        <f>D210</f>
        <v>31584674.621370677</v>
      </c>
      <c r="J210" s="118"/>
      <c r="K210" s="119"/>
    </row>
    <row r="211" spans="1:12" s="117" customFormat="1" ht="16.2" thickBot="1">
      <c r="A211" s="113">
        <v>31</v>
      </c>
      <c r="B211" s="105" t="s">
        <v>206</v>
      </c>
      <c r="C211" s="116"/>
      <c r="D211" s="28">
        <f>+D202-D206-D210</f>
        <v>566322622.72038746</v>
      </c>
      <c r="E211" s="71"/>
      <c r="F211" s="71"/>
      <c r="G211" s="71"/>
      <c r="H211" s="71"/>
      <c r="I211" s="28">
        <f>+I202-I206-I210</f>
        <v>551719777.60614061</v>
      </c>
      <c r="J211" s="118"/>
      <c r="K211" s="119"/>
    </row>
    <row r="212" spans="1:12" s="117" customFormat="1" ht="16.2" thickTop="1">
      <c r="A212" s="113"/>
      <c r="B212" s="114" t="s">
        <v>207</v>
      </c>
      <c r="C212" s="116"/>
      <c r="D212" s="115"/>
      <c r="E212" s="116"/>
      <c r="F212" s="116"/>
      <c r="G212" s="116"/>
      <c r="H212" s="116"/>
      <c r="I212" s="115"/>
      <c r="J212" s="118"/>
      <c r="K212" s="119"/>
    </row>
    <row r="213" spans="1:12">
      <c r="A213" s="63"/>
      <c r="B213" s="59"/>
      <c r="C213" s="62"/>
      <c r="D213" s="100"/>
      <c r="E213" s="71"/>
      <c r="F213" s="71"/>
      <c r="G213" s="90"/>
      <c r="H213" s="71"/>
      <c r="I213" s="100"/>
      <c r="J213" s="62"/>
      <c r="K213" s="91"/>
      <c r="L213" s="62"/>
    </row>
    <row r="214" spans="1:12">
      <c r="A214" s="63"/>
      <c r="B214" s="59"/>
      <c r="C214" s="62"/>
      <c r="D214" s="100"/>
      <c r="E214" s="71"/>
      <c r="F214" s="71"/>
      <c r="G214" s="90"/>
      <c r="H214" s="71"/>
      <c r="I214" s="100"/>
      <c r="J214" s="62"/>
      <c r="K214" s="91"/>
      <c r="L214" s="62"/>
    </row>
    <row r="215" spans="1:12">
      <c r="A215" s="63"/>
      <c r="B215" s="59"/>
      <c r="C215" s="62"/>
      <c r="D215" s="100"/>
      <c r="E215" s="71"/>
      <c r="F215" s="71"/>
      <c r="G215" s="90"/>
      <c r="H215" s="71"/>
      <c r="I215" s="100"/>
      <c r="J215" s="62"/>
      <c r="K215" s="91"/>
      <c r="L215" s="62"/>
    </row>
    <row r="216" spans="1:12">
      <c r="A216" s="63"/>
      <c r="B216" s="58"/>
      <c r="C216" s="58"/>
      <c r="D216" s="58"/>
      <c r="E216" s="58"/>
      <c r="F216" s="58"/>
      <c r="G216" s="58"/>
      <c r="H216" s="58"/>
      <c r="I216" s="58"/>
      <c r="J216" s="62"/>
      <c r="K216" s="728" t="s">
        <v>208</v>
      </c>
      <c r="L216" s="62"/>
    </row>
    <row r="217" spans="1:12">
      <c r="A217" s="63"/>
      <c r="B217" s="58"/>
      <c r="C217" s="58"/>
      <c r="D217" s="58"/>
      <c r="E217" s="58"/>
      <c r="F217" s="58"/>
      <c r="G217" s="58"/>
      <c r="H217" s="58"/>
      <c r="I217" s="58"/>
      <c r="J217" s="62"/>
      <c r="K217" s="62"/>
      <c r="L217" s="62"/>
    </row>
    <row r="218" spans="1:12">
      <c r="A218" s="63"/>
      <c r="B218" s="59" t="s">
        <v>8</v>
      </c>
      <c r="C218" s="58"/>
      <c r="D218" s="58" t="s">
        <v>9</v>
      </c>
      <c r="E218" s="58"/>
      <c r="F218" s="58"/>
      <c r="G218" s="58"/>
      <c r="H218" s="58"/>
      <c r="J218" s="62"/>
      <c r="K218" s="732" t="str">
        <f>K3</f>
        <v>For the 12 months ended 12/31/2018</v>
      </c>
      <c r="L218" s="62"/>
    </row>
    <row r="219" spans="1:12">
      <c r="A219" s="63"/>
      <c r="B219" s="59"/>
      <c r="C219" s="58"/>
      <c r="D219" s="58" t="s">
        <v>12</v>
      </c>
      <c r="E219" s="58"/>
      <c r="F219" s="58"/>
      <c r="G219" s="58"/>
      <c r="H219" s="58"/>
      <c r="I219" s="58"/>
      <c r="J219" s="62"/>
      <c r="K219" s="62"/>
      <c r="L219" s="62"/>
    </row>
    <row r="220" spans="1:12">
      <c r="A220" s="63"/>
      <c r="B220" s="58"/>
      <c r="C220" s="58"/>
      <c r="D220" s="58"/>
      <c r="E220" s="58"/>
      <c r="F220" s="58"/>
      <c r="G220" s="58"/>
      <c r="H220" s="58"/>
      <c r="I220" s="58"/>
      <c r="J220" s="62"/>
      <c r="K220" s="62"/>
      <c r="L220" s="62"/>
    </row>
    <row r="221" spans="1:12">
      <c r="A221" s="743" t="str">
        <f>A6</f>
        <v>American Transmission Company LLC</v>
      </c>
      <c r="B221" s="743"/>
      <c r="C221" s="743"/>
      <c r="D221" s="743"/>
      <c r="E221" s="743"/>
      <c r="F221" s="743"/>
      <c r="G221" s="743"/>
      <c r="H221" s="743"/>
      <c r="I221" s="743"/>
      <c r="J221" s="743"/>
      <c r="K221" s="743"/>
      <c r="L221" s="62"/>
    </row>
    <row r="222" spans="1:12">
      <c r="A222" s="63"/>
      <c r="B222" s="58"/>
      <c r="C222" s="59"/>
      <c r="D222" s="59"/>
      <c r="E222" s="59"/>
      <c r="F222" s="59"/>
      <c r="G222" s="59"/>
      <c r="H222" s="59"/>
      <c r="I222" s="59"/>
      <c r="J222" s="59"/>
      <c r="K222" s="59"/>
      <c r="L222" s="59"/>
    </row>
    <row r="223" spans="1:12">
      <c r="A223" s="63"/>
      <c r="B223" s="58"/>
      <c r="C223" s="87" t="s">
        <v>209</v>
      </c>
      <c r="D223" s="58"/>
      <c r="E223" s="61"/>
      <c r="F223" s="61"/>
      <c r="G223" s="61"/>
      <c r="H223" s="61"/>
      <c r="I223" s="61"/>
      <c r="J223" s="62"/>
      <c r="K223" s="62"/>
      <c r="L223" s="61"/>
    </row>
    <row r="224" spans="1:12">
      <c r="A224" s="63" t="s">
        <v>15</v>
      </c>
      <c r="B224" s="87"/>
      <c r="C224" s="61"/>
      <c r="D224" s="61"/>
      <c r="E224" s="61"/>
      <c r="F224" s="61"/>
      <c r="G224" s="61"/>
      <c r="H224" s="61"/>
      <c r="I224" s="61"/>
      <c r="J224" s="62"/>
      <c r="K224" s="62"/>
      <c r="L224" s="61"/>
    </row>
    <row r="225" spans="1:12" ht="16.2" thickBot="1">
      <c r="A225" s="66" t="s">
        <v>17</v>
      </c>
      <c r="B225" s="101" t="s">
        <v>210</v>
      </c>
      <c r="C225" s="75"/>
      <c r="D225" s="75"/>
      <c r="E225" s="75"/>
      <c r="F225" s="75"/>
      <c r="G225" s="75"/>
      <c r="H225" s="120"/>
      <c r="I225" s="120"/>
      <c r="J225" s="68"/>
      <c r="K225" s="62"/>
      <c r="L225" s="61"/>
    </row>
    <row r="226" spans="1:12">
      <c r="A226" s="63">
        <v>1</v>
      </c>
      <c r="B226" s="75" t="s">
        <v>211</v>
      </c>
      <c r="C226" s="75"/>
      <c r="D226" s="68"/>
      <c r="E226" s="68"/>
      <c r="F226" s="68"/>
      <c r="G226" s="68"/>
      <c r="H226" s="68"/>
      <c r="I226" s="27">
        <f>D87</f>
        <v>5419815851</v>
      </c>
      <c r="J226" s="68"/>
      <c r="K226" s="62"/>
      <c r="L226" s="61"/>
    </row>
    <row r="227" spans="1:12">
      <c r="A227" s="63">
        <v>2</v>
      </c>
      <c r="B227" s="75" t="s">
        <v>212</v>
      </c>
      <c r="C227" s="120"/>
      <c r="D227" s="120"/>
      <c r="E227" s="120"/>
      <c r="F227" s="120"/>
      <c r="G227" s="120"/>
      <c r="H227" s="120"/>
      <c r="I227" s="40">
        <v>0</v>
      </c>
      <c r="J227" s="68"/>
      <c r="K227" s="62"/>
      <c r="L227" s="61"/>
    </row>
    <row r="228" spans="1:12" ht="16.2" thickBot="1">
      <c r="A228" s="63">
        <v>3</v>
      </c>
      <c r="B228" s="121" t="s">
        <v>213</v>
      </c>
      <c r="C228" s="121"/>
      <c r="E228" s="68"/>
      <c r="F228" s="68"/>
      <c r="G228" s="122"/>
      <c r="H228" s="68"/>
      <c r="I228" s="44">
        <v>0</v>
      </c>
      <c r="J228" s="68"/>
      <c r="K228" s="62"/>
      <c r="L228" s="61"/>
    </row>
    <row r="229" spans="1:12">
      <c r="A229" s="63">
        <v>4</v>
      </c>
      <c r="B229" s="75" t="s">
        <v>214</v>
      </c>
      <c r="C229" s="75"/>
      <c r="D229" s="68"/>
      <c r="E229" s="68"/>
      <c r="F229" s="68"/>
      <c r="G229" s="122"/>
      <c r="H229" s="68"/>
      <c r="I229" s="27">
        <f>I226-I227-I228</f>
        <v>5419815851</v>
      </c>
      <c r="J229" s="68"/>
      <c r="K229" s="62"/>
      <c r="L229" s="61"/>
    </row>
    <row r="230" spans="1:12" ht="11.25" customHeight="1">
      <c r="A230" s="63"/>
      <c r="B230" s="120"/>
      <c r="C230" s="75"/>
      <c r="D230" s="68"/>
      <c r="E230" s="68"/>
      <c r="F230" s="68"/>
      <c r="G230" s="122"/>
      <c r="H230" s="68"/>
      <c r="I230" s="120"/>
      <c r="J230" s="68"/>
      <c r="K230" s="62"/>
      <c r="L230" s="61"/>
    </row>
    <row r="231" spans="1:12">
      <c r="A231" s="63">
        <v>5</v>
      </c>
      <c r="B231" s="75" t="s">
        <v>215</v>
      </c>
      <c r="C231" s="123"/>
      <c r="D231" s="124"/>
      <c r="E231" s="124"/>
      <c r="F231" s="124"/>
      <c r="G231" s="125"/>
      <c r="H231" s="68" t="s">
        <v>216</v>
      </c>
      <c r="I231" s="25">
        <f>IF(I226&gt;0,I229/I226,0)</f>
        <v>1</v>
      </c>
      <c r="J231" s="68"/>
      <c r="K231" s="62"/>
      <c r="L231" s="61"/>
    </row>
    <row r="232" spans="1:12" ht="11.25" customHeight="1">
      <c r="A232" s="63"/>
      <c r="B232" s="120"/>
      <c r="C232" s="120"/>
      <c r="D232" s="120"/>
      <c r="E232" s="120"/>
      <c r="F232" s="120"/>
      <c r="G232" s="120"/>
      <c r="H232" s="120"/>
      <c r="I232" s="120"/>
      <c r="J232" s="68"/>
      <c r="K232" s="62"/>
      <c r="L232" s="61"/>
    </row>
    <row r="233" spans="1:12">
      <c r="A233" s="63"/>
      <c r="B233" s="101" t="s">
        <v>217</v>
      </c>
      <c r="C233" s="120"/>
      <c r="D233" s="120"/>
      <c r="E233" s="120"/>
      <c r="F233" s="120"/>
      <c r="G233" s="120"/>
      <c r="H233" s="120"/>
      <c r="I233" s="120"/>
      <c r="J233" s="68"/>
      <c r="K233" s="62"/>
      <c r="L233" s="61"/>
    </row>
    <row r="234" spans="1:12">
      <c r="A234" s="63">
        <v>6</v>
      </c>
      <c r="B234" s="120" t="s">
        <v>218</v>
      </c>
      <c r="C234" s="126"/>
      <c r="D234" s="75"/>
      <c r="E234" s="75"/>
      <c r="F234" s="75"/>
      <c r="G234" s="127"/>
      <c r="H234" s="75"/>
      <c r="I234" s="27">
        <f>D156</f>
        <v>120099209</v>
      </c>
      <c r="J234" s="68"/>
      <c r="K234" s="62"/>
      <c r="L234" s="62"/>
    </row>
    <row r="235" spans="1:12" ht="16.2" thickBot="1">
      <c r="A235" s="63">
        <v>7</v>
      </c>
      <c r="B235" s="121" t="s">
        <v>219</v>
      </c>
      <c r="C235" s="121"/>
      <c r="E235" s="128"/>
      <c r="F235" s="68"/>
      <c r="G235" s="68"/>
      <c r="H235" s="68"/>
      <c r="I235" s="44">
        <f>'ATC Sch1 - True-Up Adj 2018'!G20</f>
        <v>14332291</v>
      </c>
      <c r="J235" s="68"/>
      <c r="K235" s="62"/>
      <c r="L235" s="62"/>
    </row>
    <row r="236" spans="1:12">
      <c r="A236" s="63">
        <v>8</v>
      </c>
      <c r="B236" s="75" t="s">
        <v>220</v>
      </c>
      <c r="C236" s="123"/>
      <c r="D236" s="124"/>
      <c r="E236" s="124"/>
      <c r="F236" s="124"/>
      <c r="G236" s="125"/>
      <c r="H236" s="124"/>
      <c r="I236" s="27">
        <f>+I234-I235</f>
        <v>105766918</v>
      </c>
      <c r="J236" s="120"/>
      <c r="K236" s="58"/>
      <c r="L236" s="62"/>
    </row>
    <row r="237" spans="1:12" ht="11.25" customHeight="1">
      <c r="A237" s="63"/>
      <c r="B237" s="75"/>
      <c r="C237" s="75"/>
      <c r="D237" s="68"/>
      <c r="E237" s="68"/>
      <c r="F237" s="68"/>
      <c r="G237" s="68"/>
      <c r="H237" s="120"/>
      <c r="I237" s="120"/>
      <c r="J237" s="120"/>
      <c r="K237" s="58"/>
      <c r="L237" s="62"/>
    </row>
    <row r="238" spans="1:12">
      <c r="A238" s="63">
        <v>9</v>
      </c>
      <c r="B238" s="75" t="s">
        <v>221</v>
      </c>
      <c r="C238" s="75"/>
      <c r="D238" s="68"/>
      <c r="E238" s="68"/>
      <c r="F238" s="68"/>
      <c r="G238" s="68"/>
      <c r="H238" s="68"/>
      <c r="I238" s="26">
        <f>IF(I234&gt;0,I236/I234,0)</f>
        <v>0.88066290261745184</v>
      </c>
      <c r="J238" s="120"/>
      <c r="K238" s="58"/>
      <c r="L238" s="62"/>
    </row>
    <row r="239" spans="1:12">
      <c r="A239" s="63">
        <v>10</v>
      </c>
      <c r="B239" s="75" t="s">
        <v>222</v>
      </c>
      <c r="C239" s="75"/>
      <c r="D239" s="68"/>
      <c r="E239" s="68"/>
      <c r="F239" s="68"/>
      <c r="G239" s="68"/>
      <c r="H239" s="75" t="s">
        <v>26</v>
      </c>
      <c r="I239" s="34">
        <f>I231</f>
        <v>1</v>
      </c>
      <c r="J239" s="120"/>
      <c r="K239" s="58"/>
      <c r="L239" s="62"/>
    </row>
    <row r="240" spans="1:12">
      <c r="A240" s="63">
        <v>11</v>
      </c>
      <c r="B240" s="75" t="s">
        <v>223</v>
      </c>
      <c r="C240" s="75"/>
      <c r="D240" s="75"/>
      <c r="E240" s="75"/>
      <c r="F240" s="75"/>
      <c r="G240" s="75"/>
      <c r="H240" s="75" t="s">
        <v>224</v>
      </c>
      <c r="I240" s="35">
        <f>+I239*I238</f>
        <v>0.88066290261745184</v>
      </c>
      <c r="J240" s="120"/>
      <c r="K240" s="58"/>
      <c r="L240" s="62"/>
    </row>
    <row r="241" spans="1:12" ht="11.25" customHeight="1">
      <c r="A241" s="63"/>
      <c r="B241" s="58"/>
      <c r="C241" s="58"/>
      <c r="D241" s="58"/>
      <c r="E241" s="58"/>
      <c r="F241" s="58"/>
      <c r="G241" s="58"/>
      <c r="H241" s="58"/>
      <c r="I241" s="58"/>
      <c r="J241" s="58"/>
      <c r="K241" s="58"/>
      <c r="L241" s="62"/>
    </row>
    <row r="242" spans="1:12">
      <c r="A242" s="63" t="s">
        <v>11</v>
      </c>
      <c r="B242" s="59" t="s">
        <v>225</v>
      </c>
      <c r="C242" s="62"/>
      <c r="D242" s="62"/>
      <c r="E242" s="62"/>
      <c r="F242" s="62"/>
      <c r="G242" s="62"/>
      <c r="H242" s="62"/>
      <c r="I242" s="62"/>
      <c r="J242" s="62"/>
      <c r="K242" s="62"/>
      <c r="L242" s="62"/>
    </row>
    <row r="243" spans="1:12" ht="16.2" thickBot="1">
      <c r="A243" s="63" t="s">
        <v>11</v>
      </c>
      <c r="B243" s="59"/>
      <c r="C243" s="129" t="s">
        <v>226</v>
      </c>
      <c r="D243" s="130" t="s">
        <v>227</v>
      </c>
      <c r="E243" s="130" t="s">
        <v>26</v>
      </c>
      <c r="F243" s="62"/>
      <c r="G243" s="130" t="s">
        <v>228</v>
      </c>
      <c r="H243" s="62"/>
      <c r="I243" s="62"/>
      <c r="J243" s="62"/>
      <c r="K243" s="62"/>
      <c r="L243" s="62"/>
    </row>
    <row r="244" spans="1:12">
      <c r="A244" s="63">
        <v>12</v>
      </c>
      <c r="B244" s="59" t="s">
        <v>82</v>
      </c>
      <c r="C244" s="62" t="s">
        <v>229</v>
      </c>
      <c r="D244" s="40">
        <v>0</v>
      </c>
      <c r="E244" s="131">
        <v>0</v>
      </c>
      <c r="F244" s="131"/>
      <c r="G244" s="16">
        <f>D244*E244</f>
        <v>0</v>
      </c>
      <c r="H244" s="71"/>
      <c r="I244" s="71"/>
      <c r="J244" s="62"/>
      <c r="K244" s="62"/>
      <c r="L244" s="62"/>
    </row>
    <row r="245" spans="1:12">
      <c r="A245" s="63">
        <v>13</v>
      </c>
      <c r="B245" s="59" t="s">
        <v>230</v>
      </c>
      <c r="C245" s="62" t="s">
        <v>231</v>
      </c>
      <c r="D245" s="40">
        <v>66590591</v>
      </c>
      <c r="E245" s="36">
        <f>+I231</f>
        <v>1</v>
      </c>
      <c r="F245" s="131"/>
      <c r="G245" s="16">
        <f>D245*E245</f>
        <v>66590591</v>
      </c>
      <c r="H245" s="71"/>
      <c r="I245" s="71"/>
      <c r="J245" s="62"/>
      <c r="K245" s="62"/>
      <c r="L245" s="62"/>
    </row>
    <row r="246" spans="1:12">
      <c r="A246" s="63">
        <v>14</v>
      </c>
      <c r="B246" s="59" t="s">
        <v>90</v>
      </c>
      <c r="C246" s="62" t="s">
        <v>232</v>
      </c>
      <c r="D246" s="40">
        <v>0</v>
      </c>
      <c r="E246" s="131">
        <v>0</v>
      </c>
      <c r="F246" s="131"/>
      <c r="G246" s="16">
        <f>D246*E246</f>
        <v>0</v>
      </c>
      <c r="H246" s="71"/>
      <c r="I246" s="132" t="s">
        <v>233</v>
      </c>
      <c r="J246" s="62"/>
      <c r="K246" s="62"/>
      <c r="L246" s="62"/>
    </row>
    <row r="247" spans="1:12" ht="16.2" thickBot="1">
      <c r="A247" s="63">
        <v>15</v>
      </c>
      <c r="B247" s="59" t="s">
        <v>234</v>
      </c>
      <c r="C247" s="62" t="s">
        <v>235</v>
      </c>
      <c r="D247" s="44">
        <v>0</v>
      </c>
      <c r="E247" s="131">
        <v>0</v>
      </c>
      <c r="F247" s="131"/>
      <c r="G247" s="17">
        <f>D247*E247</f>
        <v>0</v>
      </c>
      <c r="H247" s="71"/>
      <c r="I247" s="133" t="s">
        <v>236</v>
      </c>
      <c r="J247" s="62"/>
      <c r="K247" s="62"/>
      <c r="L247" s="62"/>
    </row>
    <row r="248" spans="1:12">
      <c r="A248" s="63">
        <v>16</v>
      </c>
      <c r="B248" s="59" t="s">
        <v>237</v>
      </c>
      <c r="C248" s="62"/>
      <c r="D248" s="16">
        <f>SUM(D244:D247)</f>
        <v>66590591</v>
      </c>
      <c r="E248" s="62"/>
      <c r="F248" s="62"/>
      <c r="G248" s="16">
        <f>SUM(G244:G247)</f>
        <v>66590591</v>
      </c>
      <c r="H248" s="113" t="s">
        <v>238</v>
      </c>
      <c r="I248" s="22">
        <f>IF(G248&gt;0,G248/D248,0)</f>
        <v>1</v>
      </c>
      <c r="J248" s="97" t="s">
        <v>238</v>
      </c>
      <c r="K248" s="62" t="s">
        <v>239</v>
      </c>
      <c r="L248" s="62"/>
    </row>
    <row r="249" spans="1:12">
      <c r="A249" s="63" t="s">
        <v>11</v>
      </c>
      <c r="B249" s="59" t="s">
        <v>11</v>
      </c>
      <c r="C249" s="62" t="s">
        <v>11</v>
      </c>
      <c r="D249" s="58"/>
      <c r="E249" s="62"/>
      <c r="F249" s="62"/>
      <c r="G249" s="58"/>
      <c r="H249" s="58"/>
      <c r="I249" s="58"/>
      <c r="J249" s="58"/>
      <c r="K249" s="62"/>
      <c r="L249" s="62"/>
    </row>
    <row r="250" spans="1:12">
      <c r="A250" s="63"/>
      <c r="B250" s="59" t="s">
        <v>240</v>
      </c>
      <c r="C250" s="62"/>
      <c r="D250" s="83" t="s">
        <v>227</v>
      </c>
      <c r="E250" s="62"/>
      <c r="F250" s="62"/>
      <c r="G250" s="97" t="s">
        <v>241</v>
      </c>
      <c r="H250" s="107"/>
      <c r="I250" s="91" t="s">
        <v>233</v>
      </c>
      <c r="J250" s="62"/>
      <c r="K250" s="62"/>
      <c r="L250" s="62"/>
    </row>
    <row r="251" spans="1:12">
      <c r="A251" s="63">
        <v>17</v>
      </c>
      <c r="B251" s="59" t="s">
        <v>242</v>
      </c>
      <c r="C251" s="62" t="s">
        <v>243</v>
      </c>
      <c r="D251" s="40">
        <v>5205019876</v>
      </c>
      <c r="E251" s="62"/>
      <c r="F251" s="58"/>
      <c r="G251" s="63" t="s">
        <v>244</v>
      </c>
      <c r="H251" s="107"/>
      <c r="I251" s="63" t="s">
        <v>245</v>
      </c>
      <c r="J251" s="62"/>
      <c r="K251" s="63" t="s">
        <v>97</v>
      </c>
      <c r="L251" s="62"/>
    </row>
    <row r="252" spans="1:12">
      <c r="A252" s="63">
        <v>18</v>
      </c>
      <c r="B252" s="59" t="s">
        <v>246</v>
      </c>
      <c r="C252" s="62" t="s">
        <v>247</v>
      </c>
      <c r="D252" s="40">
        <v>0</v>
      </c>
      <c r="E252" s="62"/>
      <c r="F252" s="58"/>
      <c r="G252" s="15">
        <f>IF(D254&gt;0,D251/D254,0)</f>
        <v>1</v>
      </c>
      <c r="H252" s="97" t="s">
        <v>248</v>
      </c>
      <c r="I252" s="18">
        <f>I248</f>
        <v>1</v>
      </c>
      <c r="J252" s="107" t="s">
        <v>238</v>
      </c>
      <c r="K252" s="15">
        <f>I252*G252</f>
        <v>1</v>
      </c>
      <c r="L252" s="62"/>
    </row>
    <row r="253" spans="1:12" ht="16.2" thickBot="1">
      <c r="A253" s="63">
        <v>19</v>
      </c>
      <c r="B253" s="134" t="s">
        <v>249</v>
      </c>
      <c r="C253" s="129" t="s">
        <v>250</v>
      </c>
      <c r="D253" s="44">
        <v>0</v>
      </c>
      <c r="E253" s="62"/>
      <c r="F253" s="62"/>
      <c r="G253" s="62" t="s">
        <v>11</v>
      </c>
      <c r="H253" s="62"/>
      <c r="I253" s="62"/>
      <c r="J253" s="62"/>
      <c r="K253" s="62"/>
      <c r="L253" s="62"/>
    </row>
    <row r="254" spans="1:12">
      <c r="A254" s="63">
        <v>20</v>
      </c>
      <c r="B254" s="59" t="s">
        <v>251</v>
      </c>
      <c r="C254" s="62"/>
      <c r="D254" s="16">
        <f>D251+D252+D253</f>
        <v>5205019876</v>
      </c>
      <c r="E254" s="62"/>
      <c r="F254" s="62"/>
      <c r="G254" s="62"/>
      <c r="H254" s="62"/>
      <c r="I254" s="62"/>
      <c r="J254" s="62"/>
      <c r="K254" s="62"/>
      <c r="L254" s="62"/>
    </row>
    <row r="255" spans="1:12" ht="11.25" customHeight="1">
      <c r="A255" s="63"/>
      <c r="B255" s="59"/>
      <c r="C255" s="62"/>
      <c r="D255" s="58"/>
      <c r="E255" s="62"/>
      <c r="F255" s="62"/>
      <c r="G255" s="62"/>
      <c r="H255" s="62"/>
      <c r="I255" s="62"/>
      <c r="J255" s="62"/>
      <c r="K255" s="62"/>
      <c r="L255" s="62"/>
    </row>
    <row r="256" spans="1:12" ht="16.2" thickBot="1">
      <c r="A256" s="63"/>
      <c r="B256" s="59" t="s">
        <v>252</v>
      </c>
      <c r="C256" s="62"/>
      <c r="D256" s="62"/>
      <c r="E256" s="62"/>
      <c r="F256" s="62"/>
      <c r="G256" s="62"/>
      <c r="H256" s="62"/>
      <c r="I256" s="130" t="s">
        <v>227</v>
      </c>
      <c r="J256" s="62"/>
      <c r="K256" s="62"/>
      <c r="L256" s="62"/>
    </row>
    <row r="257" spans="1:17">
      <c r="A257" s="63">
        <v>21</v>
      </c>
      <c r="B257" s="61"/>
      <c r="C257" s="62" t="s">
        <v>253</v>
      </c>
      <c r="D257" s="62"/>
      <c r="E257" s="62"/>
      <c r="F257" s="62"/>
      <c r="G257" s="62"/>
      <c r="H257" s="62"/>
      <c r="I257" s="50" t="s">
        <v>254</v>
      </c>
      <c r="J257" s="62"/>
      <c r="K257" s="62"/>
      <c r="L257" s="62"/>
    </row>
    <row r="258" spans="1:17" ht="11.25" customHeight="1">
      <c r="A258" s="63"/>
      <c r="B258" s="59"/>
      <c r="C258" s="62"/>
      <c r="D258" s="62"/>
      <c r="E258" s="62"/>
      <c r="F258" s="62"/>
      <c r="G258" s="62"/>
      <c r="H258" s="62"/>
      <c r="I258" s="97"/>
      <c r="J258" s="62"/>
      <c r="K258" s="62"/>
      <c r="L258" s="62"/>
    </row>
    <row r="259" spans="1:17">
      <c r="A259" s="63">
        <v>22</v>
      </c>
      <c r="B259" s="59"/>
      <c r="C259" s="62" t="s">
        <v>255</v>
      </c>
      <c r="D259" s="62"/>
      <c r="E259" s="62"/>
      <c r="F259" s="62"/>
      <c r="G259" s="62"/>
      <c r="H259" s="68"/>
      <c r="I259" s="51" t="s">
        <v>254</v>
      </c>
      <c r="J259" s="62"/>
      <c r="K259" s="62"/>
      <c r="L259" s="62"/>
    </row>
    <row r="260" spans="1:17" ht="11.25" customHeight="1">
      <c r="A260" s="63"/>
      <c r="B260" s="59"/>
      <c r="C260" s="62"/>
      <c r="D260" s="62"/>
      <c r="E260" s="62"/>
      <c r="F260" s="62"/>
      <c r="G260" s="62"/>
      <c r="H260" s="62"/>
      <c r="I260" s="62"/>
      <c r="J260" s="62"/>
      <c r="K260" s="62"/>
      <c r="L260" s="62"/>
    </row>
    <row r="261" spans="1:17">
      <c r="A261" s="63"/>
      <c r="B261" s="59" t="s">
        <v>256</v>
      </c>
      <c r="C261" s="62"/>
      <c r="D261" s="62"/>
      <c r="E261" s="62"/>
      <c r="F261" s="62"/>
      <c r="G261" s="62"/>
      <c r="H261" s="62"/>
      <c r="I261" s="62"/>
      <c r="J261" s="62"/>
      <c r="K261" s="62"/>
      <c r="L261" s="62"/>
    </row>
    <row r="262" spans="1:17">
      <c r="A262" s="63">
        <v>23</v>
      </c>
      <c r="B262" s="59"/>
      <c r="C262" s="62" t="s">
        <v>257</v>
      </c>
      <c r="D262" s="61"/>
      <c r="E262" s="62"/>
      <c r="F262" s="62"/>
      <c r="G262" s="62"/>
      <c r="H262" s="62"/>
      <c r="I262" s="52" t="s">
        <v>254</v>
      </c>
      <c r="J262" s="62"/>
      <c r="K262" s="62"/>
      <c r="L262" s="62"/>
    </row>
    <row r="263" spans="1:17">
      <c r="A263" s="63">
        <v>24</v>
      </c>
      <c r="B263" s="59"/>
      <c r="C263" s="62" t="s">
        <v>258</v>
      </c>
      <c r="D263" s="62"/>
      <c r="E263" s="62"/>
      <c r="F263" s="62"/>
      <c r="G263" s="62"/>
      <c r="H263" s="62"/>
      <c r="I263" s="122" t="s">
        <v>254</v>
      </c>
      <c r="J263" s="62"/>
      <c r="K263" s="62"/>
      <c r="L263" s="62"/>
    </row>
    <row r="264" spans="1:17" ht="16.2" thickBot="1">
      <c r="A264" s="63">
        <v>25</v>
      </c>
      <c r="B264" s="59"/>
      <c r="C264" s="62" t="s">
        <v>259</v>
      </c>
      <c r="D264" s="62"/>
      <c r="E264" s="62"/>
      <c r="F264" s="62"/>
      <c r="G264" s="62"/>
      <c r="H264" s="62"/>
      <c r="I264" s="53" t="s">
        <v>254</v>
      </c>
      <c r="J264" s="62"/>
      <c r="K264" s="62"/>
      <c r="L264" s="62"/>
    </row>
    <row r="265" spans="1:17">
      <c r="A265" s="63">
        <v>26</v>
      </c>
      <c r="B265" s="61"/>
      <c r="C265" s="62" t="s">
        <v>260</v>
      </c>
      <c r="D265" s="61" t="s">
        <v>261</v>
      </c>
      <c r="E265" s="61"/>
      <c r="F265" s="61"/>
      <c r="G265" s="61"/>
      <c r="H265" s="61"/>
      <c r="I265" s="97" t="s">
        <v>254</v>
      </c>
      <c r="J265" s="62"/>
      <c r="K265" s="62"/>
      <c r="L265" s="62"/>
    </row>
    <row r="266" spans="1:17">
      <c r="A266" s="63"/>
      <c r="B266" s="59"/>
      <c r="C266" s="62"/>
      <c r="D266" s="62"/>
      <c r="E266" s="62"/>
      <c r="F266" s="62"/>
      <c r="G266" s="97" t="s">
        <v>262</v>
      </c>
      <c r="H266" s="62"/>
      <c r="I266" s="62"/>
      <c r="J266" s="62"/>
      <c r="K266" s="62"/>
      <c r="L266" s="62"/>
    </row>
    <row r="267" spans="1:17" ht="16.2" thickBot="1">
      <c r="A267" s="63"/>
      <c r="B267" s="59"/>
      <c r="C267" s="62"/>
      <c r="D267" s="66" t="s">
        <v>227</v>
      </c>
      <c r="E267" s="66" t="s">
        <v>263</v>
      </c>
      <c r="F267" s="62"/>
      <c r="G267" s="66" t="s">
        <v>264</v>
      </c>
      <c r="H267" s="62"/>
      <c r="I267" s="66" t="s">
        <v>265</v>
      </c>
      <c r="J267" s="62"/>
      <c r="K267" s="62"/>
    </row>
    <row r="268" spans="1:17">
      <c r="A268" s="63">
        <v>27</v>
      </c>
      <c r="B268" s="59" t="s">
        <v>266</v>
      </c>
      <c r="C268" s="58"/>
      <c r="D268" s="176">
        <v>0</v>
      </c>
      <c r="E268" s="135">
        <v>0.5</v>
      </c>
      <c r="F268" s="136"/>
      <c r="G268" s="177">
        <f>'Calc. of Wgt. Avg. Debt Rate'!H51</f>
        <v>4.6074597522247018E-2</v>
      </c>
      <c r="H268" s="58"/>
      <c r="I268" s="37">
        <f>E268*G268</f>
        <v>2.3037298761123509E-2</v>
      </c>
      <c r="J268" s="137" t="s">
        <v>267</v>
      </c>
      <c r="K268" s="58"/>
      <c r="M268" s="179"/>
      <c r="N268" s="180"/>
      <c r="O268" s="180"/>
      <c r="P268" s="180"/>
      <c r="Q268" s="181"/>
    </row>
    <row r="269" spans="1:17">
      <c r="A269" s="63">
        <v>28</v>
      </c>
      <c r="B269" s="59" t="s">
        <v>268</v>
      </c>
      <c r="C269" s="58"/>
      <c r="D269" s="52">
        <v>0</v>
      </c>
      <c r="E269" s="135">
        <v>0</v>
      </c>
      <c r="F269" s="136"/>
      <c r="G269" s="178">
        <v>0</v>
      </c>
      <c r="H269" s="58"/>
      <c r="I269" s="37">
        <f>E269*G269</f>
        <v>0</v>
      </c>
      <c r="J269" s="62"/>
      <c r="K269" s="58"/>
      <c r="M269" s="182" t="s">
        <v>269</v>
      </c>
      <c r="N269" s="183"/>
      <c r="O269" s="183"/>
      <c r="P269" s="183"/>
      <c r="Q269" s="184"/>
    </row>
    <row r="270" spans="1:17" ht="16.2" thickBot="1">
      <c r="A270" s="63">
        <v>29</v>
      </c>
      <c r="B270" s="59" t="s">
        <v>270</v>
      </c>
      <c r="C270" s="58"/>
      <c r="D270" s="130">
        <v>0</v>
      </c>
      <c r="E270" s="135">
        <v>0.5</v>
      </c>
      <c r="F270" s="136"/>
      <c r="G270" s="55">
        <f>Q270+Q271</f>
        <v>0.1082</v>
      </c>
      <c r="H270" s="58"/>
      <c r="I270" s="38">
        <f>E270*G270</f>
        <v>5.4100000000000002E-2</v>
      </c>
      <c r="J270" s="62"/>
      <c r="K270" s="58"/>
      <c r="M270" s="182" t="s">
        <v>271</v>
      </c>
      <c r="N270" s="183"/>
      <c r="O270" s="183"/>
      <c r="P270" s="183"/>
      <c r="Q270" s="733">
        <v>0.1032</v>
      </c>
    </row>
    <row r="271" spans="1:17">
      <c r="A271" s="63">
        <v>30</v>
      </c>
      <c r="B271" s="59" t="s">
        <v>272</v>
      </c>
      <c r="C271" s="58"/>
      <c r="D271" s="33">
        <f>SUM(D268:D270)</f>
        <v>0</v>
      </c>
      <c r="E271" s="62" t="s">
        <v>11</v>
      </c>
      <c r="F271" s="62"/>
      <c r="G271" s="62"/>
      <c r="H271" s="62"/>
      <c r="I271" s="37">
        <f>SUM(I268:I270)</f>
        <v>7.7137298761123518E-2</v>
      </c>
      <c r="J271" s="137" t="s">
        <v>273</v>
      </c>
      <c r="K271" s="58"/>
      <c r="M271" s="182" t="s">
        <v>274</v>
      </c>
      <c r="N271" s="183"/>
      <c r="O271" s="183"/>
      <c r="P271" s="183"/>
      <c r="Q271" s="733">
        <v>5.0000000000000001E-3</v>
      </c>
    </row>
    <row r="272" spans="1:17" ht="11.25" customHeight="1">
      <c r="A272" s="58"/>
      <c r="B272" s="58"/>
      <c r="C272" s="58"/>
      <c r="D272" s="58"/>
      <c r="E272" s="62"/>
      <c r="F272" s="62"/>
      <c r="G272" s="62"/>
      <c r="H272" s="62"/>
      <c r="I272" s="58"/>
      <c r="J272" s="58"/>
      <c r="K272" s="58"/>
      <c r="M272" s="185"/>
      <c r="N272" s="186"/>
      <c r="O272" s="186"/>
      <c r="P272" s="186"/>
      <c r="Q272" s="187"/>
    </row>
    <row r="273" spans="1:20">
      <c r="A273" s="63"/>
      <c r="B273" s="59" t="s">
        <v>275</v>
      </c>
      <c r="C273" s="61"/>
      <c r="D273" s="61"/>
      <c r="E273" s="61"/>
      <c r="F273" s="61"/>
      <c r="G273" s="61"/>
      <c r="H273" s="61"/>
      <c r="I273" s="61"/>
      <c r="J273" s="61"/>
      <c r="K273" s="61"/>
    </row>
    <row r="274" spans="1:20" ht="11.25" customHeight="1" thickBot="1">
      <c r="A274" s="63"/>
      <c r="B274" s="59"/>
      <c r="C274" s="59"/>
      <c r="D274" s="59"/>
      <c r="E274" s="59"/>
      <c r="F274" s="59"/>
      <c r="G274" s="59"/>
      <c r="H274" s="59"/>
      <c r="I274" s="66" t="s">
        <v>276</v>
      </c>
      <c r="J274" s="138"/>
      <c r="K274" s="58"/>
    </row>
    <row r="275" spans="1:20">
      <c r="A275" s="63"/>
      <c r="B275" s="59" t="s">
        <v>277</v>
      </c>
      <c r="C275" s="61"/>
      <c r="D275" s="61" t="s">
        <v>278</v>
      </c>
      <c r="E275" s="61" t="s">
        <v>279</v>
      </c>
      <c r="F275" s="61"/>
      <c r="G275" s="139" t="s">
        <v>11</v>
      </c>
      <c r="H275" s="140"/>
      <c r="I275" s="120"/>
      <c r="J275" s="120"/>
      <c r="K275" s="58"/>
      <c r="L275" s="117"/>
      <c r="M275" s="117"/>
      <c r="N275" s="117"/>
      <c r="O275" s="117"/>
      <c r="P275" s="117"/>
      <c r="Q275" s="117"/>
      <c r="R275" s="117"/>
      <c r="S275" s="117"/>
      <c r="T275" s="117"/>
    </row>
    <row r="276" spans="1:20">
      <c r="A276" s="63">
        <v>31</v>
      </c>
      <c r="B276" s="58" t="s">
        <v>280</v>
      </c>
      <c r="C276" s="61"/>
      <c r="D276" s="61"/>
      <c r="E276" s="58"/>
      <c r="F276" s="61"/>
      <c r="G276" s="58"/>
      <c r="H276" s="140"/>
      <c r="I276" s="2">
        <v>0</v>
      </c>
      <c r="J276" s="141"/>
      <c r="K276" s="58"/>
    </row>
    <row r="277" spans="1:20" ht="16.2" thickBot="1">
      <c r="A277" s="63">
        <v>32</v>
      </c>
      <c r="B277" s="99" t="s">
        <v>281</v>
      </c>
      <c r="C277" s="142"/>
      <c r="D277" s="143"/>
      <c r="E277" s="144"/>
      <c r="F277" s="144"/>
      <c r="G277" s="144"/>
      <c r="H277" s="61"/>
      <c r="I277" s="3">
        <v>0</v>
      </c>
      <c r="J277" s="141"/>
      <c r="K277" s="58"/>
    </row>
    <row r="278" spans="1:20">
      <c r="A278" s="63">
        <v>33</v>
      </c>
      <c r="B278" s="58" t="s">
        <v>282</v>
      </c>
      <c r="C278" s="61"/>
      <c r="D278" s="58"/>
      <c r="E278" s="61"/>
      <c r="F278" s="61"/>
      <c r="G278" s="61"/>
      <c r="H278" s="61"/>
      <c r="I278" s="4">
        <f>I276-I277</f>
        <v>0</v>
      </c>
      <c r="J278" s="141"/>
      <c r="K278" s="58"/>
    </row>
    <row r="279" spans="1:20" ht="11.25" customHeight="1">
      <c r="A279" s="63"/>
      <c r="B279" s="58"/>
      <c r="C279" s="61"/>
      <c r="D279" s="58"/>
      <c r="E279" s="61"/>
      <c r="F279" s="61"/>
      <c r="G279" s="61"/>
      <c r="H279" s="61"/>
      <c r="I279" s="145"/>
      <c r="J279" s="120"/>
      <c r="K279" s="58"/>
      <c r="L279" s="58"/>
    </row>
    <row r="280" spans="1:20">
      <c r="A280" s="63">
        <v>34</v>
      </c>
      <c r="B280" s="59" t="s">
        <v>283</v>
      </c>
      <c r="C280" s="61"/>
      <c r="D280" s="58"/>
      <c r="E280" s="61"/>
      <c r="F280" s="61"/>
      <c r="G280" s="76"/>
      <c r="H280" s="61"/>
      <c r="I280" s="54">
        <f>ROUND('Revenue Breakout'!C8,0)</f>
        <v>1728752</v>
      </c>
      <c r="J280" s="120"/>
      <c r="K280" s="146"/>
      <c r="L280" s="97"/>
    </row>
    <row r="281" spans="1:20" ht="11.25" customHeight="1">
      <c r="A281" s="63"/>
      <c r="B281" s="58"/>
      <c r="C281" s="61"/>
      <c r="D281" s="61"/>
      <c r="E281" s="61"/>
      <c r="F281" s="61"/>
      <c r="G281" s="61"/>
      <c r="H281" s="61"/>
      <c r="I281" s="145"/>
      <c r="J281" s="120"/>
      <c r="K281" s="146"/>
      <c r="L281" s="97"/>
    </row>
    <row r="282" spans="1:20">
      <c r="A282" s="58"/>
      <c r="B282" s="59" t="s">
        <v>284</v>
      </c>
      <c r="C282" s="61"/>
      <c r="D282" s="61" t="s">
        <v>285</v>
      </c>
      <c r="E282" s="61"/>
      <c r="F282" s="61"/>
      <c r="G282" s="61"/>
      <c r="H282" s="61"/>
      <c r="I282" s="654"/>
      <c r="J282" s="58"/>
      <c r="K282" s="147"/>
      <c r="L282" s="97"/>
    </row>
    <row r="283" spans="1:20">
      <c r="A283" s="63">
        <v>35</v>
      </c>
      <c r="B283" s="59" t="s">
        <v>286</v>
      </c>
      <c r="C283" s="62"/>
      <c r="D283" s="62"/>
      <c r="E283" s="62"/>
      <c r="F283" s="62"/>
      <c r="G283" s="62"/>
      <c r="H283" s="62"/>
      <c r="I283" s="5">
        <f>ROUND('Revenue Breakout'!C22,0)</f>
        <v>681249148</v>
      </c>
      <c r="J283" s="62"/>
      <c r="K283" s="147"/>
      <c r="L283" s="97"/>
    </row>
    <row r="284" spans="1:20">
      <c r="A284" s="63">
        <v>36</v>
      </c>
      <c r="B284" s="148" t="s">
        <v>287</v>
      </c>
      <c r="C284" s="144"/>
      <c r="D284" s="144"/>
      <c r="E284" s="144"/>
      <c r="F284" s="144"/>
      <c r="G284" s="61"/>
      <c r="H284" s="61"/>
      <c r="I284" s="5">
        <f>I283-I285-I286-ROUND('Revenue Breakout'!C10,0)-ROUND('Revenue Breakout'!C14,0)</f>
        <v>541958314.16187811</v>
      </c>
      <c r="J284" s="58"/>
      <c r="K284" s="149"/>
      <c r="L284" s="63"/>
    </row>
    <row r="285" spans="1:20">
      <c r="A285" s="113" t="s">
        <v>288</v>
      </c>
      <c r="B285" s="150" t="s">
        <v>289</v>
      </c>
      <c r="C285" s="151"/>
      <c r="D285" s="144"/>
      <c r="E285" s="144"/>
      <c r="F285" s="144"/>
      <c r="G285" s="61"/>
      <c r="H285" s="61"/>
      <c r="I285" s="5">
        <f>+I206</f>
        <v>99673447.216751233</v>
      </c>
      <c r="J285" s="58"/>
      <c r="K285" s="149"/>
      <c r="L285" s="63"/>
    </row>
    <row r="286" spans="1:20" s="117" customFormat="1" ht="16.2" thickBot="1">
      <c r="A286" s="113" t="s">
        <v>290</v>
      </c>
      <c r="B286" s="152" t="s">
        <v>291</v>
      </c>
      <c r="C286" s="153"/>
      <c r="D286" s="151"/>
      <c r="E286" s="151"/>
      <c r="F286" s="151"/>
      <c r="G286" s="151"/>
      <c r="H286" s="98"/>
      <c r="I286" s="12">
        <f>+I210</f>
        <v>31584674.621370677</v>
      </c>
      <c r="J286" s="105"/>
      <c r="K286" s="154"/>
    </row>
    <row r="287" spans="1:20">
      <c r="A287" s="63">
        <v>37</v>
      </c>
      <c r="B287" s="105" t="s">
        <v>292</v>
      </c>
      <c r="C287" s="63"/>
      <c r="D287" s="62"/>
      <c r="E287" s="62"/>
      <c r="F287" s="62"/>
      <c r="G287" s="62"/>
      <c r="H287" s="61"/>
      <c r="I287" s="7">
        <f>I283-I284-I285-I286</f>
        <v>8032711.9999999814</v>
      </c>
      <c r="J287" s="62"/>
      <c r="K287" s="68"/>
      <c r="L287" s="63"/>
    </row>
    <row r="288" spans="1:20">
      <c r="A288" s="63"/>
      <c r="B288" s="156"/>
      <c r="C288" s="63"/>
      <c r="D288" s="62"/>
      <c r="E288" s="62"/>
      <c r="F288" s="62"/>
      <c r="G288" s="62"/>
      <c r="H288" s="61"/>
      <c r="I288" s="155"/>
      <c r="J288" s="62"/>
      <c r="K288" s="68"/>
      <c r="L288" s="63"/>
    </row>
    <row r="289" spans="1:12">
      <c r="A289" s="63"/>
      <c r="B289" s="156"/>
      <c r="C289" s="63"/>
      <c r="D289" s="62"/>
      <c r="E289" s="62"/>
      <c r="F289" s="62"/>
      <c r="G289" s="62"/>
      <c r="H289" s="61"/>
      <c r="I289" s="155"/>
      <c r="J289" s="62"/>
      <c r="K289" s="68"/>
      <c r="L289" s="63"/>
    </row>
    <row r="290" spans="1:12">
      <c r="A290" s="63"/>
      <c r="B290" s="59"/>
      <c r="C290" s="61"/>
      <c r="D290" s="62"/>
      <c r="E290" s="62"/>
      <c r="F290" s="62"/>
      <c r="G290" s="62"/>
      <c r="H290" s="61"/>
      <c r="I290" s="62"/>
      <c r="J290" s="61"/>
      <c r="K290" s="728" t="s">
        <v>293</v>
      </c>
      <c r="L290" s="61"/>
    </row>
    <row r="291" spans="1:12">
      <c r="A291" s="63"/>
      <c r="B291" s="59"/>
      <c r="C291" s="61"/>
      <c r="D291" s="62"/>
      <c r="E291" s="62"/>
      <c r="F291" s="62"/>
      <c r="G291" s="62"/>
      <c r="H291" s="61"/>
      <c r="I291" s="62"/>
      <c r="J291" s="61"/>
      <c r="K291" s="62"/>
      <c r="L291" s="61"/>
    </row>
    <row r="292" spans="1:12">
      <c r="A292" s="63"/>
      <c r="B292" s="156" t="s">
        <v>8</v>
      </c>
      <c r="C292" s="63"/>
      <c r="D292" s="62" t="s">
        <v>9</v>
      </c>
      <c r="E292" s="62"/>
      <c r="F292" s="62"/>
      <c r="G292" s="62"/>
      <c r="H292" s="61"/>
      <c r="J292" s="120"/>
      <c r="K292" s="734" t="str">
        <f>K3</f>
        <v>For the 12 months ended 12/31/2018</v>
      </c>
      <c r="L292" s="63"/>
    </row>
    <row r="293" spans="1:12">
      <c r="A293" s="63"/>
      <c r="B293" s="156"/>
      <c r="C293" s="63"/>
      <c r="D293" s="62" t="s">
        <v>12</v>
      </c>
      <c r="E293" s="62"/>
      <c r="F293" s="62"/>
      <c r="G293" s="62"/>
      <c r="H293" s="61"/>
      <c r="I293" s="157"/>
      <c r="J293" s="120"/>
      <c r="K293" s="68"/>
      <c r="L293" s="63"/>
    </row>
    <row r="294" spans="1:12">
      <c r="A294" s="63"/>
      <c r="B294" s="156"/>
      <c r="C294" s="63"/>
      <c r="D294" s="62"/>
      <c r="E294" s="62"/>
      <c r="F294" s="62"/>
      <c r="G294" s="62"/>
      <c r="H294" s="61"/>
      <c r="I294" s="157"/>
      <c r="J294" s="120"/>
      <c r="K294" s="68"/>
      <c r="L294" s="63"/>
    </row>
    <row r="295" spans="1:12">
      <c r="A295" s="743" t="str">
        <f>A6</f>
        <v>American Transmission Company LLC</v>
      </c>
      <c r="B295" s="743"/>
      <c r="C295" s="743"/>
      <c r="D295" s="743"/>
      <c r="E295" s="743"/>
      <c r="F295" s="743"/>
      <c r="G295" s="743"/>
      <c r="H295" s="743"/>
      <c r="I295" s="743"/>
      <c r="J295" s="743"/>
      <c r="K295" s="743"/>
      <c r="L295" s="63"/>
    </row>
    <row r="296" spans="1:12">
      <c r="A296" s="63"/>
      <c r="B296" s="156"/>
      <c r="C296" s="63"/>
      <c r="D296" s="62"/>
      <c r="E296" s="62"/>
      <c r="F296" s="62"/>
      <c r="G296" s="62"/>
      <c r="H296" s="61"/>
      <c r="I296" s="157"/>
      <c r="J296" s="120"/>
      <c r="K296" s="68"/>
      <c r="L296" s="63"/>
    </row>
    <row r="297" spans="1:12">
      <c r="A297" s="63"/>
      <c r="B297" s="59" t="s">
        <v>294</v>
      </c>
      <c r="C297" s="63"/>
      <c r="D297" s="62"/>
      <c r="E297" s="62"/>
      <c r="F297" s="62"/>
      <c r="G297" s="62"/>
      <c r="H297" s="61"/>
      <c r="I297" s="62"/>
      <c r="J297" s="61"/>
      <c r="K297" s="62"/>
      <c r="L297" s="63"/>
    </row>
    <row r="298" spans="1:12">
      <c r="A298" s="63"/>
      <c r="B298" s="158" t="s">
        <v>295</v>
      </c>
      <c r="C298" s="63"/>
      <c r="D298" s="62"/>
      <c r="E298" s="62"/>
      <c r="F298" s="62"/>
      <c r="G298" s="62"/>
      <c r="H298" s="61"/>
      <c r="I298" s="62"/>
      <c r="J298" s="61"/>
      <c r="K298" s="62"/>
      <c r="L298" s="63"/>
    </row>
    <row r="299" spans="1:12">
      <c r="A299" s="63" t="s">
        <v>296</v>
      </c>
      <c r="B299" s="59"/>
      <c r="C299" s="61"/>
      <c r="D299" s="62"/>
      <c r="E299" s="62"/>
      <c r="F299" s="62"/>
      <c r="G299" s="62"/>
      <c r="H299" s="61"/>
      <c r="I299" s="62"/>
      <c r="J299" s="61"/>
      <c r="K299" s="62"/>
      <c r="L299" s="63"/>
    </row>
    <row r="300" spans="1:12" ht="16.2" thickBot="1">
      <c r="A300" s="66" t="s">
        <v>297</v>
      </c>
      <c r="B300" s="745"/>
      <c r="C300" s="745"/>
      <c r="D300" s="159"/>
      <c r="E300" s="159"/>
      <c r="F300" s="159"/>
      <c r="G300" s="159"/>
      <c r="H300" s="160"/>
      <c r="I300" s="159"/>
      <c r="J300" s="160"/>
      <c r="K300" s="159"/>
      <c r="L300" s="63"/>
    </row>
    <row r="301" spans="1:12" s="163" customFormat="1">
      <c r="A301" s="161" t="s">
        <v>298</v>
      </c>
      <c r="B301" s="738" t="s">
        <v>299</v>
      </c>
      <c r="C301" s="738"/>
      <c r="D301" s="738"/>
      <c r="E301" s="738"/>
      <c r="F301" s="738"/>
      <c r="G301" s="738"/>
      <c r="H301" s="738"/>
      <c r="I301" s="738"/>
      <c r="J301" s="738"/>
      <c r="K301" s="738"/>
      <c r="L301" s="162"/>
    </row>
    <row r="302" spans="1:12" s="163" customFormat="1">
      <c r="A302" s="161" t="s">
        <v>300</v>
      </c>
      <c r="B302" s="738" t="s">
        <v>301</v>
      </c>
      <c r="C302" s="738"/>
      <c r="D302" s="738"/>
      <c r="E302" s="738"/>
      <c r="F302" s="738"/>
      <c r="G302" s="738"/>
      <c r="H302" s="738"/>
      <c r="I302" s="738"/>
      <c r="J302" s="738"/>
      <c r="K302" s="738"/>
      <c r="L302" s="162"/>
    </row>
    <row r="303" spans="1:12" s="163" customFormat="1">
      <c r="A303" s="161" t="s">
        <v>302</v>
      </c>
      <c r="B303" s="738" t="s">
        <v>303</v>
      </c>
      <c r="C303" s="738"/>
      <c r="D303" s="738"/>
      <c r="E303" s="738"/>
      <c r="F303" s="738"/>
      <c r="G303" s="738"/>
      <c r="H303" s="738"/>
      <c r="I303" s="738"/>
      <c r="J303" s="738"/>
      <c r="K303" s="738"/>
      <c r="L303" s="164"/>
    </row>
    <row r="304" spans="1:12" s="163" customFormat="1">
      <c r="A304" s="161" t="s">
        <v>304</v>
      </c>
      <c r="B304" s="738" t="s">
        <v>303</v>
      </c>
      <c r="C304" s="738"/>
      <c r="D304" s="738"/>
      <c r="E304" s="738"/>
      <c r="F304" s="738"/>
      <c r="G304" s="738"/>
      <c r="H304" s="738"/>
      <c r="I304" s="738"/>
      <c r="J304" s="738"/>
      <c r="K304" s="738"/>
      <c r="L304" s="164"/>
    </row>
    <row r="305" spans="1:16" s="163" customFormat="1">
      <c r="A305" s="161" t="s">
        <v>305</v>
      </c>
      <c r="B305" s="738" t="s">
        <v>306</v>
      </c>
      <c r="C305" s="738"/>
      <c r="D305" s="738"/>
      <c r="E305" s="738"/>
      <c r="F305" s="738"/>
      <c r="G305" s="738"/>
      <c r="H305" s="738"/>
      <c r="I305" s="738"/>
      <c r="J305" s="738"/>
      <c r="K305" s="738"/>
      <c r="L305" s="162"/>
    </row>
    <row r="306" spans="1:16" s="163" customFormat="1" ht="66.75" customHeight="1">
      <c r="A306" s="161" t="s">
        <v>307</v>
      </c>
      <c r="B306" s="738" t="s">
        <v>308</v>
      </c>
      <c r="C306" s="738"/>
      <c r="D306" s="738"/>
      <c r="E306" s="738"/>
      <c r="F306" s="738"/>
      <c r="G306" s="738"/>
      <c r="H306" s="738"/>
      <c r="I306" s="738"/>
      <c r="J306" s="738"/>
      <c r="K306" s="738"/>
      <c r="L306" s="162"/>
    </row>
    <row r="307" spans="1:16" s="163" customFormat="1">
      <c r="A307" s="161" t="s">
        <v>309</v>
      </c>
      <c r="B307" s="738" t="s">
        <v>310</v>
      </c>
      <c r="C307" s="738"/>
      <c r="D307" s="738"/>
      <c r="E307" s="738"/>
      <c r="F307" s="738"/>
      <c r="G307" s="738"/>
      <c r="H307" s="738"/>
      <c r="I307" s="738"/>
      <c r="J307" s="738"/>
      <c r="K307" s="738"/>
      <c r="L307" s="162"/>
    </row>
    <row r="308" spans="1:16" s="163" customFormat="1" ht="32.25" customHeight="1">
      <c r="A308" s="161" t="s">
        <v>311</v>
      </c>
      <c r="B308" s="738" t="s">
        <v>312</v>
      </c>
      <c r="C308" s="738"/>
      <c r="D308" s="738"/>
      <c r="E308" s="738"/>
      <c r="F308" s="738"/>
      <c r="G308" s="738"/>
      <c r="H308" s="738"/>
      <c r="I308" s="738"/>
      <c r="J308" s="738"/>
      <c r="K308" s="738"/>
      <c r="L308" s="162"/>
    </row>
    <row r="309" spans="1:16" s="163" customFormat="1" ht="32.25" customHeight="1">
      <c r="A309" s="161" t="s">
        <v>313</v>
      </c>
      <c r="B309" s="738" t="s">
        <v>314</v>
      </c>
      <c r="C309" s="738"/>
      <c r="D309" s="738"/>
      <c r="E309" s="738"/>
      <c r="F309" s="738"/>
      <c r="G309" s="738"/>
      <c r="H309" s="738"/>
      <c r="I309" s="738"/>
      <c r="J309" s="738"/>
      <c r="K309" s="738"/>
      <c r="L309" s="162"/>
    </row>
    <row r="310" spans="1:16" s="163" customFormat="1" ht="32.25" customHeight="1">
      <c r="A310" s="161" t="s">
        <v>315</v>
      </c>
      <c r="B310" s="738" t="s">
        <v>316</v>
      </c>
      <c r="C310" s="738"/>
      <c r="D310" s="738"/>
      <c r="E310" s="738"/>
      <c r="F310" s="738"/>
      <c r="G310" s="738"/>
      <c r="H310" s="738"/>
      <c r="I310" s="738"/>
      <c r="J310" s="738"/>
      <c r="K310" s="738"/>
      <c r="L310" s="162"/>
    </row>
    <row r="311" spans="1:16" s="163" customFormat="1" ht="94.5" customHeight="1">
      <c r="A311" s="161" t="s">
        <v>317</v>
      </c>
      <c r="B311" s="738" t="s">
        <v>318</v>
      </c>
      <c r="C311" s="738"/>
      <c r="D311" s="738"/>
      <c r="E311" s="738"/>
      <c r="F311" s="738"/>
      <c r="G311" s="738"/>
      <c r="H311" s="738"/>
      <c r="I311" s="738"/>
      <c r="J311" s="738"/>
      <c r="K311" s="738"/>
      <c r="L311" s="162"/>
    </row>
    <row r="312" spans="1:16">
      <c r="A312" s="63" t="s">
        <v>11</v>
      </c>
      <c r="B312" s="75" t="s">
        <v>319</v>
      </c>
      <c r="C312" s="75" t="s">
        <v>320</v>
      </c>
      <c r="D312" s="9">
        <v>0.21</v>
      </c>
      <c r="E312" s="75"/>
      <c r="F312" s="75"/>
      <c r="G312" s="75"/>
      <c r="H312" s="75"/>
      <c r="I312" s="75"/>
      <c r="J312" s="75"/>
      <c r="K312" s="75"/>
      <c r="L312" s="127"/>
      <c r="P312" s="165"/>
    </row>
    <row r="313" spans="1:16">
      <c r="A313" s="63"/>
      <c r="B313" s="75"/>
      <c r="C313" s="75" t="s">
        <v>321</v>
      </c>
      <c r="D313" s="9">
        <f>SIT!D17</f>
        <v>7.4981467100000004E-2</v>
      </c>
      <c r="E313" s="75" t="s">
        <v>322</v>
      </c>
      <c r="F313" s="75"/>
      <c r="G313" s="75"/>
      <c r="H313" s="75"/>
      <c r="I313" s="75"/>
      <c r="J313" s="75"/>
      <c r="K313" s="75"/>
      <c r="L313" s="127"/>
      <c r="P313" s="165"/>
    </row>
    <row r="314" spans="1:16">
      <c r="A314" s="63"/>
      <c r="B314" s="75"/>
      <c r="C314" s="75" t="s">
        <v>323</v>
      </c>
      <c r="D314" s="9">
        <v>0</v>
      </c>
      <c r="E314" s="75" t="s">
        <v>324</v>
      </c>
      <c r="F314" s="75"/>
      <c r="G314" s="75"/>
      <c r="H314" s="75"/>
      <c r="I314" s="75"/>
      <c r="J314" s="75"/>
      <c r="K314" s="75"/>
      <c r="L314" s="127"/>
      <c r="P314" s="165"/>
    </row>
    <row r="315" spans="1:16">
      <c r="A315" s="63"/>
      <c r="B315" s="75"/>
      <c r="C315" s="75" t="s">
        <v>325</v>
      </c>
      <c r="D315" s="9">
        <f>TEP!C20</f>
        <v>9.2551212184426052E-2</v>
      </c>
      <c r="E315" s="75" t="s">
        <v>326</v>
      </c>
      <c r="F315" s="75"/>
      <c r="G315" s="75"/>
      <c r="H315" s="75"/>
      <c r="I315" s="75"/>
      <c r="J315" s="75"/>
      <c r="K315" s="75"/>
      <c r="L315" s="127"/>
      <c r="P315" s="165"/>
    </row>
    <row r="316" spans="1:16" s="166" customFormat="1" ht="50.25" customHeight="1">
      <c r="A316" s="162" t="s">
        <v>327</v>
      </c>
      <c r="B316" s="738" t="s">
        <v>328</v>
      </c>
      <c r="C316" s="738"/>
      <c r="D316" s="738"/>
      <c r="E316" s="738"/>
      <c r="F316" s="738"/>
      <c r="G316" s="738"/>
      <c r="H316" s="738"/>
      <c r="I316" s="738"/>
      <c r="J316" s="738"/>
      <c r="K316" s="738"/>
      <c r="L316" s="127"/>
    </row>
    <row r="317" spans="1:16" s="166" customFormat="1" ht="32.25" customHeight="1">
      <c r="A317" s="162" t="s">
        <v>329</v>
      </c>
      <c r="B317" s="738" t="s">
        <v>330</v>
      </c>
      <c r="C317" s="738"/>
      <c r="D317" s="738"/>
      <c r="E317" s="738"/>
      <c r="F317" s="738"/>
      <c r="G317" s="738"/>
      <c r="H317" s="738"/>
      <c r="I317" s="738"/>
      <c r="J317" s="738"/>
      <c r="K317" s="738"/>
      <c r="L317" s="127"/>
    </row>
    <row r="318" spans="1:16" s="166" customFormat="1" ht="51" customHeight="1">
      <c r="A318" s="162" t="s">
        <v>331</v>
      </c>
      <c r="B318" s="738" t="s">
        <v>332</v>
      </c>
      <c r="C318" s="738"/>
      <c r="D318" s="738"/>
      <c r="E318" s="738"/>
      <c r="F318" s="738"/>
      <c r="G318" s="738"/>
      <c r="H318" s="738"/>
      <c r="I318" s="738"/>
      <c r="J318" s="738"/>
      <c r="K318" s="738"/>
      <c r="L318" s="127"/>
    </row>
    <row r="319" spans="1:16" s="166" customFormat="1">
      <c r="A319" s="162" t="s">
        <v>333</v>
      </c>
      <c r="B319" s="738" t="s">
        <v>334</v>
      </c>
      <c r="C319" s="738"/>
      <c r="D319" s="738"/>
      <c r="E319" s="738"/>
      <c r="F319" s="738"/>
      <c r="G319" s="738"/>
      <c r="H319" s="738"/>
      <c r="I319" s="738"/>
      <c r="J319" s="738"/>
      <c r="K319" s="738"/>
      <c r="L319" s="127"/>
    </row>
    <row r="320" spans="1:16" s="166" customFormat="1" ht="51" customHeight="1">
      <c r="A320" s="162" t="s">
        <v>335</v>
      </c>
      <c r="B320" s="738" t="s">
        <v>336</v>
      </c>
      <c r="C320" s="738"/>
      <c r="D320" s="738"/>
      <c r="E320" s="738"/>
      <c r="F320" s="738"/>
      <c r="G320" s="738"/>
      <c r="H320" s="738"/>
      <c r="I320" s="738"/>
      <c r="J320" s="738"/>
      <c r="K320" s="738"/>
      <c r="L320" s="127"/>
    </row>
    <row r="321" spans="1:12" s="166" customFormat="1" ht="32.25" customHeight="1">
      <c r="A321" s="162" t="s">
        <v>337</v>
      </c>
      <c r="B321" s="738" t="s">
        <v>338</v>
      </c>
      <c r="C321" s="738"/>
      <c r="D321" s="738"/>
      <c r="E321" s="738"/>
      <c r="F321" s="738"/>
      <c r="G321" s="738"/>
      <c r="H321" s="738"/>
      <c r="I321" s="738"/>
      <c r="J321" s="738"/>
      <c r="K321" s="738"/>
      <c r="L321" s="127"/>
    </row>
    <row r="322" spans="1:12" s="166" customFormat="1">
      <c r="A322" s="162" t="s">
        <v>339</v>
      </c>
      <c r="B322" s="738" t="s">
        <v>340</v>
      </c>
      <c r="C322" s="738"/>
      <c r="D322" s="738"/>
      <c r="E322" s="738"/>
      <c r="F322" s="738"/>
      <c r="G322" s="738"/>
      <c r="H322" s="738"/>
      <c r="I322" s="738"/>
      <c r="J322" s="738"/>
      <c r="K322" s="738"/>
      <c r="L322" s="127"/>
    </row>
    <row r="323" spans="1:12" s="166" customFormat="1" ht="48" customHeight="1">
      <c r="A323" s="162" t="s">
        <v>341</v>
      </c>
      <c r="B323" s="738" t="s">
        <v>342</v>
      </c>
      <c r="C323" s="738"/>
      <c r="D323" s="738"/>
      <c r="E323" s="738"/>
      <c r="F323" s="738"/>
      <c r="G323" s="738"/>
      <c r="H323" s="738"/>
      <c r="I323" s="738"/>
      <c r="J323" s="738"/>
      <c r="K323" s="738"/>
      <c r="L323" s="127"/>
    </row>
    <row r="324" spans="1:12" s="166" customFormat="1" ht="62.25" customHeight="1">
      <c r="A324" s="167" t="s">
        <v>343</v>
      </c>
      <c r="B324" s="739" t="s">
        <v>344</v>
      </c>
      <c r="C324" s="738"/>
      <c r="D324" s="738"/>
      <c r="E324" s="738"/>
      <c r="F324" s="738"/>
      <c r="G324" s="738"/>
      <c r="H324" s="738"/>
      <c r="I324" s="738"/>
      <c r="J324" s="738"/>
      <c r="K324" s="738"/>
      <c r="L324" s="75"/>
    </row>
    <row r="325" spans="1:12" s="166" customFormat="1" ht="32.25" customHeight="1">
      <c r="A325" s="167" t="s">
        <v>345</v>
      </c>
      <c r="B325" s="738" t="s">
        <v>346</v>
      </c>
      <c r="C325" s="738"/>
      <c r="D325" s="738"/>
      <c r="E325" s="738"/>
      <c r="F325" s="738"/>
      <c r="G325" s="738"/>
      <c r="H325" s="738"/>
      <c r="I325" s="738"/>
      <c r="J325" s="738"/>
      <c r="K325" s="738"/>
      <c r="L325" s="75"/>
    </row>
    <row r="326" spans="1:12" s="166" customFormat="1">
      <c r="A326" s="168" t="s">
        <v>347</v>
      </c>
      <c r="B326" s="740" t="s">
        <v>348</v>
      </c>
      <c r="C326" s="737"/>
      <c r="D326" s="737"/>
      <c r="E326" s="737"/>
      <c r="F326" s="737"/>
      <c r="G326" s="737"/>
      <c r="H326" s="737"/>
      <c r="I326" s="737"/>
      <c r="J326" s="737"/>
      <c r="K326" s="737"/>
      <c r="L326" s="127"/>
    </row>
    <row r="327" spans="1:12" s="166" customFormat="1">
      <c r="A327" s="168" t="s">
        <v>349</v>
      </c>
      <c r="B327" s="737" t="s">
        <v>350</v>
      </c>
      <c r="C327" s="737"/>
      <c r="D327" s="737"/>
      <c r="E327" s="737"/>
      <c r="F327" s="737"/>
      <c r="G327" s="737"/>
      <c r="H327" s="737"/>
      <c r="I327" s="737"/>
      <c r="J327" s="737"/>
      <c r="K327" s="737"/>
      <c r="L327" s="127"/>
    </row>
    <row r="328" spans="1:12" s="171" customFormat="1" ht="32.25" customHeight="1">
      <c r="A328" s="169" t="s">
        <v>351</v>
      </c>
      <c r="B328" s="737" t="s">
        <v>352</v>
      </c>
      <c r="C328" s="737"/>
      <c r="D328" s="737"/>
      <c r="E328" s="737"/>
      <c r="F328" s="737"/>
      <c r="G328" s="737"/>
      <c r="H328" s="737"/>
      <c r="I328" s="737"/>
      <c r="J328" s="737"/>
      <c r="K328" s="737"/>
      <c r="L328" s="170"/>
    </row>
    <row r="329" spans="1:12" s="170" customFormat="1" ht="32.25" customHeight="1">
      <c r="A329" s="169" t="s">
        <v>353</v>
      </c>
      <c r="B329" s="737" t="s">
        <v>354</v>
      </c>
      <c r="C329" s="737"/>
      <c r="D329" s="737"/>
      <c r="E329" s="737"/>
      <c r="F329" s="737"/>
      <c r="G329" s="737"/>
      <c r="H329" s="737"/>
      <c r="I329" s="737"/>
      <c r="J329" s="737"/>
      <c r="K329" s="737"/>
    </row>
    <row r="330" spans="1:12" ht="36.75" customHeight="1">
      <c r="A330" s="735" t="s">
        <v>355</v>
      </c>
      <c r="B330" s="737" t="s">
        <v>356</v>
      </c>
      <c r="C330" s="737"/>
      <c r="D330" s="737"/>
      <c r="E330" s="737"/>
      <c r="F330" s="737"/>
      <c r="G330" s="737"/>
      <c r="H330" s="737"/>
      <c r="I330" s="737"/>
      <c r="J330" s="737"/>
      <c r="K330" s="737"/>
      <c r="L330" s="63"/>
    </row>
    <row r="331" spans="1:12" ht="33.75" customHeight="1">
      <c r="A331" s="169" t="s">
        <v>357</v>
      </c>
      <c r="B331" s="737" t="s">
        <v>358</v>
      </c>
      <c r="C331" s="737"/>
      <c r="D331" s="737"/>
      <c r="E331" s="737"/>
      <c r="F331" s="737"/>
      <c r="G331" s="737"/>
      <c r="H331" s="737"/>
      <c r="I331" s="737"/>
      <c r="J331" s="737"/>
      <c r="K331" s="737"/>
      <c r="L331" s="63"/>
    </row>
    <row r="332" spans="1:12" ht="36" customHeight="1">
      <c r="A332" s="169" t="s">
        <v>359</v>
      </c>
      <c r="B332" s="737" t="s">
        <v>360</v>
      </c>
      <c r="C332" s="737"/>
      <c r="D332" s="737"/>
      <c r="E332" s="737"/>
      <c r="F332" s="737"/>
      <c r="G332" s="737"/>
      <c r="H332" s="737"/>
      <c r="I332" s="737"/>
      <c r="J332" s="737"/>
      <c r="K332" s="737"/>
      <c r="L332" s="63"/>
    </row>
    <row r="333" spans="1:12">
      <c r="A333" s="172" t="s">
        <v>361</v>
      </c>
      <c r="B333" s="173" t="s">
        <v>362</v>
      </c>
      <c r="C333" s="98"/>
      <c r="D333" s="98"/>
      <c r="E333" s="98"/>
      <c r="F333" s="98"/>
      <c r="G333" s="98"/>
      <c r="H333" s="61"/>
      <c r="I333" s="155"/>
      <c r="J333" s="62"/>
      <c r="K333" s="68"/>
      <c r="L333" s="63"/>
    </row>
    <row r="334" spans="1:12">
      <c r="A334" s="172"/>
      <c r="B334" s="173"/>
      <c r="C334" s="98"/>
      <c r="D334" s="98"/>
      <c r="E334" s="98"/>
      <c r="F334" s="98"/>
      <c r="G334" s="98"/>
      <c r="H334" s="61"/>
      <c r="I334" s="155"/>
      <c r="J334" s="62"/>
      <c r="K334" s="68"/>
      <c r="L334" s="63"/>
    </row>
    <row r="335" spans="1:12">
      <c r="A335" s="172"/>
      <c r="B335" s="173"/>
      <c r="C335" s="98"/>
      <c r="D335" s="98"/>
      <c r="E335" s="98"/>
      <c r="F335" s="98"/>
      <c r="G335" s="98"/>
      <c r="H335" s="61"/>
      <c r="I335" s="155"/>
      <c r="J335" s="62"/>
      <c r="K335" s="68"/>
      <c r="L335" s="63"/>
    </row>
    <row r="336" spans="1:12">
      <c r="A336" s="172"/>
      <c r="B336" s="173"/>
      <c r="C336" s="98"/>
      <c r="D336" s="98"/>
      <c r="E336" s="98"/>
      <c r="F336" s="98"/>
      <c r="G336" s="98"/>
      <c r="H336" s="61"/>
      <c r="I336" s="155"/>
      <c r="J336" s="62"/>
      <c r="K336" s="68"/>
      <c r="L336" s="63"/>
    </row>
    <row r="337" spans="1:12">
      <c r="A337" s="172"/>
      <c r="B337" s="173"/>
      <c r="C337" s="98"/>
      <c r="D337" s="98"/>
      <c r="E337" s="98"/>
      <c r="F337" s="98"/>
      <c r="G337" s="98"/>
      <c r="H337" s="61"/>
      <c r="I337" s="155"/>
      <c r="J337" s="62"/>
      <c r="K337" s="68"/>
      <c r="L337" s="63"/>
    </row>
  </sheetData>
  <sheetProtection formatCells="0" formatColumns="0"/>
  <protectedRanges>
    <protectedRange sqref="G268" name="Range1"/>
  </protectedRanges>
  <mergeCells count="36">
    <mergeCell ref="B304:K304"/>
    <mergeCell ref="A6:K6"/>
    <mergeCell ref="A80:K80"/>
    <mergeCell ref="A151:K151"/>
    <mergeCell ref="B205:C205"/>
    <mergeCell ref="B209:C209"/>
    <mergeCell ref="A221:K221"/>
    <mergeCell ref="A295:K295"/>
    <mergeCell ref="B300:C300"/>
    <mergeCell ref="B301:K301"/>
    <mergeCell ref="B302:K302"/>
    <mergeCell ref="B303:K303"/>
    <mergeCell ref="B320:K320"/>
    <mergeCell ref="B305:K305"/>
    <mergeCell ref="B306:K306"/>
    <mergeCell ref="B307:K307"/>
    <mergeCell ref="B308:K308"/>
    <mergeCell ref="B309:K309"/>
    <mergeCell ref="B310:K310"/>
    <mergeCell ref="B311:K311"/>
    <mergeCell ref="B316:K316"/>
    <mergeCell ref="B317:K317"/>
    <mergeCell ref="B318:K318"/>
    <mergeCell ref="B319:K319"/>
    <mergeCell ref="B332:K332"/>
    <mergeCell ref="B321:K321"/>
    <mergeCell ref="B322:K322"/>
    <mergeCell ref="B323:K323"/>
    <mergeCell ref="B324:K324"/>
    <mergeCell ref="B325:K325"/>
    <mergeCell ref="B326:K326"/>
    <mergeCell ref="B327:K327"/>
    <mergeCell ref="B328:K328"/>
    <mergeCell ref="B329:K329"/>
    <mergeCell ref="B330:K330"/>
    <mergeCell ref="B331:K331"/>
  </mergeCells>
  <pageMargins left="0.5" right="0.5" top="0.75" bottom="0.75" header="0.5" footer="0.5"/>
  <pageSetup scale="60" fitToHeight="0" orientation="portrait" r:id="rId1"/>
  <headerFooter alignWithMargins="0">
    <oddFooter>&amp;RV33
EFF 06.27.18</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showGridLines="0" zoomScaleNormal="100" workbookViewId="0">
      <selection activeCell="C40" sqref="C40"/>
    </sheetView>
  </sheetViews>
  <sheetFormatPr defaultColWidth="9.109375" defaultRowHeight="13.2"/>
  <cols>
    <col min="1" max="1" width="4.109375" style="480" customWidth="1"/>
    <col min="2" max="2" width="65.5546875" style="480" customWidth="1"/>
    <col min="3" max="3" width="16" style="480" bestFit="1" customWidth="1"/>
    <col min="4" max="4" width="71.44140625" style="480" bestFit="1" customWidth="1"/>
    <col min="5" max="5" width="20.6640625" style="480" customWidth="1"/>
    <col min="6" max="16384" width="9.109375" style="480"/>
  </cols>
  <sheetData>
    <row r="1" spans="1:8" ht="15.6">
      <c r="A1" s="472" t="s">
        <v>0</v>
      </c>
    </row>
    <row r="2" spans="1:8" ht="15.6">
      <c r="A2" s="472" t="s">
        <v>363</v>
      </c>
      <c r="D2" s="481"/>
    </row>
    <row r="3" spans="1:8" ht="15.6">
      <c r="A3" s="474" t="s">
        <v>2</v>
      </c>
    </row>
    <row r="6" spans="1:8" s="485" customFormat="1">
      <c r="A6" s="482"/>
      <c r="B6" s="483"/>
      <c r="C6" s="483"/>
      <c r="D6" s="483"/>
      <c r="E6" s="483"/>
      <c r="F6" s="484"/>
    </row>
    <row r="7" spans="1:8" s="485" customFormat="1">
      <c r="A7" s="486" t="s">
        <v>364</v>
      </c>
      <c r="C7" s="487"/>
      <c r="D7" s="487"/>
      <c r="E7" s="487"/>
      <c r="F7" s="488"/>
    </row>
    <row r="8" spans="1:8" s="485" customFormat="1">
      <c r="A8" s="489">
        <v>-1</v>
      </c>
      <c r="B8" s="490" t="s">
        <v>365</v>
      </c>
      <c r="C8" s="491">
        <v>1728752</v>
      </c>
      <c r="D8" s="492" t="s">
        <v>366</v>
      </c>
      <c r="E8" s="376"/>
      <c r="F8" s="488"/>
    </row>
    <row r="9" spans="1:8" s="485" customFormat="1">
      <c r="A9" s="489"/>
      <c r="B9" s="493"/>
      <c r="C9" s="494"/>
      <c r="D9" s="487"/>
      <c r="E9" s="487"/>
      <c r="F9" s="488"/>
    </row>
    <row r="10" spans="1:8" s="485" customFormat="1">
      <c r="A10" s="489">
        <f>A8-1</f>
        <v>-2</v>
      </c>
      <c r="B10" s="495" t="s">
        <v>367</v>
      </c>
      <c r="C10" s="491">
        <v>45628</v>
      </c>
      <c r="D10" s="492" t="s">
        <v>368</v>
      </c>
      <c r="E10" s="487"/>
      <c r="F10" s="488"/>
    </row>
    <row r="11" spans="1:8" s="501" customFormat="1">
      <c r="A11" s="489"/>
      <c r="B11" s="496"/>
      <c r="C11" s="497"/>
      <c r="D11" s="498"/>
      <c r="E11" s="499"/>
      <c r="F11" s="500"/>
    </row>
    <row r="12" spans="1:8" s="485" customFormat="1">
      <c r="A12" s="489">
        <f>A10-1</f>
        <v>-3</v>
      </c>
      <c r="B12" s="502" t="s">
        <v>369</v>
      </c>
      <c r="C12" s="491">
        <v>551853071.47000003</v>
      </c>
      <c r="D12" s="700" t="s">
        <v>370</v>
      </c>
      <c r="E12" s="487"/>
      <c r="F12" s="488"/>
    </row>
    <row r="13" spans="1:8" s="485" customFormat="1">
      <c r="A13" s="489">
        <f t="shared" ref="A13:A19" si="0">A12-1</f>
        <v>-4</v>
      </c>
      <c r="B13" s="502" t="s">
        <v>371</v>
      </c>
      <c r="C13" s="497">
        <v>-9894757.8599999994</v>
      </c>
      <c r="D13" s="495" t="s">
        <v>372</v>
      </c>
      <c r="E13" s="487"/>
      <c r="F13" s="488"/>
    </row>
    <row r="14" spans="1:8" s="485" customFormat="1">
      <c r="A14" s="489">
        <f t="shared" si="0"/>
        <v>-5</v>
      </c>
      <c r="B14" s="502" t="s">
        <v>373</v>
      </c>
      <c r="C14" s="497">
        <v>7987084.3900000006</v>
      </c>
      <c r="D14" s="487" t="s">
        <v>374</v>
      </c>
      <c r="E14" s="487"/>
      <c r="F14" s="488"/>
      <c r="G14" s="503"/>
      <c r="H14" s="503"/>
    </row>
    <row r="15" spans="1:8" s="485" customFormat="1">
      <c r="A15" s="489">
        <f t="shared" si="0"/>
        <v>-6</v>
      </c>
      <c r="B15" s="502" t="s">
        <v>375</v>
      </c>
      <c r="C15" s="497">
        <v>108327757</v>
      </c>
      <c r="D15" s="495" t="s">
        <v>376</v>
      </c>
      <c r="E15" s="487"/>
      <c r="F15" s="488"/>
    </row>
    <row r="16" spans="1:8" s="485" customFormat="1">
      <c r="A16" s="489">
        <f t="shared" si="0"/>
        <v>-7</v>
      </c>
      <c r="B16" s="502" t="s">
        <v>377</v>
      </c>
      <c r="C16" s="497">
        <v>-8654309.7899999991</v>
      </c>
      <c r="D16" s="495" t="s">
        <v>378</v>
      </c>
      <c r="E16" s="487"/>
      <c r="F16" s="488"/>
    </row>
    <row r="17" spans="1:6" s="485" customFormat="1">
      <c r="A17" s="489">
        <f t="shared" si="0"/>
        <v>-8</v>
      </c>
      <c r="B17" s="502" t="s">
        <v>379</v>
      </c>
      <c r="C17" s="497">
        <v>28366036.66</v>
      </c>
      <c r="D17" s="495" t="s">
        <v>380</v>
      </c>
      <c r="E17" s="487"/>
      <c r="F17" s="488"/>
    </row>
    <row r="18" spans="1:6" s="485" customFormat="1">
      <c r="A18" s="489">
        <f t="shared" si="0"/>
        <v>-9</v>
      </c>
      <c r="B18" s="502" t="s">
        <v>381</v>
      </c>
      <c r="C18" s="638">
        <v>3218637.96</v>
      </c>
      <c r="D18" s="495" t="s">
        <v>382</v>
      </c>
      <c r="E18" s="487"/>
      <c r="F18" s="488"/>
    </row>
    <row r="19" spans="1:6" s="485" customFormat="1">
      <c r="A19" s="489">
        <f t="shared" si="0"/>
        <v>-10</v>
      </c>
      <c r="B19" s="442" t="s">
        <v>383</v>
      </c>
      <c r="C19" s="491">
        <f>ROUND(SUM(C12:C18),0)</f>
        <v>681203520</v>
      </c>
      <c r="D19" s="504" t="s">
        <v>384</v>
      </c>
      <c r="E19" s="487"/>
      <c r="F19" s="488"/>
    </row>
    <row r="20" spans="1:6" s="485" customFormat="1">
      <c r="A20" s="489"/>
      <c r="B20" s="495"/>
      <c r="C20" s="505"/>
      <c r="D20" s="504"/>
      <c r="E20" s="487"/>
      <c r="F20" s="488"/>
    </row>
    <row r="21" spans="1:6" s="485" customFormat="1">
      <c r="A21" s="489">
        <f>A19-1</f>
        <v>-11</v>
      </c>
      <c r="B21" s="495" t="s">
        <v>385</v>
      </c>
      <c r="C21" s="491">
        <f>C8</f>
        <v>1728752</v>
      </c>
      <c r="D21" s="504"/>
      <c r="E21" s="701"/>
      <c r="F21" s="506"/>
    </row>
    <row r="22" spans="1:6" s="485" customFormat="1">
      <c r="A22" s="507">
        <f>A21-1</f>
        <v>-12</v>
      </c>
      <c r="B22" s="508" t="s">
        <v>386</v>
      </c>
      <c r="C22" s="509">
        <f>SUM(C10,C19)</f>
        <v>681249148</v>
      </c>
      <c r="D22" s="510" t="s">
        <v>387</v>
      </c>
      <c r="E22" s="702"/>
      <c r="F22" s="506"/>
    </row>
    <row r="23" spans="1:6" s="485" customFormat="1">
      <c r="A23" s="489">
        <f>A22-1</f>
        <v>-13</v>
      </c>
      <c r="B23" s="495" t="s">
        <v>388</v>
      </c>
      <c r="C23" s="491">
        <f>ROUND(SUM(C12:C13),0)</f>
        <v>541958314</v>
      </c>
      <c r="D23" s="442"/>
      <c r="E23" s="702"/>
      <c r="F23" s="506"/>
    </row>
    <row r="24" spans="1:6" s="485" customFormat="1">
      <c r="A24" s="489">
        <f>A23-1</f>
        <v>-14</v>
      </c>
      <c r="B24" s="495" t="s">
        <v>389</v>
      </c>
      <c r="C24" s="491">
        <f>SUM(C15:C16)</f>
        <v>99673447.210000008</v>
      </c>
      <c r="D24" s="490" t="s">
        <v>390</v>
      </c>
      <c r="E24" s="702"/>
      <c r="F24" s="506"/>
    </row>
    <row r="25" spans="1:6" s="485" customFormat="1">
      <c r="A25" s="489">
        <f>A24-1</f>
        <v>-15</v>
      </c>
      <c r="B25" s="495" t="s">
        <v>391</v>
      </c>
      <c r="C25" s="491">
        <f>SUM(C17:C18)</f>
        <v>31584674.620000001</v>
      </c>
      <c r="D25" s="490" t="s">
        <v>392</v>
      </c>
      <c r="E25" s="702"/>
      <c r="F25" s="506"/>
    </row>
    <row r="26" spans="1:6" s="485" customFormat="1">
      <c r="A26" s="489">
        <f>A25-1</f>
        <v>-16</v>
      </c>
      <c r="B26" s="495" t="s">
        <v>393</v>
      </c>
      <c r="C26" s="491">
        <f>SUM(C10,C14)</f>
        <v>8032712.3900000006</v>
      </c>
      <c r="D26" s="490"/>
      <c r="E26" s="702"/>
      <c r="F26" s="506"/>
    </row>
    <row r="27" spans="1:6" s="485" customFormat="1">
      <c r="A27" s="511"/>
      <c r="B27" s="469"/>
      <c r="C27" s="469"/>
      <c r="D27" s="512"/>
      <c r="E27" s="469"/>
      <c r="F27" s="513"/>
    </row>
    <row r="28" spans="1:6" s="485" customFormat="1">
      <c r="A28" s="376"/>
      <c r="B28" s="376"/>
      <c r="C28" s="376"/>
      <c r="D28" s="376"/>
      <c r="E28" s="376"/>
      <c r="F28" s="376"/>
    </row>
    <row r="29" spans="1:6" s="485" customFormat="1">
      <c r="A29" s="514"/>
      <c r="B29" s="483"/>
      <c r="C29" s="483"/>
      <c r="D29" s="483"/>
      <c r="E29" s="483"/>
      <c r="F29" s="484"/>
    </row>
    <row r="30" spans="1:6" s="485" customFormat="1">
      <c r="A30" s="515"/>
      <c r="B30" s="493" t="s">
        <v>394</v>
      </c>
      <c r="C30" s="487"/>
      <c r="D30" s="487"/>
      <c r="E30" s="487"/>
      <c r="F30" s="488"/>
    </row>
    <row r="31" spans="1:6" s="485" customFormat="1">
      <c r="A31" s="515"/>
      <c r="B31" s="495" t="s">
        <v>395</v>
      </c>
      <c r="C31" s="516">
        <f>'Network True-up'!G6</f>
        <v>541958313.60614061</v>
      </c>
      <c r="D31" s="517"/>
      <c r="E31" s="487"/>
      <c r="F31" s="488"/>
    </row>
    <row r="32" spans="1:6" s="485" customFormat="1">
      <c r="A32" s="515"/>
      <c r="B32" s="487"/>
      <c r="C32" s="487"/>
      <c r="D32" s="376"/>
      <c r="E32" s="487"/>
      <c r="F32" s="488"/>
    </row>
    <row r="33" spans="1:6" s="485" customFormat="1">
      <c r="A33" s="515"/>
      <c r="B33" s="502" t="s">
        <v>396</v>
      </c>
      <c r="C33" s="518">
        <f>-'Network True-up'!G8</f>
        <v>-551853071.47000003</v>
      </c>
      <c r="D33" s="376"/>
      <c r="E33" s="487"/>
      <c r="F33" s="488"/>
    </row>
    <row r="34" spans="1:6" s="485" customFormat="1">
      <c r="A34" s="515"/>
      <c r="B34" s="487"/>
      <c r="C34" s="487"/>
      <c r="D34" s="376"/>
      <c r="E34" s="487"/>
      <c r="F34" s="488"/>
    </row>
    <row r="35" spans="1:6" s="485" customFormat="1" ht="13.8" thickBot="1">
      <c r="A35" s="515"/>
      <c r="B35" s="495" t="s">
        <v>397</v>
      </c>
      <c r="C35" s="519">
        <f>C31+C33</f>
        <v>-9894757.8638594151</v>
      </c>
      <c r="D35" s="376"/>
      <c r="E35" s="487"/>
      <c r="F35" s="488"/>
    </row>
    <row r="36" spans="1:6" s="485" customFormat="1" ht="13.8" thickTop="1">
      <c r="A36" s="511"/>
      <c r="B36" s="469"/>
      <c r="C36" s="469"/>
      <c r="D36" s="469"/>
      <c r="E36" s="469"/>
      <c r="F36" s="513"/>
    </row>
    <row r="37" spans="1:6" s="485" customFormat="1">
      <c r="A37" s="376"/>
      <c r="B37" s="376"/>
      <c r="C37" s="376"/>
      <c r="D37" s="376"/>
      <c r="E37" s="376"/>
      <c r="F37" s="376"/>
    </row>
  </sheetData>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L312"/>
  <sheetViews>
    <sheetView showGridLines="0" zoomScale="70" zoomScaleNormal="70" zoomScaleSheetLayoutView="70" workbookViewId="0">
      <selection activeCell="Q103" sqref="Q103"/>
    </sheetView>
  </sheetViews>
  <sheetFormatPr defaultColWidth="9.109375" defaultRowHeight="15"/>
  <cols>
    <col min="1" max="1" width="7.6640625" style="232" customWidth="1"/>
    <col min="2" max="2" width="1.88671875" style="232" customWidth="1"/>
    <col min="3" max="3" width="71.33203125" style="232" bestFit="1" customWidth="1"/>
    <col min="4" max="4" width="17.88671875" style="232" customWidth="1"/>
    <col min="5" max="5" width="25.88671875" style="232" customWidth="1"/>
    <col min="6" max="6" width="15.33203125" style="232" customWidth="1"/>
    <col min="7" max="7" width="18.109375" style="232" customWidth="1"/>
    <col min="8" max="8" width="17.88671875" style="232" customWidth="1"/>
    <col min="9" max="10" width="16.44140625" style="232" customWidth="1"/>
    <col min="11" max="11" width="20" style="232" customWidth="1"/>
    <col min="12" max="12" width="18.5546875" style="232" customWidth="1"/>
    <col min="13" max="13" width="20.5546875" style="232" customWidth="1"/>
    <col min="14" max="14" width="16.44140625" style="232" customWidth="1"/>
    <col min="15" max="15" width="17.88671875" style="232" customWidth="1"/>
    <col min="16" max="16" width="2.44140625" style="232" customWidth="1"/>
    <col min="17" max="17" width="16.6640625" style="232" customWidth="1"/>
    <col min="18" max="16384" width="9.109375" style="232"/>
  </cols>
  <sheetData>
    <row r="1" spans="1:64">
      <c r="O1" s="233"/>
    </row>
    <row r="2" spans="1:64">
      <c r="C2" s="234"/>
      <c r="D2" s="234"/>
      <c r="E2" s="234"/>
      <c r="F2" s="234"/>
      <c r="G2" s="234"/>
      <c r="H2" s="234"/>
      <c r="I2" s="234"/>
      <c r="J2" s="234"/>
      <c r="K2" s="234"/>
      <c r="L2" s="234"/>
      <c r="M2" s="234"/>
      <c r="N2" s="234"/>
      <c r="O2" s="235"/>
    </row>
    <row r="3" spans="1:64">
      <c r="C3" s="234"/>
      <c r="D3" s="234"/>
      <c r="E3" s="234"/>
      <c r="F3" s="234"/>
      <c r="G3" s="234"/>
      <c r="H3" s="234"/>
      <c r="I3" s="234"/>
      <c r="J3" s="234"/>
      <c r="K3" s="234"/>
      <c r="L3" s="234"/>
      <c r="M3" s="234"/>
      <c r="N3" s="234"/>
      <c r="O3" s="234"/>
    </row>
    <row r="4" spans="1:64">
      <c r="C4" s="234"/>
      <c r="D4" s="234"/>
      <c r="E4" s="234"/>
      <c r="F4" s="234"/>
      <c r="G4" s="234"/>
      <c r="H4" s="234"/>
      <c r="I4" s="234"/>
      <c r="J4" s="234"/>
      <c r="K4" s="234"/>
      <c r="L4" s="234"/>
      <c r="M4" s="234"/>
      <c r="N4" s="234"/>
      <c r="O4" s="235" t="s">
        <v>398</v>
      </c>
    </row>
    <row r="5" spans="1:64" ht="15.6">
      <c r="C5" s="236" t="s">
        <v>399</v>
      </c>
      <c r="D5" s="236"/>
      <c r="E5" s="236"/>
      <c r="F5" s="236"/>
      <c r="G5" s="237" t="s">
        <v>400</v>
      </c>
      <c r="H5" s="236"/>
      <c r="I5" s="236"/>
      <c r="J5" s="236"/>
      <c r="K5" s="238"/>
      <c r="L5" s="238"/>
      <c r="M5" s="239"/>
      <c r="N5" s="240"/>
      <c r="O5" s="241" t="s">
        <v>401</v>
      </c>
      <c r="P5" s="242"/>
      <c r="Q5" s="243"/>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row>
    <row r="6" spans="1:64">
      <c r="C6" s="236"/>
      <c r="D6" s="236"/>
      <c r="E6" s="244" t="s">
        <v>11</v>
      </c>
      <c r="F6" s="244"/>
      <c r="G6" s="244" t="s">
        <v>402</v>
      </c>
      <c r="H6" s="244"/>
      <c r="I6" s="244"/>
      <c r="J6" s="244"/>
      <c r="K6" s="238"/>
      <c r="L6" s="238"/>
      <c r="M6" s="234"/>
      <c r="N6" s="245"/>
      <c r="O6" s="238"/>
      <c r="P6" s="242"/>
      <c r="Q6" s="246"/>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row>
    <row r="7" spans="1:64">
      <c r="A7" s="234"/>
      <c r="C7" s="245"/>
      <c r="D7" s="245"/>
      <c r="E7" s="245"/>
      <c r="F7" s="245"/>
      <c r="G7" s="245"/>
      <c r="H7" s="245"/>
      <c r="I7" s="245"/>
      <c r="J7" s="245"/>
      <c r="K7" s="245"/>
      <c r="L7" s="245"/>
      <c r="M7" s="234"/>
      <c r="N7" s="245"/>
      <c r="O7" s="245" t="s">
        <v>403</v>
      </c>
      <c r="P7" s="242"/>
      <c r="Q7" s="243"/>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row>
    <row r="8" spans="1:64">
      <c r="A8" s="247"/>
      <c r="C8" s="245"/>
      <c r="D8" s="245"/>
      <c r="E8" s="245"/>
      <c r="F8" s="240"/>
      <c r="G8" s="248" t="s">
        <v>0</v>
      </c>
      <c r="H8" s="240"/>
      <c r="I8" s="245"/>
      <c r="J8" s="245"/>
      <c r="K8" s="245"/>
      <c r="L8" s="245"/>
      <c r="M8" s="245"/>
      <c r="N8" s="245"/>
      <c r="O8" s="245"/>
      <c r="P8" s="242"/>
      <c r="Q8" s="243"/>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row>
    <row r="9" spans="1:64">
      <c r="A9" s="247"/>
      <c r="C9" s="245"/>
      <c r="D9" s="245"/>
      <c r="E9" s="245"/>
      <c r="F9" s="245"/>
      <c r="G9" s="249"/>
      <c r="H9" s="245"/>
      <c r="I9" s="245"/>
      <c r="J9" s="245"/>
      <c r="K9" s="245"/>
      <c r="L9" s="245"/>
      <c r="M9" s="245"/>
      <c r="N9" s="245"/>
      <c r="O9" s="245"/>
      <c r="P9" s="242"/>
      <c r="Q9" s="243"/>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row>
    <row r="10" spans="1:64">
      <c r="A10" s="247"/>
      <c r="C10" s="245" t="s">
        <v>404</v>
      </c>
      <c r="D10" s="245"/>
      <c r="E10" s="245"/>
      <c r="F10" s="245"/>
      <c r="G10" s="249"/>
      <c r="H10" s="245"/>
      <c r="I10" s="245"/>
      <c r="J10" s="245"/>
      <c r="K10" s="245"/>
      <c r="L10" s="245"/>
      <c r="M10" s="245"/>
      <c r="N10" s="245"/>
      <c r="O10" s="245"/>
      <c r="P10" s="242"/>
      <c r="Q10" s="243"/>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row>
    <row r="11" spans="1:64">
      <c r="A11" s="247"/>
      <c r="C11" s="245"/>
      <c r="D11" s="245"/>
      <c r="E11" s="245"/>
      <c r="F11" s="245"/>
      <c r="G11" s="249"/>
      <c r="H11" s="234"/>
      <c r="I11" s="234"/>
      <c r="J11" s="234"/>
      <c r="K11" s="234"/>
      <c r="L11" s="234"/>
      <c r="M11" s="245"/>
      <c r="N11" s="245"/>
      <c r="O11" s="245"/>
      <c r="P11" s="242"/>
      <c r="Q11" s="242"/>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row>
    <row r="12" spans="1:64">
      <c r="A12" s="247"/>
      <c r="C12" s="245"/>
      <c r="D12" s="245"/>
      <c r="E12" s="245"/>
      <c r="F12" s="245"/>
      <c r="G12" s="245"/>
      <c r="H12" s="234"/>
      <c r="I12" s="234"/>
      <c r="J12" s="234"/>
      <c r="K12" s="234"/>
      <c r="L12" s="234"/>
      <c r="M12" s="250"/>
      <c r="N12" s="245"/>
      <c r="O12" s="245"/>
      <c r="P12" s="242"/>
      <c r="Q12" s="242"/>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row>
    <row r="13" spans="1:64">
      <c r="A13" s="234"/>
      <c r="C13" s="251" t="s">
        <v>69</v>
      </c>
      <c r="D13" s="251"/>
      <c r="E13" s="251" t="s">
        <v>70</v>
      </c>
      <c r="F13" s="251"/>
      <c r="G13" s="251" t="s">
        <v>71</v>
      </c>
      <c r="H13" s="234"/>
      <c r="I13" s="234"/>
      <c r="J13" s="234"/>
      <c r="K13" s="234"/>
      <c r="L13" s="234"/>
      <c r="M13" s="252" t="s">
        <v>72</v>
      </c>
      <c r="N13" s="244"/>
      <c r="O13" s="252"/>
      <c r="P13" s="253"/>
      <c r="Q13" s="252"/>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row>
    <row r="14" spans="1:64" ht="15.6">
      <c r="A14" s="234"/>
      <c r="C14" s="255"/>
      <c r="D14" s="255"/>
      <c r="E14" s="256" t="s">
        <v>405</v>
      </c>
      <c r="F14" s="256"/>
      <c r="G14" s="244"/>
      <c r="H14" s="234"/>
      <c r="I14" s="234"/>
      <c r="J14" s="234"/>
      <c r="K14" s="234"/>
      <c r="L14" s="234"/>
      <c r="M14" s="234"/>
      <c r="N14" s="244"/>
      <c r="O14" s="234"/>
      <c r="P14" s="253"/>
      <c r="Q14" s="257"/>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row>
    <row r="15" spans="1:64" ht="15.6">
      <c r="A15" s="247" t="s">
        <v>15</v>
      </c>
      <c r="C15" s="255"/>
      <c r="D15" s="255"/>
      <c r="E15" s="258" t="s">
        <v>76</v>
      </c>
      <c r="F15" s="258"/>
      <c r="G15" s="259" t="s">
        <v>75</v>
      </c>
      <c r="H15" s="234"/>
      <c r="I15" s="234"/>
      <c r="J15" s="234"/>
      <c r="K15" s="234"/>
      <c r="L15" s="234"/>
      <c r="M15" s="259" t="s">
        <v>23</v>
      </c>
      <c r="N15" s="244"/>
      <c r="O15" s="234"/>
      <c r="P15" s="242"/>
      <c r="Q15" s="260"/>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row>
    <row r="16" spans="1:64" ht="15.6">
      <c r="A16" s="247" t="s">
        <v>17</v>
      </c>
      <c r="C16" s="261"/>
      <c r="D16" s="261"/>
      <c r="E16" s="244"/>
      <c r="F16" s="244"/>
      <c r="G16" s="244"/>
      <c r="H16" s="234"/>
      <c r="I16" s="234"/>
      <c r="J16" s="234"/>
      <c r="K16" s="234"/>
      <c r="L16" s="234"/>
      <c r="M16" s="244"/>
      <c r="N16" s="244"/>
      <c r="O16" s="244"/>
      <c r="P16" s="242"/>
      <c r="Q16" s="253"/>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row>
    <row r="17" spans="1:64" ht="15.6">
      <c r="A17" s="262"/>
      <c r="C17" s="255"/>
      <c r="D17" s="255"/>
      <c r="E17" s="244"/>
      <c r="F17" s="244"/>
      <c r="G17" s="244"/>
      <c r="H17" s="234"/>
      <c r="I17" s="234"/>
      <c r="J17" s="234"/>
      <c r="K17" s="234"/>
      <c r="L17" s="234"/>
      <c r="M17" s="244"/>
      <c r="N17" s="244"/>
      <c r="O17" s="244"/>
      <c r="P17" s="242"/>
      <c r="Q17" s="253"/>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row>
    <row r="18" spans="1:64">
      <c r="A18" s="263">
        <v>1</v>
      </c>
      <c r="C18" s="255" t="s">
        <v>406</v>
      </c>
      <c r="D18" s="255"/>
      <c r="E18" s="264" t="s">
        <v>407</v>
      </c>
      <c r="F18" s="264"/>
      <c r="G18" s="265">
        <f>'ATC Attach O ER19-838'!I87+'ATC Attach O ER19-838'!I88</f>
        <v>5773231258</v>
      </c>
      <c r="H18" s="234"/>
      <c r="I18" s="266"/>
      <c r="J18" s="234"/>
      <c r="K18" s="234"/>
      <c r="L18" s="234"/>
      <c r="M18" s="234"/>
      <c r="N18" s="244"/>
      <c r="O18" s="244"/>
      <c r="P18" s="242"/>
      <c r="Q18" s="253"/>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row>
    <row r="19" spans="1:64">
      <c r="A19" s="263">
        <v>2</v>
      </c>
      <c r="C19" s="255" t="s">
        <v>408</v>
      </c>
      <c r="D19" s="255"/>
      <c r="E19" s="264" t="s">
        <v>409</v>
      </c>
      <c r="F19" s="264"/>
      <c r="G19" s="265">
        <f>'ATC Attach O ER19-838'!I105+'ATC Attach O ER19-838'!I106</f>
        <v>4302941286</v>
      </c>
      <c r="H19" s="234"/>
      <c r="I19" s="266"/>
      <c r="J19" s="234"/>
      <c r="K19" s="234"/>
      <c r="L19" s="234"/>
      <c r="M19" s="234"/>
      <c r="N19" s="244"/>
      <c r="O19" s="244"/>
      <c r="P19" s="242"/>
      <c r="Q19" s="253"/>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row>
    <row r="20" spans="1:64">
      <c r="A20" s="263"/>
      <c r="C20" s="234"/>
      <c r="D20" s="234"/>
      <c r="E20" s="264"/>
      <c r="F20" s="264"/>
      <c r="G20" s="253"/>
      <c r="H20" s="234"/>
      <c r="I20" s="234"/>
      <c r="J20" s="234"/>
      <c r="K20" s="234"/>
      <c r="L20" s="234"/>
      <c r="M20" s="234"/>
      <c r="N20" s="244"/>
      <c r="O20" s="244"/>
      <c r="P20" s="242"/>
      <c r="Q20" s="253"/>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row>
    <row r="21" spans="1:64">
      <c r="A21" s="263"/>
      <c r="C21" s="255" t="s">
        <v>410</v>
      </c>
      <c r="D21" s="255"/>
      <c r="E21" s="264"/>
      <c r="F21" s="264"/>
      <c r="G21" s="244"/>
      <c r="H21" s="234"/>
      <c r="I21" s="234"/>
      <c r="J21" s="234"/>
      <c r="K21" s="234"/>
      <c r="L21" s="234"/>
      <c r="M21" s="244"/>
      <c r="N21" s="244"/>
      <c r="O21" s="244"/>
      <c r="P21" s="253"/>
      <c r="Q21" s="253"/>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row>
    <row r="22" spans="1:64">
      <c r="A22" s="263">
        <v>3</v>
      </c>
      <c r="C22" s="255" t="s">
        <v>411</v>
      </c>
      <c r="D22" s="255"/>
      <c r="E22" s="264" t="s">
        <v>412</v>
      </c>
      <c r="F22" s="264"/>
      <c r="G22" s="265">
        <f>'ATC Attach O ER19-838'!I165</f>
        <v>147867544.3292425</v>
      </c>
      <c r="H22" s="234"/>
      <c r="I22" s="266"/>
      <c r="J22" s="234"/>
      <c r="K22" s="234"/>
      <c r="L22" s="234"/>
      <c r="M22" s="244"/>
      <c r="N22" s="244"/>
      <c r="O22" s="244"/>
      <c r="P22" s="253"/>
      <c r="Q22" s="253"/>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row>
    <row r="23" spans="1:64">
      <c r="A23" s="263" t="s">
        <v>413</v>
      </c>
      <c r="B23" s="266"/>
      <c r="C23" s="255" t="s">
        <v>414</v>
      </c>
      <c r="D23" s="255"/>
      <c r="E23" s="264" t="s">
        <v>415</v>
      </c>
      <c r="F23" s="264"/>
      <c r="G23" s="267">
        <v>6351874</v>
      </c>
      <c r="H23" s="234"/>
      <c r="I23" s="266"/>
      <c r="J23" s="234"/>
      <c r="K23" s="234"/>
      <c r="L23" s="234"/>
      <c r="M23" s="244"/>
      <c r="N23" s="244"/>
      <c r="O23" s="244"/>
      <c r="P23" s="253"/>
      <c r="Q23" s="253"/>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row>
    <row r="24" spans="1:64">
      <c r="A24" s="263" t="s">
        <v>416</v>
      </c>
      <c r="B24" s="266"/>
      <c r="C24" s="255" t="s">
        <v>417</v>
      </c>
      <c r="D24" s="255"/>
      <c r="E24" s="264" t="s">
        <v>418</v>
      </c>
      <c r="F24" s="264"/>
      <c r="G24" s="268">
        <f>+G22-G23</f>
        <v>141515670.3292425</v>
      </c>
      <c r="H24" s="234"/>
      <c r="I24" s="266"/>
      <c r="J24" s="234"/>
      <c r="K24" s="234"/>
      <c r="L24" s="234"/>
      <c r="M24" s="234"/>
      <c r="N24" s="244"/>
      <c r="O24" s="244"/>
      <c r="P24" s="253"/>
      <c r="Q24" s="253"/>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row>
    <row r="25" spans="1:64" ht="15.6">
      <c r="A25" s="263">
        <v>4</v>
      </c>
      <c r="C25" s="255" t="s">
        <v>419</v>
      </c>
      <c r="D25" s="255"/>
      <c r="E25" s="264" t="s">
        <v>420</v>
      </c>
      <c r="F25" s="264"/>
      <c r="G25" s="269">
        <f>IF(G24=0,0,G24/G18)</f>
        <v>2.4512385526414417E-2</v>
      </c>
      <c r="H25" s="234"/>
      <c r="I25" s="655"/>
      <c r="J25" s="234"/>
      <c r="K25" s="234"/>
      <c r="L25" s="234"/>
      <c r="M25" s="270">
        <f>G25</f>
        <v>2.4512385526414417E-2</v>
      </c>
      <c r="N25" s="244"/>
      <c r="O25" s="271"/>
      <c r="P25" s="272"/>
      <c r="Q25" s="273"/>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row>
    <row r="26" spans="1:64" ht="15.6">
      <c r="A26" s="263"/>
      <c r="C26" s="255"/>
      <c r="D26" s="255"/>
      <c r="E26" s="264"/>
      <c r="F26" s="264"/>
      <c r="G26" s="269"/>
      <c r="H26" s="234"/>
      <c r="I26" s="234"/>
      <c r="J26" s="234"/>
      <c r="K26" s="234"/>
      <c r="L26" s="234"/>
      <c r="M26" s="270"/>
      <c r="N26" s="244"/>
      <c r="O26" s="271"/>
      <c r="P26" s="272"/>
      <c r="Q26" s="273"/>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row>
    <row r="27" spans="1:64" ht="15.6">
      <c r="A27" s="274"/>
      <c r="B27" s="234"/>
      <c r="C27" s="255" t="s">
        <v>421</v>
      </c>
      <c r="D27" s="255"/>
      <c r="E27" s="275"/>
      <c r="F27" s="275"/>
      <c r="G27" s="244"/>
      <c r="H27" s="234"/>
      <c r="I27" s="234"/>
      <c r="J27" s="234"/>
      <c r="K27" s="234"/>
      <c r="L27" s="234"/>
      <c r="M27" s="244"/>
      <c r="N27" s="244"/>
      <c r="O27" s="271"/>
      <c r="P27" s="272"/>
      <c r="Q27" s="273"/>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row>
    <row r="28" spans="1:64" ht="15.6">
      <c r="A28" s="274" t="s">
        <v>422</v>
      </c>
      <c r="B28" s="234"/>
      <c r="C28" s="255" t="s">
        <v>423</v>
      </c>
      <c r="D28" s="255"/>
      <c r="E28" s="264" t="s">
        <v>424</v>
      </c>
      <c r="F28" s="264"/>
      <c r="G28" s="265">
        <f>'ATC Attach O ER19-838'!I169+'ATC Attach O ER19-838'!I170</f>
        <v>16219952</v>
      </c>
      <c r="H28" s="234"/>
      <c r="I28" s="266"/>
      <c r="J28" s="234"/>
      <c r="K28" s="234"/>
      <c r="L28" s="234"/>
      <c r="M28" s="234"/>
      <c r="N28" s="244"/>
      <c r="O28" s="271"/>
      <c r="P28" s="272"/>
      <c r="Q28" s="273"/>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row>
    <row r="29" spans="1:64" ht="15.6">
      <c r="A29" s="274" t="s">
        <v>425</v>
      </c>
      <c r="B29" s="234"/>
      <c r="C29" s="255" t="s">
        <v>426</v>
      </c>
      <c r="D29" s="255"/>
      <c r="E29" s="264" t="s">
        <v>427</v>
      </c>
      <c r="F29" s="264"/>
      <c r="G29" s="269">
        <f>IF(G28=0,0,G28/G18)</f>
        <v>2.8095101815857311E-3</v>
      </c>
      <c r="H29" s="234"/>
      <c r="I29" s="655"/>
      <c r="J29" s="234"/>
      <c r="K29" s="234"/>
      <c r="L29" s="234"/>
      <c r="M29" s="270">
        <f>G29</f>
        <v>2.8095101815857311E-3</v>
      </c>
      <c r="N29" s="244"/>
      <c r="O29" s="271"/>
      <c r="P29" s="272"/>
      <c r="Q29" s="273"/>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row>
    <row r="30" spans="1:64" ht="15.6">
      <c r="A30" s="263"/>
      <c r="C30" s="255"/>
      <c r="D30" s="255"/>
      <c r="E30" s="264"/>
      <c r="F30" s="264"/>
      <c r="G30" s="269"/>
      <c r="H30" s="234"/>
      <c r="I30" s="234"/>
      <c r="J30" s="234"/>
      <c r="K30" s="234"/>
      <c r="L30" s="234"/>
      <c r="M30" s="270"/>
      <c r="N30" s="244"/>
      <c r="O30" s="271"/>
      <c r="P30" s="272"/>
      <c r="Q30" s="273"/>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row>
    <row r="31" spans="1:64">
      <c r="A31" s="274"/>
      <c r="C31" s="255" t="s">
        <v>428</v>
      </c>
      <c r="D31" s="255"/>
      <c r="E31" s="275"/>
      <c r="F31" s="275"/>
      <c r="G31" s="244"/>
      <c r="H31" s="234"/>
      <c r="I31" s="234"/>
      <c r="J31" s="234"/>
      <c r="K31" s="234"/>
      <c r="L31" s="234"/>
      <c r="M31" s="244"/>
      <c r="N31" s="244"/>
      <c r="O31" s="244"/>
      <c r="P31" s="253"/>
      <c r="Q31" s="24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row>
    <row r="32" spans="1:64" ht="15.6">
      <c r="A32" s="274" t="s">
        <v>429</v>
      </c>
      <c r="C32" s="255" t="s">
        <v>430</v>
      </c>
      <c r="D32" s="255"/>
      <c r="E32" s="264" t="s">
        <v>431</v>
      </c>
      <c r="F32" s="264"/>
      <c r="G32" s="265">
        <f>'ATC Attach O ER19-838'!I182</f>
        <v>27897383</v>
      </c>
      <c r="H32" s="234"/>
      <c r="I32" s="266"/>
      <c r="J32" s="234"/>
      <c r="K32" s="234"/>
      <c r="L32" s="234"/>
      <c r="M32" s="234"/>
      <c r="N32" s="244"/>
      <c r="O32" s="276"/>
      <c r="P32" s="253"/>
      <c r="Q32" s="263"/>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row>
    <row r="33" spans="1:64" ht="15.6">
      <c r="A33" s="274" t="s">
        <v>432</v>
      </c>
      <c r="C33" s="255" t="s">
        <v>433</v>
      </c>
      <c r="D33" s="255"/>
      <c r="E33" s="264" t="s">
        <v>434</v>
      </c>
      <c r="F33" s="264"/>
      <c r="G33" s="269">
        <f>IF(G32=0,0,G32/G18)</f>
        <v>4.8321956549622772E-3</v>
      </c>
      <c r="H33" s="234"/>
      <c r="I33" s="655"/>
      <c r="J33" s="234"/>
      <c r="K33" s="234"/>
      <c r="L33" s="234"/>
      <c r="M33" s="270">
        <f>G33</f>
        <v>4.8321956549622772E-3</v>
      </c>
      <c r="N33" s="244"/>
      <c r="O33" s="271"/>
      <c r="P33" s="253"/>
      <c r="Q33" s="273"/>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row>
    <row r="34" spans="1:64">
      <c r="A34" s="274"/>
      <c r="C34" s="255"/>
      <c r="D34" s="255"/>
      <c r="E34" s="264"/>
      <c r="F34" s="264"/>
      <c r="G34" s="244"/>
      <c r="H34" s="234"/>
      <c r="I34" s="234"/>
      <c r="J34" s="234"/>
      <c r="K34" s="234"/>
      <c r="L34" s="234"/>
      <c r="M34" s="244"/>
      <c r="N34" s="244"/>
      <c r="O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row>
    <row r="35" spans="1:64" ht="15.6">
      <c r="A35" s="277" t="s">
        <v>435</v>
      </c>
      <c r="B35" s="278"/>
      <c r="C35" s="261" t="s">
        <v>436</v>
      </c>
      <c r="D35" s="261"/>
      <c r="E35" s="256" t="s">
        <v>437</v>
      </c>
      <c r="F35" s="256"/>
      <c r="G35" s="279"/>
      <c r="H35" s="234"/>
      <c r="I35" s="234"/>
      <c r="J35" s="234"/>
      <c r="K35" s="234"/>
      <c r="L35" s="234"/>
      <c r="M35" s="280">
        <f>M25+M29+M33</f>
        <v>3.2154091362962427E-2</v>
      </c>
      <c r="N35" s="244"/>
      <c r="O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row>
    <row r="36" spans="1:64">
      <c r="A36" s="274"/>
      <c r="C36" s="255"/>
      <c r="D36" s="255"/>
      <c r="E36" s="264"/>
      <c r="F36" s="264"/>
      <c r="G36" s="244"/>
      <c r="H36" s="234"/>
      <c r="I36" s="234"/>
      <c r="J36" s="234"/>
      <c r="K36" s="234"/>
      <c r="L36" s="234"/>
      <c r="M36" s="244"/>
      <c r="N36" s="244"/>
      <c r="O36" s="244"/>
      <c r="P36" s="253"/>
      <c r="Q36" s="281"/>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row>
    <row r="37" spans="1:64">
      <c r="A37" s="274"/>
      <c r="B37" s="282"/>
      <c r="C37" s="244" t="s">
        <v>438</v>
      </c>
      <c r="D37" s="244"/>
      <c r="E37" s="264"/>
      <c r="F37" s="264"/>
      <c r="G37" s="244"/>
      <c r="H37" s="234"/>
      <c r="I37" s="234"/>
      <c r="J37" s="234"/>
      <c r="K37" s="234"/>
      <c r="L37" s="234"/>
      <c r="M37" s="244"/>
      <c r="N37" s="244"/>
      <c r="O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row>
    <row r="38" spans="1:64">
      <c r="A38" s="274" t="s">
        <v>439</v>
      </c>
      <c r="B38" s="282"/>
      <c r="C38" s="244" t="s">
        <v>440</v>
      </c>
      <c r="D38" s="244"/>
      <c r="E38" s="264" t="s">
        <v>441</v>
      </c>
      <c r="F38" s="264"/>
      <c r="G38" s="265">
        <f>'ATC Attach O ER19-838'!I197</f>
        <v>58326262.592863396</v>
      </c>
      <c r="H38" s="234"/>
      <c r="I38" s="266"/>
      <c r="J38" s="234"/>
      <c r="K38" s="234"/>
      <c r="L38" s="234"/>
      <c r="M38" s="244"/>
      <c r="N38" s="244"/>
      <c r="O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row>
    <row r="39" spans="1:64" ht="15.6">
      <c r="A39" s="274" t="s">
        <v>442</v>
      </c>
      <c r="B39" s="282"/>
      <c r="C39" s="244" t="s">
        <v>443</v>
      </c>
      <c r="D39" s="244"/>
      <c r="E39" s="264" t="s">
        <v>444</v>
      </c>
      <c r="F39" s="264"/>
      <c r="G39" s="269">
        <f>IF(G38=0,0,G38/G19)</f>
        <v>1.3554975240455418E-2</v>
      </c>
      <c r="H39" s="234"/>
      <c r="I39" s="655"/>
      <c r="J39" s="234"/>
      <c r="K39" s="234"/>
      <c r="L39" s="234"/>
      <c r="M39" s="270">
        <f>G39</f>
        <v>1.3554975240455418E-2</v>
      </c>
      <c r="N39" s="244"/>
      <c r="O39" s="234"/>
      <c r="P39" s="253"/>
      <c r="Q39" s="253"/>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row>
    <row r="40" spans="1:64">
      <c r="A40" s="274"/>
      <c r="C40" s="244"/>
      <c r="D40" s="244"/>
      <c r="E40" s="264"/>
      <c r="F40" s="264"/>
      <c r="G40" s="244"/>
      <c r="H40" s="234"/>
      <c r="I40" s="234"/>
      <c r="J40" s="234"/>
      <c r="K40" s="234"/>
      <c r="L40" s="234"/>
      <c r="M40" s="244"/>
      <c r="N40" s="244"/>
      <c r="O40" s="234"/>
      <c r="P40" s="242"/>
      <c r="Q40" s="253"/>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row>
    <row r="41" spans="1:64">
      <c r="A41" s="274"/>
      <c r="C41" s="255" t="s">
        <v>197</v>
      </c>
      <c r="D41" s="255"/>
      <c r="E41" s="283"/>
      <c r="F41" s="283"/>
      <c r="G41" s="234"/>
      <c r="H41" s="234"/>
      <c r="I41" s="234"/>
      <c r="J41" s="234"/>
      <c r="K41" s="234"/>
      <c r="L41" s="234"/>
      <c r="M41" s="234"/>
      <c r="N41" s="244"/>
      <c r="O41" s="234"/>
      <c r="P41" s="253"/>
      <c r="Q41" s="253"/>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row>
    <row r="42" spans="1:64">
      <c r="A42" s="274" t="s">
        <v>445</v>
      </c>
      <c r="C42" s="255" t="s">
        <v>446</v>
      </c>
      <c r="D42" s="255"/>
      <c r="E42" s="264" t="s">
        <v>447</v>
      </c>
      <c r="F42" s="264"/>
      <c r="G42" s="265">
        <f>'ATC Attach O ER19-838'!I199</f>
        <v>282163280.5221566</v>
      </c>
      <c r="H42" s="234"/>
      <c r="I42" s="266"/>
      <c r="J42" s="234"/>
      <c r="K42" s="234"/>
      <c r="L42" s="234"/>
      <c r="M42" s="244"/>
      <c r="N42" s="244"/>
      <c r="O42" s="234"/>
      <c r="P42" s="253"/>
      <c r="Q42" s="253"/>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row>
    <row r="43" spans="1:64" ht="15.6">
      <c r="A43" s="274" t="s">
        <v>448</v>
      </c>
      <c r="B43" s="282"/>
      <c r="C43" s="244" t="s">
        <v>449</v>
      </c>
      <c r="D43" s="244"/>
      <c r="E43" s="264" t="s">
        <v>450</v>
      </c>
      <c r="F43" s="264"/>
      <c r="G43" s="284">
        <f>IF(G42=0,0,G42/G19)</f>
        <v>6.5574513284715225E-2</v>
      </c>
      <c r="H43" s="234"/>
      <c r="I43" s="655"/>
      <c r="J43" s="234"/>
      <c r="K43" s="234"/>
      <c r="L43" s="234"/>
      <c r="M43" s="270">
        <f>G43</f>
        <v>6.5574513284715225E-2</v>
      </c>
      <c r="N43" s="244"/>
      <c r="O43" s="234"/>
      <c r="Q43" s="285"/>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row>
    <row r="44" spans="1:64">
      <c r="A44" s="274"/>
      <c r="C44" s="255"/>
      <c r="D44" s="255"/>
      <c r="E44" s="264"/>
      <c r="F44" s="264"/>
      <c r="G44" s="244"/>
      <c r="H44" s="234"/>
      <c r="I44" s="234"/>
      <c r="J44" s="234"/>
      <c r="K44" s="234"/>
      <c r="L44" s="234"/>
      <c r="M44" s="244"/>
      <c r="N44" s="244"/>
      <c r="O44" s="283"/>
      <c r="P44" s="253"/>
      <c r="Q44" s="253"/>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row>
    <row r="45" spans="1:64" ht="15.6">
      <c r="A45" s="277" t="s">
        <v>451</v>
      </c>
      <c r="B45" s="278"/>
      <c r="C45" s="261" t="s">
        <v>452</v>
      </c>
      <c r="D45" s="261"/>
      <c r="E45" s="256" t="s">
        <v>453</v>
      </c>
      <c r="F45" s="256"/>
      <c r="G45" s="279"/>
      <c r="H45" s="234"/>
      <c r="I45" s="234"/>
      <c r="J45" s="234"/>
      <c r="K45" s="234"/>
      <c r="L45" s="234"/>
      <c r="M45" s="280">
        <f>M39+M43</f>
        <v>7.9129488525170641E-2</v>
      </c>
      <c r="N45" s="244"/>
      <c r="O45" s="283"/>
      <c r="P45" s="253"/>
      <c r="Q45" s="253"/>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row>
    <row r="46" spans="1:64">
      <c r="A46" s="234"/>
      <c r="C46" s="234"/>
      <c r="D46" s="234"/>
      <c r="E46" s="234"/>
      <c r="F46" s="234"/>
      <c r="G46" s="234"/>
      <c r="H46" s="234"/>
      <c r="I46" s="234"/>
      <c r="J46" s="234"/>
      <c r="K46" s="234"/>
      <c r="L46" s="234"/>
      <c r="M46" s="234"/>
      <c r="N46" s="245"/>
      <c r="O46" s="245"/>
      <c r="P46" s="253"/>
      <c r="Q46" s="253"/>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row>
    <row r="47" spans="1:64">
      <c r="C47" s="234"/>
      <c r="D47" s="234"/>
      <c r="E47" s="234"/>
      <c r="F47" s="234"/>
      <c r="G47" s="234"/>
      <c r="H47" s="234"/>
      <c r="I47" s="234"/>
      <c r="J47" s="234"/>
      <c r="K47" s="234"/>
      <c r="L47" s="234"/>
      <c r="M47" s="234"/>
      <c r="N47" s="245"/>
      <c r="O47" s="245"/>
      <c r="P47" s="253"/>
      <c r="Q47" s="253"/>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row>
    <row r="48" spans="1:64">
      <c r="C48" s="234"/>
      <c r="D48" s="234"/>
      <c r="E48" s="234"/>
      <c r="F48" s="234"/>
      <c r="G48" s="234"/>
      <c r="H48" s="234"/>
      <c r="I48" s="234"/>
      <c r="J48" s="234"/>
      <c r="K48" s="234"/>
      <c r="L48" s="234"/>
      <c r="M48" s="234"/>
      <c r="N48" s="245"/>
      <c r="O48" s="245"/>
      <c r="P48" s="253"/>
      <c r="Q48" s="253"/>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row>
    <row r="49" spans="1:64">
      <c r="C49" s="234"/>
      <c r="D49" s="234"/>
      <c r="E49" s="234"/>
      <c r="F49" s="234"/>
      <c r="G49" s="234"/>
      <c r="H49" s="234"/>
      <c r="I49" s="234"/>
      <c r="J49" s="234"/>
      <c r="K49" s="234"/>
      <c r="L49" s="234"/>
      <c r="M49" s="234"/>
      <c r="N49" s="245"/>
      <c r="O49" s="245"/>
      <c r="P49" s="254"/>
      <c r="Q49" s="25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row>
    <row r="50" spans="1:64">
      <c r="C50" s="234"/>
      <c r="D50" s="234"/>
      <c r="E50" s="234"/>
      <c r="F50" s="234"/>
      <c r="G50" s="234"/>
      <c r="H50" s="234"/>
      <c r="I50" s="234"/>
      <c r="J50" s="234"/>
      <c r="K50" s="234"/>
      <c r="L50" s="234"/>
      <c r="M50" s="234"/>
      <c r="N50" s="244"/>
      <c r="O50" s="244"/>
      <c r="P50" s="253"/>
      <c r="Q50" s="242"/>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row>
    <row r="51" spans="1:64" ht="15.6">
      <c r="C51" s="234"/>
      <c r="D51" s="234"/>
      <c r="E51" s="234"/>
      <c r="F51" s="234"/>
      <c r="G51" s="234"/>
      <c r="H51" s="234"/>
      <c r="I51" s="234"/>
      <c r="J51" s="234"/>
      <c r="K51" s="234"/>
      <c r="L51" s="234"/>
      <c r="M51" s="234"/>
      <c r="N51" s="244"/>
      <c r="O51" s="271"/>
      <c r="P51" s="253"/>
      <c r="Q51" s="253"/>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row>
    <row r="52" spans="1:64" ht="15.6">
      <c r="C52" s="234"/>
      <c r="D52" s="234"/>
      <c r="E52" s="234"/>
      <c r="F52" s="234"/>
      <c r="G52" s="234"/>
      <c r="H52" s="234"/>
      <c r="I52" s="234"/>
      <c r="J52" s="234"/>
      <c r="K52" s="234"/>
      <c r="L52" s="234"/>
      <c r="M52" s="234"/>
      <c r="N52" s="244"/>
      <c r="O52" s="271"/>
      <c r="P52" s="253"/>
      <c r="Q52" s="253"/>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row>
    <row r="53" spans="1:64" ht="15.6">
      <c r="C53" s="234"/>
      <c r="D53" s="234"/>
      <c r="E53" s="234"/>
      <c r="F53" s="234"/>
      <c r="G53" s="234"/>
      <c r="H53" s="234"/>
      <c r="I53" s="234"/>
      <c r="J53" s="234"/>
      <c r="K53" s="234"/>
      <c r="L53" s="234"/>
      <c r="M53" s="234"/>
      <c r="N53" s="244"/>
      <c r="O53" s="271"/>
      <c r="P53" s="253"/>
      <c r="Q53" s="253"/>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row>
    <row r="54" spans="1:64" ht="15.6">
      <c r="A54" s="274"/>
      <c r="B54" s="282"/>
      <c r="C54" s="286"/>
      <c r="D54" s="286"/>
      <c r="E54" s="275"/>
      <c r="F54" s="275"/>
      <c r="G54" s="244"/>
      <c r="H54" s="286"/>
      <c r="I54" s="286"/>
      <c r="J54" s="269"/>
      <c r="K54" s="286"/>
      <c r="L54" s="286"/>
      <c r="M54" s="244"/>
      <c r="N54" s="244"/>
      <c r="O54" s="271"/>
      <c r="P54" s="253"/>
      <c r="Q54" s="253"/>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row>
    <row r="55" spans="1:64" ht="15.6">
      <c r="A55" s="274"/>
      <c r="B55" s="282"/>
      <c r="C55" s="286"/>
      <c r="D55" s="286"/>
      <c r="E55" s="275"/>
      <c r="F55" s="275"/>
      <c r="G55" s="244"/>
      <c r="H55" s="286"/>
      <c r="I55" s="286"/>
      <c r="J55" s="269"/>
      <c r="K55" s="286"/>
      <c r="L55" s="286"/>
      <c r="M55" s="244"/>
      <c r="N55" s="244"/>
      <c r="O55" s="271"/>
      <c r="P55" s="253"/>
      <c r="Q55" s="253"/>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row>
    <row r="56" spans="1:64" ht="15.6">
      <c r="A56" s="287"/>
      <c r="B56" s="234"/>
      <c r="C56" s="274"/>
      <c r="D56" s="274"/>
      <c r="E56" s="275"/>
      <c r="F56" s="275"/>
      <c r="G56" s="244"/>
      <c r="H56" s="286"/>
      <c r="I56" s="286"/>
      <c r="J56" s="269"/>
      <c r="K56" s="286"/>
      <c r="L56" s="286"/>
      <c r="M56" s="234"/>
      <c r="N56" s="244"/>
      <c r="O56" s="288"/>
      <c r="P56" s="289"/>
      <c r="Q56" s="253"/>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row>
    <row r="57" spans="1:64" ht="15.6">
      <c r="A57" s="287"/>
      <c r="B57" s="234"/>
      <c r="C57" s="274"/>
      <c r="D57" s="274"/>
      <c r="E57" s="275"/>
      <c r="F57" s="275"/>
      <c r="G57" s="244"/>
      <c r="H57" s="286"/>
      <c r="I57" s="286"/>
      <c r="J57" s="269"/>
      <c r="K57" s="286"/>
      <c r="L57" s="286"/>
      <c r="M57" s="234"/>
      <c r="N57" s="244"/>
      <c r="O57" s="271"/>
      <c r="P57" s="289"/>
      <c r="Q57" s="253"/>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row>
    <row r="58" spans="1:64" ht="15.6">
      <c r="A58" s="290"/>
      <c r="B58" s="234"/>
      <c r="C58" s="274"/>
      <c r="D58" s="274"/>
      <c r="E58" s="275"/>
      <c r="F58" s="275"/>
      <c r="G58" s="244"/>
      <c r="H58" s="286"/>
      <c r="I58" s="286"/>
      <c r="J58" s="269"/>
      <c r="K58" s="286"/>
      <c r="L58" s="286"/>
      <c r="M58" s="234"/>
      <c r="N58" s="244"/>
      <c r="O58" s="271"/>
      <c r="P58" s="289"/>
      <c r="Q58" s="253"/>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row>
    <row r="59" spans="1:64">
      <c r="A59" s="291"/>
      <c r="C59" s="286"/>
      <c r="D59" s="286"/>
      <c r="E59" s="286"/>
      <c r="F59" s="286"/>
      <c r="G59" s="244"/>
      <c r="H59" s="286"/>
      <c r="I59" s="286"/>
      <c r="J59" s="286"/>
      <c r="K59" s="286"/>
      <c r="L59" s="286"/>
      <c r="M59" s="234"/>
      <c r="N59" s="244"/>
      <c r="O59" s="244"/>
      <c r="P59" s="253"/>
      <c r="Q59" s="253"/>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row>
    <row r="60" spans="1:64">
      <c r="C60" s="234"/>
      <c r="D60" s="234"/>
      <c r="E60" s="234"/>
      <c r="F60" s="234"/>
      <c r="G60" s="234"/>
      <c r="H60" s="234"/>
      <c r="I60" s="234"/>
      <c r="J60" s="234"/>
      <c r="K60" s="234"/>
      <c r="L60" s="234"/>
      <c r="M60" s="234"/>
      <c r="N60" s="234"/>
      <c r="O60" s="235"/>
    </row>
    <row r="61" spans="1:64">
      <c r="C61" s="234"/>
      <c r="D61" s="234"/>
      <c r="E61" s="234"/>
      <c r="F61" s="234"/>
      <c r="G61" s="234"/>
      <c r="H61" s="234"/>
      <c r="I61" s="234"/>
      <c r="J61" s="234"/>
      <c r="K61" s="234"/>
      <c r="L61" s="234"/>
      <c r="M61" s="234"/>
      <c r="N61" s="234"/>
      <c r="O61" s="235"/>
    </row>
    <row r="62" spans="1:64">
      <c r="C62" s="234"/>
      <c r="D62" s="234"/>
      <c r="E62" s="234"/>
      <c r="F62" s="234"/>
      <c r="G62" s="234"/>
      <c r="H62" s="234"/>
      <c r="I62" s="234"/>
      <c r="J62" s="234"/>
      <c r="K62" s="234"/>
      <c r="L62" s="234"/>
      <c r="M62" s="234"/>
      <c r="N62" s="234"/>
      <c r="O62" s="234"/>
    </row>
    <row r="63" spans="1:64">
      <c r="A63" s="291"/>
      <c r="C63" s="286"/>
      <c r="D63" s="286"/>
      <c r="E63" s="286"/>
      <c r="F63" s="286"/>
      <c r="G63" s="244"/>
      <c r="H63" s="286"/>
      <c r="I63" s="286"/>
      <c r="J63" s="286"/>
      <c r="K63" s="286"/>
      <c r="L63" s="286"/>
      <c r="M63" s="234"/>
      <c r="N63" s="244"/>
      <c r="O63" s="235" t="s">
        <v>398</v>
      </c>
      <c r="P63" s="253"/>
      <c r="Q63" s="242"/>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row>
    <row r="64" spans="1:64">
      <c r="A64" s="291"/>
      <c r="C64" s="255" t="str">
        <f>C5</f>
        <v>Formula Rate calculation</v>
      </c>
      <c r="D64" s="255"/>
      <c r="E64" s="286"/>
      <c r="F64" s="286"/>
      <c r="G64" s="275" t="str">
        <f>G5</f>
        <v xml:space="preserve">     Rate Formula Template</v>
      </c>
      <c r="H64" s="286"/>
      <c r="I64" s="286"/>
      <c r="J64" s="286"/>
      <c r="K64" s="286"/>
      <c r="L64" s="286"/>
      <c r="M64" s="234"/>
      <c r="N64" s="244"/>
      <c r="O64" s="292" t="str">
        <f>+O5</f>
        <v>For  the 12 months ended 12/31/2018</v>
      </c>
      <c r="P64" s="253"/>
      <c r="Q64" s="242"/>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row>
    <row r="65" spans="1:64">
      <c r="A65" s="291"/>
      <c r="C65" s="255"/>
      <c r="D65" s="255"/>
      <c r="E65" s="286"/>
      <c r="F65" s="286"/>
      <c r="G65" s="275" t="s">
        <v>402</v>
      </c>
      <c r="H65" s="286"/>
      <c r="I65" s="286"/>
      <c r="J65" s="286"/>
      <c r="K65" s="286"/>
      <c r="L65" s="286"/>
      <c r="M65" s="244"/>
      <c r="N65" s="244"/>
      <c r="O65" s="234"/>
      <c r="P65" s="253"/>
      <c r="Q65" s="242"/>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row>
    <row r="66" spans="1:64" ht="14.25" customHeight="1">
      <c r="A66" s="291"/>
      <c r="C66" s="286"/>
      <c r="D66" s="286"/>
      <c r="E66" s="286"/>
      <c r="F66" s="286"/>
      <c r="G66" s="275"/>
      <c r="H66" s="286"/>
      <c r="I66" s="286"/>
      <c r="J66" s="286"/>
      <c r="K66" s="286"/>
      <c r="L66" s="286"/>
      <c r="M66" s="234"/>
      <c r="N66" s="244"/>
      <c r="O66" s="286" t="s">
        <v>454</v>
      </c>
      <c r="P66" s="253"/>
      <c r="Q66" s="242"/>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row>
    <row r="67" spans="1:64">
      <c r="A67" s="291"/>
      <c r="C67" s="234"/>
      <c r="D67" s="234"/>
      <c r="E67" s="286"/>
      <c r="F67" s="286"/>
      <c r="G67" s="275" t="str">
        <f>G8</f>
        <v>American Transmission Company LLC</v>
      </c>
      <c r="H67" s="286"/>
      <c r="I67" s="286"/>
      <c r="J67" s="286"/>
      <c r="K67" s="286"/>
      <c r="L67" s="286"/>
      <c r="M67" s="286"/>
      <c r="N67" s="244"/>
      <c r="O67" s="244"/>
      <c r="P67" s="253"/>
      <c r="Q67" s="242"/>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row>
    <row r="68" spans="1:64">
      <c r="A68" s="291"/>
      <c r="C68" s="234"/>
      <c r="D68" s="234"/>
      <c r="E68" s="255"/>
      <c r="F68" s="255"/>
      <c r="G68" s="251"/>
      <c r="H68" s="255"/>
      <c r="I68" s="255"/>
      <c r="J68" s="255"/>
      <c r="K68" s="255"/>
      <c r="L68" s="255"/>
      <c r="M68" s="255"/>
      <c r="N68" s="255"/>
      <c r="O68" s="255"/>
      <c r="P68" s="253"/>
      <c r="Q68" s="242"/>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row>
    <row r="69" spans="1:64" ht="15.6">
      <c r="A69" s="291"/>
      <c r="C69" s="286"/>
      <c r="D69" s="286"/>
      <c r="E69" s="261" t="s">
        <v>455</v>
      </c>
      <c r="F69" s="261"/>
      <c r="G69" s="293"/>
      <c r="H69" s="245"/>
      <c r="I69" s="245"/>
      <c r="J69" s="245"/>
      <c r="K69" s="245"/>
      <c r="L69" s="245"/>
      <c r="M69" s="245"/>
      <c r="N69" s="244"/>
      <c r="O69" s="244"/>
      <c r="P69" s="253"/>
      <c r="Q69" s="242"/>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row>
    <row r="70" spans="1:64" ht="15.6">
      <c r="A70" s="291"/>
      <c r="C70" s="286"/>
      <c r="D70" s="286"/>
      <c r="E70" s="261"/>
      <c r="F70" s="261"/>
      <c r="G70" s="234"/>
      <c r="H70" s="245"/>
      <c r="I70" s="245"/>
      <c r="J70" s="245"/>
      <c r="K70" s="245"/>
      <c r="L70" s="245"/>
      <c r="M70" s="245"/>
      <c r="N70" s="244"/>
      <c r="O70" s="244"/>
      <c r="P70" s="253"/>
      <c r="Q70" s="242"/>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row>
    <row r="71" spans="1:64" ht="15.6">
      <c r="A71" s="291"/>
      <c r="C71" s="294">
        <v>-1</v>
      </c>
      <c r="D71" s="294">
        <v>-2</v>
      </c>
      <c r="E71" s="294">
        <v>-3</v>
      </c>
      <c r="F71" s="294">
        <v>-4</v>
      </c>
      <c r="G71" s="294">
        <v>-5</v>
      </c>
      <c r="H71" s="294">
        <v>-6</v>
      </c>
      <c r="I71" s="294">
        <v>-7</v>
      </c>
      <c r="J71" s="294">
        <v>-8</v>
      </c>
      <c r="K71" s="294">
        <v>-9</v>
      </c>
      <c r="L71" s="294" t="s">
        <v>456</v>
      </c>
      <c r="M71" s="294">
        <v>-10</v>
      </c>
      <c r="N71" s="294">
        <v>-11</v>
      </c>
      <c r="O71" s="294">
        <v>-12</v>
      </c>
      <c r="P71" s="253"/>
      <c r="Q71" s="242"/>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row>
    <row r="72" spans="1:64" ht="62.4">
      <c r="A72" s="295" t="s">
        <v>457</v>
      </c>
      <c r="B72" s="296"/>
      <c r="C72" s="296" t="s">
        <v>458</v>
      </c>
      <c r="D72" s="297" t="s">
        <v>459</v>
      </c>
      <c r="E72" s="298" t="s">
        <v>460</v>
      </c>
      <c r="F72" s="298" t="s">
        <v>436</v>
      </c>
      <c r="G72" s="299" t="s">
        <v>461</v>
      </c>
      <c r="H72" s="298" t="s">
        <v>462</v>
      </c>
      <c r="I72" s="298" t="s">
        <v>452</v>
      </c>
      <c r="J72" s="299" t="s">
        <v>463</v>
      </c>
      <c r="K72" s="298" t="s">
        <v>464</v>
      </c>
      <c r="L72" s="300" t="s">
        <v>465</v>
      </c>
      <c r="M72" s="301" t="s">
        <v>466</v>
      </c>
      <c r="N72" s="302" t="s">
        <v>467</v>
      </c>
      <c r="O72" s="301" t="s">
        <v>468</v>
      </c>
      <c r="P72" s="272"/>
      <c r="Q72" s="242"/>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row>
    <row r="73" spans="1:64" ht="46.5" customHeight="1">
      <c r="A73" s="303"/>
      <c r="B73" s="304"/>
      <c r="C73" s="304"/>
      <c r="D73" s="304"/>
      <c r="E73" s="305" t="s">
        <v>40</v>
      </c>
      <c r="F73" s="305" t="s">
        <v>469</v>
      </c>
      <c r="G73" s="306" t="s">
        <v>470</v>
      </c>
      <c r="H73" s="305" t="s">
        <v>42</v>
      </c>
      <c r="I73" s="305" t="s">
        <v>471</v>
      </c>
      <c r="J73" s="306" t="s">
        <v>472</v>
      </c>
      <c r="K73" s="305" t="s">
        <v>64</v>
      </c>
      <c r="L73" s="307" t="s">
        <v>473</v>
      </c>
      <c r="M73" s="308" t="s">
        <v>474</v>
      </c>
      <c r="N73" s="309" t="s">
        <v>475</v>
      </c>
      <c r="O73" s="310" t="s">
        <v>476</v>
      </c>
      <c r="P73" s="253"/>
      <c r="Q73" s="242"/>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row>
    <row r="74" spans="1:64">
      <c r="A74" s="311"/>
      <c r="B74" s="245"/>
      <c r="C74" s="245"/>
      <c r="D74" s="245"/>
      <c r="E74" s="245"/>
      <c r="F74" s="245"/>
      <c r="G74" s="312"/>
      <c r="H74" s="245"/>
      <c r="I74" s="245"/>
      <c r="J74" s="312"/>
      <c r="K74" s="245"/>
      <c r="L74" s="313"/>
      <c r="M74" s="312"/>
      <c r="N74" s="244"/>
      <c r="O74" s="314"/>
      <c r="P74" s="253"/>
      <c r="Q74" s="242"/>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row>
    <row r="75" spans="1:64">
      <c r="A75" s="315" t="s">
        <v>150</v>
      </c>
      <c r="B75" s="316"/>
      <c r="C75" s="317" t="s">
        <v>477</v>
      </c>
      <c r="D75" s="318" t="s">
        <v>478</v>
      </c>
      <c r="E75" s="319">
        <f>IF(ISNA(HLOOKUP($D75,'GG Support Data'!$C$8:$Q$67,17,FALSE)),0,HLOOKUP($D75,'GG Support Data'!$C$8:$Q$67,17,FALSE))</f>
        <v>141711350.46153846</v>
      </c>
      <c r="F75" s="320">
        <f>$M$35</f>
        <v>3.2154091362962427E-2</v>
      </c>
      <c r="G75" s="321">
        <f>E75*F75</f>
        <v>4556599.7099090954</v>
      </c>
      <c r="H75" s="319">
        <f>IF(ISNA(HLOOKUP($D75,'GG Support Data'!$C$8:$Q$67,17,FALSE)),0,HLOOKUP($D75,'GG Support Data'!$C$8:$Q$67,50,FALSE))</f>
        <v>113227905.94000006</v>
      </c>
      <c r="I75" s="320">
        <f>$M$45</f>
        <v>7.9129488525170641E-2</v>
      </c>
      <c r="J75" s="321">
        <f>H75*I75</f>
        <v>8959666.2838083357</v>
      </c>
      <c r="K75" s="319">
        <f>IF(ISNA(HLOOKUP($D75,'GG Support Data'!$C$8:$Q$67,17,FALSE)),0,HLOOKUP($D75,'GG Support Data'!$C$8:$Q$67,55,FALSE))</f>
        <v>3530254.68</v>
      </c>
      <c r="L75" s="319">
        <f>IF(ISNA(HLOOKUP($D75,'GG Support Data'!$C$8:$Q$67,17,FALSE)),0,HLOOKUP($D75,'GG Support Data'!$C$8:$Q$67,60,FALSE))</f>
        <v>0</v>
      </c>
      <c r="M75" s="653">
        <f>G75+J75+K75+L75</f>
        <v>17046520.673717432</v>
      </c>
      <c r="N75" s="322">
        <v>-418957.31512834859</v>
      </c>
      <c r="O75" s="321">
        <f>M75+N75</f>
        <v>16627563.358589083</v>
      </c>
      <c r="P75" s="323"/>
      <c r="Q75" s="375"/>
      <c r="R75" s="323"/>
      <c r="S75" s="323"/>
      <c r="T75" s="323"/>
    </row>
    <row r="76" spans="1:64">
      <c r="A76" s="315" t="s">
        <v>479</v>
      </c>
      <c r="B76" s="316"/>
      <c r="C76" s="317" t="s">
        <v>480</v>
      </c>
      <c r="D76" s="318" t="s">
        <v>481</v>
      </c>
      <c r="E76" s="319">
        <f>IF(ISNA(HLOOKUP($D76,'GG Support Data'!$C$8:$Q$67,17,FALSE)),0,HLOOKUP($D76,'GG Support Data'!$C$8:$Q$67,17,FALSE))</f>
        <v>8751971.6800000034</v>
      </c>
      <c r="F76" s="320">
        <f>$M$35</f>
        <v>3.2154091362962427E-2</v>
      </c>
      <c r="G76" s="321">
        <f t="shared" ref="G76:G89" si="0">E76*F76</f>
        <v>281411.69700477988</v>
      </c>
      <c r="H76" s="319">
        <f>IF(ISNA(HLOOKUP($D76,'GG Support Data'!$C$8:$Q$67,17,FALSE)),0,HLOOKUP($D76,'GG Support Data'!$C$8:$Q$67,50,FALSE))</f>
        <v>6302172.6772307651</v>
      </c>
      <c r="I76" s="320">
        <f>$M$45</f>
        <v>7.9129488525170641E-2</v>
      </c>
      <c r="J76" s="321">
        <f t="shared" ref="J76:J89" si="1">H76*I76</f>
        <v>498687.70054657577</v>
      </c>
      <c r="K76" s="319">
        <f>IF(ISNA(HLOOKUP($D76,'GG Support Data'!$C$8:$Q$67,17,FALSE)),0,HLOOKUP($D76,'GG Support Data'!$C$8:$Q$67,55,FALSE))</f>
        <v>253986.96000000005</v>
      </c>
      <c r="L76" s="319">
        <f>IF(ISNA(HLOOKUP($D76,'GG Support Data'!$C$8:$Q$67,17,FALSE)),0,HLOOKUP($D76,'GG Support Data'!$C$8:$Q$67,60,FALSE))</f>
        <v>0</v>
      </c>
      <c r="M76" s="653">
        <f t="shared" ref="M76:M89" si="2">G76+J76+K76+L76</f>
        <v>1034086.3575513557</v>
      </c>
      <c r="N76" s="322">
        <v>-25125.041450027013</v>
      </c>
      <c r="O76" s="321">
        <f>M76+N76</f>
        <v>1008961.3161013287</v>
      </c>
      <c r="P76" s="323"/>
      <c r="Q76" s="375"/>
      <c r="R76" s="323"/>
      <c r="S76" s="323"/>
      <c r="T76" s="323"/>
    </row>
    <row r="77" spans="1:64">
      <c r="A77" s="315" t="s">
        <v>482</v>
      </c>
      <c r="B77" s="316"/>
      <c r="C77" s="317" t="s">
        <v>483</v>
      </c>
      <c r="D77" s="318" t="s">
        <v>484</v>
      </c>
      <c r="E77" s="319">
        <f>IF(ISNA(HLOOKUP($D77,'GG Support Data'!$C$8:$Q$67,17,FALSE)),0,HLOOKUP($D77,'GG Support Data'!$C$8:$Q$67,17,FALSE))</f>
        <v>88215724.019999996</v>
      </c>
      <c r="F77" s="320">
        <f>$M$35</f>
        <v>3.2154091362962427E-2</v>
      </c>
      <c r="G77" s="321">
        <f t="shared" si="0"/>
        <v>2836496.4497889588</v>
      </c>
      <c r="H77" s="319">
        <f>IF(ISNA(HLOOKUP($D77,'GG Support Data'!$C$8:$Q$67,17,FALSE)),0,HLOOKUP($D77,'GG Support Data'!$C$8:$Q$67,50,FALSE))</f>
        <v>67522120.319230735</v>
      </c>
      <c r="I77" s="320">
        <f>$M$45</f>
        <v>7.9129488525170641E-2</v>
      </c>
      <c r="J77" s="321">
        <f t="shared" si="1"/>
        <v>5342990.8449957594</v>
      </c>
      <c r="K77" s="319">
        <f>IF(ISNA(HLOOKUP($D77,'GG Support Data'!$C$8:$Q$67,17,FALSE)),0,HLOOKUP($D77,'GG Support Data'!$C$8:$Q$67,55,FALSE))</f>
        <v>2214656.2799999998</v>
      </c>
      <c r="L77" s="319">
        <f>IF(ISNA(HLOOKUP($D77,'GG Support Data'!$C$8:$Q$67,17,FALSE)),0,HLOOKUP($D77,'GG Support Data'!$C$8:$Q$67,60,FALSE))</f>
        <v>0</v>
      </c>
      <c r="M77" s="653">
        <f t="shared" si="2"/>
        <v>10394143.574784718</v>
      </c>
      <c r="N77" s="322">
        <v>-149426.01756507205</v>
      </c>
      <c r="O77" s="321">
        <f>M77+N77</f>
        <v>10244717.557219647</v>
      </c>
      <c r="P77" s="323"/>
      <c r="Q77" s="375"/>
      <c r="R77" s="323"/>
      <c r="S77" s="323"/>
      <c r="T77" s="323"/>
    </row>
    <row r="78" spans="1:64">
      <c r="A78" s="315" t="s">
        <v>485</v>
      </c>
      <c r="B78" s="316"/>
      <c r="C78" s="317" t="s">
        <v>486</v>
      </c>
      <c r="D78" s="318" t="s">
        <v>487</v>
      </c>
      <c r="E78" s="319">
        <f>IF(ISNA(HLOOKUP($D78,'GG Support Data'!$C$8:$Q$67,17,FALSE)),0,HLOOKUP($D78,'GG Support Data'!$C$8:$Q$67,17,FALSE))</f>
        <v>141119046.27307689</v>
      </c>
      <c r="F78" s="320">
        <f t="shared" ref="F78:F89" si="3">$M$35</f>
        <v>3.2154091362962427E-2</v>
      </c>
      <c r="G78" s="321">
        <f t="shared" si="0"/>
        <v>4537554.7069186363</v>
      </c>
      <c r="H78" s="319">
        <f>IF(ISNA(HLOOKUP($D78,'GG Support Data'!$C$8:$Q$67,17,FALSE)),0,HLOOKUP($D78,'GG Support Data'!$C$8:$Q$67,50,FALSE))</f>
        <v>122596335.38538463</v>
      </c>
      <c r="I78" s="320">
        <f t="shared" ref="I78:I89" si="4">$M$45</f>
        <v>7.9129488525170641E-2</v>
      </c>
      <c r="J78" s="321">
        <f t="shared" si="1"/>
        <v>9700985.314105764</v>
      </c>
      <c r="K78" s="319">
        <f>IF(ISNA(HLOOKUP($D78,'GG Support Data'!$C$8:$Q$67,17,FALSE)),0,HLOOKUP($D78,'GG Support Data'!$C$8:$Q$67,55,FALSE))</f>
        <v>3274046.4000000008</v>
      </c>
      <c r="L78" s="319">
        <f>IF(ISNA(HLOOKUP($D78,'GG Support Data'!$C$8:$Q$67,17,FALSE)),0,HLOOKUP($D78,'GG Support Data'!$C$8:$Q$67,60,FALSE))</f>
        <v>0</v>
      </c>
      <c r="M78" s="653">
        <f t="shared" si="2"/>
        <v>17512586.421024401</v>
      </c>
      <c r="N78" s="322">
        <v>-447969.76923109859</v>
      </c>
      <c r="O78" s="321">
        <f t="shared" ref="O78:O89" si="5">M78+N78</f>
        <v>17064616.651793301</v>
      </c>
      <c r="P78" s="323"/>
      <c r="Q78" s="375"/>
      <c r="R78" s="323"/>
      <c r="S78" s="323"/>
      <c r="T78" s="323"/>
    </row>
    <row r="79" spans="1:64">
      <c r="A79" s="315" t="s">
        <v>488</v>
      </c>
      <c r="B79" s="316"/>
      <c r="C79" s="317" t="s">
        <v>489</v>
      </c>
      <c r="D79" s="318" t="s">
        <v>490</v>
      </c>
      <c r="E79" s="319">
        <f>IF(ISNA(HLOOKUP($D79,'GG Support Data'!$C$8:$Q$67,17,FALSE)),0,HLOOKUP($D79,'GG Support Data'!$C$8:$Q$67,17,FALSE))</f>
        <v>1345004.5250000001</v>
      </c>
      <c r="F79" s="320">
        <f t="shared" si="3"/>
        <v>3.2154091362962427E-2</v>
      </c>
      <c r="G79" s="321">
        <f t="shared" si="0"/>
        <v>43247.398380447885</v>
      </c>
      <c r="H79" s="319">
        <f>IF(ISNA(HLOOKUP($D79,'GG Support Data'!$C$8:$Q$67,17,FALSE)),0,HLOOKUP($D79,'GG Support Data'!$C$8:$Q$67,50,FALSE))</f>
        <v>1024686.19423077</v>
      </c>
      <c r="I79" s="320">
        <f t="shared" si="4"/>
        <v>7.9129488525170641E-2</v>
      </c>
      <c r="J79" s="321">
        <f t="shared" si="1"/>
        <v>81082.894448284482</v>
      </c>
      <c r="K79" s="319">
        <f>IF(ISNA(HLOOKUP($D79,'GG Support Data'!$C$8:$Q$67,17,FALSE)),0,HLOOKUP($D79,'GG Support Data'!$C$8:$Q$67,55,FALSE))</f>
        <v>37377.480000000003</v>
      </c>
      <c r="L79" s="319">
        <f>IF(ISNA(HLOOKUP($D79,'GG Support Data'!$C$8:$Q$67,17,FALSE)),0,HLOOKUP($D79,'GG Support Data'!$C$8:$Q$67,60,FALSE))</f>
        <v>0</v>
      </c>
      <c r="M79" s="653">
        <f t="shared" si="2"/>
        <v>161707.77282873238</v>
      </c>
      <c r="N79" s="322">
        <v>-773.69247879619604</v>
      </c>
      <c r="O79" s="321">
        <f t="shared" si="5"/>
        <v>160934.08034993618</v>
      </c>
      <c r="P79" s="323"/>
      <c r="Q79" s="375"/>
      <c r="R79" s="323"/>
      <c r="S79" s="323"/>
      <c r="T79" s="323"/>
    </row>
    <row r="80" spans="1:64" ht="30">
      <c r="A80" s="315" t="s">
        <v>491</v>
      </c>
      <c r="B80" s="316"/>
      <c r="C80" s="317" t="s">
        <v>492</v>
      </c>
      <c r="D80" s="664" t="s">
        <v>493</v>
      </c>
      <c r="E80" s="319">
        <f>IF(ISNA(HLOOKUP($D80,'GG Support Data'!$C$8:$Q$67,17,FALSE)),0,HLOOKUP($D80,'GG Support Data'!$C$8:$Q$67,17,FALSE))</f>
        <v>2141426.63</v>
      </c>
      <c r="F80" s="320">
        <f t="shared" si="3"/>
        <v>3.2154091362962427E-2</v>
      </c>
      <c r="G80" s="321">
        <f t="shared" si="0"/>
        <v>68855.627508100733</v>
      </c>
      <c r="H80" s="319">
        <f>IF(ISNA(HLOOKUP($D80,'GG Support Data'!$C$8:$Q$67,17,FALSE)),0,HLOOKUP($D80,'GG Support Data'!$C$8:$Q$67,50,FALSE))</f>
        <v>1777318.9334615385</v>
      </c>
      <c r="I80" s="320">
        <f t="shared" si="4"/>
        <v>7.9129488525170641E-2</v>
      </c>
      <c r="J80" s="321">
        <f t="shared" si="1"/>
        <v>140638.33815091333</v>
      </c>
      <c r="K80" s="319">
        <f>IF(ISNA(HLOOKUP($D80,'GG Support Data'!$C$8:$Q$67,17,FALSE)),0,HLOOKUP($D80,'GG Support Data'!$C$8:$Q$67,55,FALSE))</f>
        <v>61275.839999999997</v>
      </c>
      <c r="L80" s="319">
        <f>IF(ISNA(HLOOKUP($D80,'GG Support Data'!$C$8:$Q$67,17,FALSE)),0,HLOOKUP($D80,'GG Support Data'!$C$8:$Q$67,60,FALSE))</f>
        <v>0</v>
      </c>
      <c r="M80" s="653">
        <f t="shared" si="2"/>
        <v>270769.80565901403</v>
      </c>
      <c r="N80" s="322">
        <v>-4178.828641708079</v>
      </c>
      <c r="O80" s="321">
        <f t="shared" si="5"/>
        <v>266590.97701730597</v>
      </c>
      <c r="P80" s="323"/>
      <c r="Q80" s="375"/>
      <c r="R80" s="323"/>
      <c r="S80" s="323"/>
      <c r="T80" s="323"/>
    </row>
    <row r="81" spans="1:20">
      <c r="A81" s="315" t="s">
        <v>494</v>
      </c>
      <c r="B81" s="316"/>
      <c r="C81" s="317" t="s">
        <v>495</v>
      </c>
      <c r="D81" s="318" t="s">
        <v>496</v>
      </c>
      <c r="E81" s="319">
        <f>IF(ISNA(HLOOKUP($D81,'GG Support Data'!$C$8:$Q$67,17,FALSE)),0,HLOOKUP($D81,'GG Support Data'!$C$8:$Q$67,17,FALSE))</f>
        <v>14976287.584615389</v>
      </c>
      <c r="F81" s="320">
        <f t="shared" si="3"/>
        <v>3.2154091362962427E-2</v>
      </c>
      <c r="G81" s="321">
        <f t="shared" si="0"/>
        <v>481548.91927372309</v>
      </c>
      <c r="H81" s="319">
        <f>IF(ISNA(HLOOKUP($D81,'GG Support Data'!$C$8:$Q$67,17,FALSE)),0,HLOOKUP($D81,'GG Support Data'!$C$8:$Q$67,50,FALSE))</f>
        <v>12228747.730000002</v>
      </c>
      <c r="I81" s="320">
        <f t="shared" si="4"/>
        <v>7.9129488525170641E-2</v>
      </c>
      <c r="J81" s="321">
        <f t="shared" si="1"/>
        <v>967654.55317824171</v>
      </c>
      <c r="K81" s="319">
        <f>IF(ISNA(HLOOKUP($D81,'GG Support Data'!$C$8:$Q$67,17,FALSE)),0,HLOOKUP($D81,'GG Support Data'!$C$8:$Q$67,55,FALSE))</f>
        <v>464211.96000000014</v>
      </c>
      <c r="L81" s="319">
        <f>IF(ISNA(HLOOKUP($D81,'GG Support Data'!$C$8:$Q$67,17,FALSE)),0,HLOOKUP($D81,'GG Support Data'!$C$8:$Q$67,60,FALSE))</f>
        <v>0</v>
      </c>
      <c r="M81" s="653">
        <f t="shared" si="2"/>
        <v>1913415.4324519651</v>
      </c>
      <c r="N81" s="322">
        <v>-61783.901745440344</v>
      </c>
      <c r="O81" s="321">
        <f t="shared" si="5"/>
        <v>1851631.5307065246</v>
      </c>
      <c r="P81" s="323"/>
      <c r="Q81" s="375"/>
      <c r="R81" s="323"/>
      <c r="S81" s="323"/>
      <c r="T81" s="323"/>
    </row>
    <row r="82" spans="1:20">
      <c r="A82" s="315" t="s">
        <v>497</v>
      </c>
      <c r="B82" s="316"/>
      <c r="C82" s="317" t="s">
        <v>498</v>
      </c>
      <c r="D82" s="318" t="s">
        <v>499</v>
      </c>
      <c r="E82" s="319">
        <f>IF(ISNA(HLOOKUP($D82,'GG Support Data'!$C$8:$Q$67,17,FALSE)),0,HLOOKUP($D82,'GG Support Data'!$C$8:$Q$67,17,FALSE))</f>
        <v>121552680.66230771</v>
      </c>
      <c r="F82" s="320">
        <f t="shared" si="3"/>
        <v>3.2154091362962427E-2</v>
      </c>
      <c r="G82" s="321">
        <f t="shared" si="0"/>
        <v>3908415.9994288385</v>
      </c>
      <c r="H82" s="319">
        <f>IF(ISNA(HLOOKUP($D82,'GG Support Data'!$C$8:$Q$67,17,FALSE)),0,HLOOKUP($D82,'GG Support Data'!$C$8:$Q$67,50,FALSE))</f>
        <v>106178126.84692308</v>
      </c>
      <c r="I82" s="320">
        <f t="shared" si="4"/>
        <v>7.9129488525170641E-2</v>
      </c>
      <c r="J82" s="321">
        <f t="shared" si="1"/>
        <v>8401820.8699577134</v>
      </c>
      <c r="K82" s="319">
        <f>IF(ISNA(HLOOKUP($D82,'GG Support Data'!$C$8:$Q$67,17,FALSE)),0,HLOOKUP($D82,'GG Support Data'!$C$8:$Q$67,55,FALSE))</f>
        <v>4429240.78</v>
      </c>
      <c r="L82" s="319">
        <f>IF(ISNA(HLOOKUP($D82,'GG Support Data'!$C$8:$Q$67,17,FALSE)),0,HLOOKUP($D82,'GG Support Data'!$C$8:$Q$67,60,FALSE))</f>
        <v>0</v>
      </c>
      <c r="M82" s="653">
        <f t="shared" si="2"/>
        <v>16739477.649386551</v>
      </c>
      <c r="N82" s="322">
        <v>-277385.63084949035</v>
      </c>
      <c r="O82" s="321">
        <f t="shared" si="5"/>
        <v>16462092.018537061</v>
      </c>
      <c r="P82" s="323"/>
      <c r="Q82" s="375"/>
      <c r="R82" s="323"/>
      <c r="S82" s="323"/>
      <c r="T82" s="323"/>
    </row>
    <row r="83" spans="1:20">
      <c r="A83" s="315" t="s">
        <v>500</v>
      </c>
      <c r="B83" s="316"/>
      <c r="C83" s="317" t="s">
        <v>501</v>
      </c>
      <c r="D83" s="318" t="s">
        <v>502</v>
      </c>
      <c r="E83" s="319">
        <f>IF(ISNA(HLOOKUP($D83,'GG Support Data'!$C$8:$Q$67,17,FALSE)),0,HLOOKUP($D83,'GG Support Data'!$C$8:$Q$67,17,FALSE))</f>
        <v>536946.67846153839</v>
      </c>
      <c r="F83" s="320">
        <f t="shared" si="3"/>
        <v>3.2154091362962427E-2</v>
      </c>
      <c r="G83" s="321">
        <f t="shared" si="0"/>
        <v>17265.032556291513</v>
      </c>
      <c r="H83" s="319">
        <f>IF(ISNA(HLOOKUP($D83,'GG Support Data'!$C$8:$Q$67,17,FALSE)),0,HLOOKUP($D83,'GG Support Data'!$C$8:$Q$67,50,FALSE))</f>
        <v>514687.83538461541</v>
      </c>
      <c r="I83" s="320">
        <f t="shared" si="4"/>
        <v>7.9129488525170641E-2</v>
      </c>
      <c r="J83" s="321">
        <f t="shared" si="1"/>
        <v>40726.985164111844</v>
      </c>
      <c r="K83" s="319">
        <f>IF(ISNA(HLOOKUP($D83,'GG Support Data'!$C$8:$Q$67,17,FALSE)),0,HLOOKUP($D83,'GG Support Data'!$C$8:$Q$67,55,FALSE))</f>
        <v>16320.945000000002</v>
      </c>
      <c r="L83" s="319">
        <f>IF(ISNA(HLOOKUP($D83,'GG Support Data'!$C$8:$Q$67,17,FALSE)),0,HLOOKUP($D83,'GG Support Data'!$C$8:$Q$67,60,FALSE))</f>
        <v>0</v>
      </c>
      <c r="M83" s="653">
        <f t="shared" si="2"/>
        <v>74312.96272040336</v>
      </c>
      <c r="N83" s="322">
        <v>-991.11543579265276</v>
      </c>
      <c r="O83" s="321">
        <f t="shared" si="5"/>
        <v>73321.847284610703</v>
      </c>
      <c r="P83" s="323"/>
      <c r="Q83" s="375"/>
      <c r="R83" s="323"/>
      <c r="S83" s="323"/>
      <c r="T83" s="323"/>
    </row>
    <row r="84" spans="1:20">
      <c r="A84" s="315" t="s">
        <v>503</v>
      </c>
      <c r="B84" s="316"/>
      <c r="C84" s="317" t="s">
        <v>504</v>
      </c>
      <c r="D84" s="318" t="s">
        <v>505</v>
      </c>
      <c r="E84" s="319">
        <f>IF(ISNA(HLOOKUP($D84,'GG Support Data'!$C$8:$Q$67,17,FALSE)),0,HLOOKUP($D84,'GG Support Data'!$C$8:$Q$67,17,FALSE))</f>
        <v>8871.130000000001</v>
      </c>
      <c r="F84" s="320">
        <f t="shared" si="3"/>
        <v>3.2154091362962427E-2</v>
      </c>
      <c r="G84" s="321">
        <f t="shared" si="0"/>
        <v>285.24312451271692</v>
      </c>
      <c r="H84" s="319">
        <f>IF(ISNA(HLOOKUP($D84,'GG Support Data'!$C$8:$Q$67,17,FALSE)),0,HLOOKUP($D84,'GG Support Data'!$C$8:$Q$67,50,FALSE))</f>
        <v>367645.53168861539</v>
      </c>
      <c r="I84" s="320">
        <f t="shared" si="4"/>
        <v>7.9129488525170641E-2</v>
      </c>
      <c r="J84" s="321">
        <f t="shared" si="1"/>
        <v>29091.602881084549</v>
      </c>
      <c r="K84" s="319">
        <f>IF(ISNA(HLOOKUP($D84,'GG Support Data'!$C$8:$Q$67,17,FALSE)),0,HLOOKUP($D84,'GG Support Data'!$C$8:$Q$67,55,FALSE))</f>
        <v>439.98233733333342</v>
      </c>
      <c r="L84" s="319">
        <f>IF(ISNA(HLOOKUP($D84,'GG Support Data'!$C$8:$Q$67,17,FALSE)),0,HLOOKUP($D84,'GG Support Data'!$C$8:$Q$67,60,FALSE))</f>
        <v>0</v>
      </c>
      <c r="M84" s="653">
        <f t="shared" si="2"/>
        <v>29816.828342930599</v>
      </c>
      <c r="N84" s="322">
        <v>2211.7731553811254</v>
      </c>
      <c r="O84" s="321">
        <f t="shared" si="5"/>
        <v>32028.601498311724</v>
      </c>
      <c r="P84" s="323"/>
      <c r="Q84" s="375"/>
      <c r="R84" s="323"/>
      <c r="S84" s="323"/>
      <c r="T84" s="323"/>
    </row>
    <row r="85" spans="1:20">
      <c r="A85" s="315" t="s">
        <v>506</v>
      </c>
      <c r="B85" s="316"/>
      <c r="C85" s="317" t="s">
        <v>507</v>
      </c>
      <c r="D85" s="318" t="s">
        <v>508</v>
      </c>
      <c r="E85" s="319">
        <f>IF(ISNA(HLOOKUP($D85,'GG Support Data'!$C$8:$Q$67,17,FALSE)),0,HLOOKUP($D85,'GG Support Data'!$C$8:$Q$67,17,FALSE))</f>
        <v>0</v>
      </c>
      <c r="F85" s="320">
        <f t="shared" si="3"/>
        <v>3.2154091362962427E-2</v>
      </c>
      <c r="G85" s="321">
        <f t="shared" si="0"/>
        <v>0</v>
      </c>
      <c r="H85" s="319">
        <f>IF(ISNA(HLOOKUP($D85,'GG Support Data'!$C$8:$Q$67,17,FALSE)),0,HLOOKUP($D85,'GG Support Data'!$C$8:$Q$67,50,FALSE))</f>
        <v>0</v>
      </c>
      <c r="I85" s="320">
        <f t="shared" si="4"/>
        <v>7.9129488525170641E-2</v>
      </c>
      <c r="J85" s="321">
        <f t="shared" si="1"/>
        <v>0</v>
      </c>
      <c r="K85" s="319">
        <f>IF(ISNA(HLOOKUP($D85,'GG Support Data'!$C$8:$Q$67,17,FALSE)),0,HLOOKUP($D85,'GG Support Data'!$C$8:$Q$67,55,FALSE))</f>
        <v>0</v>
      </c>
      <c r="L85" s="319">
        <f>IF(ISNA(HLOOKUP($D85,'GG Support Data'!$C$8:$Q$67,17,FALSE)),0,HLOOKUP($D85,'GG Support Data'!$C$8:$Q$67,60,FALSE))</f>
        <v>0</v>
      </c>
      <c r="M85" s="653">
        <f t="shared" si="2"/>
        <v>0</v>
      </c>
      <c r="N85" s="322">
        <v>1334.6607182580417</v>
      </c>
      <c r="O85" s="321">
        <f t="shared" si="5"/>
        <v>1334.6607182580417</v>
      </c>
      <c r="P85" s="323"/>
      <c r="Q85" s="375"/>
      <c r="R85" s="323"/>
      <c r="S85" s="323"/>
      <c r="T85" s="323"/>
    </row>
    <row r="86" spans="1:20">
      <c r="A86" s="315" t="s">
        <v>509</v>
      </c>
      <c r="B86" s="316"/>
      <c r="C86" s="317" t="s">
        <v>510</v>
      </c>
      <c r="D86" s="318" t="s">
        <v>511</v>
      </c>
      <c r="E86" s="319">
        <f>IF(ISNA(HLOOKUP($D86,'GG Support Data'!$C$8:$Q$67,17,FALSE)),0,HLOOKUP($D86,'GG Support Data'!$C$8:$Q$67,17,FALSE))</f>
        <v>26875811.291538462</v>
      </c>
      <c r="F86" s="320">
        <f t="shared" si="3"/>
        <v>3.2154091362962427E-2</v>
      </c>
      <c r="G86" s="321">
        <f t="shared" si="0"/>
        <v>864167.29172186495</v>
      </c>
      <c r="H86" s="319">
        <f>IF(ISNA(HLOOKUP($D86,'GG Support Data'!$C$8:$Q$67,17,FALSE)),0,HLOOKUP($D86,'GG Support Data'!$C$8:$Q$67,50,FALSE))</f>
        <v>24500404.818461537</v>
      </c>
      <c r="I86" s="320">
        <f t="shared" si="4"/>
        <v>7.9129488525170641E-2</v>
      </c>
      <c r="J86" s="321">
        <f t="shared" si="1"/>
        <v>1938704.5019444877</v>
      </c>
      <c r="K86" s="319">
        <f>IF(ISNA(HLOOKUP($D86,'GG Support Data'!$C$8:$Q$67,17,FALSE)),0,HLOOKUP($D86,'GG Support Data'!$C$8:$Q$67,55,FALSE))</f>
        <v>826858.02999999991</v>
      </c>
      <c r="L86" s="319">
        <f>IF(ISNA(HLOOKUP($D86,'GG Support Data'!$C$8:$Q$67,17,FALSE)),0,HLOOKUP($D86,'GG Support Data'!$C$8:$Q$67,60,FALSE))</f>
        <v>0</v>
      </c>
      <c r="M86" s="653">
        <f t="shared" si="2"/>
        <v>3629729.8236663523</v>
      </c>
      <c r="N86" s="322">
        <v>-81746.561712290641</v>
      </c>
      <c r="O86" s="321">
        <f t="shared" si="5"/>
        <v>3547983.2619540617</v>
      </c>
      <c r="P86" s="323"/>
      <c r="Q86" s="375"/>
      <c r="R86" s="323"/>
      <c r="S86" s="323"/>
      <c r="T86" s="323"/>
    </row>
    <row r="87" spans="1:20">
      <c r="A87" s="315" t="s">
        <v>512</v>
      </c>
      <c r="B87" s="316"/>
      <c r="C87" s="317" t="s">
        <v>513</v>
      </c>
      <c r="D87" s="318" t="s">
        <v>514</v>
      </c>
      <c r="E87" s="319">
        <f>IF(ISNA(HLOOKUP($D87,'GG Support Data'!$C$8:$Q$67,17,FALSE)),0,HLOOKUP($D87,'GG Support Data'!$C$8:$Q$67,17,FALSE))</f>
        <v>25113243.527692311</v>
      </c>
      <c r="F87" s="320">
        <f t="shared" si="3"/>
        <v>3.2154091362962427E-2</v>
      </c>
      <c r="G87" s="321">
        <f t="shared" si="0"/>
        <v>807493.52680974337</v>
      </c>
      <c r="H87" s="319">
        <f>IF(ISNA(HLOOKUP($D87,'GG Support Data'!$C$8:$Q$67,17,FALSE)),0,HLOOKUP($D87,'GG Support Data'!$C$8:$Q$67,50,FALSE))</f>
        <v>24867210.526153844</v>
      </c>
      <c r="I87" s="320">
        <f t="shared" si="4"/>
        <v>7.9129488525170641E-2</v>
      </c>
      <c r="J87" s="321">
        <f t="shared" si="1"/>
        <v>1967729.6499822931</v>
      </c>
      <c r="K87" s="319">
        <f>IF(ISNA(HLOOKUP($D87,'GG Support Data'!$C$8:$Q$67,17,FALSE)),0,HLOOKUP($D87,'GG Support Data'!$C$8:$Q$67,55,FALSE))</f>
        <v>577674.77</v>
      </c>
      <c r="L87" s="319">
        <f>IF(ISNA(HLOOKUP($D87,'GG Support Data'!$C$8:$Q$67,17,FALSE)),0,HLOOKUP($D87,'GG Support Data'!$C$8:$Q$67,60,FALSE))</f>
        <v>0</v>
      </c>
      <c r="M87" s="653">
        <f t="shared" si="2"/>
        <v>3352897.9467920368</v>
      </c>
      <c r="N87" s="322">
        <v>21774.928509992493</v>
      </c>
      <c r="O87" s="321">
        <f t="shared" si="5"/>
        <v>3374672.8753020293</v>
      </c>
      <c r="P87" s="323"/>
      <c r="Q87" s="375"/>
      <c r="R87" s="323"/>
      <c r="S87" s="323"/>
      <c r="T87" s="323"/>
    </row>
    <row r="88" spans="1:20" ht="30">
      <c r="A88" s="315" t="s">
        <v>515</v>
      </c>
      <c r="B88" s="316"/>
      <c r="C88" s="317" t="s">
        <v>516</v>
      </c>
      <c r="D88" s="318" t="s">
        <v>517</v>
      </c>
      <c r="E88" s="319">
        <f>IF(ISNA(HLOOKUP($D88,'GG Support Data'!$C$8:$Q$67,17,FALSE)),0,HLOOKUP($D88,'GG Support Data'!$C$8:$Q$67,17,FALSE))</f>
        <v>214763490.9407692</v>
      </c>
      <c r="F88" s="320">
        <f t="shared" si="3"/>
        <v>3.2154091362962427E-2</v>
      </c>
      <c r="G88" s="321">
        <f t="shared" si="0"/>
        <v>6905524.9091382464</v>
      </c>
      <c r="H88" s="319">
        <f>IF(ISNA(HLOOKUP($D88,'GG Support Data'!$C$8:$Q$67,17,FALSE)),0,HLOOKUP($D88,'GG Support Data'!$C$8:$Q$67,50,FALSE))</f>
        <v>210530175.16461536</v>
      </c>
      <c r="I88" s="320">
        <f t="shared" si="4"/>
        <v>7.9129488525170641E-2</v>
      </c>
      <c r="J88" s="321">
        <f t="shared" si="1"/>
        <v>16659145.079890596</v>
      </c>
      <c r="K88" s="319">
        <f>IF(ISNA(HLOOKUP($D88,'GG Support Data'!$C$8:$Q$67,17,FALSE)),0,HLOOKUP($D88,'GG Support Data'!$C$8:$Q$67,55,FALSE))</f>
        <v>3542261.6200000006</v>
      </c>
      <c r="L88" s="319">
        <f>IF(ISNA(HLOOKUP($D88,'GG Support Data'!$C$8:$Q$67,17,FALSE)),0,HLOOKUP($D88,'GG Support Data'!$C$8:$Q$67,60,FALSE))</f>
        <v>0</v>
      </c>
      <c r="M88" s="653">
        <f t="shared" si="2"/>
        <v>27106931.609028842</v>
      </c>
      <c r="N88" s="322">
        <v>-589408.01038237056</v>
      </c>
      <c r="O88" s="321">
        <f t="shared" si="5"/>
        <v>26517523.598646473</v>
      </c>
      <c r="P88" s="323"/>
      <c r="Q88" s="375"/>
      <c r="R88" s="323"/>
      <c r="S88" s="323"/>
      <c r="T88" s="323"/>
    </row>
    <row r="89" spans="1:20" ht="30">
      <c r="A89" s="315" t="s">
        <v>518</v>
      </c>
      <c r="B89" s="316"/>
      <c r="C89" s="317" t="s">
        <v>519</v>
      </c>
      <c r="D89" s="318" t="s">
        <v>520</v>
      </c>
      <c r="E89" s="319">
        <f>IF(ISNA(HLOOKUP($D89,'GG Support Data'!$C$8:$Q$67,17,FALSE)),0,HLOOKUP($D89,'GG Support Data'!$C$8:$Q$67,17,FALSE))</f>
        <v>2967502.959230768</v>
      </c>
      <c r="F89" s="320">
        <f t="shared" si="3"/>
        <v>3.2154091362962427E-2</v>
      </c>
      <c r="G89" s="321">
        <f t="shared" si="0"/>
        <v>95417.361270967478</v>
      </c>
      <c r="H89" s="319">
        <f>IF(ISNA(HLOOKUP($D89,'GG Support Data'!$C$8:$Q$67,17,FALSE)),0,HLOOKUP($D89,'GG Support Data'!$C$8:$Q$67,50,FALSE))</f>
        <v>2927997.7899999996</v>
      </c>
      <c r="I89" s="320">
        <f t="shared" si="4"/>
        <v>7.9129488525170641E-2</v>
      </c>
      <c r="J89" s="321">
        <f t="shared" si="1"/>
        <v>231690.96752552997</v>
      </c>
      <c r="K89" s="319">
        <f>IF(ISNA(HLOOKUP($D89,'GG Support Data'!$C$8:$Q$67,17,FALSE)),0,HLOOKUP($D89,'GG Support Data'!$C$8:$Q$67,55,FALSE))</f>
        <v>79942.030000000013</v>
      </c>
      <c r="L89" s="319">
        <f>IF(ISNA(HLOOKUP($D89,'GG Support Data'!$C$8:$Q$67,17,FALSE)),0,HLOOKUP($D89,'GG Support Data'!$C$8:$Q$67,60,FALSE))</f>
        <v>0</v>
      </c>
      <c r="M89" s="653">
        <f t="shared" si="2"/>
        <v>407050.35879649746</v>
      </c>
      <c r="N89" s="322">
        <v>0</v>
      </c>
      <c r="O89" s="321">
        <f t="shared" si="5"/>
        <v>407050.35879649746</v>
      </c>
      <c r="P89" s="323"/>
      <c r="Q89" s="375"/>
      <c r="R89" s="323"/>
      <c r="S89" s="323"/>
      <c r="T89" s="323"/>
    </row>
    <row r="90" spans="1:20">
      <c r="A90" s="315"/>
      <c r="B90" s="316"/>
      <c r="C90" s="317"/>
      <c r="D90" s="318"/>
      <c r="E90" s="325"/>
      <c r="F90" s="320"/>
      <c r="G90" s="321"/>
      <c r="H90" s="325"/>
      <c r="I90" s="320"/>
      <c r="J90" s="321"/>
      <c r="K90" s="325"/>
      <c r="L90" s="325"/>
      <c r="M90" s="321"/>
      <c r="N90" s="326"/>
      <c r="O90" s="321"/>
      <c r="P90" s="323"/>
      <c r="Q90" s="324"/>
      <c r="R90" s="323"/>
      <c r="S90" s="323"/>
      <c r="T90" s="323"/>
    </row>
    <row r="91" spans="1:20">
      <c r="A91" s="315"/>
      <c r="B91" s="316"/>
      <c r="C91" s="317"/>
      <c r="D91" s="318"/>
      <c r="E91" s="325"/>
      <c r="F91" s="320"/>
      <c r="G91" s="321"/>
      <c r="H91" s="325"/>
      <c r="I91" s="320"/>
      <c r="J91" s="321"/>
      <c r="K91" s="325"/>
      <c r="L91" s="325"/>
      <c r="M91" s="321"/>
      <c r="N91" s="326"/>
      <c r="O91" s="321"/>
      <c r="P91" s="323"/>
      <c r="Q91" s="324"/>
      <c r="R91" s="323"/>
      <c r="S91" s="323"/>
      <c r="T91" s="323"/>
    </row>
    <row r="92" spans="1:20">
      <c r="A92" s="315"/>
      <c r="B92" s="316"/>
      <c r="C92" s="317"/>
      <c r="D92" s="318"/>
      <c r="E92" s="325"/>
      <c r="F92" s="320"/>
      <c r="G92" s="321"/>
      <c r="H92" s="325"/>
      <c r="I92" s="320"/>
      <c r="J92" s="321"/>
      <c r="K92" s="325"/>
      <c r="L92" s="325"/>
      <c r="M92" s="321"/>
      <c r="N92" s="326"/>
      <c r="O92" s="321"/>
      <c r="P92" s="323"/>
      <c r="Q92" s="324"/>
      <c r="R92" s="323"/>
      <c r="S92" s="323"/>
      <c r="T92" s="323"/>
    </row>
    <row r="93" spans="1:20">
      <c r="A93" s="315"/>
      <c r="B93" s="316"/>
      <c r="C93" s="317"/>
      <c r="D93" s="318"/>
      <c r="E93" s="325"/>
      <c r="F93" s="320"/>
      <c r="G93" s="321"/>
      <c r="H93" s="325"/>
      <c r="I93" s="320"/>
      <c r="J93" s="321"/>
      <c r="K93" s="325"/>
      <c r="L93" s="325"/>
      <c r="M93" s="321"/>
      <c r="N93" s="326"/>
      <c r="O93" s="321"/>
      <c r="P93" s="323"/>
      <c r="Q93" s="324"/>
      <c r="R93" s="323"/>
      <c r="S93" s="323"/>
      <c r="T93" s="323"/>
    </row>
    <row r="94" spans="1:20">
      <c r="A94" s="315"/>
      <c r="B94" s="316"/>
      <c r="C94" s="317"/>
      <c r="D94" s="318"/>
      <c r="E94" s="325"/>
      <c r="F94" s="320"/>
      <c r="G94" s="321"/>
      <c r="H94" s="325"/>
      <c r="I94" s="320"/>
      <c r="J94" s="321"/>
      <c r="K94" s="325"/>
      <c r="L94" s="325"/>
      <c r="M94" s="321"/>
      <c r="N94" s="326"/>
      <c r="O94" s="321"/>
      <c r="P94" s="323"/>
      <c r="Q94" s="324"/>
      <c r="R94" s="323"/>
      <c r="S94" s="323"/>
      <c r="T94" s="323"/>
    </row>
    <row r="95" spans="1:20">
      <c r="A95" s="315"/>
      <c r="B95" s="316"/>
      <c r="C95" s="317"/>
      <c r="D95" s="318"/>
      <c r="E95" s="325"/>
      <c r="F95" s="320"/>
      <c r="G95" s="321"/>
      <c r="H95" s="325"/>
      <c r="I95" s="320"/>
      <c r="J95" s="321"/>
      <c r="K95" s="325"/>
      <c r="L95" s="325"/>
      <c r="M95" s="321"/>
      <c r="N95" s="326"/>
      <c r="O95" s="321"/>
      <c r="P95" s="323"/>
      <c r="Q95" s="324"/>
      <c r="R95" s="323"/>
      <c r="S95" s="323"/>
      <c r="T95" s="323"/>
    </row>
    <row r="96" spans="1:20">
      <c r="A96" s="315"/>
      <c r="B96" s="316"/>
      <c r="C96" s="317"/>
      <c r="D96" s="318"/>
      <c r="E96" s="325"/>
      <c r="F96" s="320"/>
      <c r="G96" s="321"/>
      <c r="H96" s="325"/>
      <c r="I96" s="320"/>
      <c r="J96" s="321"/>
      <c r="K96" s="325"/>
      <c r="L96" s="325"/>
      <c r="M96" s="321"/>
      <c r="N96" s="326"/>
      <c r="O96" s="321"/>
      <c r="P96" s="323"/>
      <c r="Q96" s="324"/>
      <c r="R96" s="323"/>
      <c r="S96" s="323"/>
      <c r="T96" s="323"/>
    </row>
    <row r="97" spans="1:20">
      <c r="A97" s="315"/>
      <c r="B97" s="316"/>
      <c r="C97" s="317"/>
      <c r="D97" s="318"/>
      <c r="E97" s="325"/>
      <c r="F97" s="320"/>
      <c r="G97" s="321"/>
      <c r="H97" s="325"/>
      <c r="I97" s="320"/>
      <c r="J97" s="321"/>
      <c r="K97" s="325"/>
      <c r="L97" s="325"/>
      <c r="M97" s="321"/>
      <c r="N97" s="326"/>
      <c r="O97" s="321"/>
      <c r="P97" s="323"/>
      <c r="Q97" s="324"/>
      <c r="R97" s="323"/>
      <c r="S97" s="323"/>
      <c r="T97" s="323"/>
    </row>
    <row r="98" spans="1:20">
      <c r="A98" s="327"/>
      <c r="B98" s="328"/>
      <c r="C98" s="329"/>
      <c r="D98" s="329"/>
      <c r="E98" s="329"/>
      <c r="F98" s="329"/>
      <c r="G98" s="330"/>
      <c r="H98" s="329"/>
      <c r="I98" s="329"/>
      <c r="J98" s="330"/>
      <c r="K98" s="329"/>
      <c r="L98" s="329"/>
      <c r="M98" s="330"/>
      <c r="N98" s="329"/>
      <c r="O98" s="330"/>
      <c r="P98" s="323"/>
      <c r="Q98" s="324"/>
      <c r="R98" s="323"/>
      <c r="S98" s="323"/>
      <c r="T98" s="323"/>
    </row>
    <row r="99" spans="1:20">
      <c r="A99" s="252" t="s">
        <v>521</v>
      </c>
      <c r="B99" s="282"/>
      <c r="C99" s="255" t="s">
        <v>522</v>
      </c>
      <c r="D99" s="255"/>
      <c r="E99" s="275"/>
      <c r="F99" s="275"/>
      <c r="G99" s="244"/>
      <c r="H99" s="244"/>
      <c r="I99" s="244"/>
      <c r="J99" s="244"/>
      <c r="K99" s="244"/>
      <c r="L99" s="331">
        <f>SUM(L75:L98)</f>
        <v>0</v>
      </c>
      <c r="M99" s="331">
        <f>SUM(M75:M98)</f>
        <v>99673447.216751233</v>
      </c>
      <c r="N99" s="331">
        <f>SUM(N75:N98)</f>
        <v>-2032424.5222368035</v>
      </c>
      <c r="O99" s="331">
        <f>SUM(O75:O98)</f>
        <v>97641022.694514424</v>
      </c>
      <c r="P99" s="323"/>
      <c r="Q99" s="323"/>
      <c r="R99" s="323"/>
      <c r="S99" s="323"/>
      <c r="T99" s="323"/>
    </row>
    <row r="100" spans="1:20">
      <c r="A100" s="332"/>
      <c r="B100" s="323"/>
      <c r="C100" s="323"/>
      <c r="D100" s="323"/>
      <c r="E100" s="323"/>
      <c r="F100" s="323"/>
      <c r="G100" s="323"/>
      <c r="H100" s="323"/>
      <c r="I100" s="323"/>
      <c r="J100" s="323"/>
      <c r="K100" s="323"/>
      <c r="L100" s="323"/>
      <c r="M100" s="323"/>
      <c r="N100" s="323"/>
      <c r="O100" s="323"/>
      <c r="P100" s="323"/>
      <c r="Q100" s="323"/>
      <c r="R100" s="323"/>
      <c r="S100" s="323"/>
      <c r="T100" s="323"/>
    </row>
    <row r="101" spans="1:20">
      <c r="A101" s="333">
        <v>3</v>
      </c>
      <c r="B101" s="323"/>
      <c r="C101" s="286" t="s">
        <v>523</v>
      </c>
      <c r="D101" s="323"/>
      <c r="E101" s="323"/>
      <c r="F101" s="323"/>
      <c r="G101" s="323"/>
      <c r="H101" s="323"/>
      <c r="I101" s="323"/>
      <c r="J101" s="323"/>
      <c r="K101" s="323"/>
      <c r="L101" s="323"/>
      <c r="M101" s="331">
        <f>M99</f>
        <v>99673447.216751233</v>
      </c>
      <c r="N101" s="323"/>
      <c r="O101" s="323"/>
      <c r="P101" s="323"/>
      <c r="Q101" s="323"/>
      <c r="R101" s="323"/>
      <c r="S101" s="323"/>
      <c r="T101" s="323"/>
    </row>
    <row r="102" spans="1:20">
      <c r="A102" s="323"/>
      <c r="B102" s="323"/>
      <c r="C102" s="323"/>
      <c r="D102" s="323"/>
      <c r="E102" s="323"/>
      <c r="F102" s="323"/>
      <c r="G102" s="323"/>
      <c r="H102" s="323"/>
      <c r="I102" s="323"/>
      <c r="J102" s="323"/>
      <c r="K102" s="323"/>
      <c r="L102" s="323"/>
      <c r="M102" s="323"/>
      <c r="N102" s="323"/>
      <c r="O102" s="323"/>
      <c r="P102" s="323"/>
      <c r="Q102" s="323"/>
      <c r="R102" s="323"/>
      <c r="S102" s="323"/>
      <c r="T102" s="323"/>
    </row>
    <row r="103" spans="1:20">
      <c r="A103" s="323"/>
      <c r="B103" s="323"/>
      <c r="C103" s="323"/>
      <c r="D103" s="323"/>
      <c r="E103" s="323"/>
      <c r="F103" s="323"/>
      <c r="G103" s="323"/>
      <c r="H103" s="323"/>
      <c r="I103" s="323"/>
      <c r="J103" s="323"/>
      <c r="K103" s="323"/>
      <c r="L103" s="323"/>
      <c r="M103" s="323"/>
      <c r="N103" s="323"/>
      <c r="O103" s="323"/>
      <c r="P103" s="323"/>
      <c r="Q103" s="323"/>
      <c r="R103" s="323"/>
      <c r="S103" s="323"/>
      <c r="T103" s="323"/>
    </row>
    <row r="104" spans="1:20">
      <c r="A104" s="286" t="s">
        <v>296</v>
      </c>
      <c r="B104" s="323"/>
      <c r="C104" s="323"/>
      <c r="D104" s="323"/>
      <c r="E104" s="323"/>
      <c r="F104" s="323"/>
      <c r="G104" s="323"/>
      <c r="H104" s="323"/>
      <c r="I104" s="323"/>
      <c r="J104" s="323"/>
      <c r="K104" s="323"/>
      <c r="L104" s="323"/>
      <c r="M104" s="323"/>
      <c r="O104" s="323"/>
      <c r="P104" s="323"/>
      <c r="Q104" s="323"/>
      <c r="R104" s="323"/>
      <c r="S104" s="323"/>
      <c r="T104" s="323"/>
    </row>
    <row r="105" spans="1:20" ht="15.6" thickBot="1">
      <c r="A105" s="334" t="s">
        <v>297</v>
      </c>
      <c r="B105" s="323"/>
      <c r="C105" s="323"/>
      <c r="D105" s="323"/>
      <c r="E105" s="323"/>
      <c r="F105" s="323"/>
      <c r="G105" s="323"/>
      <c r="H105" s="323"/>
      <c r="I105" s="323"/>
      <c r="J105" s="323"/>
      <c r="K105" s="323"/>
      <c r="L105" s="323"/>
      <c r="M105" s="323"/>
      <c r="O105" s="323"/>
      <c r="P105" s="323"/>
      <c r="Q105" s="323"/>
      <c r="R105" s="323"/>
      <c r="S105" s="323"/>
      <c r="T105" s="323"/>
    </row>
    <row r="106" spans="1:20">
      <c r="A106" s="335" t="s">
        <v>298</v>
      </c>
      <c r="B106" s="234"/>
      <c r="C106" s="748" t="s">
        <v>524</v>
      </c>
      <c r="D106" s="748"/>
      <c r="E106" s="748"/>
      <c r="F106" s="748"/>
      <c r="G106" s="748"/>
      <c r="H106" s="748"/>
      <c r="I106" s="748"/>
      <c r="J106" s="748"/>
      <c r="K106" s="748"/>
      <c r="L106" s="748"/>
      <c r="M106" s="748"/>
      <c r="N106" s="748"/>
      <c r="O106" s="748"/>
      <c r="P106" s="323"/>
      <c r="Q106" s="323"/>
      <c r="R106" s="323"/>
      <c r="S106" s="323"/>
      <c r="T106" s="323"/>
    </row>
    <row r="107" spans="1:20">
      <c r="A107" s="335" t="s">
        <v>300</v>
      </c>
      <c r="B107" s="234"/>
      <c r="C107" s="748" t="s">
        <v>525</v>
      </c>
      <c r="D107" s="748"/>
      <c r="E107" s="748"/>
      <c r="F107" s="748"/>
      <c r="G107" s="748"/>
      <c r="H107" s="748"/>
      <c r="I107" s="748"/>
      <c r="J107" s="748"/>
      <c r="K107" s="748"/>
      <c r="L107" s="748"/>
      <c r="M107" s="748"/>
      <c r="N107" s="748"/>
      <c r="O107" s="748"/>
      <c r="P107" s="323"/>
      <c r="Q107" s="323"/>
      <c r="R107" s="323"/>
      <c r="S107" s="323"/>
      <c r="T107" s="323"/>
    </row>
    <row r="108" spans="1:20" ht="33" customHeight="1">
      <c r="A108" s="335" t="s">
        <v>302</v>
      </c>
      <c r="B108" s="234"/>
      <c r="C108" s="748" t="s">
        <v>526</v>
      </c>
      <c r="D108" s="748"/>
      <c r="E108" s="748"/>
      <c r="F108" s="748"/>
      <c r="G108" s="748"/>
      <c r="H108" s="748"/>
      <c r="I108" s="748"/>
      <c r="J108" s="748"/>
      <c r="K108" s="748"/>
      <c r="L108" s="748"/>
      <c r="M108" s="748"/>
      <c r="N108" s="748"/>
      <c r="O108" s="748"/>
      <c r="P108" s="323"/>
      <c r="Q108" s="323"/>
      <c r="R108" s="323"/>
      <c r="S108" s="323"/>
      <c r="T108" s="323"/>
    </row>
    <row r="109" spans="1:20">
      <c r="A109" s="335" t="s">
        <v>304</v>
      </c>
      <c r="B109" s="234"/>
      <c r="C109" s="749" t="s">
        <v>527</v>
      </c>
      <c r="D109" s="749"/>
      <c r="E109" s="749"/>
      <c r="F109" s="749"/>
      <c r="G109" s="749"/>
      <c r="H109" s="749"/>
      <c r="I109" s="749"/>
      <c r="J109" s="749"/>
      <c r="K109" s="749"/>
      <c r="L109" s="749"/>
      <c r="M109" s="749"/>
      <c r="N109" s="749"/>
      <c r="O109" s="749"/>
      <c r="P109" s="323"/>
      <c r="Q109" s="323"/>
      <c r="R109" s="323"/>
      <c r="S109" s="323"/>
      <c r="T109" s="323"/>
    </row>
    <row r="110" spans="1:20">
      <c r="A110" s="293" t="s">
        <v>305</v>
      </c>
      <c r="B110" s="234"/>
      <c r="C110" s="746" t="s">
        <v>528</v>
      </c>
      <c r="D110" s="746"/>
      <c r="E110" s="746"/>
      <c r="F110" s="746"/>
      <c r="G110" s="746"/>
      <c r="H110" s="746"/>
      <c r="I110" s="746"/>
      <c r="J110" s="746"/>
      <c r="K110" s="746"/>
      <c r="L110" s="746"/>
      <c r="M110" s="746"/>
      <c r="N110" s="746"/>
      <c r="O110" s="746"/>
      <c r="P110" s="323"/>
      <c r="Q110" s="323"/>
      <c r="R110" s="323"/>
      <c r="S110" s="323"/>
      <c r="T110" s="323"/>
    </row>
    <row r="111" spans="1:20">
      <c r="A111" s="293" t="s">
        <v>307</v>
      </c>
      <c r="B111" s="234"/>
      <c r="C111" s="746" t="s">
        <v>529</v>
      </c>
      <c r="D111" s="746"/>
      <c r="E111" s="746"/>
      <c r="F111" s="746"/>
      <c r="G111" s="746"/>
      <c r="H111" s="746"/>
      <c r="I111" s="746"/>
      <c r="J111" s="746"/>
      <c r="K111" s="746"/>
      <c r="L111" s="746"/>
      <c r="M111" s="746"/>
      <c r="N111" s="746"/>
      <c r="O111" s="746"/>
      <c r="P111" s="323"/>
      <c r="Q111" s="323"/>
      <c r="R111" s="323"/>
      <c r="S111" s="323"/>
      <c r="T111" s="323"/>
    </row>
    <row r="112" spans="1:20">
      <c r="A112" s="293" t="s">
        <v>309</v>
      </c>
      <c r="B112" s="234"/>
      <c r="C112" s="746" t="s">
        <v>530</v>
      </c>
      <c r="D112" s="746"/>
      <c r="E112" s="746"/>
      <c r="F112" s="746"/>
      <c r="G112" s="746"/>
      <c r="H112" s="746"/>
      <c r="I112" s="746"/>
      <c r="J112" s="746"/>
      <c r="K112" s="746"/>
      <c r="L112" s="746"/>
      <c r="M112" s="746"/>
      <c r="N112" s="746"/>
      <c r="O112" s="746"/>
      <c r="P112" s="323"/>
      <c r="Q112" s="323"/>
      <c r="R112" s="323"/>
      <c r="S112" s="323"/>
      <c r="T112" s="323"/>
    </row>
    <row r="113" spans="1:20">
      <c r="A113" s="293" t="s">
        <v>311</v>
      </c>
      <c r="B113" s="234"/>
      <c r="C113" s="746" t="s">
        <v>531</v>
      </c>
      <c r="D113" s="746"/>
      <c r="E113" s="746"/>
      <c r="F113" s="746"/>
      <c r="G113" s="746"/>
      <c r="H113" s="746"/>
      <c r="I113" s="746"/>
      <c r="J113" s="746"/>
      <c r="K113" s="746"/>
      <c r="L113" s="746"/>
      <c r="M113" s="746"/>
      <c r="N113" s="746"/>
      <c r="O113" s="746"/>
      <c r="P113" s="323"/>
      <c r="Q113" s="323"/>
      <c r="R113" s="323"/>
      <c r="S113" s="323"/>
      <c r="T113" s="323"/>
    </row>
    <row r="114" spans="1:20" ht="15.75" customHeight="1">
      <c r="A114" s="336" t="s">
        <v>313</v>
      </c>
      <c r="B114" s="337"/>
      <c r="C114" s="747" t="s">
        <v>532</v>
      </c>
      <c r="D114" s="747"/>
      <c r="E114" s="747"/>
      <c r="F114" s="747"/>
      <c r="G114" s="747"/>
      <c r="H114" s="747"/>
      <c r="I114" s="747"/>
      <c r="J114" s="747"/>
      <c r="K114" s="747"/>
      <c r="L114" s="747"/>
      <c r="M114" s="747"/>
      <c r="N114" s="747"/>
      <c r="O114" s="747"/>
      <c r="P114" s="338"/>
      <c r="Q114" s="338"/>
      <c r="R114" s="338"/>
      <c r="S114" s="323"/>
      <c r="T114" s="323"/>
    </row>
    <row r="115" spans="1:20" ht="33" customHeight="1">
      <c r="A115" s="336" t="s">
        <v>315</v>
      </c>
      <c r="B115" s="339"/>
      <c r="C115" s="747" t="s">
        <v>533</v>
      </c>
      <c r="D115" s="747"/>
      <c r="E115" s="747"/>
      <c r="F115" s="747"/>
      <c r="G115" s="747"/>
      <c r="H115" s="747"/>
      <c r="I115" s="747"/>
      <c r="J115" s="747"/>
      <c r="K115" s="747"/>
      <c r="L115" s="747"/>
      <c r="M115" s="747"/>
      <c r="N115" s="747"/>
      <c r="O115" s="747"/>
      <c r="P115" s="338"/>
      <c r="Q115" s="338"/>
      <c r="R115" s="338"/>
      <c r="S115" s="323"/>
      <c r="T115" s="323"/>
    </row>
    <row r="116" spans="1:20" ht="15.6">
      <c r="A116" s="287"/>
      <c r="B116" s="340"/>
      <c r="C116" s="341"/>
      <c r="D116" s="274"/>
      <c r="E116" s="275"/>
      <c r="F116" s="275"/>
      <c r="G116" s="244"/>
      <c r="H116" s="286"/>
      <c r="I116" s="286"/>
      <c r="J116" s="269"/>
      <c r="K116" s="286"/>
      <c r="L116" s="286"/>
      <c r="M116" s="234"/>
      <c r="N116" s="244"/>
      <c r="O116" s="271"/>
      <c r="P116" s="323"/>
      <c r="Q116" s="323"/>
      <c r="R116" s="323"/>
      <c r="S116" s="323"/>
      <c r="T116" s="323"/>
    </row>
    <row r="117" spans="1:20">
      <c r="C117" s="323"/>
      <c r="D117" s="323"/>
      <c r="E117" s="323"/>
      <c r="F117" s="323"/>
      <c r="G117" s="323"/>
      <c r="H117" s="323"/>
      <c r="I117" s="323"/>
      <c r="J117" s="323"/>
      <c r="K117" s="323"/>
      <c r="L117" s="323"/>
      <c r="M117" s="323"/>
      <c r="N117" s="323"/>
      <c r="O117" s="323"/>
      <c r="P117" s="323"/>
      <c r="Q117" s="323"/>
      <c r="R117" s="323"/>
      <c r="S117" s="323"/>
      <c r="T117" s="323"/>
    </row>
    <row r="118" spans="1:20">
      <c r="C118" s="323"/>
      <c r="D118" s="323"/>
      <c r="E118" s="323"/>
      <c r="F118" s="323"/>
      <c r="G118" s="323"/>
      <c r="H118" s="323"/>
      <c r="I118" s="323"/>
      <c r="J118" s="323"/>
      <c r="K118" s="323"/>
      <c r="L118" s="323"/>
      <c r="M118" s="323"/>
      <c r="N118" s="323"/>
      <c r="O118" s="323"/>
      <c r="P118" s="323"/>
      <c r="Q118" s="323"/>
      <c r="R118" s="323"/>
      <c r="S118" s="323"/>
      <c r="T118" s="323"/>
    </row>
    <row r="119" spans="1:20">
      <c r="C119" s="323"/>
      <c r="D119" s="323"/>
      <c r="E119" s="323"/>
      <c r="F119" s="323"/>
      <c r="G119" s="323"/>
      <c r="H119" s="323"/>
      <c r="I119" s="323"/>
      <c r="J119" s="323"/>
      <c r="K119" s="323"/>
      <c r="L119" s="323"/>
      <c r="M119" s="323"/>
      <c r="N119" s="323"/>
      <c r="O119" s="323"/>
      <c r="P119" s="323"/>
      <c r="Q119" s="323"/>
      <c r="R119" s="323"/>
      <c r="S119" s="323"/>
      <c r="T119" s="323"/>
    </row>
    <row r="120" spans="1:20">
      <c r="C120" s="323"/>
      <c r="D120" s="323"/>
      <c r="E120" s="323"/>
      <c r="F120" s="323"/>
      <c r="G120" s="323"/>
      <c r="H120" s="323"/>
      <c r="I120" s="323"/>
      <c r="J120" s="323"/>
      <c r="K120" s="323"/>
      <c r="L120" s="323"/>
      <c r="M120" s="323"/>
      <c r="N120" s="323"/>
      <c r="O120" s="323"/>
      <c r="P120" s="323"/>
      <c r="Q120" s="323"/>
      <c r="R120" s="323"/>
      <c r="S120" s="323"/>
      <c r="T120" s="323"/>
    </row>
    <row r="121" spans="1:20">
      <c r="C121" s="323"/>
      <c r="D121" s="323"/>
      <c r="E121" s="323"/>
      <c r="F121" s="323"/>
      <c r="G121" s="323"/>
      <c r="H121" s="323"/>
      <c r="I121" s="323"/>
      <c r="J121" s="323"/>
      <c r="K121" s="323"/>
      <c r="L121" s="323"/>
      <c r="M121" s="323"/>
      <c r="N121" s="323"/>
      <c r="O121" s="323"/>
      <c r="P121" s="323"/>
      <c r="Q121" s="323"/>
      <c r="R121" s="323"/>
      <c r="S121" s="323"/>
      <c r="T121" s="323"/>
    </row>
    <row r="122" spans="1:20">
      <c r="C122" s="323"/>
      <c r="D122" s="323"/>
      <c r="E122" s="323"/>
      <c r="F122" s="323"/>
      <c r="G122" s="323"/>
      <c r="H122" s="323"/>
      <c r="I122" s="323"/>
      <c r="J122" s="323"/>
      <c r="K122" s="323"/>
      <c r="L122" s="323"/>
      <c r="M122" s="323"/>
      <c r="N122" s="323"/>
      <c r="O122" s="323"/>
      <c r="P122" s="323"/>
      <c r="Q122" s="323"/>
      <c r="R122" s="323"/>
      <c r="S122" s="323"/>
      <c r="T122" s="323"/>
    </row>
    <row r="123" spans="1:20">
      <c r="C123" s="323"/>
      <c r="D123" s="323"/>
      <c r="E123" s="323"/>
      <c r="F123" s="323"/>
      <c r="G123" s="323"/>
      <c r="H123" s="323"/>
      <c r="I123" s="323"/>
      <c r="J123" s="323"/>
      <c r="K123" s="323"/>
      <c r="L123" s="323"/>
      <c r="M123" s="323"/>
      <c r="N123" s="323"/>
      <c r="O123" s="323"/>
      <c r="P123" s="323"/>
      <c r="Q123" s="323"/>
      <c r="R123" s="323"/>
      <c r="S123" s="323"/>
      <c r="T123" s="323"/>
    </row>
    <row r="124" spans="1:20">
      <c r="C124" s="323"/>
      <c r="D124" s="323"/>
      <c r="E124" s="323"/>
      <c r="F124" s="323"/>
      <c r="G124" s="323"/>
      <c r="H124" s="323"/>
      <c r="I124" s="323"/>
      <c r="J124" s="323"/>
      <c r="K124" s="323"/>
      <c r="L124" s="323"/>
      <c r="M124" s="323"/>
      <c r="N124" s="323"/>
      <c r="O124" s="323"/>
      <c r="P124" s="323"/>
      <c r="Q124" s="323"/>
      <c r="R124" s="323"/>
      <c r="S124" s="323"/>
      <c r="T124" s="323"/>
    </row>
    <row r="125" spans="1:20">
      <c r="C125" s="323"/>
      <c r="D125" s="323"/>
      <c r="E125" s="323"/>
      <c r="F125" s="323"/>
      <c r="G125" s="323"/>
      <c r="H125" s="323"/>
      <c r="I125" s="323"/>
      <c r="J125" s="323"/>
      <c r="K125" s="323"/>
      <c r="L125" s="323"/>
      <c r="M125" s="323"/>
      <c r="N125" s="323"/>
      <c r="O125" s="323"/>
      <c r="P125" s="323"/>
      <c r="Q125" s="323"/>
      <c r="R125" s="323"/>
      <c r="S125" s="323"/>
      <c r="T125" s="323"/>
    </row>
    <row r="126" spans="1:20">
      <c r="C126" s="323"/>
      <c r="D126" s="323"/>
      <c r="E126" s="323"/>
      <c r="F126" s="323"/>
      <c r="G126" s="323"/>
      <c r="H126" s="323"/>
      <c r="I126" s="323"/>
      <c r="J126" s="323"/>
      <c r="K126" s="323"/>
      <c r="L126" s="323"/>
      <c r="M126" s="323"/>
      <c r="N126" s="323"/>
      <c r="O126" s="323"/>
      <c r="P126" s="323"/>
      <c r="Q126" s="323"/>
      <c r="R126" s="323"/>
      <c r="S126" s="323"/>
      <c r="T126" s="323"/>
    </row>
    <row r="127" spans="1:20">
      <c r="C127" s="323"/>
      <c r="D127" s="323"/>
      <c r="E127" s="323"/>
      <c r="F127" s="323"/>
      <c r="G127" s="323"/>
      <c r="H127" s="323"/>
      <c r="I127" s="323"/>
      <c r="J127" s="323"/>
      <c r="K127" s="323"/>
      <c r="L127" s="323"/>
      <c r="M127" s="323"/>
      <c r="N127" s="323"/>
      <c r="O127" s="323"/>
      <c r="P127" s="323"/>
      <c r="Q127" s="323"/>
      <c r="R127" s="323"/>
      <c r="S127" s="323"/>
      <c r="T127" s="323"/>
    </row>
    <row r="128" spans="1:20">
      <c r="C128" s="323"/>
      <c r="D128" s="323"/>
      <c r="E128" s="323"/>
      <c r="F128" s="323"/>
      <c r="G128" s="323"/>
      <c r="H128" s="323"/>
      <c r="I128" s="323"/>
      <c r="J128" s="323"/>
      <c r="K128" s="323"/>
      <c r="L128" s="323"/>
      <c r="M128" s="323"/>
      <c r="N128" s="323"/>
      <c r="O128" s="323"/>
      <c r="P128" s="323"/>
      <c r="Q128" s="323"/>
      <c r="R128" s="323"/>
      <c r="S128" s="323"/>
      <c r="T128" s="323"/>
    </row>
    <row r="129" spans="3:20">
      <c r="C129" s="323"/>
      <c r="D129" s="323"/>
      <c r="E129" s="323"/>
      <c r="F129" s="323"/>
      <c r="G129" s="323"/>
      <c r="H129" s="323"/>
      <c r="I129" s="323"/>
      <c r="J129" s="323"/>
      <c r="K129" s="323"/>
      <c r="L129" s="323"/>
      <c r="M129" s="323"/>
      <c r="N129" s="323"/>
      <c r="O129" s="323"/>
      <c r="P129" s="323"/>
      <c r="Q129" s="323"/>
      <c r="R129" s="323"/>
      <c r="S129" s="323"/>
      <c r="T129" s="323"/>
    </row>
    <row r="130" spans="3:20">
      <c r="C130" s="323"/>
      <c r="D130" s="323"/>
      <c r="E130" s="323"/>
      <c r="F130" s="323"/>
      <c r="G130" s="323"/>
      <c r="H130" s="323"/>
      <c r="I130" s="323"/>
      <c r="J130" s="323"/>
      <c r="K130" s="323"/>
      <c r="L130" s="323"/>
      <c r="M130" s="323"/>
      <c r="N130" s="323"/>
      <c r="O130" s="323"/>
      <c r="P130" s="323"/>
      <c r="Q130" s="323"/>
      <c r="R130" s="323"/>
      <c r="S130" s="323"/>
      <c r="T130" s="323"/>
    </row>
    <row r="131" spans="3:20">
      <c r="C131" s="323"/>
      <c r="D131" s="323"/>
      <c r="E131" s="323"/>
      <c r="F131" s="323"/>
      <c r="G131" s="323"/>
      <c r="H131" s="323"/>
      <c r="I131" s="323"/>
      <c r="J131" s="323"/>
      <c r="K131" s="323"/>
      <c r="L131" s="323"/>
      <c r="M131" s="323"/>
      <c r="N131" s="323"/>
      <c r="O131" s="323"/>
      <c r="P131" s="323"/>
      <c r="Q131" s="323"/>
      <c r="R131" s="323"/>
      <c r="S131" s="323"/>
      <c r="T131" s="323"/>
    </row>
    <row r="132" spans="3:20">
      <c r="C132" s="323"/>
      <c r="D132" s="323"/>
      <c r="E132" s="323"/>
      <c r="F132" s="323"/>
      <c r="G132" s="323"/>
      <c r="H132" s="323"/>
      <c r="I132" s="323"/>
      <c r="J132" s="323"/>
      <c r="K132" s="323"/>
      <c r="L132" s="323"/>
      <c r="M132" s="323"/>
      <c r="N132" s="323"/>
      <c r="O132" s="323"/>
      <c r="P132" s="323"/>
      <c r="Q132" s="323"/>
      <c r="R132" s="323"/>
      <c r="S132" s="323"/>
      <c r="T132" s="323"/>
    </row>
    <row r="133" spans="3:20">
      <c r="C133" s="323"/>
      <c r="D133" s="323"/>
      <c r="E133" s="323"/>
      <c r="F133" s="323"/>
      <c r="G133" s="323"/>
      <c r="H133" s="323"/>
      <c r="I133" s="323"/>
      <c r="J133" s="323"/>
      <c r="K133" s="323"/>
      <c r="L133" s="323"/>
      <c r="M133" s="323"/>
      <c r="N133" s="323"/>
      <c r="O133" s="323"/>
      <c r="P133" s="323"/>
      <c r="Q133" s="323"/>
      <c r="R133" s="323"/>
      <c r="S133" s="323"/>
      <c r="T133" s="323"/>
    </row>
    <row r="134" spans="3:20">
      <c r="C134" s="323"/>
      <c r="D134" s="323"/>
      <c r="E134" s="323"/>
      <c r="F134" s="323"/>
      <c r="G134" s="323"/>
      <c r="H134" s="323"/>
      <c r="I134" s="323"/>
      <c r="J134" s="323"/>
      <c r="K134" s="323"/>
      <c r="L134" s="323"/>
      <c r="M134" s="323"/>
      <c r="N134" s="323"/>
      <c r="O134" s="323"/>
      <c r="P134" s="323"/>
      <c r="Q134" s="323"/>
      <c r="R134" s="323"/>
      <c r="S134" s="323"/>
      <c r="T134" s="323"/>
    </row>
    <row r="135" spans="3:20">
      <c r="C135" s="323"/>
      <c r="D135" s="323"/>
      <c r="E135" s="323"/>
      <c r="F135" s="323"/>
      <c r="G135" s="323"/>
      <c r="H135" s="323"/>
      <c r="I135" s="323"/>
      <c r="J135" s="323"/>
      <c r="K135" s="323"/>
      <c r="L135" s="323"/>
      <c r="M135" s="323"/>
      <c r="N135" s="323"/>
      <c r="O135" s="323"/>
      <c r="P135" s="323"/>
      <c r="Q135" s="323"/>
      <c r="R135" s="323"/>
      <c r="S135" s="323"/>
      <c r="T135" s="323"/>
    </row>
    <row r="136" spans="3:20">
      <c r="C136" s="323"/>
      <c r="D136" s="323"/>
      <c r="E136" s="323"/>
      <c r="F136" s="323"/>
      <c r="G136" s="323"/>
      <c r="H136" s="323"/>
      <c r="I136" s="323"/>
      <c r="J136" s="323"/>
      <c r="K136" s="323"/>
      <c r="L136" s="323"/>
      <c r="M136" s="323"/>
      <c r="N136" s="323"/>
      <c r="O136" s="323"/>
      <c r="P136" s="323"/>
      <c r="Q136" s="323"/>
      <c r="R136" s="323"/>
      <c r="S136" s="323"/>
      <c r="T136" s="323"/>
    </row>
    <row r="137" spans="3:20">
      <c r="C137" s="323"/>
      <c r="D137" s="323"/>
      <c r="E137" s="323"/>
      <c r="F137" s="323"/>
      <c r="G137" s="323"/>
      <c r="H137" s="323"/>
      <c r="I137" s="323"/>
      <c r="J137" s="323"/>
      <c r="K137" s="323"/>
      <c r="L137" s="323"/>
      <c r="M137" s="323"/>
      <c r="N137" s="323"/>
      <c r="O137" s="323"/>
      <c r="P137" s="323"/>
      <c r="Q137" s="323"/>
      <c r="R137" s="323"/>
      <c r="S137" s="323"/>
      <c r="T137" s="323"/>
    </row>
    <row r="138" spans="3:20">
      <c r="C138" s="323"/>
      <c r="D138" s="323"/>
      <c r="E138" s="323"/>
      <c r="F138" s="323"/>
      <c r="G138" s="323"/>
      <c r="H138" s="323"/>
      <c r="I138" s="323"/>
      <c r="J138" s="323"/>
      <c r="K138" s="323"/>
      <c r="L138" s="323"/>
      <c r="M138" s="323"/>
      <c r="N138" s="323"/>
      <c r="O138" s="323"/>
      <c r="P138" s="323"/>
      <c r="Q138" s="323"/>
      <c r="R138" s="323"/>
      <c r="S138" s="323"/>
      <c r="T138" s="323"/>
    </row>
    <row r="139" spans="3:20">
      <c r="C139" s="323"/>
      <c r="D139" s="323"/>
      <c r="E139" s="323"/>
      <c r="F139" s="323"/>
      <c r="G139" s="323"/>
      <c r="H139" s="323"/>
      <c r="I139" s="323"/>
      <c r="J139" s="323"/>
      <c r="K139" s="323"/>
      <c r="L139" s="323"/>
      <c r="M139" s="323"/>
      <c r="N139" s="323"/>
      <c r="O139" s="323"/>
      <c r="P139" s="323"/>
      <c r="Q139" s="323"/>
      <c r="R139" s="323"/>
      <c r="S139" s="323"/>
      <c r="T139" s="323"/>
    </row>
    <row r="140" spans="3:20">
      <c r="C140" s="323"/>
      <c r="D140" s="323"/>
      <c r="E140" s="323"/>
      <c r="F140" s="323"/>
      <c r="G140" s="323"/>
      <c r="H140" s="323"/>
      <c r="I140" s="323"/>
      <c r="J140" s="323"/>
      <c r="K140" s="323"/>
      <c r="L140" s="323"/>
      <c r="M140" s="323"/>
      <c r="N140" s="323"/>
      <c r="O140" s="323"/>
      <c r="P140" s="323"/>
      <c r="Q140" s="323"/>
      <c r="R140" s="323"/>
      <c r="S140" s="323"/>
      <c r="T140" s="323"/>
    </row>
    <row r="141" spans="3:20">
      <c r="C141" s="323"/>
      <c r="D141" s="323"/>
      <c r="E141" s="323"/>
      <c r="F141" s="323"/>
      <c r="G141" s="323"/>
      <c r="H141" s="323"/>
      <c r="I141" s="323"/>
      <c r="J141" s="323"/>
      <c r="K141" s="323"/>
      <c r="L141" s="323"/>
      <c r="M141" s="323"/>
      <c r="N141" s="323"/>
      <c r="O141" s="323"/>
      <c r="P141" s="323"/>
      <c r="Q141" s="323"/>
      <c r="R141" s="323"/>
      <c r="S141" s="323"/>
      <c r="T141" s="323"/>
    </row>
    <row r="142" spans="3:20">
      <c r="C142" s="323"/>
      <c r="D142" s="323"/>
      <c r="E142" s="323"/>
      <c r="F142" s="323"/>
      <c r="G142" s="323"/>
      <c r="H142" s="323"/>
      <c r="I142" s="323"/>
      <c r="J142" s="323"/>
      <c r="K142" s="323"/>
      <c r="L142" s="323"/>
      <c r="M142" s="323"/>
      <c r="N142" s="323"/>
      <c r="O142" s="323"/>
      <c r="P142" s="323"/>
      <c r="Q142" s="323"/>
      <c r="R142" s="323"/>
      <c r="S142" s="323"/>
      <c r="T142" s="323"/>
    </row>
    <row r="143" spans="3:20">
      <c r="C143" s="323"/>
      <c r="D143" s="323"/>
      <c r="E143" s="323"/>
      <c r="F143" s="323"/>
      <c r="G143" s="323"/>
      <c r="H143" s="323"/>
      <c r="I143" s="323"/>
      <c r="J143" s="323"/>
      <c r="K143" s="323"/>
      <c r="L143" s="323"/>
      <c r="M143" s="323"/>
      <c r="N143" s="323"/>
      <c r="O143" s="323"/>
      <c r="P143" s="323"/>
      <c r="Q143" s="323"/>
      <c r="R143" s="323"/>
      <c r="S143" s="323"/>
      <c r="T143" s="323"/>
    </row>
    <row r="144" spans="3:20">
      <c r="C144" s="323"/>
      <c r="D144" s="323"/>
      <c r="E144" s="323"/>
      <c r="F144" s="323"/>
      <c r="G144" s="323"/>
      <c r="H144" s="323"/>
      <c r="I144" s="323"/>
      <c r="J144" s="323"/>
      <c r="K144" s="323"/>
      <c r="L144" s="323"/>
      <c r="M144" s="323"/>
      <c r="N144" s="323"/>
      <c r="O144" s="323"/>
      <c r="P144" s="323"/>
      <c r="Q144" s="323"/>
      <c r="R144" s="323"/>
      <c r="S144" s="323"/>
      <c r="T144" s="323"/>
    </row>
    <row r="145" spans="3:20">
      <c r="C145" s="323"/>
      <c r="D145" s="323"/>
      <c r="E145" s="323"/>
      <c r="F145" s="323"/>
      <c r="G145" s="323"/>
      <c r="H145" s="323"/>
      <c r="I145" s="323"/>
      <c r="J145" s="323"/>
      <c r="K145" s="323"/>
      <c r="L145" s="323"/>
      <c r="M145" s="323"/>
      <c r="N145" s="323"/>
      <c r="O145" s="323"/>
      <c r="P145" s="323"/>
      <c r="Q145" s="323"/>
      <c r="R145" s="323"/>
      <c r="S145" s="323"/>
      <c r="T145" s="323"/>
    </row>
    <row r="146" spans="3:20">
      <c r="C146" s="323"/>
      <c r="D146" s="323"/>
      <c r="E146" s="323"/>
      <c r="F146" s="323"/>
      <c r="G146" s="323"/>
      <c r="H146" s="323"/>
      <c r="I146" s="323"/>
      <c r="J146" s="323"/>
      <c r="K146" s="323"/>
      <c r="L146" s="323"/>
      <c r="M146" s="323"/>
      <c r="N146" s="323"/>
      <c r="O146" s="323"/>
      <c r="P146" s="323"/>
      <c r="Q146" s="323"/>
      <c r="R146" s="323"/>
      <c r="S146" s="323"/>
      <c r="T146" s="323"/>
    </row>
    <row r="147" spans="3:20">
      <c r="C147" s="323"/>
      <c r="D147" s="323"/>
      <c r="E147" s="323"/>
      <c r="F147" s="323"/>
      <c r="G147" s="323"/>
      <c r="H147" s="323"/>
      <c r="I147" s="323"/>
      <c r="J147" s="323"/>
      <c r="K147" s="323"/>
      <c r="L147" s="323"/>
      <c r="M147" s="323"/>
      <c r="N147" s="323"/>
      <c r="O147" s="323"/>
      <c r="P147" s="323"/>
      <c r="Q147" s="323"/>
      <c r="R147" s="323"/>
      <c r="S147" s="323"/>
      <c r="T147" s="323"/>
    </row>
    <row r="148" spans="3:20">
      <c r="C148" s="323"/>
      <c r="D148" s="323"/>
      <c r="E148" s="323"/>
      <c r="F148" s="323"/>
      <c r="G148" s="323"/>
      <c r="H148" s="323"/>
      <c r="I148" s="323"/>
      <c r="J148" s="323"/>
      <c r="K148" s="323"/>
      <c r="L148" s="323"/>
      <c r="M148" s="323"/>
      <c r="N148" s="323"/>
      <c r="O148" s="323"/>
      <c r="P148" s="323"/>
      <c r="Q148" s="323"/>
      <c r="R148" s="323"/>
      <c r="S148" s="323"/>
      <c r="T148" s="323"/>
    </row>
    <row r="149" spans="3:20">
      <c r="C149" s="323"/>
      <c r="D149" s="323"/>
      <c r="E149" s="323"/>
      <c r="F149" s="323"/>
      <c r="G149" s="323"/>
      <c r="H149" s="323"/>
      <c r="I149" s="323"/>
      <c r="J149" s="323"/>
      <c r="K149" s="323"/>
      <c r="L149" s="323"/>
      <c r="M149" s="323"/>
      <c r="N149" s="323"/>
      <c r="O149" s="323"/>
      <c r="P149" s="323"/>
      <c r="Q149" s="323"/>
      <c r="R149" s="323"/>
      <c r="S149" s="323"/>
      <c r="T149" s="323"/>
    </row>
    <row r="150" spans="3:20">
      <c r="C150" s="323"/>
      <c r="D150" s="323"/>
      <c r="E150" s="323"/>
      <c r="F150" s="323"/>
      <c r="G150" s="323"/>
      <c r="H150" s="323"/>
      <c r="I150" s="323"/>
      <c r="J150" s="323"/>
      <c r="K150" s="323"/>
      <c r="L150" s="323"/>
      <c r="M150" s="323"/>
      <c r="N150" s="323"/>
      <c r="O150" s="323"/>
      <c r="P150" s="323"/>
      <c r="Q150" s="323"/>
      <c r="R150" s="323"/>
      <c r="S150" s="323"/>
      <c r="T150" s="323"/>
    </row>
    <row r="151" spans="3:20">
      <c r="C151" s="323"/>
      <c r="D151" s="323"/>
      <c r="E151" s="323"/>
      <c r="F151" s="323"/>
      <c r="G151" s="323"/>
      <c r="H151" s="323"/>
      <c r="I151" s="323"/>
      <c r="J151" s="323"/>
      <c r="K151" s="323"/>
      <c r="L151" s="323"/>
      <c r="M151" s="323"/>
      <c r="N151" s="323"/>
      <c r="O151" s="323"/>
      <c r="P151" s="323"/>
      <c r="Q151" s="323"/>
      <c r="R151" s="323"/>
      <c r="S151" s="323"/>
      <c r="T151" s="323"/>
    </row>
    <row r="152" spans="3:20">
      <c r="C152" s="323"/>
      <c r="D152" s="323"/>
      <c r="E152" s="323"/>
      <c r="F152" s="323"/>
      <c r="G152" s="323"/>
      <c r="H152" s="323"/>
      <c r="I152" s="323"/>
      <c r="J152" s="323"/>
      <c r="K152" s="323"/>
      <c r="L152" s="323"/>
      <c r="M152" s="323"/>
      <c r="N152" s="323"/>
      <c r="O152" s="323"/>
      <c r="P152" s="323"/>
      <c r="Q152" s="323"/>
      <c r="R152" s="323"/>
      <c r="S152" s="323"/>
      <c r="T152" s="323"/>
    </row>
    <row r="153" spans="3:20">
      <c r="C153" s="323"/>
      <c r="D153" s="323"/>
      <c r="E153" s="323"/>
      <c r="F153" s="323"/>
      <c r="G153" s="323"/>
      <c r="H153" s="323"/>
      <c r="I153" s="323"/>
      <c r="J153" s="323"/>
      <c r="K153" s="323"/>
      <c r="L153" s="323"/>
      <c r="M153" s="323"/>
      <c r="N153" s="323"/>
      <c r="O153" s="323"/>
      <c r="P153" s="323"/>
      <c r="Q153" s="323"/>
      <c r="R153" s="323"/>
      <c r="S153" s="323"/>
      <c r="T153" s="323"/>
    </row>
    <row r="154" spans="3:20">
      <c r="C154" s="323"/>
      <c r="D154" s="323"/>
      <c r="E154" s="323"/>
      <c r="F154" s="323"/>
      <c r="G154" s="323"/>
      <c r="H154" s="323"/>
      <c r="I154" s="323"/>
      <c r="J154" s="323"/>
      <c r="K154" s="323"/>
      <c r="L154" s="323"/>
      <c r="M154" s="323"/>
      <c r="N154" s="323"/>
      <c r="O154" s="323"/>
      <c r="P154" s="323"/>
      <c r="Q154" s="323"/>
      <c r="R154" s="323"/>
      <c r="S154" s="323"/>
      <c r="T154" s="323"/>
    </row>
    <row r="155" spans="3:20">
      <c r="C155" s="323"/>
      <c r="D155" s="323"/>
      <c r="E155" s="323"/>
      <c r="F155" s="323"/>
      <c r="G155" s="323"/>
      <c r="H155" s="323"/>
      <c r="I155" s="323"/>
      <c r="J155" s="323"/>
      <c r="K155" s="323"/>
      <c r="L155" s="323"/>
      <c r="M155" s="323"/>
      <c r="N155" s="323"/>
      <c r="O155" s="323"/>
      <c r="P155" s="323"/>
      <c r="Q155" s="323"/>
      <c r="R155" s="323"/>
      <c r="S155" s="323"/>
      <c r="T155" s="323"/>
    </row>
    <row r="156" spans="3:20">
      <c r="C156" s="323"/>
      <c r="D156" s="323"/>
      <c r="E156" s="323"/>
      <c r="F156" s="323"/>
      <c r="G156" s="323"/>
      <c r="H156" s="323"/>
      <c r="I156" s="323"/>
      <c r="J156" s="323"/>
      <c r="K156" s="323"/>
      <c r="L156" s="323"/>
      <c r="M156" s="323"/>
      <c r="N156" s="323"/>
      <c r="O156" s="323"/>
      <c r="P156" s="323"/>
      <c r="Q156" s="323"/>
      <c r="R156" s="323"/>
      <c r="S156" s="323"/>
      <c r="T156" s="323"/>
    </row>
    <row r="157" spans="3:20">
      <c r="C157" s="323"/>
      <c r="D157" s="323"/>
      <c r="E157" s="323"/>
      <c r="F157" s="323"/>
      <c r="G157" s="323"/>
      <c r="H157" s="323"/>
      <c r="I157" s="323"/>
      <c r="J157" s="323"/>
      <c r="K157" s="323"/>
      <c r="L157" s="323"/>
      <c r="M157" s="323"/>
      <c r="N157" s="323"/>
      <c r="O157" s="323"/>
      <c r="P157" s="323"/>
      <c r="Q157" s="323"/>
      <c r="R157" s="323"/>
      <c r="S157" s="323"/>
      <c r="T157" s="323"/>
    </row>
    <row r="158" spans="3:20">
      <c r="C158" s="323"/>
      <c r="D158" s="323"/>
      <c r="E158" s="323"/>
      <c r="F158" s="323"/>
      <c r="G158" s="323"/>
      <c r="H158" s="323"/>
      <c r="I158" s="323"/>
      <c r="J158" s="323"/>
      <c r="K158" s="323"/>
      <c r="L158" s="323"/>
      <c r="M158" s="323"/>
      <c r="N158" s="323"/>
      <c r="O158" s="323"/>
      <c r="P158" s="323"/>
      <c r="Q158" s="323"/>
      <c r="R158" s="323"/>
      <c r="S158" s="323"/>
      <c r="T158" s="323"/>
    </row>
    <row r="159" spans="3:20">
      <c r="C159" s="323"/>
      <c r="D159" s="323"/>
      <c r="E159" s="323"/>
      <c r="F159" s="323"/>
      <c r="G159" s="323"/>
      <c r="H159" s="323"/>
      <c r="I159" s="323"/>
      <c r="J159" s="323"/>
      <c r="K159" s="323"/>
      <c r="L159" s="323"/>
      <c r="M159" s="323"/>
      <c r="N159" s="323"/>
      <c r="O159" s="323"/>
      <c r="P159" s="323"/>
      <c r="Q159" s="323"/>
      <c r="R159" s="323"/>
      <c r="S159" s="323"/>
      <c r="T159" s="323"/>
    </row>
    <row r="160" spans="3:20">
      <c r="C160" s="323"/>
      <c r="D160" s="323"/>
      <c r="E160" s="323"/>
      <c r="F160" s="323"/>
      <c r="G160" s="323"/>
      <c r="H160" s="323"/>
      <c r="I160" s="323"/>
      <c r="J160" s="323"/>
      <c r="K160" s="323"/>
      <c r="L160" s="323"/>
      <c r="M160" s="323"/>
      <c r="N160" s="323"/>
      <c r="O160" s="323"/>
      <c r="P160" s="323"/>
      <c r="Q160" s="323"/>
      <c r="R160" s="323"/>
      <c r="S160" s="323"/>
      <c r="T160" s="323"/>
    </row>
    <row r="161" spans="3:20">
      <c r="C161" s="323"/>
      <c r="D161" s="323"/>
      <c r="E161" s="323"/>
      <c r="F161" s="323"/>
      <c r="G161" s="323"/>
      <c r="H161" s="323"/>
      <c r="I161" s="323"/>
      <c r="J161" s="323"/>
      <c r="K161" s="323"/>
      <c r="L161" s="323"/>
      <c r="M161" s="323"/>
      <c r="N161" s="323"/>
      <c r="O161" s="323"/>
      <c r="P161" s="323"/>
      <c r="Q161" s="323"/>
      <c r="R161" s="323"/>
      <c r="S161" s="323"/>
      <c r="T161" s="323"/>
    </row>
    <row r="162" spans="3:20">
      <c r="C162" s="323"/>
      <c r="D162" s="323"/>
      <c r="E162" s="323"/>
      <c r="F162" s="323"/>
      <c r="G162" s="323"/>
      <c r="H162" s="323"/>
      <c r="I162" s="323"/>
      <c r="J162" s="323"/>
      <c r="K162" s="323"/>
      <c r="L162" s="323"/>
      <c r="M162" s="323"/>
      <c r="N162" s="323"/>
      <c r="O162" s="323"/>
      <c r="P162" s="323"/>
      <c r="Q162" s="323"/>
      <c r="R162" s="323"/>
      <c r="S162" s="323"/>
      <c r="T162" s="323"/>
    </row>
    <row r="163" spans="3:20">
      <c r="C163" s="323"/>
      <c r="D163" s="323"/>
      <c r="E163" s="323"/>
      <c r="F163" s="323"/>
      <c r="G163" s="323"/>
      <c r="H163" s="323"/>
      <c r="I163" s="323"/>
      <c r="J163" s="323"/>
      <c r="K163" s="323"/>
      <c r="L163" s="323"/>
      <c r="M163" s="323"/>
      <c r="N163" s="323"/>
      <c r="O163" s="323"/>
      <c r="P163" s="323"/>
      <c r="Q163" s="323"/>
      <c r="R163" s="323"/>
      <c r="S163" s="323"/>
      <c r="T163" s="323"/>
    </row>
    <row r="164" spans="3:20">
      <c r="C164" s="323"/>
      <c r="D164" s="323"/>
      <c r="E164" s="323"/>
      <c r="F164" s="323"/>
      <c r="G164" s="323"/>
      <c r="H164" s="323"/>
      <c r="I164" s="323"/>
      <c r="J164" s="323"/>
      <c r="K164" s="323"/>
      <c r="L164" s="323"/>
      <c r="M164" s="323"/>
      <c r="N164" s="323"/>
      <c r="O164" s="323"/>
      <c r="P164" s="323"/>
      <c r="Q164" s="323"/>
      <c r="R164" s="323"/>
      <c r="S164" s="323"/>
      <c r="T164" s="323"/>
    </row>
    <row r="165" spans="3:20">
      <c r="C165" s="323"/>
      <c r="D165" s="323"/>
      <c r="E165" s="323"/>
      <c r="F165" s="323"/>
      <c r="G165" s="323"/>
      <c r="H165" s="323"/>
      <c r="I165" s="323"/>
      <c r="J165" s="323"/>
      <c r="K165" s="323"/>
      <c r="L165" s="323"/>
      <c r="M165" s="323"/>
      <c r="N165" s="323"/>
      <c r="O165" s="323"/>
      <c r="P165" s="323"/>
      <c r="Q165" s="323"/>
      <c r="R165" s="323"/>
      <c r="S165" s="323"/>
      <c r="T165" s="323"/>
    </row>
    <row r="166" spans="3:20">
      <c r="C166" s="323"/>
      <c r="D166" s="323"/>
      <c r="E166" s="323"/>
      <c r="F166" s="323"/>
      <c r="G166" s="323"/>
      <c r="H166" s="323"/>
      <c r="I166" s="323"/>
      <c r="J166" s="323"/>
      <c r="K166" s="323"/>
      <c r="L166" s="323"/>
      <c r="M166" s="323"/>
      <c r="N166" s="323"/>
      <c r="O166" s="323"/>
      <c r="P166" s="323"/>
      <c r="Q166" s="323"/>
      <c r="R166" s="323"/>
      <c r="S166" s="323"/>
      <c r="T166" s="323"/>
    </row>
    <row r="167" spans="3:20">
      <c r="C167" s="323"/>
      <c r="D167" s="323"/>
      <c r="E167" s="323"/>
      <c r="F167" s="323"/>
      <c r="G167" s="323"/>
      <c r="H167" s="323"/>
      <c r="I167" s="323"/>
      <c r="J167" s="323"/>
      <c r="K167" s="323"/>
      <c r="L167" s="323"/>
      <c r="M167" s="323"/>
      <c r="N167" s="323"/>
      <c r="O167" s="323"/>
      <c r="P167" s="323"/>
      <c r="Q167" s="323"/>
      <c r="R167" s="323"/>
      <c r="S167" s="323"/>
      <c r="T167" s="323"/>
    </row>
    <row r="168" spans="3:20">
      <c r="C168" s="323"/>
      <c r="D168" s="323"/>
      <c r="E168" s="323"/>
      <c r="F168" s="323"/>
      <c r="G168" s="323"/>
      <c r="H168" s="323"/>
      <c r="I168" s="323"/>
      <c r="J168" s="323"/>
      <c r="K168" s="323"/>
      <c r="L168" s="323"/>
      <c r="M168" s="323"/>
      <c r="N168" s="323"/>
      <c r="O168" s="323"/>
      <c r="P168" s="323"/>
      <c r="Q168" s="323"/>
      <c r="R168" s="323"/>
      <c r="S168" s="323"/>
      <c r="T168" s="323"/>
    </row>
    <row r="169" spans="3:20">
      <c r="C169" s="323"/>
      <c r="D169" s="323"/>
      <c r="E169" s="323"/>
      <c r="F169" s="323"/>
      <c r="G169" s="323"/>
      <c r="H169" s="323"/>
      <c r="I169" s="323"/>
      <c r="J169" s="323"/>
      <c r="K169" s="323"/>
      <c r="L169" s="323"/>
      <c r="M169" s="323"/>
      <c r="N169" s="323"/>
      <c r="O169" s="323"/>
      <c r="P169" s="323"/>
      <c r="Q169" s="323"/>
      <c r="R169" s="323"/>
      <c r="S169" s="323"/>
      <c r="T169" s="323"/>
    </row>
    <row r="170" spans="3:20">
      <c r="C170" s="323"/>
      <c r="D170" s="323"/>
      <c r="E170" s="323"/>
      <c r="F170" s="323"/>
      <c r="G170" s="323"/>
      <c r="H170" s="323"/>
      <c r="I170" s="323"/>
      <c r="J170" s="323"/>
      <c r="K170" s="323"/>
      <c r="L170" s="323"/>
      <c r="M170" s="323"/>
      <c r="N170" s="323"/>
      <c r="O170" s="323"/>
      <c r="P170" s="323"/>
      <c r="Q170" s="323"/>
      <c r="R170" s="323"/>
      <c r="S170" s="323"/>
      <c r="T170" s="323"/>
    </row>
    <row r="171" spans="3:20">
      <c r="C171" s="323"/>
      <c r="D171" s="323"/>
      <c r="E171" s="323"/>
      <c r="F171" s="323"/>
      <c r="G171" s="323"/>
      <c r="H171" s="323"/>
      <c r="I171" s="323"/>
      <c r="J171" s="323"/>
      <c r="K171" s="323"/>
      <c r="L171" s="323"/>
      <c r="M171" s="323"/>
      <c r="N171" s="323"/>
      <c r="O171" s="323"/>
      <c r="P171" s="323"/>
      <c r="Q171" s="323"/>
      <c r="R171" s="323"/>
      <c r="S171" s="323"/>
      <c r="T171" s="323"/>
    </row>
    <row r="172" spans="3:20">
      <c r="C172" s="323"/>
      <c r="D172" s="323"/>
      <c r="E172" s="323"/>
      <c r="F172" s="323"/>
      <c r="G172" s="323"/>
      <c r="H172" s="323"/>
      <c r="I172" s="323"/>
      <c r="J172" s="323"/>
      <c r="K172" s="323"/>
      <c r="L172" s="323"/>
      <c r="M172" s="323"/>
      <c r="N172" s="323"/>
      <c r="O172" s="323"/>
      <c r="P172" s="323"/>
      <c r="Q172" s="323"/>
      <c r="R172" s="323"/>
      <c r="S172" s="323"/>
      <c r="T172" s="323"/>
    </row>
    <row r="173" spans="3:20">
      <c r="C173" s="323"/>
      <c r="D173" s="323"/>
      <c r="E173" s="323"/>
      <c r="F173" s="323"/>
      <c r="G173" s="323"/>
      <c r="H173" s="323"/>
      <c r="I173" s="323"/>
      <c r="J173" s="323"/>
      <c r="K173" s="323"/>
      <c r="L173" s="323"/>
      <c r="M173" s="323"/>
      <c r="N173" s="323"/>
      <c r="O173" s="323"/>
      <c r="P173" s="323"/>
      <c r="Q173" s="323"/>
      <c r="R173" s="323"/>
      <c r="S173" s="323"/>
      <c r="T173" s="323"/>
    </row>
    <row r="174" spans="3:20">
      <c r="C174" s="323"/>
      <c r="D174" s="323"/>
      <c r="E174" s="323"/>
      <c r="F174" s="323"/>
      <c r="G174" s="323"/>
      <c r="H174" s="323"/>
      <c r="I174" s="323"/>
      <c r="J174" s="323"/>
      <c r="K174" s="323"/>
      <c r="L174" s="323"/>
      <c r="M174" s="323"/>
      <c r="N174" s="323"/>
      <c r="O174" s="323"/>
      <c r="P174" s="323"/>
      <c r="Q174" s="323"/>
      <c r="R174" s="323"/>
      <c r="S174" s="323"/>
      <c r="T174" s="323"/>
    </row>
    <row r="175" spans="3:20">
      <c r="C175" s="323"/>
      <c r="D175" s="323"/>
      <c r="E175" s="323"/>
      <c r="F175" s="323"/>
      <c r="G175" s="323"/>
      <c r="H175" s="323"/>
      <c r="I175" s="323"/>
      <c r="J175" s="323"/>
      <c r="K175" s="323"/>
      <c r="L175" s="323"/>
      <c r="M175" s="323"/>
      <c r="N175" s="323"/>
      <c r="O175" s="323"/>
      <c r="P175" s="323"/>
      <c r="Q175" s="323"/>
      <c r="R175" s="323"/>
      <c r="S175" s="323"/>
      <c r="T175" s="323"/>
    </row>
    <row r="176" spans="3:20">
      <c r="C176" s="323"/>
      <c r="D176" s="323"/>
      <c r="E176" s="323"/>
      <c r="F176" s="323"/>
      <c r="G176" s="323"/>
      <c r="H176" s="323"/>
      <c r="I176" s="323"/>
      <c r="J176" s="323"/>
      <c r="K176" s="323"/>
      <c r="L176" s="323"/>
      <c r="M176" s="323"/>
      <c r="N176" s="323"/>
      <c r="O176" s="323"/>
      <c r="P176" s="323"/>
      <c r="Q176" s="323"/>
      <c r="R176" s="323"/>
      <c r="S176" s="323"/>
      <c r="T176" s="323"/>
    </row>
    <row r="177" spans="3:20">
      <c r="C177" s="323"/>
      <c r="D177" s="323"/>
      <c r="E177" s="323"/>
      <c r="F177" s="323"/>
      <c r="G177" s="323"/>
      <c r="H177" s="323"/>
      <c r="I177" s="323"/>
      <c r="J177" s="323"/>
      <c r="K177" s="323"/>
      <c r="L177" s="323"/>
      <c r="M177" s="323"/>
      <c r="N177" s="323"/>
      <c r="O177" s="323"/>
      <c r="P177" s="323"/>
      <c r="Q177" s="323"/>
      <c r="R177" s="323"/>
      <c r="S177" s="323"/>
      <c r="T177" s="323"/>
    </row>
    <row r="178" spans="3:20">
      <c r="C178" s="323"/>
      <c r="D178" s="323"/>
      <c r="E178" s="323"/>
      <c r="F178" s="323"/>
      <c r="G178" s="323"/>
      <c r="H178" s="323"/>
      <c r="I178" s="323"/>
      <c r="J178" s="323"/>
      <c r="K178" s="323"/>
      <c r="L178" s="323"/>
      <c r="M178" s="323"/>
      <c r="N178" s="323"/>
      <c r="O178" s="323"/>
      <c r="P178" s="323"/>
      <c r="Q178" s="323"/>
      <c r="R178" s="323"/>
      <c r="S178" s="323"/>
      <c r="T178" s="323"/>
    </row>
    <row r="179" spans="3:20">
      <c r="C179" s="323"/>
      <c r="D179" s="323"/>
      <c r="E179" s="323"/>
      <c r="F179" s="323"/>
      <c r="G179" s="323"/>
      <c r="H179" s="323"/>
      <c r="I179" s="323"/>
      <c r="J179" s="323"/>
      <c r="K179" s="323"/>
      <c r="L179" s="323"/>
      <c r="M179" s="323"/>
      <c r="N179" s="323"/>
      <c r="O179" s="323"/>
      <c r="P179" s="323"/>
      <c r="Q179" s="323"/>
      <c r="R179" s="323"/>
      <c r="S179" s="323"/>
      <c r="T179" s="323"/>
    </row>
    <row r="180" spans="3:20">
      <c r="C180" s="323"/>
      <c r="D180" s="323"/>
      <c r="E180" s="323"/>
      <c r="F180" s="323"/>
      <c r="G180" s="323"/>
      <c r="H180" s="323"/>
      <c r="I180" s="323"/>
      <c r="J180" s="323"/>
      <c r="K180" s="323"/>
      <c r="L180" s="323"/>
      <c r="M180" s="323"/>
      <c r="N180" s="323"/>
      <c r="O180" s="323"/>
      <c r="P180" s="323"/>
      <c r="Q180" s="323"/>
      <c r="R180" s="323"/>
      <c r="S180" s="323"/>
      <c r="T180" s="323"/>
    </row>
    <row r="181" spans="3:20">
      <c r="C181" s="323"/>
      <c r="D181" s="323"/>
      <c r="E181" s="323"/>
      <c r="F181" s="323"/>
      <c r="G181" s="323"/>
      <c r="H181" s="323"/>
      <c r="I181" s="323"/>
      <c r="J181" s="323"/>
      <c r="K181" s="323"/>
      <c r="L181" s="323"/>
      <c r="M181" s="323"/>
      <c r="N181" s="323"/>
      <c r="O181" s="323"/>
      <c r="P181" s="323"/>
      <c r="Q181" s="323"/>
      <c r="R181" s="323"/>
      <c r="S181" s="323"/>
      <c r="T181" s="323"/>
    </row>
    <row r="182" spans="3:20">
      <c r="C182" s="323"/>
      <c r="D182" s="323"/>
      <c r="E182" s="323"/>
      <c r="F182" s="323"/>
      <c r="G182" s="323"/>
      <c r="H182" s="323"/>
      <c r="I182" s="323"/>
      <c r="J182" s="323"/>
      <c r="K182" s="323"/>
      <c r="L182" s="323"/>
      <c r="M182" s="323"/>
      <c r="N182" s="323"/>
      <c r="O182" s="323"/>
      <c r="P182" s="323"/>
      <c r="Q182" s="323"/>
      <c r="R182" s="323"/>
      <c r="S182" s="323"/>
      <c r="T182" s="323"/>
    </row>
    <row r="183" spans="3:20">
      <c r="C183" s="323"/>
      <c r="D183" s="323"/>
      <c r="E183" s="323"/>
      <c r="F183" s="323"/>
      <c r="G183" s="323"/>
      <c r="H183" s="323"/>
      <c r="I183" s="323"/>
      <c r="J183" s="323"/>
      <c r="K183" s="323"/>
      <c r="L183" s="323"/>
      <c r="M183" s="323"/>
      <c r="N183" s="323"/>
      <c r="O183" s="323"/>
      <c r="P183" s="323"/>
      <c r="Q183" s="323"/>
      <c r="R183" s="323"/>
      <c r="S183" s="323"/>
      <c r="T183" s="323"/>
    </row>
    <row r="184" spans="3:20">
      <c r="C184" s="323"/>
      <c r="D184" s="323"/>
      <c r="E184" s="323"/>
      <c r="F184" s="323"/>
      <c r="G184" s="323"/>
      <c r="H184" s="323"/>
      <c r="I184" s="323"/>
      <c r="J184" s="323"/>
      <c r="K184" s="323"/>
      <c r="L184" s="323"/>
      <c r="M184" s="323"/>
      <c r="N184" s="323"/>
      <c r="O184" s="323"/>
      <c r="P184" s="323"/>
      <c r="Q184" s="323"/>
      <c r="R184" s="323"/>
      <c r="S184" s="323"/>
      <c r="T184" s="323"/>
    </row>
    <row r="185" spans="3:20">
      <c r="C185" s="323"/>
      <c r="D185" s="323"/>
      <c r="E185" s="323"/>
      <c r="F185" s="323"/>
      <c r="G185" s="323"/>
      <c r="H185" s="323"/>
      <c r="I185" s="323"/>
      <c r="J185" s="323"/>
      <c r="K185" s="323"/>
      <c r="L185" s="323"/>
      <c r="M185" s="323"/>
      <c r="N185" s="323"/>
      <c r="O185" s="323"/>
      <c r="P185" s="323"/>
      <c r="Q185" s="323"/>
      <c r="R185" s="323"/>
      <c r="S185" s="323"/>
      <c r="T185" s="323"/>
    </row>
    <row r="186" spans="3:20">
      <c r="C186" s="323"/>
      <c r="D186" s="323"/>
      <c r="E186" s="323"/>
      <c r="F186" s="323"/>
      <c r="G186" s="323"/>
      <c r="H186" s="323"/>
      <c r="I186" s="323"/>
      <c r="J186" s="323"/>
      <c r="K186" s="323"/>
      <c r="L186" s="323"/>
      <c r="M186" s="323"/>
      <c r="N186" s="323"/>
      <c r="O186" s="323"/>
      <c r="P186" s="323"/>
      <c r="Q186" s="323"/>
      <c r="R186" s="323"/>
      <c r="S186" s="323"/>
      <c r="T186" s="323"/>
    </row>
    <row r="187" spans="3:20">
      <c r="C187" s="323"/>
      <c r="D187" s="323"/>
      <c r="E187" s="323"/>
      <c r="F187" s="323"/>
      <c r="G187" s="323"/>
      <c r="H187" s="323"/>
      <c r="I187" s="323"/>
      <c r="J187" s="323"/>
      <c r="K187" s="323"/>
      <c r="L187" s="323"/>
      <c r="M187" s="323"/>
      <c r="N187" s="323"/>
      <c r="O187" s="323"/>
      <c r="P187" s="323"/>
      <c r="Q187" s="323"/>
      <c r="R187" s="323"/>
      <c r="S187" s="323"/>
      <c r="T187" s="323"/>
    </row>
    <row r="188" spans="3:20">
      <c r="C188" s="323"/>
      <c r="D188" s="323"/>
      <c r="E188" s="323"/>
      <c r="F188" s="323"/>
      <c r="G188" s="323"/>
      <c r="H188" s="323"/>
      <c r="I188" s="323"/>
      <c r="J188" s="323"/>
      <c r="K188" s="323"/>
      <c r="L188" s="323"/>
      <c r="M188" s="323"/>
      <c r="N188" s="323"/>
      <c r="O188" s="323"/>
      <c r="P188" s="323"/>
      <c r="Q188" s="323"/>
      <c r="R188" s="323"/>
      <c r="S188" s="323"/>
      <c r="T188" s="323"/>
    </row>
    <row r="189" spans="3:20">
      <c r="C189" s="323"/>
      <c r="D189" s="323"/>
      <c r="E189" s="323"/>
      <c r="F189" s="323"/>
      <c r="G189" s="323"/>
      <c r="H189" s="323"/>
      <c r="I189" s="323"/>
      <c r="J189" s="323"/>
      <c r="K189" s="323"/>
      <c r="L189" s="323"/>
      <c r="M189" s="323"/>
      <c r="N189" s="323"/>
      <c r="O189" s="323"/>
      <c r="P189" s="323"/>
      <c r="Q189" s="323"/>
      <c r="R189" s="323"/>
      <c r="S189" s="323"/>
      <c r="T189" s="323"/>
    </row>
    <row r="190" spans="3:20">
      <c r="C190" s="323"/>
      <c r="D190" s="323"/>
      <c r="E190" s="323"/>
      <c r="F190" s="323"/>
      <c r="G190" s="323"/>
      <c r="H190" s="323"/>
      <c r="I190" s="323"/>
      <c r="J190" s="323"/>
      <c r="K190" s="323"/>
      <c r="L190" s="323"/>
      <c r="M190" s="323"/>
      <c r="N190" s="323"/>
      <c r="O190" s="323"/>
      <c r="P190" s="323"/>
      <c r="Q190" s="323"/>
      <c r="R190" s="323"/>
      <c r="S190" s="323"/>
      <c r="T190" s="323"/>
    </row>
    <row r="191" spans="3:20">
      <c r="C191" s="323"/>
      <c r="D191" s="323"/>
      <c r="E191" s="323"/>
      <c r="F191" s="323"/>
      <c r="G191" s="323"/>
      <c r="H191" s="323"/>
      <c r="I191" s="323"/>
      <c r="J191" s="323"/>
      <c r="K191" s="323"/>
      <c r="L191" s="323"/>
      <c r="M191" s="323"/>
      <c r="N191" s="323"/>
      <c r="O191" s="323"/>
      <c r="P191" s="323"/>
      <c r="Q191" s="323"/>
      <c r="R191" s="323"/>
      <c r="S191" s="323"/>
      <c r="T191" s="323"/>
    </row>
    <row r="192" spans="3:20">
      <c r="C192" s="323"/>
      <c r="D192" s="323"/>
      <c r="E192" s="323"/>
      <c r="F192" s="323"/>
      <c r="G192" s="323"/>
      <c r="H192" s="323"/>
      <c r="I192" s="323"/>
      <c r="J192" s="323"/>
      <c r="K192" s="323"/>
      <c r="L192" s="323"/>
      <c r="M192" s="323"/>
      <c r="N192" s="323"/>
      <c r="O192" s="323"/>
      <c r="P192" s="323"/>
      <c r="Q192" s="323"/>
      <c r="R192" s="323"/>
      <c r="S192" s="323"/>
      <c r="T192" s="323"/>
    </row>
    <row r="193" spans="3:20">
      <c r="C193" s="323"/>
      <c r="D193" s="323"/>
      <c r="E193" s="323"/>
      <c r="F193" s="323"/>
      <c r="G193" s="323"/>
      <c r="H193" s="323"/>
      <c r="I193" s="323"/>
      <c r="J193" s="323"/>
      <c r="K193" s="323"/>
      <c r="L193" s="323"/>
      <c r="M193" s="323"/>
      <c r="N193" s="323"/>
      <c r="O193" s="323"/>
      <c r="P193" s="323"/>
      <c r="Q193" s="323"/>
      <c r="R193" s="323"/>
      <c r="S193" s="323"/>
      <c r="T193" s="323"/>
    </row>
    <row r="194" spans="3:20">
      <c r="C194" s="323"/>
      <c r="D194" s="323"/>
      <c r="E194" s="323"/>
      <c r="F194" s="323"/>
      <c r="G194" s="323"/>
      <c r="H194" s="323"/>
      <c r="I194" s="323"/>
      <c r="J194" s="323"/>
      <c r="K194" s="323"/>
      <c r="L194" s="323"/>
      <c r="M194" s="323"/>
      <c r="N194" s="323"/>
      <c r="O194" s="323"/>
      <c r="P194" s="323"/>
      <c r="Q194" s="323"/>
      <c r="R194" s="323"/>
      <c r="S194" s="323"/>
      <c r="T194" s="323"/>
    </row>
    <row r="195" spans="3:20">
      <c r="C195" s="323"/>
      <c r="D195" s="323"/>
      <c r="E195" s="323"/>
      <c r="F195" s="323"/>
      <c r="G195" s="323"/>
      <c r="H195" s="323"/>
      <c r="I195" s="323"/>
      <c r="J195" s="323"/>
      <c r="K195" s="323"/>
      <c r="L195" s="323"/>
      <c r="M195" s="323"/>
      <c r="N195" s="323"/>
      <c r="O195" s="323"/>
      <c r="P195" s="323"/>
      <c r="Q195" s="323"/>
      <c r="R195" s="323"/>
      <c r="S195" s="323"/>
      <c r="T195" s="323"/>
    </row>
    <row r="196" spans="3:20">
      <c r="C196" s="323"/>
      <c r="D196" s="323"/>
      <c r="E196" s="323"/>
      <c r="F196" s="323"/>
      <c r="G196" s="323"/>
      <c r="H196" s="323"/>
      <c r="I196" s="323"/>
      <c r="J196" s="323"/>
      <c r="K196" s="323"/>
      <c r="L196" s="323"/>
      <c r="M196" s="323"/>
      <c r="N196" s="323"/>
      <c r="O196" s="323"/>
      <c r="P196" s="323"/>
      <c r="Q196" s="323"/>
      <c r="R196" s="323"/>
      <c r="S196" s="323"/>
      <c r="T196" s="323"/>
    </row>
    <row r="197" spans="3:20">
      <c r="C197" s="323"/>
      <c r="D197" s="323"/>
      <c r="E197" s="323"/>
      <c r="F197" s="323"/>
      <c r="G197" s="323"/>
      <c r="H197" s="323"/>
      <c r="I197" s="323"/>
      <c r="J197" s="323"/>
      <c r="K197" s="323"/>
      <c r="L197" s="323"/>
      <c r="M197" s="323"/>
      <c r="N197" s="323"/>
      <c r="O197" s="323"/>
      <c r="P197" s="323"/>
      <c r="Q197" s="323"/>
      <c r="R197" s="323"/>
      <c r="S197" s="323"/>
      <c r="T197" s="323"/>
    </row>
    <row r="198" spans="3:20">
      <c r="C198" s="323"/>
      <c r="D198" s="323"/>
      <c r="E198" s="323"/>
      <c r="F198" s="323"/>
      <c r="G198" s="323"/>
      <c r="H198" s="323"/>
      <c r="I198" s="323"/>
      <c r="J198" s="323"/>
      <c r="K198" s="323"/>
      <c r="L198" s="323"/>
      <c r="M198" s="323"/>
      <c r="N198" s="323"/>
      <c r="O198" s="323"/>
      <c r="P198" s="323"/>
      <c r="Q198" s="323"/>
      <c r="R198" s="323"/>
      <c r="S198" s="323"/>
      <c r="T198" s="323"/>
    </row>
    <row r="199" spans="3:20">
      <c r="C199" s="323"/>
      <c r="D199" s="323"/>
      <c r="E199" s="323"/>
      <c r="F199" s="323"/>
      <c r="G199" s="323"/>
      <c r="H199" s="323"/>
      <c r="I199" s="323"/>
      <c r="J199" s="323"/>
      <c r="K199" s="323"/>
      <c r="L199" s="323"/>
      <c r="M199" s="323"/>
      <c r="N199" s="323"/>
      <c r="O199" s="323"/>
      <c r="P199" s="323"/>
      <c r="Q199" s="323"/>
      <c r="R199" s="323"/>
      <c r="S199" s="323"/>
      <c r="T199" s="323"/>
    </row>
    <row r="200" spans="3:20">
      <c r="C200" s="323"/>
      <c r="D200" s="323"/>
      <c r="E200" s="323"/>
      <c r="F200" s="323"/>
      <c r="G200" s="323"/>
      <c r="H200" s="323"/>
      <c r="I200" s="323"/>
      <c r="J200" s="323"/>
      <c r="K200" s="323"/>
      <c r="L200" s="323"/>
      <c r="M200" s="323"/>
      <c r="N200" s="323"/>
      <c r="O200" s="323"/>
      <c r="P200" s="323"/>
      <c r="Q200" s="323"/>
      <c r="R200" s="323"/>
      <c r="S200" s="323"/>
      <c r="T200" s="323"/>
    </row>
    <row r="201" spans="3:20">
      <c r="C201" s="323"/>
      <c r="D201" s="323"/>
      <c r="E201" s="323"/>
      <c r="F201" s="323"/>
      <c r="G201" s="323"/>
      <c r="H201" s="323"/>
      <c r="I201" s="323"/>
      <c r="J201" s="323"/>
      <c r="K201" s="323"/>
      <c r="L201" s="323"/>
      <c r="M201" s="323"/>
      <c r="N201" s="323"/>
      <c r="O201" s="323"/>
      <c r="P201" s="323"/>
      <c r="Q201" s="323"/>
      <c r="R201" s="323"/>
      <c r="S201" s="323"/>
      <c r="T201" s="323"/>
    </row>
    <row r="202" spans="3:20">
      <c r="C202" s="323"/>
      <c r="D202" s="323"/>
      <c r="E202" s="323"/>
      <c r="F202" s="323"/>
      <c r="G202" s="323"/>
      <c r="H202" s="323"/>
      <c r="I202" s="323"/>
      <c r="J202" s="323"/>
      <c r="K202" s="323"/>
      <c r="L202" s="323"/>
      <c r="M202" s="323"/>
      <c r="N202" s="323"/>
      <c r="O202" s="323"/>
      <c r="P202" s="323"/>
      <c r="Q202" s="323"/>
      <c r="R202" s="323"/>
      <c r="S202" s="323"/>
      <c r="T202" s="323"/>
    </row>
    <row r="203" spans="3:20">
      <c r="C203" s="323"/>
      <c r="D203" s="323"/>
      <c r="E203" s="323"/>
      <c r="F203" s="323"/>
      <c r="G203" s="323"/>
      <c r="H203" s="323"/>
      <c r="I203" s="323"/>
      <c r="J203" s="323"/>
      <c r="K203" s="323"/>
      <c r="L203" s="323"/>
      <c r="M203" s="323"/>
      <c r="N203" s="323"/>
      <c r="O203" s="323"/>
      <c r="P203" s="323"/>
      <c r="Q203" s="323"/>
      <c r="R203" s="323"/>
      <c r="S203" s="323"/>
      <c r="T203" s="323"/>
    </row>
    <row r="204" spans="3:20">
      <c r="C204" s="323"/>
      <c r="D204" s="323"/>
      <c r="E204" s="323"/>
      <c r="F204" s="323"/>
      <c r="G204" s="323"/>
      <c r="H204" s="323"/>
      <c r="I204" s="323"/>
      <c r="J204" s="323"/>
      <c r="K204" s="323"/>
      <c r="L204" s="323"/>
      <c r="M204" s="323"/>
      <c r="N204" s="323"/>
      <c r="O204" s="323"/>
      <c r="P204" s="323"/>
      <c r="Q204" s="323"/>
      <c r="R204" s="323"/>
      <c r="S204" s="323"/>
      <c r="T204" s="323"/>
    </row>
    <row r="205" spans="3:20">
      <c r="C205" s="323"/>
      <c r="D205" s="323"/>
      <c r="E205" s="323"/>
      <c r="F205" s="323"/>
      <c r="G205" s="323"/>
      <c r="H205" s="323"/>
      <c r="I205" s="323"/>
      <c r="J205" s="323"/>
      <c r="K205" s="323"/>
      <c r="L205" s="323"/>
      <c r="M205" s="323"/>
      <c r="N205" s="323"/>
      <c r="O205" s="323"/>
      <c r="P205" s="323"/>
      <c r="Q205" s="323"/>
      <c r="R205" s="323"/>
      <c r="S205" s="323"/>
      <c r="T205" s="323"/>
    </row>
    <row r="206" spans="3:20">
      <c r="C206" s="323"/>
      <c r="D206" s="323"/>
      <c r="E206" s="323"/>
      <c r="F206" s="323"/>
      <c r="G206" s="323"/>
      <c r="H206" s="323"/>
      <c r="I206" s="323"/>
      <c r="J206" s="323"/>
      <c r="K206" s="323"/>
      <c r="L206" s="323"/>
      <c r="M206" s="323"/>
      <c r="N206" s="323"/>
      <c r="O206" s="323"/>
      <c r="P206" s="323"/>
      <c r="Q206" s="323"/>
      <c r="R206" s="323"/>
      <c r="S206" s="323"/>
      <c r="T206" s="323"/>
    </row>
    <row r="207" spans="3:20">
      <c r="C207" s="323"/>
      <c r="D207" s="323"/>
      <c r="E207" s="323"/>
      <c r="F207" s="323"/>
      <c r="G207" s="323"/>
      <c r="H207" s="323"/>
      <c r="I207" s="323"/>
      <c r="J207" s="323"/>
      <c r="K207" s="323"/>
      <c r="L207" s="323"/>
      <c r="M207" s="323"/>
      <c r="N207" s="323"/>
      <c r="O207" s="323"/>
      <c r="P207" s="323"/>
      <c r="Q207" s="323"/>
      <c r="R207" s="323"/>
      <c r="S207" s="323"/>
      <c r="T207" s="323"/>
    </row>
    <row r="208" spans="3:20">
      <c r="C208" s="323"/>
      <c r="D208" s="323"/>
      <c r="E208" s="323"/>
      <c r="F208" s="323"/>
      <c r="G208" s="323"/>
      <c r="H208" s="323"/>
      <c r="I208" s="323"/>
      <c r="J208" s="323"/>
      <c r="K208" s="323"/>
      <c r="L208" s="323"/>
      <c r="M208" s="323"/>
      <c r="N208" s="323"/>
      <c r="O208" s="323"/>
      <c r="P208" s="323"/>
      <c r="Q208" s="323"/>
      <c r="R208" s="323"/>
      <c r="S208" s="323"/>
      <c r="T208" s="323"/>
    </row>
    <row r="209" spans="3:20">
      <c r="C209" s="323"/>
      <c r="D209" s="323"/>
      <c r="E209" s="323"/>
      <c r="F209" s="323"/>
      <c r="G209" s="323"/>
      <c r="H209" s="323"/>
      <c r="I209" s="323"/>
      <c r="J209" s="323"/>
      <c r="K209" s="323"/>
      <c r="L209" s="323"/>
      <c r="M209" s="323"/>
      <c r="N209" s="323"/>
      <c r="O209" s="323"/>
      <c r="P209" s="323"/>
      <c r="Q209" s="323"/>
      <c r="R209" s="323"/>
      <c r="S209" s="323"/>
      <c r="T209" s="323"/>
    </row>
    <row r="210" spans="3:20">
      <c r="C210" s="323"/>
      <c r="D210" s="323"/>
      <c r="E210" s="323"/>
      <c r="F210" s="323"/>
      <c r="G210" s="323"/>
      <c r="H210" s="323"/>
      <c r="I210" s="323"/>
      <c r="J210" s="323"/>
      <c r="K210" s="323"/>
      <c r="L210" s="323"/>
      <c r="M210" s="323"/>
      <c r="N210" s="323"/>
      <c r="O210" s="323"/>
      <c r="P210" s="323"/>
      <c r="Q210" s="323"/>
      <c r="R210" s="323"/>
      <c r="S210" s="323"/>
      <c r="T210" s="323"/>
    </row>
    <row r="211" spans="3:20">
      <c r="C211" s="323"/>
      <c r="D211" s="323"/>
      <c r="E211" s="323"/>
      <c r="F211" s="323"/>
      <c r="G211" s="323"/>
      <c r="H211" s="323"/>
      <c r="I211" s="323"/>
      <c r="J211" s="323"/>
      <c r="K211" s="323"/>
      <c r="L211" s="323"/>
      <c r="M211" s="323"/>
      <c r="N211" s="323"/>
      <c r="O211" s="323"/>
      <c r="P211" s="323"/>
      <c r="Q211" s="323"/>
      <c r="R211" s="323"/>
      <c r="S211" s="323"/>
      <c r="T211" s="323"/>
    </row>
    <row r="212" spans="3:20">
      <c r="C212" s="323"/>
      <c r="D212" s="323"/>
      <c r="E212" s="323"/>
      <c r="F212" s="323"/>
      <c r="G212" s="323"/>
      <c r="H212" s="323"/>
      <c r="I212" s="323"/>
      <c r="J212" s="323"/>
      <c r="K212" s="323"/>
      <c r="L212" s="323"/>
      <c r="M212" s="323"/>
      <c r="N212" s="323"/>
      <c r="O212" s="323"/>
      <c r="P212" s="323"/>
      <c r="Q212" s="323"/>
      <c r="R212" s="323"/>
      <c r="S212" s="323"/>
      <c r="T212" s="323"/>
    </row>
    <row r="213" spans="3:20">
      <c r="C213" s="323"/>
      <c r="D213" s="323"/>
      <c r="E213" s="323"/>
      <c r="F213" s="323"/>
      <c r="G213" s="323"/>
      <c r="H213" s="323"/>
      <c r="I213" s="323"/>
      <c r="J213" s="323"/>
      <c r="K213" s="323"/>
      <c r="L213" s="323"/>
      <c r="M213" s="323"/>
      <c r="N213" s="323"/>
      <c r="O213" s="323"/>
      <c r="P213" s="323"/>
      <c r="Q213" s="323"/>
      <c r="R213" s="323"/>
      <c r="S213" s="323"/>
      <c r="T213" s="323"/>
    </row>
    <row r="214" spans="3:20">
      <c r="C214" s="323"/>
      <c r="D214" s="323"/>
      <c r="E214" s="323"/>
      <c r="F214" s="323"/>
      <c r="G214" s="323"/>
      <c r="H214" s="323"/>
      <c r="I214" s="323"/>
      <c r="J214" s="323"/>
      <c r="K214" s="323"/>
      <c r="L214" s="323"/>
      <c r="M214" s="323"/>
      <c r="N214" s="323"/>
      <c r="O214" s="323"/>
      <c r="P214" s="323"/>
      <c r="Q214" s="323"/>
      <c r="R214" s="323"/>
      <c r="S214" s="323"/>
      <c r="T214" s="323"/>
    </row>
    <row r="215" spans="3:20">
      <c r="C215" s="323"/>
      <c r="D215" s="323"/>
      <c r="E215" s="323"/>
      <c r="F215" s="323"/>
      <c r="G215" s="323"/>
      <c r="H215" s="323"/>
      <c r="I215" s="323"/>
      <c r="J215" s="323"/>
      <c r="K215" s="323"/>
      <c r="L215" s="323"/>
      <c r="M215" s="323"/>
      <c r="N215" s="323"/>
      <c r="O215" s="323"/>
      <c r="P215" s="323"/>
      <c r="Q215" s="323"/>
      <c r="R215" s="323"/>
      <c r="S215" s="323"/>
      <c r="T215" s="323"/>
    </row>
    <row r="216" spans="3:20">
      <c r="C216" s="323"/>
      <c r="D216" s="323"/>
      <c r="E216" s="323"/>
      <c r="F216" s="323"/>
      <c r="G216" s="323"/>
      <c r="H216" s="323"/>
      <c r="I216" s="323"/>
      <c r="J216" s="323"/>
      <c r="K216" s="323"/>
      <c r="L216" s="323"/>
      <c r="M216" s="323"/>
      <c r="N216" s="323"/>
      <c r="O216" s="323"/>
      <c r="P216" s="323"/>
      <c r="Q216" s="323"/>
      <c r="R216" s="323"/>
      <c r="S216" s="323"/>
      <c r="T216" s="323"/>
    </row>
    <row r="217" spans="3:20">
      <c r="C217" s="323"/>
      <c r="D217" s="323"/>
      <c r="E217" s="323"/>
      <c r="F217" s="323"/>
      <c r="G217" s="323"/>
      <c r="H217" s="323"/>
      <c r="I217" s="323"/>
      <c r="J217" s="323"/>
      <c r="K217" s="323"/>
      <c r="L217" s="323"/>
      <c r="M217" s="323"/>
      <c r="N217" s="323"/>
      <c r="O217" s="323"/>
      <c r="P217" s="323"/>
      <c r="Q217" s="323"/>
      <c r="R217" s="323"/>
      <c r="S217" s="323"/>
      <c r="T217" s="323"/>
    </row>
    <row r="218" spans="3:20">
      <c r="C218" s="323"/>
      <c r="D218" s="323"/>
      <c r="E218" s="323"/>
      <c r="F218" s="323"/>
      <c r="G218" s="323"/>
      <c r="H218" s="323"/>
      <c r="I218" s="323"/>
      <c r="J218" s="323"/>
      <c r="K218" s="323"/>
      <c r="L218" s="323"/>
      <c r="M218" s="323"/>
      <c r="N218" s="323"/>
      <c r="O218" s="323"/>
      <c r="P218" s="323"/>
      <c r="Q218" s="323"/>
      <c r="R218" s="323"/>
      <c r="S218" s="323"/>
      <c r="T218" s="323"/>
    </row>
    <row r="219" spans="3:20">
      <c r="C219" s="323"/>
      <c r="D219" s="323"/>
      <c r="E219" s="323"/>
      <c r="F219" s="323"/>
      <c r="G219" s="323"/>
      <c r="H219" s="323"/>
      <c r="I219" s="323"/>
      <c r="J219" s="323"/>
      <c r="K219" s="323"/>
      <c r="L219" s="323"/>
      <c r="M219" s="323"/>
      <c r="N219" s="323"/>
      <c r="O219" s="323"/>
      <c r="P219" s="323"/>
      <c r="Q219" s="323"/>
      <c r="R219" s="323"/>
      <c r="S219" s="323"/>
      <c r="T219" s="323"/>
    </row>
    <row r="220" spans="3:20">
      <c r="C220" s="323"/>
      <c r="D220" s="323"/>
      <c r="E220" s="323"/>
      <c r="F220" s="323"/>
      <c r="G220" s="323"/>
      <c r="H220" s="323"/>
      <c r="I220" s="323"/>
      <c r="J220" s="323"/>
      <c r="K220" s="323"/>
      <c r="L220" s="323"/>
      <c r="M220" s="323"/>
      <c r="N220" s="323"/>
      <c r="O220" s="323"/>
      <c r="P220" s="323"/>
      <c r="Q220" s="323"/>
      <c r="R220" s="323"/>
      <c r="S220" s="323"/>
      <c r="T220" s="323"/>
    </row>
    <row r="221" spans="3:20">
      <c r="C221" s="323"/>
      <c r="D221" s="323"/>
      <c r="E221" s="323"/>
      <c r="F221" s="323"/>
      <c r="G221" s="323"/>
      <c r="H221" s="323"/>
      <c r="I221" s="323"/>
      <c r="J221" s="323"/>
      <c r="K221" s="323"/>
      <c r="L221" s="323"/>
      <c r="M221" s="323"/>
      <c r="N221" s="323"/>
      <c r="O221" s="323"/>
      <c r="P221" s="323"/>
      <c r="Q221" s="323"/>
      <c r="R221" s="323"/>
      <c r="S221" s="323"/>
      <c r="T221" s="323"/>
    </row>
    <row r="222" spans="3:20">
      <c r="C222" s="323"/>
      <c r="D222" s="323"/>
      <c r="E222" s="323"/>
      <c r="F222" s="323"/>
      <c r="G222" s="323"/>
      <c r="H222" s="323"/>
      <c r="I222" s="323"/>
      <c r="J222" s="323"/>
      <c r="K222" s="323"/>
      <c r="L222" s="323"/>
      <c r="M222" s="323"/>
      <c r="N222" s="323"/>
      <c r="O222" s="323"/>
      <c r="P222" s="323"/>
      <c r="Q222" s="323"/>
      <c r="R222" s="323"/>
      <c r="S222" s="323"/>
      <c r="T222" s="323"/>
    </row>
    <row r="223" spans="3:20">
      <c r="C223" s="323"/>
      <c r="D223" s="323"/>
      <c r="E223" s="323"/>
      <c r="F223" s="323"/>
      <c r="G223" s="323"/>
      <c r="H223" s="323"/>
      <c r="I223" s="323"/>
      <c r="J223" s="323"/>
      <c r="K223" s="323"/>
      <c r="L223" s="323"/>
      <c r="M223" s="323"/>
      <c r="N223" s="323"/>
      <c r="O223" s="323"/>
      <c r="P223" s="323"/>
      <c r="Q223" s="323"/>
      <c r="R223" s="323"/>
      <c r="S223" s="323"/>
      <c r="T223" s="323"/>
    </row>
    <row r="224" spans="3:20">
      <c r="C224" s="323"/>
      <c r="D224" s="323"/>
      <c r="E224" s="323"/>
      <c r="F224" s="323"/>
      <c r="G224" s="323"/>
      <c r="H224" s="323"/>
      <c r="I224" s="323"/>
      <c r="J224" s="323"/>
      <c r="K224" s="323"/>
      <c r="L224" s="323"/>
      <c r="M224" s="323"/>
      <c r="N224" s="323"/>
      <c r="O224" s="323"/>
      <c r="P224" s="323"/>
      <c r="Q224" s="323"/>
      <c r="R224" s="323"/>
      <c r="S224" s="323"/>
      <c r="T224" s="323"/>
    </row>
    <row r="225" spans="3:20">
      <c r="C225" s="323"/>
      <c r="D225" s="323"/>
      <c r="E225" s="323"/>
      <c r="F225" s="323"/>
      <c r="G225" s="323"/>
      <c r="H225" s="323"/>
      <c r="I225" s="323"/>
      <c r="J225" s="323"/>
      <c r="K225" s="323"/>
      <c r="L225" s="323"/>
      <c r="M225" s="323"/>
      <c r="N225" s="323"/>
      <c r="O225" s="323"/>
      <c r="P225" s="323"/>
      <c r="Q225" s="323"/>
      <c r="R225" s="323"/>
      <c r="S225" s="323"/>
      <c r="T225" s="323"/>
    </row>
    <row r="226" spans="3:20">
      <c r="C226" s="323"/>
      <c r="D226" s="323"/>
      <c r="E226" s="323"/>
      <c r="F226" s="323"/>
      <c r="G226" s="323"/>
      <c r="H226" s="323"/>
      <c r="I226" s="323"/>
      <c r="J226" s="323"/>
      <c r="K226" s="323"/>
      <c r="L226" s="323"/>
      <c r="M226" s="323"/>
      <c r="N226" s="323"/>
      <c r="O226" s="323"/>
      <c r="P226" s="323"/>
      <c r="Q226" s="323"/>
      <c r="R226" s="323"/>
      <c r="S226" s="323"/>
      <c r="T226" s="323"/>
    </row>
    <row r="227" spans="3:20">
      <c r="C227" s="323"/>
      <c r="D227" s="323"/>
      <c r="E227" s="323"/>
      <c r="F227" s="323"/>
      <c r="G227" s="323"/>
      <c r="H227" s="323"/>
      <c r="I227" s="323"/>
      <c r="J227" s="323"/>
      <c r="K227" s="323"/>
      <c r="L227" s="323"/>
      <c r="M227" s="323"/>
      <c r="N227" s="323"/>
      <c r="O227" s="323"/>
      <c r="P227" s="323"/>
      <c r="Q227" s="323"/>
      <c r="R227" s="323"/>
      <c r="S227" s="323"/>
      <c r="T227" s="323"/>
    </row>
    <row r="228" spans="3:20">
      <c r="C228" s="323"/>
      <c r="D228" s="323"/>
      <c r="E228" s="323"/>
      <c r="F228" s="323"/>
      <c r="G228" s="323"/>
      <c r="H228" s="323"/>
      <c r="I228" s="323"/>
      <c r="J228" s="323"/>
      <c r="K228" s="323"/>
      <c r="L228" s="323"/>
      <c r="M228" s="323"/>
      <c r="N228" s="323"/>
      <c r="O228" s="323"/>
      <c r="P228" s="323"/>
      <c r="Q228" s="323"/>
      <c r="R228" s="323"/>
      <c r="S228" s="323"/>
      <c r="T228" s="323"/>
    </row>
    <row r="229" spans="3:20">
      <c r="C229" s="323"/>
      <c r="D229" s="323"/>
      <c r="E229" s="323"/>
      <c r="F229" s="323"/>
      <c r="G229" s="323"/>
      <c r="H229" s="323"/>
      <c r="I229" s="323"/>
      <c r="J229" s="323"/>
      <c r="K229" s="323"/>
      <c r="L229" s="323"/>
      <c r="M229" s="323"/>
      <c r="N229" s="323"/>
      <c r="O229" s="323"/>
      <c r="P229" s="323"/>
      <c r="Q229" s="323"/>
      <c r="R229" s="323"/>
      <c r="S229" s="323"/>
      <c r="T229" s="323"/>
    </row>
    <row r="230" spans="3:20">
      <c r="C230" s="323"/>
      <c r="D230" s="323"/>
      <c r="E230" s="323"/>
      <c r="F230" s="323"/>
      <c r="G230" s="323"/>
      <c r="H230" s="323"/>
      <c r="I230" s="323"/>
      <c r="J230" s="323"/>
      <c r="K230" s="323"/>
      <c r="L230" s="323"/>
      <c r="M230" s="323"/>
      <c r="N230" s="323"/>
      <c r="O230" s="323"/>
      <c r="P230" s="323"/>
      <c r="Q230" s="323"/>
      <c r="R230" s="323"/>
      <c r="S230" s="323"/>
      <c r="T230" s="323"/>
    </row>
    <row r="231" spans="3:20">
      <c r="C231" s="323"/>
      <c r="D231" s="323"/>
      <c r="E231" s="323"/>
      <c r="F231" s="323"/>
      <c r="G231" s="323"/>
      <c r="H231" s="323"/>
      <c r="I231" s="323"/>
      <c r="J231" s="323"/>
      <c r="K231" s="323"/>
      <c r="L231" s="323"/>
      <c r="M231" s="323"/>
      <c r="N231" s="323"/>
      <c r="O231" s="323"/>
      <c r="P231" s="323"/>
      <c r="Q231" s="323"/>
      <c r="R231" s="323"/>
      <c r="S231" s="323"/>
      <c r="T231" s="323"/>
    </row>
    <row r="232" spans="3:20">
      <c r="C232" s="323"/>
      <c r="D232" s="323"/>
      <c r="E232" s="323"/>
      <c r="F232" s="323"/>
      <c r="G232" s="323"/>
      <c r="H232" s="323"/>
      <c r="I232" s="323"/>
      <c r="J232" s="323"/>
      <c r="K232" s="323"/>
      <c r="L232" s="323"/>
      <c r="M232" s="323"/>
      <c r="N232" s="323"/>
      <c r="O232" s="323"/>
      <c r="P232" s="323"/>
      <c r="Q232" s="323"/>
      <c r="R232" s="323"/>
      <c r="S232" s="323"/>
      <c r="T232" s="323"/>
    </row>
    <row r="233" spans="3:20">
      <c r="C233" s="323"/>
      <c r="D233" s="323"/>
      <c r="E233" s="323"/>
      <c r="F233" s="323"/>
      <c r="G233" s="323"/>
      <c r="H233" s="323"/>
      <c r="I233" s="323"/>
      <c r="J233" s="323"/>
      <c r="K233" s="323"/>
      <c r="L233" s="323"/>
      <c r="M233" s="323"/>
      <c r="N233" s="323"/>
      <c r="O233" s="323"/>
      <c r="P233" s="323"/>
      <c r="Q233" s="323"/>
      <c r="R233" s="323"/>
      <c r="S233" s="323"/>
      <c r="T233" s="323"/>
    </row>
    <row r="234" spans="3:20">
      <c r="C234" s="323"/>
      <c r="D234" s="323"/>
      <c r="E234" s="323"/>
      <c r="F234" s="323"/>
      <c r="G234" s="323"/>
      <c r="H234" s="323"/>
      <c r="I234" s="323"/>
      <c r="J234" s="323"/>
      <c r="K234" s="323"/>
      <c r="L234" s="323"/>
      <c r="M234" s="323"/>
      <c r="N234" s="323"/>
      <c r="O234" s="323"/>
      <c r="P234" s="323"/>
      <c r="Q234" s="323"/>
      <c r="R234" s="323"/>
      <c r="S234" s="323"/>
      <c r="T234" s="323"/>
    </row>
    <row r="235" spans="3:20">
      <c r="C235" s="323"/>
      <c r="D235" s="323"/>
      <c r="E235" s="323"/>
      <c r="F235" s="323"/>
      <c r="G235" s="323"/>
      <c r="H235" s="323"/>
      <c r="I235" s="323"/>
      <c r="J235" s="323"/>
      <c r="K235" s="323"/>
      <c r="L235" s="323"/>
      <c r="M235" s="323"/>
      <c r="N235" s="323"/>
      <c r="O235" s="323"/>
      <c r="P235" s="323"/>
      <c r="Q235" s="323"/>
      <c r="R235" s="323"/>
      <c r="S235" s="323"/>
      <c r="T235" s="323"/>
    </row>
    <row r="236" spans="3:20">
      <c r="C236" s="323"/>
      <c r="D236" s="323"/>
      <c r="E236" s="323"/>
      <c r="F236" s="323"/>
      <c r="G236" s="323"/>
      <c r="H236" s="323"/>
      <c r="I236" s="323"/>
      <c r="J236" s="323"/>
      <c r="K236" s="323"/>
      <c r="L236" s="323"/>
      <c r="M236" s="323"/>
      <c r="N236" s="323"/>
      <c r="O236" s="323"/>
      <c r="P236" s="323"/>
      <c r="Q236" s="323"/>
      <c r="R236" s="323"/>
      <c r="S236" s="323"/>
      <c r="T236" s="323"/>
    </row>
    <row r="237" spans="3:20">
      <c r="C237" s="323"/>
      <c r="D237" s="323"/>
      <c r="E237" s="323"/>
      <c r="F237" s="323"/>
      <c r="G237" s="323"/>
      <c r="H237" s="323"/>
      <c r="I237" s="323"/>
      <c r="J237" s="323"/>
      <c r="K237" s="323"/>
      <c r="L237" s="323"/>
      <c r="M237" s="323"/>
      <c r="N237" s="323"/>
      <c r="O237" s="323"/>
      <c r="P237" s="323"/>
      <c r="Q237" s="323"/>
      <c r="R237" s="323"/>
      <c r="S237" s="323"/>
      <c r="T237" s="323"/>
    </row>
    <row r="238" spans="3:20">
      <c r="C238" s="323"/>
      <c r="D238" s="323"/>
      <c r="E238" s="323"/>
      <c r="F238" s="323"/>
      <c r="G238" s="323"/>
      <c r="H238" s="323"/>
      <c r="I238" s="323"/>
      <c r="J238" s="323"/>
      <c r="K238" s="323"/>
      <c r="L238" s="323"/>
      <c r="M238" s="323"/>
      <c r="N238" s="323"/>
      <c r="O238" s="323"/>
      <c r="P238" s="323"/>
      <c r="Q238" s="323"/>
      <c r="R238" s="323"/>
      <c r="S238" s="323"/>
      <c r="T238" s="323"/>
    </row>
    <row r="239" spans="3:20">
      <c r="C239" s="323"/>
      <c r="D239" s="323"/>
      <c r="E239" s="323"/>
      <c r="F239" s="323"/>
      <c r="G239" s="323"/>
      <c r="H239" s="323"/>
      <c r="I239" s="323"/>
      <c r="J239" s="323"/>
      <c r="K239" s="323"/>
      <c r="L239" s="323"/>
      <c r="M239" s="323"/>
      <c r="N239" s="323"/>
      <c r="O239" s="323"/>
      <c r="P239" s="323"/>
      <c r="Q239" s="323"/>
      <c r="R239" s="323"/>
      <c r="S239" s="323"/>
      <c r="T239" s="323"/>
    </row>
    <row r="240" spans="3:20">
      <c r="C240" s="323"/>
      <c r="D240" s="323"/>
      <c r="E240" s="323"/>
      <c r="F240" s="323"/>
      <c r="G240" s="323"/>
      <c r="H240" s="323"/>
      <c r="I240" s="323"/>
      <c r="J240" s="323"/>
      <c r="K240" s="323"/>
      <c r="L240" s="323"/>
      <c r="M240" s="323"/>
      <c r="N240" s="323"/>
      <c r="O240" s="323"/>
      <c r="P240" s="323"/>
      <c r="Q240" s="323"/>
      <c r="R240" s="323"/>
      <c r="S240" s="323"/>
      <c r="T240" s="323"/>
    </row>
    <row r="241" spans="3:20">
      <c r="C241" s="323"/>
      <c r="D241" s="323"/>
      <c r="E241" s="323"/>
      <c r="F241" s="323"/>
      <c r="G241" s="323"/>
      <c r="H241" s="323"/>
      <c r="I241" s="323"/>
      <c r="J241" s="323"/>
      <c r="K241" s="323"/>
      <c r="L241" s="323"/>
      <c r="M241" s="323"/>
      <c r="N241" s="323"/>
      <c r="O241" s="323"/>
      <c r="P241" s="323"/>
      <c r="Q241" s="323"/>
      <c r="R241" s="323"/>
      <c r="S241" s="323"/>
      <c r="T241" s="323"/>
    </row>
    <row r="242" spans="3:20">
      <c r="C242" s="323"/>
      <c r="D242" s="323"/>
      <c r="E242" s="323"/>
      <c r="F242" s="323"/>
      <c r="G242" s="323"/>
      <c r="H242" s="323"/>
      <c r="I242" s="323"/>
      <c r="J242" s="323"/>
      <c r="K242" s="323"/>
      <c r="L242" s="323"/>
      <c r="M242" s="323"/>
      <c r="N242" s="323"/>
      <c r="O242" s="323"/>
      <c r="P242" s="323"/>
      <c r="Q242" s="323"/>
      <c r="R242" s="323"/>
      <c r="S242" s="323"/>
      <c r="T242" s="323"/>
    </row>
    <row r="243" spans="3:20">
      <c r="C243" s="323"/>
      <c r="D243" s="323"/>
      <c r="E243" s="323"/>
      <c r="F243" s="323"/>
      <c r="G243" s="323"/>
      <c r="H243" s="323"/>
      <c r="I243" s="323"/>
      <c r="J243" s="323"/>
      <c r="K243" s="323"/>
      <c r="L243" s="323"/>
      <c r="M243" s="323"/>
      <c r="N243" s="323"/>
      <c r="O243" s="323"/>
      <c r="P243" s="323"/>
      <c r="Q243" s="323"/>
      <c r="R243" s="323"/>
      <c r="S243" s="323"/>
      <c r="T243" s="323"/>
    </row>
    <row r="244" spans="3:20">
      <c r="C244" s="323"/>
      <c r="D244" s="323"/>
      <c r="E244" s="323"/>
      <c r="F244" s="323"/>
      <c r="G244" s="323"/>
      <c r="H244" s="323"/>
      <c r="I244" s="323"/>
      <c r="J244" s="323"/>
      <c r="K244" s="323"/>
      <c r="L244" s="323"/>
      <c r="M244" s="323"/>
      <c r="N244" s="323"/>
      <c r="O244" s="323"/>
      <c r="P244" s="323"/>
      <c r="Q244" s="323"/>
      <c r="R244" s="323"/>
      <c r="S244" s="323"/>
      <c r="T244" s="323"/>
    </row>
    <row r="245" spans="3:20">
      <c r="C245" s="323"/>
      <c r="D245" s="323"/>
      <c r="E245" s="323"/>
      <c r="F245" s="323"/>
      <c r="G245" s="323"/>
      <c r="H245" s="323"/>
      <c r="I245" s="323"/>
      <c r="J245" s="323"/>
      <c r="K245" s="323"/>
      <c r="L245" s="323"/>
      <c r="M245" s="323"/>
      <c r="N245" s="323"/>
      <c r="O245" s="323"/>
      <c r="P245" s="323"/>
      <c r="Q245" s="323"/>
      <c r="R245" s="323"/>
      <c r="S245" s="323"/>
      <c r="T245" s="323"/>
    </row>
    <row r="246" spans="3:20">
      <c r="C246" s="323"/>
      <c r="D246" s="323"/>
      <c r="E246" s="323"/>
      <c r="F246" s="323"/>
      <c r="G246" s="323"/>
      <c r="H246" s="323"/>
      <c r="I246" s="323"/>
      <c r="J246" s="323"/>
      <c r="K246" s="323"/>
      <c r="L246" s="323"/>
      <c r="M246" s="323"/>
      <c r="N246" s="323"/>
      <c r="O246" s="323"/>
      <c r="P246" s="323"/>
      <c r="Q246" s="323"/>
      <c r="R246" s="323"/>
      <c r="S246" s="323"/>
      <c r="T246" s="323"/>
    </row>
    <row r="247" spans="3:20">
      <c r="C247" s="323"/>
      <c r="D247" s="323"/>
      <c r="E247" s="323"/>
      <c r="F247" s="323"/>
      <c r="G247" s="323"/>
      <c r="H247" s="323"/>
      <c r="I247" s="323"/>
      <c r="J247" s="323"/>
      <c r="K247" s="323"/>
      <c r="L247" s="323"/>
      <c r="M247" s="323"/>
      <c r="N247" s="323"/>
      <c r="O247" s="323"/>
      <c r="P247" s="323"/>
      <c r="Q247" s="323"/>
      <c r="R247" s="323"/>
      <c r="S247" s="323"/>
      <c r="T247" s="323"/>
    </row>
    <row r="248" spans="3:20">
      <c r="C248" s="323"/>
      <c r="D248" s="323"/>
      <c r="E248" s="323"/>
      <c r="F248" s="323"/>
      <c r="G248" s="323"/>
      <c r="H248" s="323"/>
      <c r="I248" s="323"/>
      <c r="J248" s="323"/>
      <c r="K248" s="323"/>
      <c r="L248" s="323"/>
      <c r="M248" s="323"/>
      <c r="N248" s="323"/>
      <c r="O248" s="323"/>
      <c r="P248" s="323"/>
      <c r="Q248" s="323"/>
      <c r="R248" s="323"/>
      <c r="S248" s="323"/>
      <c r="T248" s="323"/>
    </row>
    <row r="249" spans="3:20">
      <c r="C249" s="323"/>
      <c r="D249" s="323"/>
      <c r="E249" s="323"/>
      <c r="F249" s="323"/>
      <c r="G249" s="323"/>
      <c r="H249" s="323"/>
      <c r="I249" s="323"/>
      <c r="J249" s="323"/>
      <c r="K249" s="323"/>
      <c r="L249" s="323"/>
      <c r="M249" s="323"/>
      <c r="N249" s="323"/>
      <c r="O249" s="323"/>
      <c r="P249" s="323"/>
      <c r="Q249" s="323"/>
      <c r="R249" s="323"/>
      <c r="S249" s="323"/>
      <c r="T249" s="323"/>
    </row>
    <row r="250" spans="3:20">
      <c r="C250" s="323"/>
      <c r="D250" s="323"/>
      <c r="E250" s="323"/>
      <c r="F250" s="323"/>
      <c r="G250" s="323"/>
      <c r="H250" s="323"/>
      <c r="I250" s="323"/>
      <c r="J250" s="323"/>
      <c r="K250" s="323"/>
      <c r="L250" s="323"/>
      <c r="M250" s="323"/>
      <c r="N250" s="323"/>
      <c r="O250" s="323"/>
      <c r="P250" s="323"/>
      <c r="Q250" s="323"/>
      <c r="R250" s="323"/>
      <c r="S250" s="323"/>
      <c r="T250" s="323"/>
    </row>
    <row r="251" spans="3:20">
      <c r="C251" s="323"/>
      <c r="D251" s="323"/>
      <c r="E251" s="323"/>
      <c r="F251" s="323"/>
      <c r="G251" s="323"/>
      <c r="H251" s="323"/>
      <c r="I251" s="323"/>
      <c r="J251" s="323"/>
      <c r="K251" s="323"/>
      <c r="L251" s="323"/>
      <c r="M251" s="323"/>
      <c r="N251" s="323"/>
      <c r="O251" s="323"/>
      <c r="P251" s="323"/>
      <c r="Q251" s="323"/>
      <c r="R251" s="323"/>
      <c r="S251" s="323"/>
      <c r="T251" s="323"/>
    </row>
    <row r="252" spans="3:20">
      <c r="C252" s="323"/>
      <c r="D252" s="323"/>
      <c r="E252" s="323"/>
      <c r="F252" s="323"/>
      <c r="G252" s="323"/>
      <c r="H252" s="323"/>
      <c r="I252" s="323"/>
      <c r="J252" s="323"/>
      <c r="K252" s="323"/>
      <c r="L252" s="323"/>
      <c r="M252" s="323"/>
      <c r="N252" s="323"/>
      <c r="O252" s="323"/>
      <c r="P252" s="323"/>
      <c r="Q252" s="323"/>
      <c r="R252" s="323"/>
      <c r="S252" s="323"/>
      <c r="T252" s="323"/>
    </row>
    <row r="253" spans="3:20">
      <c r="C253" s="323"/>
      <c r="D253" s="323"/>
      <c r="E253" s="323"/>
      <c r="F253" s="323"/>
      <c r="G253" s="323"/>
      <c r="H253" s="323"/>
      <c r="I253" s="323"/>
      <c r="J253" s="323"/>
      <c r="K253" s="323"/>
      <c r="L253" s="323"/>
      <c r="M253" s="323"/>
      <c r="N253" s="323"/>
      <c r="O253" s="323"/>
      <c r="P253" s="323"/>
      <c r="Q253" s="323"/>
      <c r="R253" s="323"/>
      <c r="S253" s="323"/>
      <c r="T253" s="323"/>
    </row>
    <row r="254" spans="3:20">
      <c r="C254" s="323"/>
      <c r="D254" s="323"/>
      <c r="E254" s="323"/>
      <c r="F254" s="323"/>
      <c r="G254" s="323"/>
      <c r="H254" s="323"/>
      <c r="I254" s="323"/>
      <c r="J254" s="323"/>
      <c r="K254" s="323"/>
      <c r="L254" s="323"/>
      <c r="M254" s="323"/>
      <c r="N254" s="323"/>
      <c r="O254" s="323"/>
      <c r="P254" s="323"/>
      <c r="Q254" s="323"/>
      <c r="R254" s="323"/>
      <c r="S254" s="323"/>
      <c r="T254" s="323"/>
    </row>
    <row r="255" spans="3:20">
      <c r="C255" s="323"/>
      <c r="D255" s="323"/>
      <c r="E255" s="323"/>
      <c r="F255" s="323"/>
      <c r="G255" s="323"/>
      <c r="H255" s="323"/>
      <c r="I255" s="323"/>
      <c r="J255" s="323"/>
      <c r="K255" s="323"/>
      <c r="L255" s="323"/>
      <c r="M255" s="323"/>
      <c r="N255" s="323"/>
      <c r="O255" s="323"/>
      <c r="P255" s="323"/>
      <c r="Q255" s="323"/>
      <c r="R255" s="323"/>
      <c r="S255" s="323"/>
      <c r="T255" s="323"/>
    </row>
    <row r="256" spans="3:20">
      <c r="C256" s="323"/>
      <c r="D256" s="323"/>
      <c r="E256" s="323"/>
      <c r="F256" s="323"/>
      <c r="G256" s="323"/>
      <c r="H256" s="323"/>
      <c r="I256" s="323"/>
      <c r="J256" s="323"/>
      <c r="K256" s="323"/>
      <c r="L256" s="323"/>
      <c r="M256" s="323"/>
      <c r="N256" s="323"/>
      <c r="O256" s="323"/>
      <c r="P256" s="323"/>
      <c r="Q256" s="323"/>
      <c r="R256" s="323"/>
      <c r="S256" s="323"/>
      <c r="T256" s="323"/>
    </row>
    <row r="257" spans="3:20">
      <c r="C257" s="323"/>
      <c r="D257" s="323"/>
      <c r="E257" s="323"/>
      <c r="F257" s="323"/>
      <c r="G257" s="323"/>
      <c r="H257" s="323"/>
      <c r="I257" s="323"/>
      <c r="J257" s="323"/>
      <c r="K257" s="323"/>
      <c r="L257" s="323"/>
      <c r="M257" s="323"/>
      <c r="N257" s="323"/>
      <c r="O257" s="323"/>
      <c r="P257" s="323"/>
      <c r="Q257" s="323"/>
      <c r="R257" s="323"/>
      <c r="S257" s="323"/>
      <c r="T257" s="323"/>
    </row>
    <row r="258" spans="3:20">
      <c r="C258" s="323"/>
      <c r="D258" s="323"/>
      <c r="E258" s="323"/>
      <c r="F258" s="323"/>
      <c r="G258" s="323"/>
      <c r="H258" s="323"/>
      <c r="I258" s="323"/>
      <c r="J258" s="323"/>
      <c r="K258" s="323"/>
      <c r="L258" s="323"/>
      <c r="M258" s="323"/>
      <c r="N258" s="323"/>
      <c r="O258" s="323"/>
      <c r="P258" s="323"/>
      <c r="Q258" s="323"/>
      <c r="R258" s="323"/>
      <c r="S258" s="323"/>
      <c r="T258" s="323"/>
    </row>
    <row r="259" spans="3:20">
      <c r="C259" s="323"/>
      <c r="D259" s="323"/>
      <c r="E259" s="323"/>
      <c r="F259" s="323"/>
      <c r="G259" s="323"/>
      <c r="H259" s="323"/>
      <c r="I259" s="323"/>
      <c r="J259" s="323"/>
      <c r="K259" s="323"/>
      <c r="L259" s="323"/>
      <c r="M259" s="323"/>
      <c r="N259" s="323"/>
      <c r="O259" s="323"/>
      <c r="P259" s="323"/>
      <c r="Q259" s="323"/>
      <c r="R259" s="323"/>
      <c r="S259" s="323"/>
      <c r="T259" s="323"/>
    </row>
    <row r="260" spans="3:20">
      <c r="C260" s="323"/>
      <c r="D260" s="323"/>
      <c r="E260" s="323"/>
      <c r="F260" s="323"/>
      <c r="G260" s="323"/>
      <c r="H260" s="323"/>
      <c r="I260" s="323"/>
      <c r="J260" s="323"/>
      <c r="K260" s="323"/>
      <c r="L260" s="323"/>
      <c r="M260" s="323"/>
      <c r="N260" s="323"/>
      <c r="O260" s="323"/>
      <c r="P260" s="323"/>
      <c r="Q260" s="323"/>
      <c r="R260" s="323"/>
      <c r="S260" s="323"/>
      <c r="T260" s="323"/>
    </row>
    <row r="261" spans="3:20">
      <c r="C261" s="323"/>
      <c r="D261" s="323"/>
      <c r="E261" s="323"/>
      <c r="F261" s="323"/>
      <c r="G261" s="323"/>
      <c r="H261" s="323"/>
      <c r="I261" s="323"/>
      <c r="J261" s="323"/>
      <c r="K261" s="323"/>
      <c r="L261" s="323"/>
      <c r="M261" s="323"/>
      <c r="N261" s="323"/>
      <c r="O261" s="323"/>
      <c r="P261" s="323"/>
      <c r="Q261" s="323"/>
      <c r="R261" s="323"/>
      <c r="S261" s="323"/>
      <c r="T261" s="323"/>
    </row>
    <row r="262" spans="3:20">
      <c r="C262" s="323"/>
      <c r="D262" s="323"/>
      <c r="E262" s="323"/>
      <c r="F262" s="323"/>
      <c r="G262" s="323"/>
      <c r="H262" s="323"/>
      <c r="I262" s="323"/>
      <c r="J262" s="323"/>
      <c r="K262" s="323"/>
      <c r="L262" s="323"/>
      <c r="M262" s="323"/>
      <c r="N262" s="323"/>
      <c r="O262" s="323"/>
      <c r="P262" s="323"/>
      <c r="Q262" s="323"/>
      <c r="R262" s="323"/>
      <c r="S262" s="323"/>
      <c r="T262" s="323"/>
    </row>
    <row r="263" spans="3:20">
      <c r="C263" s="323"/>
      <c r="D263" s="323"/>
      <c r="E263" s="323"/>
      <c r="F263" s="323"/>
      <c r="G263" s="323"/>
      <c r="H263" s="323"/>
      <c r="I263" s="323"/>
      <c r="J263" s="323"/>
      <c r="K263" s="323"/>
      <c r="L263" s="323"/>
      <c r="M263" s="323"/>
      <c r="N263" s="323"/>
      <c r="O263" s="323"/>
      <c r="P263" s="323"/>
      <c r="Q263" s="323"/>
      <c r="R263" s="323"/>
      <c r="S263" s="323"/>
      <c r="T263" s="323"/>
    </row>
    <row r="264" spans="3:20">
      <c r="C264" s="323"/>
      <c r="D264" s="323"/>
      <c r="E264" s="323"/>
      <c r="F264" s="323"/>
      <c r="G264" s="323"/>
      <c r="H264" s="323"/>
      <c r="I264" s="323"/>
      <c r="J264" s="323"/>
      <c r="K264" s="323"/>
      <c r="L264" s="323"/>
      <c r="M264" s="323"/>
      <c r="N264" s="323"/>
      <c r="O264" s="323"/>
      <c r="P264" s="323"/>
      <c r="Q264" s="323"/>
      <c r="R264" s="323"/>
      <c r="S264" s="323"/>
      <c r="T264" s="323"/>
    </row>
    <row r="265" spans="3:20">
      <c r="C265" s="323"/>
      <c r="D265" s="323"/>
      <c r="E265" s="323"/>
      <c r="F265" s="323"/>
      <c r="G265" s="323"/>
      <c r="H265" s="323"/>
      <c r="I265" s="323"/>
      <c r="J265" s="323"/>
      <c r="K265" s="323"/>
      <c r="L265" s="323"/>
      <c r="M265" s="323"/>
      <c r="N265" s="323"/>
      <c r="O265" s="323"/>
      <c r="P265" s="323"/>
      <c r="Q265" s="323"/>
      <c r="R265" s="323"/>
      <c r="S265" s="323"/>
      <c r="T265" s="323"/>
    </row>
    <row r="266" spans="3:20">
      <c r="C266" s="323"/>
      <c r="D266" s="323"/>
      <c r="E266" s="323"/>
      <c r="F266" s="323"/>
      <c r="G266" s="323"/>
      <c r="H266" s="323"/>
      <c r="I266" s="323"/>
      <c r="J266" s="323"/>
      <c r="K266" s="323"/>
      <c r="L266" s="323"/>
      <c r="M266" s="323"/>
      <c r="N266" s="323"/>
      <c r="O266" s="323"/>
      <c r="P266" s="323"/>
      <c r="Q266" s="323"/>
      <c r="R266" s="323"/>
      <c r="S266" s="323"/>
      <c r="T266" s="323"/>
    </row>
    <row r="267" spans="3:20">
      <c r="C267" s="323"/>
      <c r="D267" s="323"/>
      <c r="E267" s="323"/>
      <c r="F267" s="323"/>
      <c r="G267" s="323"/>
      <c r="H267" s="323"/>
      <c r="I267" s="323"/>
      <c r="J267" s="323"/>
      <c r="K267" s="323"/>
      <c r="L267" s="323"/>
      <c r="M267" s="323"/>
      <c r="N267" s="323"/>
      <c r="O267" s="323"/>
      <c r="P267" s="323"/>
      <c r="Q267" s="323"/>
      <c r="R267" s="323"/>
      <c r="S267" s="323"/>
      <c r="T267" s="323"/>
    </row>
    <row r="268" spans="3:20">
      <c r="C268" s="323"/>
      <c r="D268" s="323"/>
      <c r="E268" s="323"/>
      <c r="F268" s="323"/>
      <c r="G268" s="323"/>
      <c r="H268" s="323"/>
      <c r="I268" s="323"/>
      <c r="J268" s="323"/>
      <c r="K268" s="323"/>
      <c r="L268" s="323"/>
      <c r="M268" s="323"/>
      <c r="N268" s="323"/>
      <c r="O268" s="323"/>
      <c r="P268" s="323"/>
      <c r="Q268" s="323"/>
      <c r="R268" s="323"/>
      <c r="S268" s="323"/>
      <c r="T268" s="323"/>
    </row>
    <row r="269" spans="3:20">
      <c r="C269" s="323"/>
      <c r="D269" s="323"/>
      <c r="E269" s="323"/>
      <c r="F269" s="323"/>
      <c r="G269" s="323"/>
      <c r="H269" s="323"/>
      <c r="I269" s="323"/>
      <c r="J269" s="323"/>
      <c r="K269" s="323"/>
      <c r="L269" s="323"/>
      <c r="M269" s="323"/>
      <c r="N269" s="323"/>
      <c r="O269" s="323"/>
      <c r="P269" s="323"/>
      <c r="Q269" s="323"/>
      <c r="R269" s="323"/>
      <c r="S269" s="323"/>
      <c r="T269" s="323"/>
    </row>
    <row r="270" spans="3:20">
      <c r="C270" s="323"/>
      <c r="D270" s="323"/>
      <c r="E270" s="323"/>
      <c r="F270" s="323"/>
      <c r="G270" s="323"/>
      <c r="H270" s="323"/>
      <c r="I270" s="323"/>
      <c r="J270" s="323"/>
      <c r="K270" s="323"/>
      <c r="L270" s="323"/>
      <c r="M270" s="323"/>
      <c r="N270" s="323"/>
      <c r="O270" s="323"/>
      <c r="P270" s="323"/>
      <c r="Q270" s="323"/>
      <c r="R270" s="323"/>
      <c r="S270" s="323"/>
      <c r="T270" s="323"/>
    </row>
    <row r="271" spans="3:20">
      <c r="C271" s="323"/>
      <c r="D271" s="323"/>
      <c r="E271" s="323"/>
      <c r="F271" s="323"/>
      <c r="G271" s="323"/>
      <c r="H271" s="323"/>
      <c r="I271" s="323"/>
      <c r="J271" s="323"/>
      <c r="K271" s="323"/>
      <c r="L271" s="323"/>
      <c r="M271" s="323"/>
      <c r="N271" s="323"/>
      <c r="O271" s="323"/>
      <c r="P271" s="323"/>
      <c r="Q271" s="323"/>
      <c r="R271" s="323"/>
      <c r="S271" s="323"/>
      <c r="T271" s="323"/>
    </row>
    <row r="272" spans="3:20">
      <c r="C272" s="323"/>
      <c r="D272" s="323"/>
      <c r="E272" s="323"/>
      <c r="F272" s="323"/>
      <c r="G272" s="323"/>
      <c r="H272" s="323"/>
      <c r="I272" s="323"/>
      <c r="J272" s="323"/>
      <c r="K272" s="323"/>
      <c r="L272" s="323"/>
      <c r="M272" s="323"/>
      <c r="N272" s="323"/>
      <c r="O272" s="323"/>
      <c r="P272" s="323"/>
      <c r="Q272" s="323"/>
      <c r="R272" s="323"/>
      <c r="S272" s="323"/>
      <c r="T272" s="323"/>
    </row>
    <row r="273" spans="3:20">
      <c r="C273" s="323"/>
      <c r="D273" s="323"/>
      <c r="E273" s="323"/>
      <c r="F273" s="323"/>
      <c r="G273" s="323"/>
      <c r="H273" s="323"/>
      <c r="I273" s="323"/>
      <c r="J273" s="323"/>
      <c r="K273" s="323"/>
      <c r="L273" s="323"/>
      <c r="M273" s="323"/>
      <c r="N273" s="323"/>
      <c r="O273" s="323"/>
      <c r="P273" s="323"/>
      <c r="Q273" s="323"/>
      <c r="R273" s="323"/>
      <c r="S273" s="323"/>
      <c r="T273" s="323"/>
    </row>
    <row r="274" spans="3:20">
      <c r="C274" s="323"/>
      <c r="D274" s="323"/>
      <c r="E274" s="323"/>
      <c r="F274" s="323"/>
      <c r="G274" s="323"/>
      <c r="H274" s="323"/>
      <c r="I274" s="323"/>
      <c r="J274" s="323"/>
      <c r="K274" s="323"/>
      <c r="L274" s="323"/>
      <c r="M274" s="323"/>
      <c r="N274" s="323"/>
      <c r="O274" s="323"/>
      <c r="P274" s="323"/>
      <c r="Q274" s="323"/>
      <c r="R274" s="323"/>
      <c r="S274" s="323"/>
      <c r="T274" s="323"/>
    </row>
    <row r="275" spans="3:20">
      <c r="C275" s="323"/>
      <c r="D275" s="323"/>
      <c r="E275" s="323"/>
      <c r="F275" s="323"/>
      <c r="G275" s="323"/>
      <c r="H275" s="323"/>
      <c r="I275" s="323"/>
      <c r="J275" s="323"/>
      <c r="K275" s="323"/>
      <c r="L275" s="323"/>
      <c r="M275" s="323"/>
      <c r="N275" s="323"/>
      <c r="O275" s="323"/>
      <c r="P275" s="323"/>
      <c r="Q275" s="323"/>
      <c r="R275" s="323"/>
      <c r="S275" s="323"/>
      <c r="T275" s="323"/>
    </row>
    <row r="276" spans="3:20">
      <c r="C276" s="323"/>
      <c r="D276" s="323"/>
      <c r="E276" s="323"/>
      <c r="F276" s="323"/>
      <c r="G276" s="323"/>
      <c r="H276" s="323"/>
      <c r="I276" s="323"/>
      <c r="J276" s="323"/>
      <c r="K276" s="323"/>
      <c r="L276" s="323"/>
      <c r="M276" s="323"/>
      <c r="N276" s="323"/>
      <c r="O276" s="323"/>
      <c r="P276" s="323"/>
      <c r="Q276" s="323"/>
      <c r="R276" s="323"/>
      <c r="S276" s="323"/>
      <c r="T276" s="323"/>
    </row>
    <row r="277" spans="3:20">
      <c r="C277" s="323"/>
      <c r="D277" s="323"/>
      <c r="E277" s="323"/>
      <c r="F277" s="323"/>
      <c r="G277" s="323"/>
      <c r="H277" s="323"/>
      <c r="I277" s="323"/>
      <c r="J277" s="323"/>
      <c r="K277" s="323"/>
      <c r="L277" s="323"/>
      <c r="M277" s="323"/>
      <c r="N277" s="323"/>
      <c r="O277" s="323"/>
      <c r="P277" s="323"/>
      <c r="Q277" s="323"/>
      <c r="R277" s="323"/>
      <c r="S277" s="323"/>
      <c r="T277" s="323"/>
    </row>
    <row r="278" spans="3:20">
      <c r="C278" s="323"/>
      <c r="D278" s="323"/>
      <c r="E278" s="323"/>
      <c r="F278" s="323"/>
      <c r="G278" s="323"/>
      <c r="H278" s="323"/>
      <c r="I278" s="323"/>
      <c r="J278" s="323"/>
      <c r="K278" s="323"/>
      <c r="L278" s="323"/>
      <c r="M278" s="323"/>
      <c r="N278" s="323"/>
      <c r="O278" s="323"/>
      <c r="P278" s="323"/>
      <c r="Q278" s="323"/>
      <c r="R278" s="323"/>
      <c r="S278" s="323"/>
      <c r="T278" s="323"/>
    </row>
    <row r="279" spans="3:20">
      <c r="C279" s="323"/>
      <c r="D279" s="323"/>
      <c r="E279" s="323"/>
      <c r="F279" s="323"/>
      <c r="G279" s="323"/>
      <c r="H279" s="323"/>
      <c r="I279" s="323"/>
      <c r="J279" s="323"/>
      <c r="K279" s="323"/>
      <c r="L279" s="323"/>
      <c r="M279" s="323"/>
      <c r="N279" s="323"/>
      <c r="O279" s="323"/>
      <c r="P279" s="323"/>
      <c r="Q279" s="323"/>
      <c r="R279" s="323"/>
      <c r="S279" s="323"/>
      <c r="T279" s="323"/>
    </row>
    <row r="280" spans="3:20">
      <c r="C280" s="323"/>
      <c r="D280" s="323"/>
      <c r="E280" s="323"/>
      <c r="F280" s="323"/>
      <c r="G280" s="323"/>
      <c r="H280" s="323"/>
      <c r="I280" s="323"/>
      <c r="J280" s="323"/>
      <c r="K280" s="323"/>
      <c r="L280" s="323"/>
      <c r="M280" s="323"/>
      <c r="N280" s="323"/>
      <c r="O280" s="323"/>
      <c r="P280" s="323"/>
      <c r="Q280" s="323"/>
      <c r="R280" s="323"/>
      <c r="S280" s="323"/>
      <c r="T280" s="323"/>
    </row>
    <row r="281" spans="3:20">
      <c r="C281" s="323"/>
      <c r="D281" s="323"/>
      <c r="E281" s="323"/>
      <c r="F281" s="323"/>
      <c r="G281" s="323"/>
      <c r="H281" s="323"/>
      <c r="I281" s="323"/>
      <c r="J281" s="323"/>
      <c r="K281" s="323"/>
      <c r="L281" s="323"/>
      <c r="M281" s="323"/>
      <c r="N281" s="323"/>
      <c r="O281" s="323"/>
      <c r="P281" s="323"/>
      <c r="Q281" s="323"/>
      <c r="R281" s="323"/>
      <c r="S281" s="323"/>
      <c r="T281" s="323"/>
    </row>
    <row r="282" spans="3:20">
      <c r="C282" s="323"/>
      <c r="D282" s="323"/>
      <c r="E282" s="323"/>
      <c r="F282" s="323"/>
      <c r="G282" s="323"/>
      <c r="H282" s="323"/>
      <c r="I282" s="323"/>
      <c r="J282" s="323"/>
      <c r="K282" s="323"/>
      <c r="L282" s="323"/>
      <c r="M282" s="323"/>
      <c r="N282" s="323"/>
      <c r="O282" s="323"/>
      <c r="P282" s="323"/>
      <c r="Q282" s="323"/>
      <c r="R282" s="323"/>
      <c r="S282" s="323"/>
      <c r="T282" s="323"/>
    </row>
    <row r="283" spans="3:20">
      <c r="C283" s="323"/>
      <c r="D283" s="323"/>
      <c r="E283" s="323"/>
      <c r="F283" s="323"/>
      <c r="G283" s="323"/>
      <c r="H283" s="323"/>
      <c r="I283" s="323"/>
      <c r="J283" s="323"/>
      <c r="K283" s="323"/>
      <c r="L283" s="323"/>
      <c r="M283" s="323"/>
      <c r="N283" s="323"/>
      <c r="O283" s="323"/>
      <c r="P283" s="323"/>
      <c r="Q283" s="323"/>
      <c r="R283" s="323"/>
      <c r="S283" s="323"/>
      <c r="T283" s="323"/>
    </row>
    <row r="284" spans="3:20">
      <c r="C284" s="323"/>
      <c r="D284" s="323"/>
      <c r="E284" s="323"/>
      <c r="F284" s="323"/>
      <c r="G284" s="323"/>
      <c r="H284" s="323"/>
      <c r="I284" s="323"/>
      <c r="J284" s="323"/>
      <c r="K284" s="323"/>
      <c r="L284" s="323"/>
      <c r="M284" s="323"/>
      <c r="N284" s="323"/>
      <c r="O284" s="323"/>
      <c r="P284" s="323"/>
      <c r="Q284" s="323"/>
      <c r="R284" s="323"/>
      <c r="S284" s="323"/>
      <c r="T284" s="323"/>
    </row>
    <row r="285" spans="3:20">
      <c r="C285" s="323"/>
      <c r="D285" s="323"/>
      <c r="E285" s="323"/>
      <c r="F285" s="323"/>
      <c r="G285" s="323"/>
      <c r="H285" s="323"/>
      <c r="I285" s="323"/>
      <c r="J285" s="323"/>
      <c r="K285" s="323"/>
      <c r="L285" s="323"/>
      <c r="M285" s="323"/>
      <c r="N285" s="323"/>
      <c r="O285" s="323"/>
      <c r="P285" s="323"/>
      <c r="Q285" s="323"/>
      <c r="R285" s="323"/>
      <c r="S285" s="323"/>
      <c r="T285" s="323"/>
    </row>
    <row r="286" spans="3:20">
      <c r="C286" s="323"/>
      <c r="D286" s="323"/>
      <c r="E286" s="323"/>
      <c r="F286" s="323"/>
      <c r="G286" s="323"/>
      <c r="H286" s="323"/>
      <c r="I286" s="323"/>
      <c r="J286" s="323"/>
      <c r="K286" s="323"/>
      <c r="L286" s="323"/>
      <c r="M286" s="323"/>
      <c r="N286" s="323"/>
      <c r="O286" s="323"/>
      <c r="P286" s="323"/>
      <c r="Q286" s="323"/>
      <c r="R286" s="323"/>
      <c r="S286" s="323"/>
      <c r="T286" s="323"/>
    </row>
    <row r="287" spans="3:20">
      <c r="C287" s="323"/>
      <c r="D287" s="323"/>
      <c r="E287" s="323"/>
      <c r="F287" s="323"/>
      <c r="G287" s="323"/>
      <c r="H287" s="323"/>
      <c r="I287" s="323"/>
      <c r="J287" s="323"/>
      <c r="K287" s="323"/>
      <c r="L287" s="323"/>
      <c r="M287" s="323"/>
      <c r="N287" s="323"/>
      <c r="O287" s="323"/>
      <c r="P287" s="323"/>
      <c r="Q287" s="323"/>
      <c r="R287" s="323"/>
      <c r="S287" s="323"/>
      <c r="T287" s="323"/>
    </row>
    <row r="288" spans="3:20">
      <c r="C288" s="323"/>
      <c r="D288" s="323"/>
      <c r="E288" s="323"/>
      <c r="F288" s="323"/>
      <c r="G288" s="323"/>
      <c r="H288" s="323"/>
      <c r="I288" s="323"/>
      <c r="J288" s="323"/>
      <c r="K288" s="323"/>
      <c r="L288" s="323"/>
      <c r="M288" s="323"/>
      <c r="N288" s="323"/>
      <c r="O288" s="323"/>
      <c r="P288" s="323"/>
      <c r="Q288" s="323"/>
      <c r="R288" s="323"/>
      <c r="S288" s="323"/>
      <c r="T288" s="323"/>
    </row>
    <row r="289" spans="3:20">
      <c r="C289" s="323"/>
      <c r="D289" s="323"/>
      <c r="E289" s="323"/>
      <c r="F289" s="323"/>
      <c r="G289" s="323"/>
      <c r="H289" s="323"/>
      <c r="I289" s="323"/>
      <c r="J289" s="323"/>
      <c r="K289" s="323"/>
      <c r="L289" s="323"/>
      <c r="M289" s="323"/>
      <c r="N289" s="323"/>
      <c r="O289" s="323"/>
      <c r="P289" s="323"/>
      <c r="Q289" s="323"/>
      <c r="R289" s="323"/>
      <c r="S289" s="323"/>
      <c r="T289" s="323"/>
    </row>
    <row r="290" spans="3:20">
      <c r="C290" s="323"/>
      <c r="D290" s="323"/>
      <c r="E290" s="323"/>
      <c r="F290" s="323"/>
      <c r="G290" s="323"/>
      <c r="H290" s="323"/>
      <c r="I290" s="323"/>
      <c r="J290" s="323"/>
      <c r="K290" s="323"/>
      <c r="L290" s="323"/>
      <c r="M290" s="323"/>
      <c r="N290" s="323"/>
      <c r="O290" s="323"/>
      <c r="P290" s="323"/>
      <c r="Q290" s="323"/>
      <c r="R290" s="323"/>
      <c r="S290" s="323"/>
      <c r="T290" s="323"/>
    </row>
    <row r="291" spans="3:20">
      <c r="C291" s="323"/>
      <c r="D291" s="323"/>
      <c r="E291" s="323"/>
      <c r="F291" s="323"/>
      <c r="G291" s="323"/>
      <c r="H291" s="323"/>
      <c r="I291" s="323"/>
      <c r="J291" s="323"/>
      <c r="K291" s="323"/>
      <c r="L291" s="323"/>
      <c r="M291" s="323"/>
      <c r="N291" s="323"/>
      <c r="O291" s="323"/>
      <c r="P291" s="323"/>
      <c r="Q291" s="323"/>
      <c r="R291" s="323"/>
      <c r="S291" s="323"/>
      <c r="T291" s="323"/>
    </row>
    <row r="292" spans="3:20">
      <c r="C292" s="323"/>
      <c r="D292" s="323"/>
      <c r="E292" s="323"/>
      <c r="F292" s="323"/>
      <c r="G292" s="323"/>
      <c r="H292" s="323"/>
      <c r="I292" s="323"/>
      <c r="J292" s="323"/>
      <c r="K292" s="323"/>
      <c r="L292" s="323"/>
      <c r="M292" s="323"/>
      <c r="N292" s="323"/>
      <c r="O292" s="323"/>
      <c r="P292" s="323"/>
      <c r="Q292" s="323"/>
      <c r="R292" s="323"/>
      <c r="S292" s="323"/>
      <c r="T292" s="323"/>
    </row>
    <row r="293" spans="3:20">
      <c r="C293" s="323"/>
      <c r="D293" s="323"/>
      <c r="E293" s="323"/>
      <c r="F293" s="323"/>
      <c r="G293" s="323"/>
      <c r="H293" s="323"/>
      <c r="I293" s="323"/>
      <c r="J293" s="323"/>
      <c r="K293" s="323"/>
      <c r="L293" s="323"/>
      <c r="M293" s="323"/>
      <c r="N293" s="323"/>
      <c r="O293" s="323"/>
      <c r="P293" s="323"/>
      <c r="Q293" s="323"/>
      <c r="R293" s="323"/>
      <c r="S293" s="323"/>
      <c r="T293" s="323"/>
    </row>
    <row r="294" spans="3:20">
      <c r="C294" s="323"/>
      <c r="D294" s="323"/>
      <c r="E294" s="323"/>
      <c r="F294" s="323"/>
      <c r="G294" s="323"/>
      <c r="H294" s="323"/>
      <c r="I294" s="323"/>
      <c r="J294" s="323"/>
      <c r="K294" s="323"/>
      <c r="L294" s="323"/>
      <c r="M294" s="323"/>
      <c r="N294" s="323"/>
      <c r="O294" s="323"/>
      <c r="P294" s="323"/>
      <c r="Q294" s="323"/>
      <c r="R294" s="323"/>
      <c r="S294" s="323"/>
      <c r="T294" s="323"/>
    </row>
    <row r="295" spans="3:20">
      <c r="C295" s="323"/>
      <c r="D295" s="323"/>
      <c r="E295" s="323"/>
      <c r="F295" s="323"/>
      <c r="G295" s="323"/>
      <c r="H295" s="323"/>
      <c r="I295" s="323"/>
      <c r="J295" s="323"/>
      <c r="K295" s="323"/>
      <c r="L295" s="323"/>
      <c r="M295" s="323"/>
      <c r="N295" s="323"/>
      <c r="O295" s="323"/>
      <c r="P295" s="323"/>
      <c r="Q295" s="323"/>
      <c r="R295" s="323"/>
      <c r="S295" s="323"/>
      <c r="T295" s="323"/>
    </row>
    <row r="296" spans="3:20">
      <c r="C296" s="323"/>
      <c r="D296" s="323"/>
      <c r="E296" s="323"/>
      <c r="F296" s="323"/>
      <c r="G296" s="323"/>
      <c r="H296" s="323"/>
      <c r="I296" s="323"/>
      <c r="J296" s="323"/>
      <c r="K296" s="323"/>
      <c r="L296" s="323"/>
      <c r="M296" s="323"/>
      <c r="N296" s="323"/>
      <c r="O296" s="323"/>
      <c r="P296" s="323"/>
      <c r="Q296" s="323"/>
      <c r="R296" s="323"/>
      <c r="S296" s="323"/>
      <c r="T296" s="323"/>
    </row>
    <row r="297" spans="3:20">
      <c r="C297" s="323"/>
      <c r="D297" s="323"/>
      <c r="E297" s="323"/>
      <c r="F297" s="323"/>
      <c r="G297" s="323"/>
      <c r="H297" s="323"/>
      <c r="I297" s="323"/>
      <c r="J297" s="323"/>
      <c r="K297" s="323"/>
      <c r="L297" s="323"/>
      <c r="M297" s="323"/>
      <c r="N297" s="323"/>
      <c r="O297" s="323"/>
      <c r="P297" s="323"/>
      <c r="Q297" s="323"/>
      <c r="R297" s="323"/>
      <c r="S297" s="323"/>
      <c r="T297" s="323"/>
    </row>
    <row r="298" spans="3:20">
      <c r="C298" s="323"/>
      <c r="D298" s="323"/>
      <c r="E298" s="323"/>
      <c r="F298" s="323"/>
      <c r="G298" s="323"/>
      <c r="H298" s="323"/>
      <c r="I298" s="323"/>
      <c r="J298" s="323"/>
      <c r="K298" s="323"/>
      <c r="L298" s="323"/>
      <c r="M298" s="323"/>
      <c r="N298" s="323"/>
      <c r="O298" s="323"/>
      <c r="P298" s="323"/>
      <c r="Q298" s="323"/>
      <c r="R298" s="323"/>
      <c r="S298" s="323"/>
      <c r="T298" s="323"/>
    </row>
    <row r="299" spans="3:20">
      <c r="C299" s="323"/>
      <c r="D299" s="323"/>
      <c r="E299" s="323"/>
      <c r="F299" s="323"/>
      <c r="G299" s="323"/>
      <c r="H299" s="323"/>
      <c r="I299" s="323"/>
      <c r="J299" s="323"/>
      <c r="K299" s="323"/>
      <c r="L299" s="323"/>
      <c r="M299" s="323"/>
      <c r="N299" s="323"/>
      <c r="O299" s="323"/>
      <c r="P299" s="323"/>
      <c r="Q299" s="323"/>
      <c r="R299" s="323"/>
      <c r="S299" s="323"/>
      <c r="T299" s="323"/>
    </row>
    <row r="300" spans="3:20">
      <c r="C300" s="323"/>
      <c r="D300" s="323"/>
      <c r="E300" s="323"/>
      <c r="F300" s="323"/>
      <c r="G300" s="323"/>
      <c r="H300" s="323"/>
      <c r="I300" s="323"/>
      <c r="J300" s="323"/>
      <c r="K300" s="323"/>
      <c r="L300" s="323"/>
      <c r="M300" s="323"/>
      <c r="N300" s="323"/>
      <c r="O300" s="323"/>
      <c r="P300" s="323"/>
      <c r="Q300" s="323"/>
      <c r="R300" s="323"/>
      <c r="S300" s="323"/>
      <c r="T300" s="323"/>
    </row>
    <row r="301" spans="3:20">
      <c r="C301" s="323"/>
      <c r="D301" s="323"/>
      <c r="E301" s="323"/>
      <c r="F301" s="323"/>
      <c r="G301" s="323"/>
      <c r="H301" s="323"/>
      <c r="I301" s="323"/>
      <c r="J301" s="323"/>
      <c r="K301" s="323"/>
      <c r="L301" s="323"/>
      <c r="M301" s="323"/>
      <c r="N301" s="323"/>
      <c r="O301" s="323"/>
      <c r="P301" s="323"/>
      <c r="Q301" s="323"/>
      <c r="R301" s="323"/>
      <c r="S301" s="323"/>
      <c r="T301" s="323"/>
    </row>
    <row r="302" spans="3:20">
      <c r="C302" s="323"/>
      <c r="D302" s="323"/>
      <c r="E302" s="323"/>
      <c r="F302" s="323"/>
      <c r="G302" s="323"/>
      <c r="H302" s="323"/>
      <c r="I302" s="323"/>
      <c r="J302" s="323"/>
      <c r="K302" s="323"/>
      <c r="L302" s="323"/>
      <c r="M302" s="323"/>
      <c r="N302" s="323"/>
      <c r="O302" s="323"/>
      <c r="P302" s="323"/>
      <c r="Q302" s="323"/>
      <c r="R302" s="323"/>
      <c r="S302" s="323"/>
      <c r="T302" s="323"/>
    </row>
    <row r="303" spans="3:20">
      <c r="C303" s="323"/>
      <c r="D303" s="323"/>
      <c r="E303" s="323"/>
      <c r="F303" s="323"/>
      <c r="G303" s="323"/>
      <c r="H303" s="323"/>
      <c r="I303" s="323"/>
      <c r="J303" s="323"/>
      <c r="K303" s="323"/>
      <c r="L303" s="323"/>
      <c r="M303" s="323"/>
      <c r="N303" s="323"/>
      <c r="O303" s="323"/>
      <c r="P303" s="323"/>
      <c r="Q303" s="323"/>
      <c r="R303" s="323"/>
      <c r="S303" s="323"/>
      <c r="T303" s="323"/>
    </row>
    <row r="304" spans="3:20">
      <c r="C304" s="323"/>
      <c r="D304" s="323"/>
      <c r="E304" s="323"/>
      <c r="F304" s="323"/>
      <c r="G304" s="323"/>
      <c r="H304" s="323"/>
      <c r="I304" s="323"/>
      <c r="J304" s="323"/>
      <c r="K304" s="323"/>
      <c r="L304" s="323"/>
      <c r="M304" s="323"/>
      <c r="N304" s="323"/>
      <c r="O304" s="323"/>
      <c r="P304" s="323"/>
      <c r="Q304" s="323"/>
      <c r="R304" s="323"/>
      <c r="S304" s="323"/>
      <c r="T304" s="323"/>
    </row>
    <row r="305" spans="3:15">
      <c r="C305" s="323"/>
      <c r="D305" s="323"/>
      <c r="E305" s="323"/>
      <c r="F305" s="323"/>
      <c r="G305" s="323"/>
      <c r="H305" s="323"/>
      <c r="I305" s="323"/>
      <c r="J305" s="323"/>
      <c r="K305" s="323"/>
      <c r="L305" s="323"/>
      <c r="M305" s="323"/>
      <c r="N305" s="323"/>
      <c r="O305" s="323"/>
    </row>
    <row r="306" spans="3:15">
      <c r="C306" s="323"/>
      <c r="D306" s="323"/>
      <c r="E306" s="323"/>
      <c r="F306" s="323"/>
      <c r="G306" s="323"/>
      <c r="H306" s="323"/>
      <c r="I306" s="323"/>
      <c r="J306" s="323"/>
      <c r="K306" s="323"/>
      <c r="L306" s="323"/>
      <c r="M306" s="323"/>
      <c r="N306" s="323"/>
      <c r="O306" s="323"/>
    </row>
    <row r="307" spans="3:15">
      <c r="C307" s="323"/>
      <c r="D307" s="323"/>
      <c r="E307" s="323"/>
      <c r="F307" s="323"/>
      <c r="G307" s="323"/>
      <c r="H307" s="323"/>
      <c r="I307" s="323"/>
      <c r="J307" s="323"/>
      <c r="K307" s="323"/>
      <c r="L307" s="323"/>
      <c r="M307" s="323"/>
      <c r="N307" s="323"/>
      <c r="O307" s="323"/>
    </row>
    <row r="308" spans="3:15">
      <c r="C308" s="323"/>
      <c r="D308" s="323"/>
      <c r="E308" s="323"/>
      <c r="F308" s="323"/>
      <c r="G308" s="323"/>
      <c r="H308" s="323"/>
      <c r="I308" s="323"/>
      <c r="J308" s="323"/>
      <c r="K308" s="323"/>
      <c r="L308" s="323"/>
      <c r="M308" s="323"/>
      <c r="N308" s="323"/>
      <c r="O308" s="323"/>
    </row>
    <row r="309" spans="3:15">
      <c r="C309" s="323"/>
      <c r="D309" s="323"/>
      <c r="E309" s="323"/>
      <c r="F309" s="323"/>
      <c r="G309" s="323"/>
      <c r="H309" s="323"/>
      <c r="I309" s="323"/>
      <c r="J309" s="323"/>
      <c r="K309" s="323"/>
      <c r="L309" s="323"/>
      <c r="M309" s="323"/>
      <c r="N309" s="323"/>
      <c r="O309" s="323"/>
    </row>
    <row r="310" spans="3:15">
      <c r="C310" s="323"/>
      <c r="D310" s="323"/>
      <c r="E310" s="323"/>
      <c r="F310" s="323"/>
      <c r="G310" s="323"/>
      <c r="H310" s="323"/>
      <c r="I310" s="323"/>
      <c r="J310" s="323"/>
      <c r="K310" s="323"/>
      <c r="L310" s="323"/>
      <c r="M310" s="323"/>
      <c r="N310" s="323"/>
      <c r="O310" s="323"/>
    </row>
    <row r="311" spans="3:15">
      <c r="C311" s="323"/>
      <c r="D311" s="323"/>
      <c r="E311" s="323"/>
      <c r="F311" s="323"/>
      <c r="G311" s="323"/>
      <c r="H311" s="323"/>
      <c r="I311" s="323"/>
      <c r="J311" s="323"/>
      <c r="K311" s="323"/>
      <c r="L311" s="323"/>
      <c r="M311" s="323"/>
      <c r="N311" s="323"/>
      <c r="O311" s="323"/>
    </row>
    <row r="312" spans="3:15">
      <c r="C312" s="323"/>
      <c r="D312" s="323"/>
      <c r="E312" s="323"/>
      <c r="F312" s="323"/>
      <c r="G312" s="323"/>
      <c r="H312" s="323"/>
      <c r="I312" s="323"/>
      <c r="J312" s="323"/>
      <c r="K312" s="323"/>
      <c r="L312" s="323"/>
      <c r="M312" s="323"/>
      <c r="N312" s="323"/>
      <c r="O312" s="323"/>
    </row>
  </sheetData>
  <mergeCells count="10">
    <mergeCell ref="C112:O112"/>
    <mergeCell ref="C113:O113"/>
    <mergeCell ref="C114:O114"/>
    <mergeCell ref="C115:O115"/>
    <mergeCell ref="C106:O106"/>
    <mergeCell ref="C107:O107"/>
    <mergeCell ref="C108:O108"/>
    <mergeCell ref="C109:O109"/>
    <mergeCell ref="C110:O110"/>
    <mergeCell ref="C111:O111"/>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7"/>
  <sheetViews>
    <sheetView zoomScale="80" zoomScaleNormal="80" zoomScaleSheetLayoutView="85" workbookViewId="0">
      <pane xSplit="2" ySplit="10" topLeftCell="C11" activePane="bottomRight" state="frozen"/>
      <selection pane="topRight" activeCell="F25" sqref="F25:K28"/>
      <selection pane="bottomLeft" activeCell="F25" sqref="F25:K28"/>
      <selection pane="bottomRight" activeCell="C18" sqref="C18"/>
    </sheetView>
  </sheetViews>
  <sheetFormatPr defaultColWidth="9.109375" defaultRowHeight="13.2"/>
  <cols>
    <col min="1" max="1" width="21.33203125" style="376" customWidth="1"/>
    <col min="2" max="2" width="32.88671875" style="376" customWidth="1"/>
    <col min="3" max="10" width="13.88671875" style="441" customWidth="1"/>
    <col min="11" max="11" width="13.88671875" style="443" customWidth="1"/>
    <col min="12" max="13" width="13.88671875" style="376" customWidth="1"/>
    <col min="14" max="14" width="13.88671875" style="441" customWidth="1"/>
    <col min="15" max="15" width="13.88671875" style="443" customWidth="1"/>
    <col min="16" max="16" width="13.88671875" style="441" customWidth="1"/>
    <col min="17" max="17" width="13.88671875" style="443" customWidth="1"/>
    <col min="18" max="23" width="13.88671875" style="376" customWidth="1"/>
    <col min="24" max="16384" width="9.109375" style="376"/>
  </cols>
  <sheetData>
    <row r="1" spans="1:23">
      <c r="C1" s="377">
        <v>1</v>
      </c>
      <c r="D1" s="377">
        <f t="shared" ref="D1:Q1" si="0">+C1+1</f>
        <v>2</v>
      </c>
      <c r="E1" s="377">
        <f t="shared" si="0"/>
        <v>3</v>
      </c>
      <c r="F1" s="377">
        <f t="shared" si="0"/>
        <v>4</v>
      </c>
      <c r="G1" s="377">
        <f t="shared" si="0"/>
        <v>5</v>
      </c>
      <c r="H1" s="377">
        <f t="shared" si="0"/>
        <v>6</v>
      </c>
      <c r="I1" s="377">
        <f t="shared" si="0"/>
        <v>7</v>
      </c>
      <c r="J1" s="377">
        <f t="shared" si="0"/>
        <v>8</v>
      </c>
      <c r="K1" s="377">
        <f t="shared" si="0"/>
        <v>9</v>
      </c>
      <c r="L1" s="377">
        <f t="shared" si="0"/>
        <v>10</v>
      </c>
      <c r="M1" s="377">
        <f t="shared" si="0"/>
        <v>11</v>
      </c>
      <c r="N1" s="377">
        <f t="shared" si="0"/>
        <v>12</v>
      </c>
      <c r="O1" s="377">
        <f t="shared" si="0"/>
        <v>13</v>
      </c>
      <c r="P1" s="377">
        <f t="shared" si="0"/>
        <v>14</v>
      </c>
      <c r="Q1" s="377">
        <f t="shared" si="0"/>
        <v>15</v>
      </c>
    </row>
    <row r="2" spans="1:23" s="380" customFormat="1" ht="17.399999999999999">
      <c r="A2" s="378" t="s">
        <v>534</v>
      </c>
      <c r="B2" s="379"/>
      <c r="C2" s="379"/>
      <c r="D2" s="379"/>
      <c r="E2" s="379"/>
      <c r="F2" s="379"/>
      <c r="G2" s="379"/>
      <c r="H2" s="379"/>
      <c r="I2" s="379"/>
      <c r="J2" s="379"/>
      <c r="K2" s="379"/>
      <c r="L2" s="379"/>
      <c r="M2" s="379"/>
      <c r="N2" s="379"/>
      <c r="O2" s="379"/>
      <c r="P2" s="379"/>
      <c r="Q2" s="379"/>
    </row>
    <row r="3" spans="1:23">
      <c r="A3" s="381"/>
      <c r="B3" s="382"/>
      <c r="C3" s="382"/>
      <c r="D3" s="382"/>
      <c r="E3" s="382"/>
      <c r="F3" s="382"/>
      <c r="G3" s="382"/>
      <c r="H3" s="382"/>
      <c r="I3" s="382"/>
      <c r="J3" s="382"/>
      <c r="K3" s="382"/>
      <c r="L3" s="382"/>
      <c r="M3" s="382"/>
      <c r="N3" s="382"/>
      <c r="O3" s="382"/>
      <c r="P3" s="382"/>
      <c r="Q3" s="382"/>
    </row>
    <row r="4" spans="1:23">
      <c r="A4" s="383" t="s">
        <v>535</v>
      </c>
      <c r="B4" s="384">
        <v>2018</v>
      </c>
      <c r="C4" s="385"/>
      <c r="D4" s="385"/>
      <c r="E4" s="385"/>
      <c r="F4" s="382"/>
      <c r="G4" s="385"/>
      <c r="H4" s="385"/>
      <c r="I4" s="385"/>
      <c r="J4" s="382"/>
      <c r="K4" s="382"/>
      <c r="L4" s="382"/>
      <c r="M4" s="382"/>
      <c r="N4" s="382"/>
      <c r="O4" s="382"/>
      <c r="P4" s="382"/>
      <c r="Q4" s="382"/>
    </row>
    <row r="5" spans="1:23">
      <c r="A5" s="381"/>
      <c r="B5" s="385"/>
      <c r="C5" s="385"/>
      <c r="D5" s="386"/>
      <c r="E5" s="386"/>
      <c r="F5" s="386"/>
      <c r="G5" s="386"/>
      <c r="H5" s="386"/>
      <c r="I5" s="386"/>
      <c r="J5" s="386"/>
      <c r="K5" s="386"/>
      <c r="L5" s="386"/>
      <c r="M5" s="386"/>
      <c r="N5" s="386"/>
      <c r="O5" s="386"/>
      <c r="P5" s="386"/>
      <c r="Q5" s="386"/>
    </row>
    <row r="6" spans="1:23">
      <c r="A6" s="383" t="s">
        <v>536</v>
      </c>
      <c r="B6" s="387" t="s">
        <v>537</v>
      </c>
      <c r="C6" s="385"/>
      <c r="D6" s="385"/>
      <c r="E6" s="385"/>
      <c r="F6" s="382"/>
      <c r="G6" s="385"/>
      <c r="H6" s="385"/>
      <c r="I6" s="385"/>
      <c r="J6" s="382"/>
      <c r="K6" s="382"/>
      <c r="L6" s="382"/>
      <c r="M6" s="382"/>
      <c r="N6" s="382"/>
      <c r="O6" s="382"/>
      <c r="P6" s="382"/>
      <c r="Q6" s="382"/>
    </row>
    <row r="7" spans="1:23">
      <c r="A7" s="381"/>
      <c r="B7" s="385"/>
      <c r="C7" s="386"/>
      <c r="D7" s="386"/>
      <c r="E7" s="386"/>
      <c r="F7" s="386"/>
      <c r="G7" s="386"/>
      <c r="H7" s="386"/>
      <c r="I7" s="386"/>
      <c r="J7" s="386"/>
      <c r="K7" s="386"/>
      <c r="L7" s="386"/>
      <c r="M7" s="386"/>
      <c r="N7" s="386"/>
      <c r="O7" s="386"/>
      <c r="P7" s="386"/>
      <c r="Q7" s="386"/>
      <c r="R7" s="388"/>
      <c r="S7" s="388"/>
      <c r="T7" s="388"/>
      <c r="U7" s="388"/>
      <c r="V7" s="388"/>
      <c r="W7" s="388"/>
    </row>
    <row r="8" spans="1:23" ht="26.4">
      <c r="A8" s="389"/>
      <c r="B8" s="663" t="s">
        <v>538</v>
      </c>
      <c r="C8" s="391" t="s">
        <v>478</v>
      </c>
      <c r="D8" s="391" t="s">
        <v>481</v>
      </c>
      <c r="E8" s="391" t="s">
        <v>484</v>
      </c>
      <c r="F8" s="391" t="s">
        <v>487</v>
      </c>
      <c r="G8" s="391" t="s">
        <v>490</v>
      </c>
      <c r="H8" s="391" t="s">
        <v>493</v>
      </c>
      <c r="I8" s="391" t="s">
        <v>502</v>
      </c>
      <c r="J8" s="391" t="s">
        <v>505</v>
      </c>
      <c r="K8" s="391" t="s">
        <v>496</v>
      </c>
      <c r="L8" s="391" t="s">
        <v>514</v>
      </c>
      <c r="M8" s="391" t="s">
        <v>499</v>
      </c>
      <c r="N8" s="391" t="s">
        <v>508</v>
      </c>
      <c r="O8" s="391" t="s">
        <v>511</v>
      </c>
      <c r="P8" s="391" t="s">
        <v>517</v>
      </c>
      <c r="Q8" s="392" t="s">
        <v>520</v>
      </c>
      <c r="R8" s="388"/>
      <c r="S8" s="388"/>
      <c r="T8" s="388"/>
      <c r="U8" s="388"/>
      <c r="V8" s="388"/>
      <c r="W8" s="388"/>
    </row>
    <row r="9" spans="1:23" ht="13.8">
      <c r="A9" s="389"/>
      <c r="B9" s="390" t="s">
        <v>539</v>
      </c>
      <c r="C9" s="393" t="s">
        <v>537</v>
      </c>
      <c r="D9" s="393" t="s">
        <v>537</v>
      </c>
      <c r="E9" s="393" t="s">
        <v>537</v>
      </c>
      <c r="F9" s="393" t="s">
        <v>537</v>
      </c>
      <c r="G9" s="393" t="s">
        <v>537</v>
      </c>
      <c r="H9" s="393" t="s">
        <v>537</v>
      </c>
      <c r="I9" s="393" t="s">
        <v>537</v>
      </c>
      <c r="J9" s="393" t="s">
        <v>537</v>
      </c>
      <c r="K9" s="393" t="s">
        <v>537</v>
      </c>
      <c r="L9" s="393" t="s">
        <v>537</v>
      </c>
      <c r="M9" s="393" t="s">
        <v>537</v>
      </c>
      <c r="N9" s="393" t="s">
        <v>537</v>
      </c>
      <c r="O9" s="393" t="s">
        <v>537</v>
      </c>
      <c r="P9" s="393" t="s">
        <v>537</v>
      </c>
      <c r="Q9" s="394" t="s">
        <v>537</v>
      </c>
      <c r="R9" s="388"/>
      <c r="S9" s="388"/>
      <c r="T9" s="388"/>
      <c r="U9" s="388"/>
      <c r="V9" s="388"/>
      <c r="W9" s="388"/>
    </row>
    <row r="10" spans="1:23" ht="15" customHeight="1">
      <c r="A10" s="389"/>
      <c r="B10" s="390" t="s">
        <v>540</v>
      </c>
      <c r="C10" s="395" t="s">
        <v>541</v>
      </c>
      <c r="D10" s="395" t="s">
        <v>541</v>
      </c>
      <c r="E10" s="395" t="s">
        <v>541</v>
      </c>
      <c r="F10" s="395" t="s">
        <v>541</v>
      </c>
      <c r="G10" s="395" t="s">
        <v>541</v>
      </c>
      <c r="H10" s="395" t="s">
        <v>541</v>
      </c>
      <c r="I10" s="395" t="s">
        <v>541</v>
      </c>
      <c r="J10" s="395" t="s">
        <v>541</v>
      </c>
      <c r="K10" s="395" t="s">
        <v>541</v>
      </c>
      <c r="L10" s="395" t="s">
        <v>541</v>
      </c>
      <c r="M10" s="395" t="s">
        <v>541</v>
      </c>
      <c r="N10" s="395" t="s">
        <v>541</v>
      </c>
      <c r="O10" s="395" t="s">
        <v>541</v>
      </c>
      <c r="P10" s="395" t="s">
        <v>541</v>
      </c>
      <c r="Q10" s="396" t="s">
        <v>541</v>
      </c>
      <c r="R10" s="388"/>
      <c r="S10" s="388"/>
      <c r="T10" s="388"/>
      <c r="U10" s="388"/>
      <c r="V10" s="388"/>
      <c r="W10" s="388"/>
    </row>
    <row r="11" spans="1:23">
      <c r="A11" s="195" t="s">
        <v>542</v>
      </c>
      <c r="B11" s="397" t="str">
        <f>"December "&amp;B4-1</f>
        <v>December 2017</v>
      </c>
      <c r="C11" s="398">
        <v>142167085.19</v>
      </c>
      <c r="D11" s="399">
        <v>8751971.6799999997</v>
      </c>
      <c r="E11" s="398">
        <v>88215724.019999996</v>
      </c>
      <c r="F11" s="399">
        <v>141123160.94999999</v>
      </c>
      <c r="G11" s="398">
        <v>1345004.5249999999</v>
      </c>
      <c r="H11" s="399">
        <v>2141426.63</v>
      </c>
      <c r="I11" s="398">
        <v>550771.5</v>
      </c>
      <c r="J11" s="399">
        <v>8871.1299999999992</v>
      </c>
      <c r="K11" s="398">
        <v>14980665.15</v>
      </c>
      <c r="L11" s="399">
        <v>22671965.960000001</v>
      </c>
      <c r="M11" s="400">
        <v>121568509.70999999</v>
      </c>
      <c r="N11" s="399">
        <v>0</v>
      </c>
      <c r="O11" s="398">
        <v>26877741.129999999</v>
      </c>
      <c r="P11" s="401">
        <v>195717605.81999999</v>
      </c>
      <c r="Q11" s="400">
        <v>2949840.585</v>
      </c>
      <c r="R11" s="388"/>
      <c r="S11" s="388"/>
      <c r="T11" s="388"/>
      <c r="U11" s="388"/>
      <c r="V11" s="388"/>
      <c r="W11" s="388"/>
    </row>
    <row r="12" spans="1:23">
      <c r="A12" s="196" t="s">
        <v>543</v>
      </c>
      <c r="B12" s="402" t="str">
        <f>"January "&amp;B4</f>
        <v>January 2018</v>
      </c>
      <c r="C12" s="398">
        <v>142167085.19000006</v>
      </c>
      <c r="D12" s="399">
        <v>8751971.6799999997</v>
      </c>
      <c r="E12" s="398">
        <v>88215724.020000011</v>
      </c>
      <c r="F12" s="399">
        <v>141123160.94999999</v>
      </c>
      <c r="G12" s="398">
        <v>1345004.5249999999</v>
      </c>
      <c r="H12" s="399">
        <v>2141426.6300000004</v>
      </c>
      <c r="I12" s="398">
        <v>550771.5</v>
      </c>
      <c r="J12" s="399">
        <v>8871.1299999999992</v>
      </c>
      <c r="K12" s="398">
        <v>14980665.15</v>
      </c>
      <c r="L12" s="399">
        <v>23921837.059999999</v>
      </c>
      <c r="M12" s="400">
        <v>121568509.70999999</v>
      </c>
      <c r="N12" s="399">
        <v>0</v>
      </c>
      <c r="O12" s="398">
        <v>26877741.129999999</v>
      </c>
      <c r="P12" s="401">
        <v>202392262.00999996</v>
      </c>
      <c r="Q12" s="400">
        <v>2951092.52</v>
      </c>
      <c r="R12" s="388"/>
      <c r="S12" s="388"/>
      <c r="T12" s="388"/>
      <c r="U12" s="388"/>
      <c r="V12" s="388"/>
      <c r="W12" s="388"/>
    </row>
    <row r="13" spans="1:23">
      <c r="A13" s="196"/>
      <c r="B13" s="403" t="s">
        <v>544</v>
      </c>
      <c r="C13" s="398">
        <v>142167085.19000006</v>
      </c>
      <c r="D13" s="399">
        <v>8751971.6799999997</v>
      </c>
      <c r="E13" s="398">
        <v>88215724.020000011</v>
      </c>
      <c r="F13" s="399">
        <v>141123160.94999999</v>
      </c>
      <c r="G13" s="398">
        <v>1345004.5249999999</v>
      </c>
      <c r="H13" s="399">
        <v>2141426.6300000004</v>
      </c>
      <c r="I13" s="398">
        <v>550771.5</v>
      </c>
      <c r="J13" s="399">
        <v>8871.1299999999992</v>
      </c>
      <c r="K13" s="398">
        <v>14980665.15</v>
      </c>
      <c r="L13" s="399">
        <v>24707426.32</v>
      </c>
      <c r="M13" s="400">
        <v>121568509.70999999</v>
      </c>
      <c r="N13" s="399">
        <v>0</v>
      </c>
      <c r="O13" s="398">
        <v>26877741.129999999</v>
      </c>
      <c r="P13" s="401">
        <v>204953562.36999997</v>
      </c>
      <c r="Q13" s="400">
        <v>2953390.6899999995</v>
      </c>
      <c r="R13" s="388"/>
      <c r="S13" s="388"/>
      <c r="T13" s="388"/>
      <c r="U13" s="388"/>
      <c r="V13" s="388"/>
      <c r="W13" s="388"/>
    </row>
    <row r="14" spans="1:23">
      <c r="A14" s="196"/>
      <c r="B14" s="403" t="s">
        <v>545</v>
      </c>
      <c r="C14" s="398">
        <v>141574630.05000004</v>
      </c>
      <c r="D14" s="399">
        <v>8751971.6799999997</v>
      </c>
      <c r="E14" s="398">
        <v>88215724.020000011</v>
      </c>
      <c r="F14" s="399">
        <v>141117811.87</v>
      </c>
      <c r="G14" s="398">
        <v>1345004.5249999999</v>
      </c>
      <c r="H14" s="399">
        <v>2141426.6300000004</v>
      </c>
      <c r="I14" s="398">
        <v>550771.5</v>
      </c>
      <c r="J14" s="399">
        <v>8871.1299999999992</v>
      </c>
      <c r="K14" s="398">
        <v>14980665.15</v>
      </c>
      <c r="L14" s="399">
        <v>24992737.550000001</v>
      </c>
      <c r="M14" s="400">
        <v>121568509.70999999</v>
      </c>
      <c r="N14" s="399">
        <v>0</v>
      </c>
      <c r="O14" s="398">
        <v>26877741.129999999</v>
      </c>
      <c r="P14" s="401">
        <v>209858488.72999996</v>
      </c>
      <c r="Q14" s="400">
        <v>2969418.8699999996</v>
      </c>
      <c r="R14" s="388"/>
      <c r="S14" s="388"/>
      <c r="T14" s="388"/>
      <c r="U14" s="388"/>
      <c r="V14" s="388"/>
      <c r="W14" s="388"/>
    </row>
    <row r="15" spans="1:23">
      <c r="A15" s="196"/>
      <c r="B15" s="403" t="s">
        <v>546</v>
      </c>
      <c r="C15" s="398">
        <v>141574630.05000004</v>
      </c>
      <c r="D15" s="399">
        <v>8751971.6799999997</v>
      </c>
      <c r="E15" s="398">
        <v>88215724.020000011</v>
      </c>
      <c r="F15" s="399">
        <v>141117811.87</v>
      </c>
      <c r="G15" s="398">
        <v>1345004.5249999999</v>
      </c>
      <c r="H15" s="399">
        <v>2141426.6300000004</v>
      </c>
      <c r="I15" s="398">
        <v>550771.5</v>
      </c>
      <c r="J15" s="399">
        <v>8871.1299999999992</v>
      </c>
      <c r="K15" s="398">
        <v>14980665.15</v>
      </c>
      <c r="L15" s="399">
        <v>25090654.09</v>
      </c>
      <c r="M15" s="400">
        <v>121568509.70999999</v>
      </c>
      <c r="N15" s="399">
        <v>0</v>
      </c>
      <c r="O15" s="398">
        <v>26877741.129999999</v>
      </c>
      <c r="P15" s="401">
        <v>212137993.97999996</v>
      </c>
      <c r="Q15" s="400">
        <v>2969848.2299999995</v>
      </c>
      <c r="R15" s="388"/>
      <c r="S15" s="388"/>
      <c r="T15" s="388"/>
      <c r="U15" s="388"/>
      <c r="V15" s="388"/>
      <c r="W15" s="388"/>
    </row>
    <row r="16" spans="1:23">
      <c r="A16" s="196"/>
      <c r="B16" s="403" t="s">
        <v>547</v>
      </c>
      <c r="C16" s="398">
        <v>141574630.05000004</v>
      </c>
      <c r="D16" s="399">
        <v>8751971.6799999997</v>
      </c>
      <c r="E16" s="398">
        <v>88215724.020000011</v>
      </c>
      <c r="F16" s="399">
        <v>141117811.87</v>
      </c>
      <c r="G16" s="398">
        <v>1345004.5249999999</v>
      </c>
      <c r="H16" s="399">
        <v>2141426.6300000004</v>
      </c>
      <c r="I16" s="398">
        <v>550771.5</v>
      </c>
      <c r="J16" s="399">
        <v>8871.1299999999992</v>
      </c>
      <c r="K16" s="398">
        <v>14980665.15</v>
      </c>
      <c r="L16" s="399">
        <v>25258392.869999997</v>
      </c>
      <c r="M16" s="400">
        <v>121568509.70999999</v>
      </c>
      <c r="N16" s="399">
        <v>0</v>
      </c>
      <c r="O16" s="398">
        <v>26877741.129999999</v>
      </c>
      <c r="P16" s="401">
        <v>214868111.70999992</v>
      </c>
      <c r="Q16" s="400">
        <v>2970829.0249999994</v>
      </c>
      <c r="R16" s="388"/>
      <c r="S16" s="388"/>
      <c r="T16" s="388"/>
      <c r="U16" s="388"/>
      <c r="V16" s="388"/>
      <c r="W16" s="388"/>
    </row>
    <row r="17" spans="1:23">
      <c r="A17" s="196"/>
      <c r="B17" s="403" t="s">
        <v>548</v>
      </c>
      <c r="C17" s="398">
        <v>141574630.04000002</v>
      </c>
      <c r="D17" s="399">
        <v>8751971.6799999997</v>
      </c>
      <c r="E17" s="398">
        <v>88215724.020000011</v>
      </c>
      <c r="F17" s="399">
        <v>141117811.87</v>
      </c>
      <c r="G17" s="398">
        <v>1345004.5249999999</v>
      </c>
      <c r="H17" s="399">
        <v>2141426.6300000004</v>
      </c>
      <c r="I17" s="398">
        <v>550771.5</v>
      </c>
      <c r="J17" s="399">
        <v>8871.1299999999992</v>
      </c>
      <c r="K17" s="398">
        <v>14980665.15</v>
      </c>
      <c r="L17" s="399">
        <v>25380101.030000001</v>
      </c>
      <c r="M17" s="400">
        <v>121568509.70999999</v>
      </c>
      <c r="N17" s="399">
        <v>0</v>
      </c>
      <c r="O17" s="398">
        <v>26877741.129999999</v>
      </c>
      <c r="P17" s="401">
        <v>217330186.47999996</v>
      </c>
      <c r="Q17" s="400">
        <v>2971609.9899999998</v>
      </c>
      <c r="R17" s="388"/>
      <c r="S17" s="388"/>
      <c r="T17" s="388"/>
      <c r="U17" s="388"/>
      <c r="V17" s="388"/>
      <c r="W17" s="388"/>
    </row>
    <row r="18" spans="1:23">
      <c r="A18" s="196"/>
      <c r="B18" s="403" t="s">
        <v>549</v>
      </c>
      <c r="C18" s="398">
        <v>141574630.04000002</v>
      </c>
      <c r="D18" s="399">
        <v>8751971.6799999997</v>
      </c>
      <c r="E18" s="398">
        <v>88215724.020000011</v>
      </c>
      <c r="F18" s="399">
        <v>141117811.87</v>
      </c>
      <c r="G18" s="398">
        <v>1345004.5249999999</v>
      </c>
      <c r="H18" s="399">
        <v>2141426.6300000004</v>
      </c>
      <c r="I18" s="398">
        <v>520817.72000000003</v>
      </c>
      <c r="J18" s="399">
        <v>8871.1299999999992</v>
      </c>
      <c r="K18" s="398">
        <v>14980665.15</v>
      </c>
      <c r="L18" s="399">
        <v>25504407.190000001</v>
      </c>
      <c r="M18" s="400">
        <v>121568509.70999999</v>
      </c>
      <c r="N18" s="399">
        <v>0</v>
      </c>
      <c r="O18" s="398">
        <v>26877741.129999999</v>
      </c>
      <c r="P18" s="401">
        <v>219454722.87</v>
      </c>
      <c r="Q18" s="400">
        <v>2973584.76</v>
      </c>
      <c r="R18" s="388"/>
      <c r="S18" s="388"/>
      <c r="T18" s="388"/>
      <c r="U18" s="388"/>
      <c r="V18" s="388"/>
      <c r="W18" s="388"/>
    </row>
    <row r="19" spans="1:23">
      <c r="A19" s="196"/>
      <c r="B19" s="403" t="s">
        <v>550</v>
      </c>
      <c r="C19" s="398">
        <v>141574630.04000002</v>
      </c>
      <c r="D19" s="399">
        <v>8751971.6799999997</v>
      </c>
      <c r="E19" s="398">
        <v>88215724.020000011</v>
      </c>
      <c r="F19" s="399">
        <v>141117811.87</v>
      </c>
      <c r="G19" s="398">
        <v>1345004.5249999999</v>
      </c>
      <c r="H19" s="399">
        <v>2141426.6300000004</v>
      </c>
      <c r="I19" s="398">
        <v>520817.72000000003</v>
      </c>
      <c r="J19" s="399">
        <v>8871.1299999999992</v>
      </c>
      <c r="K19" s="398">
        <v>14980665.15</v>
      </c>
      <c r="L19" s="399">
        <v>25599709.52</v>
      </c>
      <c r="M19" s="400">
        <v>121568509.70999999</v>
      </c>
      <c r="N19" s="399">
        <v>0</v>
      </c>
      <c r="O19" s="398">
        <v>26872723.550000001</v>
      </c>
      <c r="P19" s="401">
        <v>221408380.81999993</v>
      </c>
      <c r="Q19" s="400">
        <v>2973584.76</v>
      </c>
      <c r="R19" s="388"/>
      <c r="S19" s="388"/>
      <c r="T19" s="388"/>
      <c r="U19" s="388"/>
      <c r="V19" s="388"/>
      <c r="W19" s="388"/>
    </row>
    <row r="20" spans="1:23">
      <c r="A20" s="196"/>
      <c r="B20" s="403" t="s">
        <v>551</v>
      </c>
      <c r="C20" s="398">
        <v>141574630.04000002</v>
      </c>
      <c r="D20" s="399">
        <v>8751971.6799999997</v>
      </c>
      <c r="E20" s="398">
        <v>88215724.020000011</v>
      </c>
      <c r="F20" s="399">
        <v>141117811.87</v>
      </c>
      <c r="G20" s="398">
        <v>1345004.5249999999</v>
      </c>
      <c r="H20" s="399">
        <v>2141426.6300000004</v>
      </c>
      <c r="I20" s="398">
        <v>520817.72000000003</v>
      </c>
      <c r="J20" s="399">
        <v>8871.1299999999992</v>
      </c>
      <c r="K20" s="398">
        <v>14980665.15</v>
      </c>
      <c r="L20" s="399">
        <v>25800354.120000001</v>
      </c>
      <c r="M20" s="400">
        <v>121546061.25</v>
      </c>
      <c r="N20" s="399">
        <v>0</v>
      </c>
      <c r="O20" s="398">
        <v>26872723.550000001</v>
      </c>
      <c r="P20" s="401">
        <v>222699384.40999997</v>
      </c>
      <c r="Q20" s="400">
        <v>2973584.76</v>
      </c>
      <c r="R20" s="388"/>
      <c r="S20" s="388"/>
      <c r="T20" s="388"/>
      <c r="U20" s="388"/>
      <c r="V20" s="388"/>
      <c r="W20" s="388"/>
    </row>
    <row r="21" spans="1:23">
      <c r="A21" s="196"/>
      <c r="B21" s="403" t="s">
        <v>552</v>
      </c>
      <c r="C21" s="398">
        <v>141574630.04000002</v>
      </c>
      <c r="D21" s="399">
        <v>8751971.6799999997</v>
      </c>
      <c r="E21" s="398">
        <v>88215724.020000011</v>
      </c>
      <c r="F21" s="399">
        <v>141117811.87</v>
      </c>
      <c r="G21" s="398">
        <v>1345004.5249999999</v>
      </c>
      <c r="H21" s="399">
        <v>2141426.6300000004</v>
      </c>
      <c r="I21" s="398">
        <v>520817.72000000003</v>
      </c>
      <c r="J21" s="399">
        <v>8871.1299999999992</v>
      </c>
      <c r="K21" s="398">
        <v>14980665.15</v>
      </c>
      <c r="L21" s="399">
        <v>25834248.609999999</v>
      </c>
      <c r="M21" s="400">
        <v>121507399.98999999</v>
      </c>
      <c r="N21" s="399">
        <v>0</v>
      </c>
      <c r="O21" s="398">
        <v>26872723.550000001</v>
      </c>
      <c r="P21" s="401">
        <v>223395584.77999997</v>
      </c>
      <c r="Q21" s="400">
        <v>2973584.76</v>
      </c>
      <c r="R21" s="388"/>
      <c r="S21" s="388"/>
      <c r="T21" s="388"/>
      <c r="U21" s="388"/>
      <c r="V21" s="388"/>
      <c r="W21" s="388"/>
    </row>
    <row r="22" spans="1:23">
      <c r="A22" s="196"/>
      <c r="B22" s="403" t="s">
        <v>553</v>
      </c>
      <c r="C22" s="398">
        <v>141574630.04000002</v>
      </c>
      <c r="D22" s="399">
        <v>8751971.6799999997</v>
      </c>
      <c r="E22" s="398">
        <v>88215724.020000011</v>
      </c>
      <c r="F22" s="399">
        <v>141117811.87</v>
      </c>
      <c r="G22" s="398">
        <v>1345004.5249999999</v>
      </c>
      <c r="H22" s="399">
        <v>2141426.6300000004</v>
      </c>
      <c r="I22" s="398">
        <v>520817.72000000003</v>
      </c>
      <c r="J22" s="399">
        <v>8871.1299999999992</v>
      </c>
      <c r="K22" s="398">
        <v>14980665.15</v>
      </c>
      <c r="L22" s="399">
        <v>25853512.75</v>
      </c>
      <c r="M22" s="400">
        <v>121507399.98999999</v>
      </c>
      <c r="N22" s="399">
        <v>0</v>
      </c>
      <c r="O22" s="398">
        <v>26872723.550000001</v>
      </c>
      <c r="P22" s="401">
        <v>223682885.36999995</v>
      </c>
      <c r="Q22" s="400">
        <v>2973584.76</v>
      </c>
      <c r="R22" s="388"/>
      <c r="S22" s="388"/>
      <c r="T22" s="388"/>
      <c r="U22" s="388"/>
      <c r="V22" s="388"/>
      <c r="W22" s="388"/>
    </row>
    <row r="23" spans="1:23">
      <c r="A23" s="197"/>
      <c r="B23" s="404" t="str">
        <f>"December "&amp;B4</f>
        <v>December 2018</v>
      </c>
      <c r="C23" s="398">
        <v>141574630.04000002</v>
      </c>
      <c r="D23" s="399">
        <v>8751971.6799999997</v>
      </c>
      <c r="E23" s="398">
        <v>88215724.020000011</v>
      </c>
      <c r="F23" s="399">
        <v>141117811.87</v>
      </c>
      <c r="G23" s="398">
        <v>1345004.5249999999</v>
      </c>
      <c r="H23" s="399">
        <v>2141426.6300000004</v>
      </c>
      <c r="I23" s="398">
        <v>520817.72000000003</v>
      </c>
      <c r="J23" s="399">
        <v>8871.1299999999992</v>
      </c>
      <c r="K23" s="398">
        <v>14923756.800000001</v>
      </c>
      <c r="L23" s="399">
        <v>25856818.789999999</v>
      </c>
      <c r="M23" s="400">
        <v>121507399.98999999</v>
      </c>
      <c r="N23" s="399">
        <v>0</v>
      </c>
      <c r="O23" s="398">
        <v>26872723.550000001</v>
      </c>
      <c r="P23" s="401">
        <v>224026212.88</v>
      </c>
      <c r="Q23" s="400">
        <v>2973584.76</v>
      </c>
      <c r="R23" s="388"/>
      <c r="S23" s="388"/>
      <c r="T23" s="388"/>
      <c r="U23" s="388"/>
      <c r="V23" s="388"/>
      <c r="W23" s="388"/>
    </row>
    <row r="24" spans="1:23">
      <c r="A24" s="198"/>
      <c r="B24" s="405" t="s">
        <v>554</v>
      </c>
      <c r="C24" s="406">
        <f t="shared" ref="C24:Q24" si="1">AVERAGE(C11:C23)</f>
        <v>141711350.46153846</v>
      </c>
      <c r="D24" s="406">
        <f t="shared" si="1"/>
        <v>8751971.6800000034</v>
      </c>
      <c r="E24" s="406">
        <f t="shared" si="1"/>
        <v>88215724.019999996</v>
      </c>
      <c r="F24" s="406">
        <f t="shared" si="1"/>
        <v>141119046.27307689</v>
      </c>
      <c r="G24" s="406">
        <f t="shared" si="1"/>
        <v>1345004.5250000001</v>
      </c>
      <c r="H24" s="406">
        <f t="shared" si="1"/>
        <v>2141426.63</v>
      </c>
      <c r="I24" s="406">
        <f t="shared" si="1"/>
        <v>536946.67846153839</v>
      </c>
      <c r="J24" s="406">
        <f t="shared" si="1"/>
        <v>8871.130000000001</v>
      </c>
      <c r="K24" s="406">
        <f t="shared" si="1"/>
        <v>14976287.584615389</v>
      </c>
      <c r="L24" s="406">
        <f t="shared" si="1"/>
        <v>25113243.527692311</v>
      </c>
      <c r="M24" s="407">
        <f t="shared" si="1"/>
        <v>121552680.66230771</v>
      </c>
      <c r="N24" s="406">
        <f t="shared" si="1"/>
        <v>0</v>
      </c>
      <c r="O24" s="406">
        <f t="shared" si="1"/>
        <v>26875811.291538462</v>
      </c>
      <c r="P24" s="406">
        <f t="shared" si="1"/>
        <v>214763490.9407692</v>
      </c>
      <c r="Q24" s="407">
        <f t="shared" si="1"/>
        <v>2967502.959230768</v>
      </c>
      <c r="R24" s="388"/>
      <c r="S24" s="388"/>
      <c r="T24" s="388"/>
      <c r="U24" s="388"/>
      <c r="V24" s="388"/>
      <c r="W24" s="388"/>
    </row>
    <row r="25" spans="1:23">
      <c r="A25" s="198"/>
      <c r="B25" s="408"/>
      <c r="C25" s="408"/>
      <c r="D25" s="408"/>
      <c r="E25" s="408"/>
      <c r="F25" s="408"/>
      <c r="G25" s="408"/>
      <c r="H25" s="408"/>
      <c r="I25" s="408"/>
      <c r="J25" s="408"/>
      <c r="K25" s="408"/>
      <c r="L25" s="408"/>
      <c r="M25" s="409"/>
      <c r="N25" s="408"/>
      <c r="O25" s="408"/>
      <c r="P25" s="408"/>
      <c r="Q25" s="408"/>
      <c r="R25" s="388"/>
      <c r="S25" s="388"/>
      <c r="T25" s="388"/>
      <c r="U25" s="388"/>
      <c r="V25" s="388"/>
      <c r="W25" s="388"/>
    </row>
    <row r="26" spans="1:23">
      <c r="A26" s="198"/>
      <c r="B26" s="408"/>
      <c r="C26" s="408"/>
      <c r="D26" s="408"/>
      <c r="E26" s="408"/>
      <c r="F26" s="408"/>
      <c r="G26" s="408"/>
      <c r="H26" s="408"/>
      <c r="I26" s="408"/>
      <c r="J26" s="408"/>
      <c r="K26" s="408"/>
      <c r="L26" s="408"/>
      <c r="M26" s="409"/>
      <c r="N26" s="408"/>
      <c r="O26" s="408"/>
      <c r="P26" s="408"/>
      <c r="Q26" s="408"/>
      <c r="R26" s="388"/>
      <c r="S26" s="388"/>
      <c r="T26" s="388"/>
      <c r="U26" s="388"/>
      <c r="V26" s="388"/>
      <c r="W26" s="388"/>
    </row>
    <row r="27" spans="1:23">
      <c r="A27" s="195" t="s">
        <v>555</v>
      </c>
      <c r="B27" s="397" t="str">
        <f t="shared" ref="B27:B39" si="2">+B11</f>
        <v>December 2017</v>
      </c>
      <c r="C27" s="410">
        <f t="shared" ref="C27:Q39" si="3">+C11-C44</f>
        <v>27168703.030000001</v>
      </c>
      <c r="D27" s="411">
        <f t="shared" si="3"/>
        <v>2322805.5199999996</v>
      </c>
      <c r="E27" s="410">
        <f t="shared" si="3"/>
        <v>19586329.980000004</v>
      </c>
      <c r="F27" s="411">
        <f t="shared" si="3"/>
        <v>16889779.140000001</v>
      </c>
      <c r="G27" s="410">
        <f t="shared" si="3"/>
        <v>309219.94999999995</v>
      </c>
      <c r="H27" s="411">
        <f t="shared" si="3"/>
        <v>339740.85999999987</v>
      </c>
      <c r="I27" s="410">
        <f t="shared" si="3"/>
        <v>27307.770000000019</v>
      </c>
      <c r="J27" s="411">
        <f t="shared" si="3"/>
        <v>-358159.57500000007</v>
      </c>
      <c r="K27" s="410">
        <f t="shared" si="3"/>
        <v>2519811.4399999995</v>
      </c>
      <c r="L27" s="411">
        <f t="shared" si="3"/>
        <v>0</v>
      </c>
      <c r="M27" s="412">
        <f t="shared" si="3"/>
        <v>13176449.489999995</v>
      </c>
      <c r="N27" s="411">
        <f t="shared" si="3"/>
        <v>0</v>
      </c>
      <c r="O27" s="410">
        <f t="shared" si="3"/>
        <v>1964650.7699999996</v>
      </c>
      <c r="P27" s="413">
        <f t="shared" si="3"/>
        <v>2779024.6799999774</v>
      </c>
      <c r="Q27" s="412">
        <f t="shared" si="3"/>
        <v>0</v>
      </c>
      <c r="R27" s="388"/>
      <c r="S27" s="388"/>
      <c r="T27" s="388"/>
      <c r="U27" s="388"/>
      <c r="V27" s="388"/>
      <c r="W27" s="388"/>
    </row>
    <row r="28" spans="1:23">
      <c r="A28" s="196" t="s">
        <v>556</v>
      </c>
      <c r="B28" s="402" t="str">
        <f t="shared" si="2"/>
        <v>January 2018</v>
      </c>
      <c r="C28" s="398">
        <f t="shared" si="3"/>
        <v>27437027.519999981</v>
      </c>
      <c r="D28" s="399">
        <f t="shared" si="3"/>
        <v>2343971.1030000038</v>
      </c>
      <c r="E28" s="398">
        <f t="shared" si="3"/>
        <v>19770884.670000017</v>
      </c>
      <c r="F28" s="399">
        <f t="shared" si="3"/>
        <v>17162637.569999993</v>
      </c>
      <c r="G28" s="398">
        <f t="shared" si="3"/>
        <v>311801.03499999898</v>
      </c>
      <c r="H28" s="399">
        <f t="shared" si="3"/>
        <v>341144.58000000007</v>
      </c>
      <c r="I28" s="398">
        <f t="shared" si="3"/>
        <v>28537.019999999902</v>
      </c>
      <c r="J28" s="399">
        <f t="shared" si="3"/>
        <v>-358245.50766266661</v>
      </c>
      <c r="K28" s="398">
        <f t="shared" si="3"/>
        <v>2558495.7699999977</v>
      </c>
      <c r="L28" s="399">
        <f t="shared" si="3"/>
        <v>0</v>
      </c>
      <c r="M28" s="400">
        <f t="shared" si="3"/>
        <v>13545602.719999999</v>
      </c>
      <c r="N28" s="399">
        <f t="shared" si="3"/>
        <v>0</v>
      </c>
      <c r="O28" s="398">
        <f t="shared" si="3"/>
        <v>2033561.5800000019</v>
      </c>
      <c r="P28" s="401">
        <f t="shared" si="3"/>
        <v>2984438.6699999869</v>
      </c>
      <c r="Q28" s="400">
        <f t="shared" si="3"/>
        <v>6403.5950000002049</v>
      </c>
      <c r="R28" s="388"/>
      <c r="S28" s="388"/>
      <c r="T28" s="388"/>
      <c r="U28" s="388"/>
      <c r="V28" s="388"/>
      <c r="W28" s="388"/>
    </row>
    <row r="29" spans="1:23">
      <c r="A29" s="196"/>
      <c r="B29" s="402" t="str">
        <f t="shared" si="2"/>
        <v>February</v>
      </c>
      <c r="C29" s="398">
        <f t="shared" si="3"/>
        <v>27737987.119999975</v>
      </c>
      <c r="D29" s="399">
        <f t="shared" si="3"/>
        <v>2365136.6830000039</v>
      </c>
      <c r="E29" s="398">
        <f t="shared" si="3"/>
        <v>19955439.360000029</v>
      </c>
      <c r="F29" s="399">
        <f t="shared" si="3"/>
        <v>17435482.629999995</v>
      </c>
      <c r="G29" s="398">
        <f t="shared" si="3"/>
        <v>313234.429999999</v>
      </c>
      <c r="H29" s="399">
        <f t="shared" si="3"/>
        <v>346124.56499999994</v>
      </c>
      <c r="I29" s="398">
        <f t="shared" si="3"/>
        <v>29931.384999999893</v>
      </c>
      <c r="J29" s="399">
        <f t="shared" si="3"/>
        <v>-358257.40266266663</v>
      </c>
      <c r="K29" s="398">
        <f t="shared" si="3"/>
        <v>2597180.0999999978</v>
      </c>
      <c r="L29" s="399">
        <f t="shared" si="3"/>
        <v>7967.8500000014901</v>
      </c>
      <c r="M29" s="400">
        <f t="shared" si="3"/>
        <v>13914755.950000003</v>
      </c>
      <c r="N29" s="399">
        <f t="shared" si="3"/>
        <v>0</v>
      </c>
      <c r="O29" s="398">
        <f t="shared" si="3"/>
        <v>2102472.3900000006</v>
      </c>
      <c r="P29" s="401">
        <f t="shared" si="3"/>
        <v>3190322.7299999893</v>
      </c>
      <c r="Q29" s="400">
        <f t="shared" si="3"/>
        <v>13164.854999999981</v>
      </c>
      <c r="R29" s="388"/>
      <c r="S29" s="388"/>
      <c r="T29" s="388"/>
      <c r="U29" s="388"/>
      <c r="V29" s="388"/>
      <c r="W29" s="388"/>
    </row>
    <row r="30" spans="1:23">
      <c r="A30" s="196"/>
      <c r="B30" s="402" t="str">
        <f t="shared" si="2"/>
        <v xml:space="preserve">March </v>
      </c>
      <c r="C30" s="398">
        <f t="shared" si="3"/>
        <v>27505650.159999982</v>
      </c>
      <c r="D30" s="399">
        <f t="shared" si="3"/>
        <v>2386302.263000004</v>
      </c>
      <c r="E30" s="398">
        <f t="shared" si="3"/>
        <v>20139994.050000027</v>
      </c>
      <c r="F30" s="399">
        <f t="shared" si="3"/>
        <v>17702978.609999999</v>
      </c>
      <c r="G30" s="398">
        <f t="shared" si="3"/>
        <v>315023.48999999894</v>
      </c>
      <c r="H30" s="399">
        <f t="shared" si="3"/>
        <v>350934.18999999994</v>
      </c>
      <c r="I30" s="398">
        <f t="shared" si="3"/>
        <v>31498.979999999923</v>
      </c>
      <c r="J30" s="399">
        <f t="shared" si="3"/>
        <v>-358480.03266266664</v>
      </c>
      <c r="K30" s="398">
        <f t="shared" si="3"/>
        <v>2635864.4299999978</v>
      </c>
      <c r="L30" s="399">
        <f t="shared" si="3"/>
        <v>63471.309999998659</v>
      </c>
      <c r="M30" s="400">
        <f t="shared" si="3"/>
        <v>14283909.179999992</v>
      </c>
      <c r="N30" s="399">
        <f t="shared" si="3"/>
        <v>0</v>
      </c>
      <c r="O30" s="398">
        <f t="shared" si="3"/>
        <v>2171383.1999999993</v>
      </c>
      <c r="P30" s="401">
        <f t="shared" si="3"/>
        <v>3396232.9900000095</v>
      </c>
      <c r="Q30" s="400">
        <f t="shared" si="3"/>
        <v>19575.504999999888</v>
      </c>
      <c r="R30" s="388"/>
      <c r="S30" s="388"/>
      <c r="T30" s="388"/>
      <c r="U30" s="388"/>
      <c r="V30" s="388"/>
      <c r="W30" s="388"/>
    </row>
    <row r="31" spans="1:23">
      <c r="A31" s="196"/>
      <c r="B31" s="402" t="str">
        <f t="shared" si="2"/>
        <v>April</v>
      </c>
      <c r="C31" s="398">
        <f t="shared" si="3"/>
        <v>27805519.089999974</v>
      </c>
      <c r="D31" s="399">
        <f t="shared" si="3"/>
        <v>2407467.8430000041</v>
      </c>
      <c r="E31" s="398">
        <f t="shared" si="3"/>
        <v>20324548.740000024</v>
      </c>
      <c r="F31" s="399">
        <f t="shared" si="3"/>
        <v>17975813.189999998</v>
      </c>
      <c r="G31" s="398">
        <f t="shared" si="3"/>
        <v>317109.03499999898</v>
      </c>
      <c r="H31" s="399">
        <f t="shared" si="3"/>
        <v>355138.2649999999</v>
      </c>
      <c r="I31" s="398">
        <f t="shared" si="3"/>
        <v>32777.999999999884</v>
      </c>
      <c r="J31" s="399">
        <f t="shared" si="3"/>
        <v>-358387.29766266665</v>
      </c>
      <c r="K31" s="398">
        <f t="shared" si="3"/>
        <v>2674548.7599999979</v>
      </c>
      <c r="L31" s="399">
        <f t="shared" si="3"/>
        <v>119556.30999999866</v>
      </c>
      <c r="M31" s="400">
        <f t="shared" si="3"/>
        <v>14653062.409999996</v>
      </c>
      <c r="N31" s="399">
        <f t="shared" si="3"/>
        <v>0</v>
      </c>
      <c r="O31" s="398">
        <f t="shared" si="3"/>
        <v>2240294.0100000016</v>
      </c>
      <c r="P31" s="401">
        <f t="shared" si="3"/>
        <v>3602362.9799999893</v>
      </c>
      <c r="Q31" s="400">
        <f t="shared" si="3"/>
        <v>26081.919999999925</v>
      </c>
      <c r="R31" s="388"/>
      <c r="S31" s="388"/>
      <c r="T31" s="388"/>
      <c r="U31" s="388"/>
      <c r="V31" s="388"/>
      <c r="W31" s="388"/>
    </row>
    <row r="32" spans="1:23">
      <c r="A32" s="196"/>
      <c r="B32" s="402" t="str">
        <f t="shared" si="2"/>
        <v>May</v>
      </c>
      <c r="C32" s="398">
        <f t="shared" si="3"/>
        <v>28050738.469999969</v>
      </c>
      <c r="D32" s="399">
        <f t="shared" si="3"/>
        <v>2428633.4230000041</v>
      </c>
      <c r="E32" s="398">
        <f t="shared" si="3"/>
        <v>20509103.430000037</v>
      </c>
      <c r="F32" s="399">
        <f t="shared" si="3"/>
        <v>18248647.769999996</v>
      </c>
      <c r="G32" s="398">
        <f t="shared" si="3"/>
        <v>319520.35499999893</v>
      </c>
      <c r="H32" s="399">
        <f t="shared" si="3"/>
        <v>359303.35499999998</v>
      </c>
      <c r="I32" s="398">
        <f t="shared" si="3"/>
        <v>34565.199999999895</v>
      </c>
      <c r="J32" s="399">
        <f t="shared" si="3"/>
        <v>-358283.54766266665</v>
      </c>
      <c r="K32" s="398">
        <f t="shared" si="3"/>
        <v>2713233.089999998</v>
      </c>
      <c r="L32" s="399">
        <f t="shared" si="3"/>
        <v>175847.30000000075</v>
      </c>
      <c r="M32" s="400">
        <f t="shared" si="3"/>
        <v>15022215.640000001</v>
      </c>
      <c r="N32" s="399">
        <f t="shared" si="3"/>
        <v>0</v>
      </c>
      <c r="O32" s="398">
        <f t="shared" si="3"/>
        <v>2309204.8200000003</v>
      </c>
      <c r="P32" s="401">
        <f t="shared" si="3"/>
        <v>3808398.6699999571</v>
      </c>
      <c r="Q32" s="400">
        <f t="shared" si="3"/>
        <v>32589.194999999832</v>
      </c>
      <c r="R32" s="388"/>
      <c r="S32" s="388"/>
      <c r="T32" s="388"/>
      <c r="U32" s="388"/>
      <c r="V32" s="388"/>
      <c r="W32" s="388"/>
    </row>
    <row r="33" spans="1:23">
      <c r="A33" s="196"/>
      <c r="B33" s="402" t="str">
        <f t="shared" si="2"/>
        <v>June</v>
      </c>
      <c r="C33" s="398">
        <f t="shared" si="3"/>
        <v>28344002.139999971</v>
      </c>
      <c r="D33" s="399">
        <f t="shared" si="3"/>
        <v>2449799.0030000042</v>
      </c>
      <c r="E33" s="398">
        <f t="shared" si="3"/>
        <v>20693658.120000035</v>
      </c>
      <c r="F33" s="399">
        <f t="shared" si="3"/>
        <v>18521482.349999994</v>
      </c>
      <c r="G33" s="398">
        <f t="shared" si="3"/>
        <v>321804.58999999892</v>
      </c>
      <c r="H33" s="399">
        <f t="shared" si="3"/>
        <v>363692.94500000007</v>
      </c>
      <c r="I33" s="398">
        <f t="shared" si="3"/>
        <v>36004.564999999944</v>
      </c>
      <c r="J33" s="399">
        <f t="shared" si="3"/>
        <v>-358286.1626626667</v>
      </c>
      <c r="K33" s="398">
        <f t="shared" si="3"/>
        <v>2751917.4199999981</v>
      </c>
      <c r="L33" s="399">
        <f t="shared" si="3"/>
        <v>232514.71000000089</v>
      </c>
      <c r="M33" s="400">
        <f t="shared" si="3"/>
        <v>15391368.870000005</v>
      </c>
      <c r="N33" s="399">
        <f t="shared" si="3"/>
        <v>0</v>
      </c>
      <c r="O33" s="398">
        <f t="shared" si="3"/>
        <v>2378115.629999999</v>
      </c>
      <c r="P33" s="401">
        <f t="shared" si="3"/>
        <v>4014476.7100000083</v>
      </c>
      <c r="Q33" s="400">
        <f t="shared" si="3"/>
        <v>39098.424999999814</v>
      </c>
      <c r="R33" s="388"/>
      <c r="S33" s="388"/>
      <c r="T33" s="388"/>
      <c r="U33" s="388"/>
      <c r="V33" s="388"/>
      <c r="W33" s="388"/>
    </row>
    <row r="34" spans="1:23">
      <c r="A34" s="196"/>
      <c r="B34" s="402" t="str">
        <f t="shared" si="2"/>
        <v>July</v>
      </c>
      <c r="C34" s="398">
        <f t="shared" si="3"/>
        <v>28638010.599999979</v>
      </c>
      <c r="D34" s="399">
        <f t="shared" si="3"/>
        <v>2470964.5830000043</v>
      </c>
      <c r="E34" s="398">
        <f t="shared" si="3"/>
        <v>20878212.810000032</v>
      </c>
      <c r="F34" s="399">
        <f t="shared" si="3"/>
        <v>18794316.929999992</v>
      </c>
      <c r="G34" s="398">
        <f t="shared" si="3"/>
        <v>323814.01499999897</v>
      </c>
      <c r="H34" s="399">
        <f t="shared" si="3"/>
        <v>367842.125</v>
      </c>
      <c r="I34" s="398">
        <f t="shared" si="3"/>
        <v>8100.2099999999045</v>
      </c>
      <c r="J34" s="399">
        <f t="shared" si="3"/>
        <v>-358256.1626626667</v>
      </c>
      <c r="K34" s="398">
        <f t="shared" si="3"/>
        <v>2790601.7499999981</v>
      </c>
      <c r="L34" s="399">
        <f t="shared" si="3"/>
        <v>289406.96999999881</v>
      </c>
      <c r="M34" s="400">
        <f t="shared" si="3"/>
        <v>15760522.100000009</v>
      </c>
      <c r="N34" s="399">
        <f t="shared" si="3"/>
        <v>0</v>
      </c>
      <c r="O34" s="398">
        <f t="shared" si="3"/>
        <v>2447029.3599999994</v>
      </c>
      <c r="P34" s="401">
        <f t="shared" si="3"/>
        <v>4298792.1700000167</v>
      </c>
      <c r="Q34" s="400">
        <f t="shared" si="3"/>
        <v>45609.205000000075</v>
      </c>
      <c r="R34" s="388"/>
      <c r="S34" s="388"/>
      <c r="T34" s="388"/>
      <c r="U34" s="388"/>
      <c r="V34" s="388"/>
      <c r="W34" s="388"/>
    </row>
    <row r="35" spans="1:23">
      <c r="A35" s="196"/>
      <c r="B35" s="402" t="str">
        <f t="shared" si="2"/>
        <v xml:space="preserve">August </v>
      </c>
      <c r="C35" s="398">
        <f t="shared" si="3"/>
        <v>28931794.769999981</v>
      </c>
      <c r="D35" s="399">
        <f t="shared" si="3"/>
        <v>2492130.1630000044</v>
      </c>
      <c r="E35" s="398">
        <f t="shared" si="3"/>
        <v>21062767.50000003</v>
      </c>
      <c r="F35" s="399">
        <f t="shared" si="3"/>
        <v>19067151.50999999</v>
      </c>
      <c r="G35" s="398">
        <f t="shared" si="3"/>
        <v>324446.11999999895</v>
      </c>
      <c r="H35" s="399">
        <f t="shared" si="3"/>
        <v>372648.03500000015</v>
      </c>
      <c r="I35" s="398">
        <f t="shared" si="3"/>
        <v>9557.9749999999185</v>
      </c>
      <c r="J35" s="399">
        <f t="shared" si="3"/>
        <v>-358249.43766266672</v>
      </c>
      <c r="K35" s="398">
        <f t="shared" si="3"/>
        <v>2829286.0799999982</v>
      </c>
      <c r="L35" s="399">
        <f t="shared" si="3"/>
        <v>346563</v>
      </c>
      <c r="M35" s="400">
        <f t="shared" si="3"/>
        <v>16127752.840000004</v>
      </c>
      <c r="N35" s="399">
        <f t="shared" si="3"/>
        <v>0</v>
      </c>
      <c r="O35" s="398">
        <f t="shared" si="3"/>
        <v>2510924.2600000016</v>
      </c>
      <c r="P35" s="401">
        <f t="shared" si="3"/>
        <v>4583253.9199999869</v>
      </c>
      <c r="Q35" s="400">
        <f t="shared" si="3"/>
        <v>52475.770000000019</v>
      </c>
      <c r="R35" s="388"/>
      <c r="S35" s="388"/>
      <c r="T35" s="388"/>
      <c r="U35" s="388"/>
      <c r="V35" s="388"/>
      <c r="W35" s="388"/>
    </row>
    <row r="36" spans="1:23">
      <c r="A36" s="196"/>
      <c r="B36" s="402" t="str">
        <f t="shared" si="2"/>
        <v>September</v>
      </c>
      <c r="C36" s="398">
        <f t="shared" si="3"/>
        <v>29225611.449999973</v>
      </c>
      <c r="D36" s="399">
        <f t="shared" si="3"/>
        <v>2513295.7430000044</v>
      </c>
      <c r="E36" s="398">
        <f t="shared" si="3"/>
        <v>21247221.260000035</v>
      </c>
      <c r="F36" s="399">
        <f t="shared" si="3"/>
        <v>19339986.089999989</v>
      </c>
      <c r="G36" s="398">
        <f t="shared" si="3"/>
        <v>324675.28999999887</v>
      </c>
      <c r="H36" s="399">
        <f t="shared" si="3"/>
        <v>377789.27</v>
      </c>
      <c r="I36" s="398">
        <f t="shared" si="3"/>
        <v>10830.04999999993</v>
      </c>
      <c r="J36" s="399">
        <f t="shared" si="3"/>
        <v>-358208.98766266677</v>
      </c>
      <c r="K36" s="398">
        <f t="shared" si="3"/>
        <v>2867970.4099999983</v>
      </c>
      <c r="L36" s="399">
        <f t="shared" si="3"/>
        <v>403937.37999999896</v>
      </c>
      <c r="M36" s="400">
        <f t="shared" si="3"/>
        <v>16473915.24000001</v>
      </c>
      <c r="N36" s="399">
        <f t="shared" si="3"/>
        <v>0</v>
      </c>
      <c r="O36" s="398">
        <f t="shared" si="3"/>
        <v>2577937.0599999987</v>
      </c>
      <c r="P36" s="401">
        <f t="shared" si="3"/>
        <v>4867637.5399999619</v>
      </c>
      <c r="Q36" s="400">
        <f t="shared" si="3"/>
        <v>59342.334999999963</v>
      </c>
      <c r="R36" s="388"/>
      <c r="S36" s="388"/>
      <c r="T36" s="388"/>
      <c r="U36" s="388"/>
      <c r="V36" s="388"/>
      <c r="W36" s="388"/>
    </row>
    <row r="37" spans="1:23">
      <c r="A37" s="196"/>
      <c r="B37" s="402" t="str">
        <f t="shared" si="2"/>
        <v>October</v>
      </c>
      <c r="C37" s="398">
        <f t="shared" si="3"/>
        <v>29519428.129999965</v>
      </c>
      <c r="D37" s="399">
        <f t="shared" si="3"/>
        <v>2534461.3230000045</v>
      </c>
      <c r="E37" s="398">
        <f t="shared" si="3"/>
        <v>21431718.600000039</v>
      </c>
      <c r="F37" s="399">
        <f t="shared" si="3"/>
        <v>19612820.669999987</v>
      </c>
      <c r="G37" s="398">
        <f t="shared" si="3"/>
        <v>325719.07999999891</v>
      </c>
      <c r="H37" s="399">
        <f t="shared" si="3"/>
        <v>381683.09499999997</v>
      </c>
      <c r="I37" s="398">
        <f t="shared" si="3"/>
        <v>12122.539999999921</v>
      </c>
      <c r="J37" s="399">
        <f t="shared" si="3"/>
        <v>-360325.5876626668</v>
      </c>
      <c r="K37" s="398">
        <f t="shared" si="3"/>
        <v>2906654.7399999984</v>
      </c>
      <c r="L37" s="399">
        <f t="shared" si="3"/>
        <v>461781.78999999911</v>
      </c>
      <c r="M37" s="400">
        <f t="shared" si="3"/>
        <v>16804314.420000002</v>
      </c>
      <c r="N37" s="399">
        <f t="shared" si="3"/>
        <v>0</v>
      </c>
      <c r="O37" s="398">
        <f t="shared" si="3"/>
        <v>2646382.9700000025</v>
      </c>
      <c r="P37" s="401">
        <f t="shared" si="3"/>
        <v>5351025.4200000167</v>
      </c>
      <c r="Q37" s="400">
        <f t="shared" si="3"/>
        <v>66208.899999999907</v>
      </c>
      <c r="R37" s="388"/>
      <c r="S37" s="388"/>
      <c r="T37" s="388"/>
      <c r="U37" s="388"/>
      <c r="V37" s="388"/>
      <c r="W37" s="388"/>
    </row>
    <row r="38" spans="1:23">
      <c r="A38" s="196"/>
      <c r="B38" s="402" t="str">
        <f t="shared" si="2"/>
        <v>November</v>
      </c>
      <c r="C38" s="398">
        <f t="shared" si="3"/>
        <v>29813244.809999973</v>
      </c>
      <c r="D38" s="399">
        <f t="shared" si="3"/>
        <v>2555626.9030000046</v>
      </c>
      <c r="E38" s="398">
        <f t="shared" si="3"/>
        <v>21616221.490000039</v>
      </c>
      <c r="F38" s="399">
        <f t="shared" si="3"/>
        <v>19885655.249999985</v>
      </c>
      <c r="G38" s="398">
        <f t="shared" si="3"/>
        <v>328042.37499999884</v>
      </c>
      <c r="H38" s="399">
        <f t="shared" si="3"/>
        <v>386366.35499999998</v>
      </c>
      <c r="I38" s="398">
        <f t="shared" si="3"/>
        <v>13424.29999999993</v>
      </c>
      <c r="J38" s="399">
        <f t="shared" si="3"/>
        <v>-360465.25766266685</v>
      </c>
      <c r="K38" s="398">
        <f t="shared" si="3"/>
        <v>2945339.0699999984</v>
      </c>
      <c r="L38" s="399">
        <f t="shared" si="3"/>
        <v>519707.62999999896</v>
      </c>
      <c r="M38" s="400">
        <f t="shared" si="3"/>
        <v>17173215.049999997</v>
      </c>
      <c r="N38" s="399">
        <f t="shared" si="3"/>
        <v>0</v>
      </c>
      <c r="O38" s="398">
        <f t="shared" si="3"/>
        <v>2715050.6900000013</v>
      </c>
      <c r="P38" s="401">
        <f t="shared" si="3"/>
        <v>5835852.3100000024</v>
      </c>
      <c r="Q38" s="400">
        <f t="shared" si="3"/>
        <v>73075.464999999851</v>
      </c>
      <c r="R38" s="388"/>
      <c r="S38" s="388"/>
      <c r="T38" s="388"/>
      <c r="U38" s="388"/>
      <c r="V38" s="388"/>
      <c r="W38" s="388"/>
    </row>
    <row r="39" spans="1:23">
      <c r="A39" s="197"/>
      <c r="B39" s="402" t="str">
        <f t="shared" si="2"/>
        <v>December 2018</v>
      </c>
      <c r="C39" s="414">
        <f t="shared" si="3"/>
        <v>30107061.48999998</v>
      </c>
      <c r="D39" s="415">
        <f t="shared" si="3"/>
        <v>2576792.4830000047</v>
      </c>
      <c r="E39" s="414">
        <f t="shared" si="3"/>
        <v>21800748.100000039</v>
      </c>
      <c r="F39" s="415">
        <f t="shared" si="3"/>
        <v>20158489.829999983</v>
      </c>
      <c r="G39" s="414">
        <f t="shared" si="3"/>
        <v>329728.53499999875</v>
      </c>
      <c r="H39" s="415">
        <f t="shared" si="3"/>
        <v>390992.41500000004</v>
      </c>
      <c r="I39" s="414">
        <f t="shared" si="3"/>
        <v>14706.964999999909</v>
      </c>
      <c r="J39" s="415">
        <f t="shared" si="3"/>
        <v>-360462.26266266685</v>
      </c>
      <c r="K39" s="414">
        <f t="shared" si="3"/>
        <v>2927115.0499999989</v>
      </c>
      <c r="L39" s="415">
        <f t="shared" si="3"/>
        <v>577674.76999999955</v>
      </c>
      <c r="M39" s="416">
        <f t="shared" si="3"/>
        <v>17542115.689999998</v>
      </c>
      <c r="N39" s="415">
        <f t="shared" si="3"/>
        <v>0</v>
      </c>
      <c r="O39" s="414">
        <f t="shared" si="3"/>
        <v>2783277.41</v>
      </c>
      <c r="P39" s="417">
        <f t="shared" si="3"/>
        <v>6321286.3000000119</v>
      </c>
      <c r="Q39" s="416">
        <f t="shared" si="3"/>
        <v>79942.029999999795</v>
      </c>
      <c r="R39" s="388"/>
      <c r="S39" s="388"/>
      <c r="T39" s="388"/>
      <c r="U39" s="388"/>
      <c r="V39" s="388"/>
      <c r="W39" s="388"/>
    </row>
    <row r="40" spans="1:23">
      <c r="A40" s="198"/>
      <c r="B40" s="418" t="s">
        <v>554</v>
      </c>
      <c r="C40" s="406">
        <f t="shared" ref="C40:Q40" si="4">AVERAGE(C27:C39)</f>
        <v>28483444.52153844</v>
      </c>
      <c r="D40" s="406">
        <f t="shared" si="4"/>
        <v>2449799.0027692341</v>
      </c>
      <c r="E40" s="406">
        <f t="shared" si="4"/>
        <v>20693603.700769261</v>
      </c>
      <c r="F40" s="406">
        <f t="shared" si="4"/>
        <v>18522710.887692299</v>
      </c>
      <c r="G40" s="406">
        <f t="shared" si="4"/>
        <v>320318.33076922985</v>
      </c>
      <c r="H40" s="406">
        <f t="shared" si="4"/>
        <v>364107.69653846161</v>
      </c>
      <c r="I40" s="406">
        <f t="shared" si="4"/>
        <v>22258.843076922996</v>
      </c>
      <c r="J40" s="406">
        <f t="shared" si="4"/>
        <v>-358774.40168861544</v>
      </c>
      <c r="K40" s="406">
        <f t="shared" si="4"/>
        <v>2747539.8546153824</v>
      </c>
      <c r="L40" s="406">
        <f t="shared" si="4"/>
        <v>246033.00153846122</v>
      </c>
      <c r="M40" s="407">
        <f t="shared" si="4"/>
        <v>15374553.815384617</v>
      </c>
      <c r="N40" s="406">
        <f t="shared" si="4"/>
        <v>0</v>
      </c>
      <c r="O40" s="406">
        <f t="shared" si="4"/>
        <v>2375406.4730769238</v>
      </c>
      <c r="P40" s="406">
        <f t="shared" si="4"/>
        <v>4233315.7761538392</v>
      </c>
      <c r="Q40" s="407">
        <f t="shared" si="4"/>
        <v>39505.16923076917</v>
      </c>
      <c r="R40" s="388"/>
      <c r="S40" s="388"/>
      <c r="T40" s="388"/>
      <c r="U40" s="388"/>
      <c r="V40" s="388"/>
      <c r="W40" s="388"/>
    </row>
    <row r="41" spans="1:23" s="422" customFormat="1">
      <c r="A41" s="199"/>
      <c r="B41" s="419"/>
      <c r="C41" s="420"/>
      <c r="D41" s="420"/>
      <c r="E41" s="420"/>
      <c r="F41" s="420"/>
      <c r="G41" s="420"/>
      <c r="H41" s="421"/>
      <c r="I41" s="421"/>
      <c r="J41" s="421"/>
      <c r="K41" s="420"/>
      <c r="L41" s="382"/>
      <c r="M41" s="382"/>
      <c r="N41" s="421"/>
      <c r="O41" s="420"/>
      <c r="P41" s="421"/>
      <c r="Q41" s="420"/>
      <c r="R41" s="388"/>
      <c r="S41" s="388"/>
      <c r="T41" s="388"/>
      <c r="U41" s="388"/>
      <c r="V41" s="388"/>
      <c r="W41" s="388"/>
    </row>
    <row r="42" spans="1:23">
      <c r="A42" s="198"/>
      <c r="B42" s="423"/>
      <c r="C42" s="424"/>
      <c r="D42" s="424"/>
      <c r="E42" s="424"/>
      <c r="F42" s="424"/>
      <c r="G42" s="424"/>
      <c r="H42" s="424"/>
      <c r="I42" s="424"/>
      <c r="J42" s="424"/>
      <c r="K42" s="424"/>
      <c r="L42" s="382"/>
      <c r="M42" s="382"/>
      <c r="N42" s="424"/>
      <c r="O42" s="424"/>
      <c r="P42" s="424"/>
      <c r="Q42" s="424"/>
      <c r="R42" s="388"/>
      <c r="S42" s="388"/>
      <c r="T42" s="388"/>
      <c r="U42" s="388"/>
      <c r="V42" s="388"/>
      <c r="W42" s="388"/>
    </row>
    <row r="43" spans="1:23">
      <c r="A43" s="425"/>
      <c r="B43" s="426"/>
      <c r="C43" s="427"/>
      <c r="D43" s="428"/>
      <c r="E43" s="428"/>
      <c r="F43" s="428"/>
      <c r="G43" s="428"/>
      <c r="H43" s="428"/>
      <c r="I43" s="428"/>
      <c r="J43" s="428"/>
      <c r="K43" s="428"/>
      <c r="L43" s="429"/>
      <c r="M43" s="429"/>
      <c r="N43" s="428"/>
      <c r="O43" s="428"/>
      <c r="P43" s="428"/>
      <c r="Q43" s="428"/>
      <c r="R43" s="388"/>
      <c r="S43" s="388"/>
      <c r="T43" s="388"/>
      <c r="U43" s="388"/>
      <c r="V43" s="388"/>
      <c r="W43" s="388"/>
    </row>
    <row r="44" spans="1:23">
      <c r="A44" s="196" t="s">
        <v>557</v>
      </c>
      <c r="B44" s="430" t="str">
        <f t="shared" ref="B44:B56" si="5">+B11</f>
        <v>December 2017</v>
      </c>
      <c r="C44" s="398">
        <v>114998382.16</v>
      </c>
      <c r="D44" s="399">
        <v>6429166.1600000001</v>
      </c>
      <c r="E44" s="398">
        <v>68629394.039999992</v>
      </c>
      <c r="F44" s="399">
        <v>124233381.80999999</v>
      </c>
      <c r="G44" s="398">
        <v>1035784.575</v>
      </c>
      <c r="H44" s="399">
        <v>1801685.77</v>
      </c>
      <c r="I44" s="398">
        <v>523463.73</v>
      </c>
      <c r="J44" s="399">
        <v>367030.70500000007</v>
      </c>
      <c r="K44" s="398">
        <v>12460853.710000001</v>
      </c>
      <c r="L44" s="399">
        <v>22671965.960000001</v>
      </c>
      <c r="M44" s="400">
        <v>108392060.22</v>
      </c>
      <c r="N44" s="399">
        <v>0</v>
      </c>
      <c r="O44" s="398">
        <v>24913090.359999999</v>
      </c>
      <c r="P44" s="401">
        <v>192938581.14000002</v>
      </c>
      <c r="Q44" s="400">
        <v>2949840.585</v>
      </c>
      <c r="R44" s="388"/>
      <c r="S44" s="377"/>
      <c r="T44" s="388"/>
      <c r="U44" s="388"/>
      <c r="V44" s="388"/>
      <c r="W44" s="388"/>
    </row>
    <row r="45" spans="1:23">
      <c r="A45" s="196" t="s">
        <v>558</v>
      </c>
      <c r="B45" s="430" t="str">
        <f t="shared" si="5"/>
        <v>January 2018</v>
      </c>
      <c r="C45" s="398">
        <v>114730057.67000008</v>
      </c>
      <c r="D45" s="399">
        <v>6408000.5769999959</v>
      </c>
      <c r="E45" s="398">
        <v>68444839.349999994</v>
      </c>
      <c r="F45" s="399">
        <v>123960523.38</v>
      </c>
      <c r="G45" s="398">
        <v>1033203.4900000009</v>
      </c>
      <c r="H45" s="399">
        <v>1800282.0500000003</v>
      </c>
      <c r="I45" s="398">
        <v>522234.4800000001</v>
      </c>
      <c r="J45" s="399">
        <v>367116.63766266662</v>
      </c>
      <c r="K45" s="398">
        <v>12422169.380000003</v>
      </c>
      <c r="L45" s="399">
        <v>23921837.059999999</v>
      </c>
      <c r="M45" s="400">
        <v>108022906.98999999</v>
      </c>
      <c r="N45" s="399">
        <v>0</v>
      </c>
      <c r="O45" s="398">
        <v>24844179.549999997</v>
      </c>
      <c r="P45" s="401">
        <v>199407823.33999997</v>
      </c>
      <c r="Q45" s="400">
        <v>2944688.9249999998</v>
      </c>
      <c r="R45" s="388"/>
      <c r="S45" s="377"/>
      <c r="T45" s="388"/>
      <c r="U45" s="388"/>
      <c r="V45" s="388"/>
      <c r="W45" s="388"/>
    </row>
    <row r="46" spans="1:23">
      <c r="A46" s="196"/>
      <c r="B46" s="430" t="str">
        <f t="shared" si="5"/>
        <v>February</v>
      </c>
      <c r="C46" s="398">
        <v>114429098.07000008</v>
      </c>
      <c r="D46" s="399">
        <v>6386834.9969999958</v>
      </c>
      <c r="E46" s="398">
        <v>68260284.659999982</v>
      </c>
      <c r="F46" s="399">
        <v>123687678.31999999</v>
      </c>
      <c r="G46" s="398">
        <v>1031770.0950000009</v>
      </c>
      <c r="H46" s="399">
        <v>1795302.0650000004</v>
      </c>
      <c r="I46" s="398">
        <v>520840.11500000011</v>
      </c>
      <c r="J46" s="399">
        <v>367128.53266266664</v>
      </c>
      <c r="K46" s="398">
        <v>12383485.050000003</v>
      </c>
      <c r="L46" s="399">
        <v>24699458.469999999</v>
      </c>
      <c r="M46" s="400">
        <v>107653753.75999999</v>
      </c>
      <c r="N46" s="399">
        <v>0</v>
      </c>
      <c r="O46" s="398">
        <v>24775268.739999998</v>
      </c>
      <c r="P46" s="401">
        <v>201763239.63999999</v>
      </c>
      <c r="Q46" s="400">
        <v>2940225.8349999995</v>
      </c>
      <c r="R46" s="388"/>
      <c r="S46" s="377"/>
      <c r="T46" s="388"/>
      <c r="U46" s="388"/>
      <c r="V46" s="388"/>
      <c r="W46" s="388"/>
    </row>
    <row r="47" spans="1:23">
      <c r="A47" s="196"/>
      <c r="B47" s="430" t="str">
        <f t="shared" si="5"/>
        <v xml:space="preserve">March </v>
      </c>
      <c r="C47" s="398">
        <v>114068979.89000006</v>
      </c>
      <c r="D47" s="399">
        <v>6365669.4169999957</v>
      </c>
      <c r="E47" s="398">
        <v>68075729.969999984</v>
      </c>
      <c r="F47" s="399">
        <v>123414833.26000001</v>
      </c>
      <c r="G47" s="398">
        <v>1029981.035000001</v>
      </c>
      <c r="H47" s="399">
        <v>1790492.4400000004</v>
      </c>
      <c r="I47" s="398">
        <v>519272.52000000008</v>
      </c>
      <c r="J47" s="399">
        <v>367351.16266266664</v>
      </c>
      <c r="K47" s="398">
        <v>12344800.720000003</v>
      </c>
      <c r="L47" s="399">
        <v>24929266.240000002</v>
      </c>
      <c r="M47" s="400">
        <v>107284600.53</v>
      </c>
      <c r="N47" s="399">
        <v>0</v>
      </c>
      <c r="O47" s="398">
        <v>24706357.93</v>
      </c>
      <c r="P47" s="401">
        <v>206462255.73999995</v>
      </c>
      <c r="Q47" s="400">
        <v>2949843.3649999998</v>
      </c>
      <c r="R47" s="388"/>
      <c r="S47" s="377"/>
      <c r="T47" s="388"/>
      <c r="U47" s="388"/>
      <c r="V47" s="388"/>
      <c r="W47" s="388"/>
    </row>
    <row r="48" spans="1:23">
      <c r="A48" s="196"/>
      <c r="B48" s="430" t="str">
        <f t="shared" si="5"/>
        <v>April</v>
      </c>
      <c r="C48" s="398">
        <v>113769110.96000007</v>
      </c>
      <c r="D48" s="399">
        <v>6344503.8369999956</v>
      </c>
      <c r="E48" s="398">
        <v>67891175.279999986</v>
      </c>
      <c r="F48" s="399">
        <v>123141998.68000001</v>
      </c>
      <c r="G48" s="398">
        <v>1027895.4900000009</v>
      </c>
      <c r="H48" s="399">
        <v>1786288.3650000005</v>
      </c>
      <c r="I48" s="398">
        <v>517993.50000000012</v>
      </c>
      <c r="J48" s="399">
        <v>367258.42766266665</v>
      </c>
      <c r="K48" s="398">
        <v>12306116.390000002</v>
      </c>
      <c r="L48" s="399">
        <v>24971097.780000001</v>
      </c>
      <c r="M48" s="400">
        <v>106915447.3</v>
      </c>
      <c r="N48" s="399">
        <v>0</v>
      </c>
      <c r="O48" s="398">
        <v>24637447.119999997</v>
      </c>
      <c r="P48" s="401">
        <v>208535630.99999997</v>
      </c>
      <c r="Q48" s="400">
        <v>2943766.3099999996</v>
      </c>
      <c r="R48" s="388"/>
      <c r="S48" s="377"/>
      <c r="T48" s="388"/>
      <c r="U48" s="388"/>
      <c r="V48" s="388"/>
      <c r="W48" s="388"/>
    </row>
    <row r="49" spans="1:23">
      <c r="A49" s="196"/>
      <c r="B49" s="430" t="str">
        <f t="shared" si="5"/>
        <v>May</v>
      </c>
      <c r="C49" s="398">
        <v>113523891.58000007</v>
      </c>
      <c r="D49" s="399">
        <v>6323338.2569999956</v>
      </c>
      <c r="E49" s="398">
        <v>67706620.589999974</v>
      </c>
      <c r="F49" s="399">
        <v>122869164.10000001</v>
      </c>
      <c r="G49" s="398">
        <v>1025484.170000001</v>
      </c>
      <c r="H49" s="399">
        <v>1782123.2750000004</v>
      </c>
      <c r="I49" s="398">
        <v>516206.3000000001</v>
      </c>
      <c r="J49" s="399">
        <v>367154.67766266665</v>
      </c>
      <c r="K49" s="398">
        <v>12267432.060000002</v>
      </c>
      <c r="L49" s="399">
        <v>25082545.569999997</v>
      </c>
      <c r="M49" s="400">
        <v>106546294.06999999</v>
      </c>
      <c r="N49" s="399">
        <v>0</v>
      </c>
      <c r="O49" s="398">
        <v>24568536.309999999</v>
      </c>
      <c r="P49" s="401">
        <v>211059713.03999996</v>
      </c>
      <c r="Q49" s="400">
        <v>2938239.8299999996</v>
      </c>
      <c r="R49" s="388"/>
      <c r="S49" s="377"/>
      <c r="T49" s="388"/>
      <c r="U49" s="388"/>
      <c r="V49" s="388"/>
      <c r="W49" s="388"/>
    </row>
    <row r="50" spans="1:23">
      <c r="A50" s="196"/>
      <c r="B50" s="430" t="str">
        <f t="shared" si="5"/>
        <v>June</v>
      </c>
      <c r="C50" s="398">
        <v>113230627.90000005</v>
      </c>
      <c r="D50" s="399">
        <v>6302172.6769999955</v>
      </c>
      <c r="E50" s="398">
        <v>67522065.899999976</v>
      </c>
      <c r="F50" s="399">
        <v>122596329.52000001</v>
      </c>
      <c r="G50" s="398">
        <v>1023199.935000001</v>
      </c>
      <c r="H50" s="399">
        <v>1777733.6850000003</v>
      </c>
      <c r="I50" s="398">
        <v>514766.93500000006</v>
      </c>
      <c r="J50" s="399">
        <v>367157.2926626667</v>
      </c>
      <c r="K50" s="398">
        <v>12228747.730000002</v>
      </c>
      <c r="L50" s="399">
        <v>25147586.32</v>
      </c>
      <c r="M50" s="400">
        <v>106177140.83999999</v>
      </c>
      <c r="N50" s="399">
        <v>0</v>
      </c>
      <c r="O50" s="398">
        <v>24499625.5</v>
      </c>
      <c r="P50" s="401">
        <v>213315709.76999995</v>
      </c>
      <c r="Q50" s="400">
        <v>2932511.5649999999</v>
      </c>
      <c r="R50" s="388"/>
      <c r="S50" s="377"/>
      <c r="T50" s="388"/>
      <c r="U50" s="388"/>
      <c r="V50" s="388"/>
      <c r="W50" s="388"/>
    </row>
    <row r="51" spans="1:23">
      <c r="A51" s="196"/>
      <c r="B51" s="430" t="str">
        <f t="shared" si="5"/>
        <v>July</v>
      </c>
      <c r="C51" s="398">
        <v>112936619.44000004</v>
      </c>
      <c r="D51" s="399">
        <v>6281007.0969999954</v>
      </c>
      <c r="E51" s="398">
        <v>67337511.209999979</v>
      </c>
      <c r="F51" s="399">
        <v>122323494.94000001</v>
      </c>
      <c r="G51" s="398">
        <v>1021190.5100000009</v>
      </c>
      <c r="H51" s="399">
        <v>1773584.5050000004</v>
      </c>
      <c r="I51" s="398">
        <v>512717.51000000013</v>
      </c>
      <c r="J51" s="399">
        <v>367127.2926626667</v>
      </c>
      <c r="K51" s="398">
        <v>12190063.400000002</v>
      </c>
      <c r="L51" s="399">
        <v>25215000.220000003</v>
      </c>
      <c r="M51" s="400">
        <v>105807987.60999998</v>
      </c>
      <c r="N51" s="399">
        <v>0</v>
      </c>
      <c r="O51" s="398">
        <v>24430711.77</v>
      </c>
      <c r="P51" s="401">
        <v>215155930.69999999</v>
      </c>
      <c r="Q51" s="400">
        <v>2927975.5549999997</v>
      </c>
      <c r="R51" s="388"/>
      <c r="S51" s="377"/>
      <c r="T51" s="388"/>
      <c r="U51" s="388"/>
      <c r="V51" s="388"/>
      <c r="W51" s="388"/>
    </row>
    <row r="52" spans="1:23">
      <c r="A52" s="196"/>
      <c r="B52" s="430" t="str">
        <f t="shared" si="5"/>
        <v xml:space="preserve">August </v>
      </c>
      <c r="C52" s="398">
        <v>112642835.27000004</v>
      </c>
      <c r="D52" s="399">
        <v>6259841.5169999953</v>
      </c>
      <c r="E52" s="398">
        <v>67152956.519999981</v>
      </c>
      <c r="F52" s="399">
        <v>122050660.36000001</v>
      </c>
      <c r="G52" s="398">
        <v>1020558.405000001</v>
      </c>
      <c r="H52" s="399">
        <v>1768778.5950000002</v>
      </c>
      <c r="I52" s="398">
        <v>511259.74500000011</v>
      </c>
      <c r="J52" s="399">
        <v>367120.56766266673</v>
      </c>
      <c r="K52" s="398">
        <v>12151379.070000002</v>
      </c>
      <c r="L52" s="399">
        <v>25253146.52</v>
      </c>
      <c r="M52" s="400">
        <v>105440756.86999999</v>
      </c>
      <c r="N52" s="399">
        <v>0</v>
      </c>
      <c r="O52" s="398">
        <v>24361799.289999999</v>
      </c>
      <c r="P52" s="401">
        <v>216825126.89999995</v>
      </c>
      <c r="Q52" s="400">
        <v>2921108.9899999998</v>
      </c>
      <c r="R52" s="388"/>
      <c r="S52" s="377"/>
      <c r="T52" s="388"/>
      <c r="U52" s="388"/>
      <c r="V52" s="388"/>
      <c r="W52" s="388"/>
    </row>
    <row r="53" spans="1:23">
      <c r="A53" s="196"/>
      <c r="B53" s="430" t="str">
        <f t="shared" si="5"/>
        <v>September</v>
      </c>
      <c r="C53" s="398">
        <v>112349018.59000005</v>
      </c>
      <c r="D53" s="399">
        <v>6238675.9369999953</v>
      </c>
      <c r="E53" s="398">
        <v>66968502.759999976</v>
      </c>
      <c r="F53" s="399">
        <v>121777825.78000002</v>
      </c>
      <c r="G53" s="398">
        <v>1020329.235000001</v>
      </c>
      <c r="H53" s="399">
        <v>1763637.3600000003</v>
      </c>
      <c r="I53" s="398">
        <v>509987.6700000001</v>
      </c>
      <c r="J53" s="399">
        <v>367080.11766266677</v>
      </c>
      <c r="K53" s="398">
        <v>12112694.740000002</v>
      </c>
      <c r="L53" s="399">
        <v>25396416.740000002</v>
      </c>
      <c r="M53" s="400">
        <v>105072146.00999999</v>
      </c>
      <c r="N53" s="399">
        <v>0</v>
      </c>
      <c r="O53" s="398">
        <v>24294786.490000002</v>
      </c>
      <c r="P53" s="401">
        <v>217831746.87</v>
      </c>
      <c r="Q53" s="400">
        <v>2914242.4249999998</v>
      </c>
      <c r="R53" s="388"/>
      <c r="S53" s="377"/>
      <c r="T53" s="388"/>
      <c r="U53" s="388"/>
      <c r="V53" s="388"/>
      <c r="W53" s="388"/>
    </row>
    <row r="54" spans="1:23">
      <c r="A54" s="196"/>
      <c r="B54" s="430" t="str">
        <f t="shared" si="5"/>
        <v>October</v>
      </c>
      <c r="C54" s="398">
        <v>112055201.91000006</v>
      </c>
      <c r="D54" s="399">
        <v>6217510.3569999952</v>
      </c>
      <c r="E54" s="398">
        <v>66784005.419999972</v>
      </c>
      <c r="F54" s="399">
        <v>121504991.20000002</v>
      </c>
      <c r="G54" s="398">
        <v>1019285.445000001</v>
      </c>
      <c r="H54" s="399">
        <v>1759743.5350000004</v>
      </c>
      <c r="I54" s="398">
        <v>508695.18000000011</v>
      </c>
      <c r="J54" s="399">
        <v>369196.71766266681</v>
      </c>
      <c r="K54" s="398">
        <v>12074010.410000002</v>
      </c>
      <c r="L54" s="399">
        <v>25372466.82</v>
      </c>
      <c r="M54" s="400">
        <v>104703085.56999999</v>
      </c>
      <c r="N54" s="399">
        <v>0</v>
      </c>
      <c r="O54" s="398">
        <v>24226340.579999998</v>
      </c>
      <c r="P54" s="401">
        <v>218044559.35999995</v>
      </c>
      <c r="Q54" s="400">
        <v>2907375.86</v>
      </c>
      <c r="R54" s="388"/>
      <c r="S54" s="377"/>
      <c r="T54" s="388"/>
      <c r="U54" s="388"/>
      <c r="V54" s="388"/>
      <c r="W54" s="388"/>
    </row>
    <row r="55" spans="1:23">
      <c r="A55" s="196"/>
      <c r="B55" s="430" t="str">
        <f t="shared" si="5"/>
        <v>November</v>
      </c>
      <c r="C55" s="398">
        <v>111761385.23000005</v>
      </c>
      <c r="D55" s="399">
        <v>6196344.7769999951</v>
      </c>
      <c r="E55" s="398">
        <v>66599502.529999971</v>
      </c>
      <c r="F55" s="399">
        <v>121232156.62000002</v>
      </c>
      <c r="G55" s="398">
        <v>1016962.1500000011</v>
      </c>
      <c r="H55" s="399">
        <v>1755060.2750000004</v>
      </c>
      <c r="I55" s="398">
        <v>507393.4200000001</v>
      </c>
      <c r="J55" s="399">
        <v>369336.38766266685</v>
      </c>
      <c r="K55" s="398">
        <v>12035326.080000002</v>
      </c>
      <c r="L55" s="399">
        <v>25333805.120000001</v>
      </c>
      <c r="M55" s="400">
        <v>104334184.94</v>
      </c>
      <c r="N55" s="399">
        <v>0</v>
      </c>
      <c r="O55" s="398">
        <v>24157672.859999999</v>
      </c>
      <c r="P55" s="401">
        <v>217847033.05999994</v>
      </c>
      <c r="Q55" s="400">
        <v>2900509.2949999999</v>
      </c>
      <c r="R55" s="388"/>
      <c r="S55" s="377"/>
      <c r="T55" s="388"/>
      <c r="U55" s="388"/>
      <c r="V55" s="388"/>
      <c r="W55" s="388"/>
    </row>
    <row r="56" spans="1:23">
      <c r="A56" s="196"/>
      <c r="B56" s="430" t="str">
        <f t="shared" si="5"/>
        <v>December 2018</v>
      </c>
      <c r="C56" s="398">
        <v>111467568.55000004</v>
      </c>
      <c r="D56" s="399">
        <v>6175179.196999995</v>
      </c>
      <c r="E56" s="398">
        <v>66414975.919999972</v>
      </c>
      <c r="F56" s="399">
        <v>120959322.04000002</v>
      </c>
      <c r="G56" s="398">
        <v>1015275.9900000012</v>
      </c>
      <c r="H56" s="399">
        <v>1750434.2150000003</v>
      </c>
      <c r="I56" s="398">
        <v>506110.75500000012</v>
      </c>
      <c r="J56" s="399">
        <v>369333.39266266685</v>
      </c>
      <c r="K56" s="398">
        <v>11996641.750000002</v>
      </c>
      <c r="L56" s="399">
        <v>25279144.02</v>
      </c>
      <c r="M56" s="400">
        <v>103965284.3</v>
      </c>
      <c r="N56" s="399">
        <v>0</v>
      </c>
      <c r="O56" s="398">
        <v>24089446.140000001</v>
      </c>
      <c r="P56" s="401">
        <v>217704926.57999998</v>
      </c>
      <c r="Q56" s="400">
        <v>2893642.73</v>
      </c>
      <c r="R56" s="388"/>
      <c r="S56" s="377"/>
      <c r="T56" s="388"/>
      <c r="U56" s="388"/>
      <c r="V56" s="388"/>
      <c r="W56" s="388"/>
    </row>
    <row r="57" spans="1:23">
      <c r="A57" s="431"/>
      <c r="B57" s="418" t="s">
        <v>554</v>
      </c>
      <c r="C57" s="406">
        <f t="shared" ref="C57:Q57" si="6">AVERAGE(C44:C56)</f>
        <v>113227905.94000006</v>
      </c>
      <c r="D57" s="406">
        <f t="shared" si="6"/>
        <v>6302172.6772307651</v>
      </c>
      <c r="E57" s="406">
        <f t="shared" si="6"/>
        <v>67522120.319230735</v>
      </c>
      <c r="F57" s="406">
        <f t="shared" si="6"/>
        <v>122596335.38538463</v>
      </c>
      <c r="G57" s="406">
        <f t="shared" si="6"/>
        <v>1024686.19423077</v>
      </c>
      <c r="H57" s="406">
        <f t="shared" si="6"/>
        <v>1777318.9334615385</v>
      </c>
      <c r="I57" s="406">
        <f t="shared" si="6"/>
        <v>514687.83538461541</v>
      </c>
      <c r="J57" s="406">
        <f t="shared" si="6"/>
        <v>367645.53168861539</v>
      </c>
      <c r="K57" s="406">
        <f t="shared" si="6"/>
        <v>12228747.730000002</v>
      </c>
      <c r="L57" s="406">
        <f t="shared" si="6"/>
        <v>24867210.526153844</v>
      </c>
      <c r="M57" s="407">
        <f t="shared" si="6"/>
        <v>106178126.84692308</v>
      </c>
      <c r="N57" s="406">
        <f t="shared" si="6"/>
        <v>0</v>
      </c>
      <c r="O57" s="406">
        <f t="shared" si="6"/>
        <v>24500404.818461537</v>
      </c>
      <c r="P57" s="406">
        <f t="shared" si="6"/>
        <v>210530175.16461536</v>
      </c>
      <c r="Q57" s="407">
        <f t="shared" si="6"/>
        <v>2927997.7899999996</v>
      </c>
      <c r="R57" s="388"/>
      <c r="S57" s="388"/>
      <c r="T57" s="388"/>
      <c r="U57" s="388"/>
      <c r="V57" s="388"/>
      <c r="W57" s="388"/>
    </row>
    <row r="58" spans="1:23">
      <c r="A58" s="198"/>
      <c r="B58" s="432"/>
      <c r="C58" s="433"/>
      <c r="D58" s="433"/>
      <c r="E58" s="433"/>
      <c r="F58" s="433"/>
      <c r="G58" s="433"/>
      <c r="H58" s="201"/>
      <c r="I58" s="201"/>
      <c r="J58" s="421"/>
      <c r="K58" s="420"/>
      <c r="L58" s="382"/>
      <c r="M58" s="382"/>
      <c r="N58" s="421"/>
      <c r="O58" s="420"/>
      <c r="P58" s="201"/>
      <c r="Q58" s="420"/>
      <c r="R58" s="388"/>
      <c r="S58" s="388"/>
      <c r="T58" s="388"/>
      <c r="U58" s="388"/>
      <c r="V58" s="388"/>
      <c r="W58" s="388"/>
    </row>
    <row r="59" spans="1:23">
      <c r="A59" s="198"/>
      <c r="B59" s="434"/>
      <c r="C59" s="435"/>
      <c r="D59" s="435"/>
      <c r="E59" s="435"/>
      <c r="F59" s="435"/>
      <c r="G59" s="435"/>
      <c r="H59" s="435"/>
      <c r="I59" s="435"/>
      <c r="J59" s="436"/>
      <c r="K59" s="436"/>
      <c r="L59" s="429"/>
      <c r="M59" s="429"/>
      <c r="N59" s="436"/>
      <c r="O59" s="436"/>
      <c r="P59" s="435"/>
      <c r="Q59" s="436"/>
      <c r="R59" s="388"/>
      <c r="S59" s="388"/>
      <c r="T59" s="388"/>
      <c r="U59" s="388"/>
      <c r="V59" s="388"/>
      <c r="W59" s="388"/>
    </row>
    <row r="60" spans="1:23">
      <c r="A60" s="437" t="s">
        <v>559</v>
      </c>
      <c r="B60" s="202" t="s">
        <v>464</v>
      </c>
      <c r="C60" s="410">
        <v>3530254.68</v>
      </c>
      <c r="D60" s="411">
        <v>253986.96000000005</v>
      </c>
      <c r="E60" s="410">
        <v>2214656.2799999998</v>
      </c>
      <c r="F60" s="411">
        <v>3274046.4000000008</v>
      </c>
      <c r="G60" s="410">
        <v>37377.480000000003</v>
      </c>
      <c r="H60" s="411">
        <v>61275.839999999997</v>
      </c>
      <c r="I60" s="410">
        <v>16320.945000000002</v>
      </c>
      <c r="J60" s="411">
        <v>439.98233733333342</v>
      </c>
      <c r="K60" s="410">
        <v>464211.96000000014</v>
      </c>
      <c r="L60" s="411">
        <v>577674.77</v>
      </c>
      <c r="M60" s="412">
        <v>4429240.78</v>
      </c>
      <c r="N60" s="411">
        <v>0</v>
      </c>
      <c r="O60" s="410">
        <v>826858.02999999991</v>
      </c>
      <c r="P60" s="413">
        <v>3542261.6200000006</v>
      </c>
      <c r="Q60" s="412">
        <v>79942.030000000013</v>
      </c>
      <c r="R60" s="388"/>
      <c r="S60" s="388"/>
      <c r="T60" s="388"/>
      <c r="U60" s="388"/>
      <c r="V60" s="388"/>
      <c r="W60" s="388"/>
    </row>
    <row r="61" spans="1:23">
      <c r="A61" s="197" t="s">
        <v>560</v>
      </c>
      <c r="B61" s="203" t="s">
        <v>561</v>
      </c>
      <c r="C61" s="398">
        <v>0</v>
      </c>
      <c r="D61" s="399">
        <v>0</v>
      </c>
      <c r="E61" s="398">
        <v>0</v>
      </c>
      <c r="F61" s="399">
        <v>0</v>
      </c>
      <c r="G61" s="398">
        <v>0</v>
      </c>
      <c r="H61" s="399">
        <v>0</v>
      </c>
      <c r="I61" s="398">
        <v>0</v>
      </c>
      <c r="J61" s="399">
        <v>0</v>
      </c>
      <c r="K61" s="398">
        <v>0</v>
      </c>
      <c r="L61" s="399">
        <v>0</v>
      </c>
      <c r="M61" s="400">
        <v>0</v>
      </c>
      <c r="N61" s="399">
        <v>0</v>
      </c>
      <c r="O61" s="398">
        <v>0</v>
      </c>
      <c r="P61" s="401">
        <v>0</v>
      </c>
      <c r="Q61" s="400">
        <v>0</v>
      </c>
      <c r="R61" s="388"/>
      <c r="S61" s="388"/>
      <c r="T61" s="388"/>
      <c r="U61" s="388"/>
      <c r="V61" s="388"/>
      <c r="W61" s="388"/>
    </row>
    <row r="62" spans="1:23">
      <c r="A62" s="189"/>
      <c r="B62" s="438" t="s">
        <v>562</v>
      </c>
      <c r="C62" s="439">
        <f t="shared" ref="C62:Q62" si="7">SUM(C60:C61)</f>
        <v>3530254.68</v>
      </c>
      <c r="D62" s="439">
        <f t="shared" si="7"/>
        <v>253986.96000000005</v>
      </c>
      <c r="E62" s="439">
        <f t="shared" si="7"/>
        <v>2214656.2799999998</v>
      </c>
      <c r="F62" s="439">
        <f t="shared" si="7"/>
        <v>3274046.4000000008</v>
      </c>
      <c r="G62" s="439">
        <f t="shared" si="7"/>
        <v>37377.480000000003</v>
      </c>
      <c r="H62" s="439">
        <f t="shared" si="7"/>
        <v>61275.839999999997</v>
      </c>
      <c r="I62" s="439">
        <f t="shared" si="7"/>
        <v>16320.945000000002</v>
      </c>
      <c r="J62" s="439">
        <f t="shared" si="7"/>
        <v>439.98233733333342</v>
      </c>
      <c r="K62" s="439">
        <f t="shared" si="7"/>
        <v>464211.96000000014</v>
      </c>
      <c r="L62" s="439">
        <f t="shared" si="7"/>
        <v>577674.77</v>
      </c>
      <c r="M62" s="440">
        <f t="shared" si="7"/>
        <v>4429240.78</v>
      </c>
      <c r="N62" s="439">
        <f t="shared" si="7"/>
        <v>0</v>
      </c>
      <c r="O62" s="439">
        <f t="shared" si="7"/>
        <v>826858.02999999991</v>
      </c>
      <c r="P62" s="440">
        <f t="shared" si="7"/>
        <v>3542261.6200000006</v>
      </c>
      <c r="Q62" s="440">
        <f t="shared" si="7"/>
        <v>79942.030000000013</v>
      </c>
      <c r="R62" s="388"/>
      <c r="S62" s="388"/>
      <c r="T62" s="388"/>
      <c r="U62" s="388"/>
      <c r="V62" s="388"/>
      <c r="W62" s="388"/>
    </row>
    <row r="63" spans="1:23">
      <c r="A63" s="198"/>
      <c r="B63" s="432"/>
      <c r="C63" s="433"/>
      <c r="D63" s="433"/>
      <c r="E63" s="433"/>
      <c r="F63" s="433"/>
      <c r="G63" s="433"/>
      <c r="H63" s="201"/>
      <c r="I63" s="201"/>
      <c r="J63" s="201"/>
      <c r="K63" s="420"/>
      <c r="L63" s="382"/>
      <c r="M63" s="382"/>
      <c r="N63" s="421"/>
      <c r="O63" s="420"/>
      <c r="P63" s="201"/>
      <c r="Q63" s="420"/>
      <c r="R63" s="388"/>
      <c r="S63" s="388"/>
      <c r="T63" s="388"/>
      <c r="U63" s="388"/>
      <c r="V63" s="388"/>
      <c r="W63" s="388"/>
    </row>
    <row r="64" spans="1:23">
      <c r="A64" s="198"/>
      <c r="B64" s="434"/>
      <c r="C64" s="435"/>
      <c r="D64" s="435"/>
      <c r="E64" s="435"/>
      <c r="F64" s="435"/>
      <c r="G64" s="435"/>
      <c r="H64" s="435"/>
      <c r="I64" s="435"/>
      <c r="J64" s="435"/>
      <c r="K64" s="436"/>
      <c r="L64" s="429"/>
      <c r="M64" s="429"/>
      <c r="N64" s="436"/>
      <c r="O64" s="436"/>
      <c r="P64" s="435"/>
      <c r="Q64" s="436"/>
      <c r="R64" s="388"/>
      <c r="S64" s="388"/>
      <c r="T64" s="388"/>
      <c r="U64" s="388"/>
      <c r="V64" s="388"/>
      <c r="W64" s="388"/>
    </row>
    <row r="65" spans="1:23">
      <c r="A65" s="437" t="s">
        <v>563</v>
      </c>
      <c r="B65" s="202" t="s">
        <v>564</v>
      </c>
      <c r="C65" s="410">
        <v>0</v>
      </c>
      <c r="D65" s="411">
        <v>0</v>
      </c>
      <c r="E65" s="410">
        <v>0</v>
      </c>
      <c r="F65" s="411">
        <v>0</v>
      </c>
      <c r="G65" s="410">
        <v>0</v>
      </c>
      <c r="H65" s="411">
        <v>0</v>
      </c>
      <c r="I65" s="410">
        <v>0</v>
      </c>
      <c r="J65" s="411">
        <v>0</v>
      </c>
      <c r="K65" s="410">
        <v>0</v>
      </c>
      <c r="L65" s="411">
        <v>0</v>
      </c>
      <c r="M65" s="412">
        <v>0</v>
      </c>
      <c r="N65" s="411">
        <v>0</v>
      </c>
      <c r="O65" s="410">
        <v>0</v>
      </c>
      <c r="P65" s="413">
        <v>0</v>
      </c>
      <c r="Q65" s="412">
        <v>0</v>
      </c>
      <c r="R65" s="388"/>
      <c r="S65" s="388"/>
      <c r="T65" s="388"/>
      <c r="U65" s="388"/>
      <c r="V65" s="388"/>
      <c r="W65" s="388"/>
    </row>
    <row r="66" spans="1:23">
      <c r="A66" s="197" t="s">
        <v>565</v>
      </c>
      <c r="B66" s="203"/>
      <c r="C66" s="398">
        <v>0</v>
      </c>
      <c r="D66" s="399">
        <v>0</v>
      </c>
      <c r="E66" s="398">
        <v>0</v>
      </c>
      <c r="F66" s="399">
        <v>0</v>
      </c>
      <c r="G66" s="398">
        <v>0</v>
      </c>
      <c r="H66" s="399">
        <v>0</v>
      </c>
      <c r="I66" s="398">
        <v>0</v>
      </c>
      <c r="J66" s="399">
        <v>0</v>
      </c>
      <c r="K66" s="398">
        <v>0</v>
      </c>
      <c r="L66" s="399">
        <v>0</v>
      </c>
      <c r="M66" s="400">
        <v>0</v>
      </c>
      <c r="N66" s="399">
        <v>0</v>
      </c>
      <c r="O66" s="398">
        <v>0</v>
      </c>
      <c r="P66" s="401">
        <v>0</v>
      </c>
      <c r="Q66" s="400">
        <v>0</v>
      </c>
      <c r="R66" s="388"/>
      <c r="S66" s="388"/>
      <c r="T66" s="388"/>
      <c r="U66" s="388"/>
      <c r="V66" s="388"/>
      <c r="W66" s="388"/>
    </row>
    <row r="67" spans="1:23">
      <c r="A67" s="381"/>
      <c r="B67" s="419" t="s">
        <v>566</v>
      </c>
      <c r="C67" s="439">
        <f t="shared" ref="C67:Q67" si="8">SUM(C65:C66)</f>
        <v>0</v>
      </c>
      <c r="D67" s="439">
        <f t="shared" si="8"/>
        <v>0</v>
      </c>
      <c r="E67" s="439">
        <f t="shared" si="8"/>
        <v>0</v>
      </c>
      <c r="F67" s="439">
        <f t="shared" si="8"/>
        <v>0</v>
      </c>
      <c r="G67" s="439">
        <f t="shared" si="8"/>
        <v>0</v>
      </c>
      <c r="H67" s="439">
        <f t="shared" si="8"/>
        <v>0</v>
      </c>
      <c r="I67" s="439">
        <f t="shared" si="8"/>
        <v>0</v>
      </c>
      <c r="J67" s="439">
        <f t="shared" si="8"/>
        <v>0</v>
      </c>
      <c r="K67" s="439">
        <f t="shared" si="8"/>
        <v>0</v>
      </c>
      <c r="L67" s="439">
        <f t="shared" si="8"/>
        <v>0</v>
      </c>
      <c r="M67" s="440">
        <f t="shared" si="8"/>
        <v>0</v>
      </c>
      <c r="N67" s="439">
        <f t="shared" si="8"/>
        <v>0</v>
      </c>
      <c r="O67" s="439">
        <f t="shared" si="8"/>
        <v>0</v>
      </c>
      <c r="P67" s="440">
        <f t="shared" si="8"/>
        <v>0</v>
      </c>
      <c r="Q67" s="440">
        <f t="shared" si="8"/>
        <v>0</v>
      </c>
      <c r="R67" s="388"/>
      <c r="S67" s="388"/>
      <c r="T67" s="388"/>
      <c r="U67" s="388"/>
      <c r="V67" s="388"/>
      <c r="W67" s="388"/>
    </row>
    <row r="68" spans="1:23">
      <c r="E68" s="442"/>
      <c r="I68" s="442"/>
      <c r="R68" s="388"/>
      <c r="S68" s="388"/>
      <c r="T68" s="388"/>
      <c r="U68" s="388"/>
      <c r="V68" s="388"/>
      <c r="W68" s="388"/>
    </row>
    <row r="69" spans="1:23">
      <c r="R69" s="388"/>
      <c r="S69" s="388"/>
      <c r="T69" s="388"/>
      <c r="U69" s="388"/>
      <c r="V69" s="388"/>
      <c r="W69" s="388"/>
    </row>
    <row r="70" spans="1:23">
      <c r="B70" s="444"/>
      <c r="C70" s="445"/>
      <c r="D70" s="445"/>
      <c r="E70" s="445"/>
      <c r="F70" s="445"/>
      <c r="G70" s="445"/>
      <c r="H70" s="445"/>
      <c r="I70" s="445"/>
      <c r="J70" s="445"/>
      <c r="K70" s="445"/>
      <c r="L70" s="445"/>
      <c r="M70" s="445"/>
      <c r="N70" s="445"/>
      <c r="O70" s="445"/>
      <c r="P70" s="445"/>
      <c r="Q70" s="445"/>
      <c r="R70" s="388"/>
      <c r="S70" s="388"/>
      <c r="T70" s="388"/>
      <c r="U70" s="388"/>
      <c r="V70" s="388"/>
      <c r="W70" s="388"/>
    </row>
    <row r="71" spans="1:23">
      <c r="B71" s="444"/>
      <c r="C71" s="445"/>
      <c r="D71" s="445"/>
      <c r="E71" s="445"/>
      <c r="F71" s="445"/>
      <c r="G71" s="445"/>
      <c r="H71" s="445"/>
      <c r="I71" s="445"/>
      <c r="J71" s="445"/>
      <c r="K71" s="445"/>
      <c r="L71" s="445"/>
      <c r="M71" s="445"/>
      <c r="N71" s="445"/>
      <c r="O71" s="445"/>
      <c r="P71" s="445"/>
      <c r="Q71" s="445"/>
      <c r="R71" s="388"/>
      <c r="S71" s="388"/>
      <c r="T71" s="388"/>
      <c r="U71" s="388"/>
      <c r="V71" s="388"/>
      <c r="W71" s="388"/>
    </row>
    <row r="72" spans="1:23">
      <c r="B72" s="444"/>
      <c r="C72" s="445"/>
      <c r="D72" s="445"/>
      <c r="E72" s="445"/>
      <c r="F72" s="445"/>
      <c r="G72" s="445"/>
      <c r="H72" s="445"/>
      <c r="I72" s="445"/>
      <c r="J72" s="445"/>
      <c r="K72" s="445"/>
      <c r="L72" s="445"/>
      <c r="M72" s="445"/>
      <c r="N72" s="445"/>
      <c r="O72" s="445"/>
      <c r="P72" s="445"/>
      <c r="Q72" s="445"/>
      <c r="R72" s="388"/>
      <c r="S72" s="388"/>
      <c r="T72" s="388"/>
      <c r="U72" s="388"/>
      <c r="V72" s="388"/>
      <c r="W72" s="388"/>
    </row>
    <row r="73" spans="1:23">
      <c r="R73" s="388"/>
      <c r="S73" s="388"/>
      <c r="T73" s="388"/>
      <c r="U73" s="388"/>
      <c r="V73" s="388"/>
      <c r="W73" s="388"/>
    </row>
    <row r="74" spans="1:23">
      <c r="R74" s="388"/>
      <c r="S74" s="388"/>
      <c r="T74" s="388"/>
      <c r="U74" s="388"/>
      <c r="V74" s="388"/>
      <c r="W74" s="388"/>
    </row>
    <row r="75" spans="1:23">
      <c r="R75" s="388"/>
      <c r="S75" s="388"/>
      <c r="T75" s="388"/>
      <c r="U75" s="388"/>
      <c r="V75" s="388"/>
      <c r="W75" s="388"/>
    </row>
    <row r="76" spans="1:23">
      <c r="R76" s="388"/>
      <c r="S76" s="388"/>
      <c r="T76" s="388"/>
      <c r="U76" s="388"/>
      <c r="V76" s="388"/>
      <c r="W76" s="388"/>
    </row>
    <row r="77" spans="1:23">
      <c r="R77" s="388"/>
      <c r="S77" s="388"/>
      <c r="T77" s="388"/>
      <c r="U77" s="388"/>
      <c r="V77" s="388"/>
      <c r="W77" s="388"/>
    </row>
  </sheetData>
  <pageMargins left="0.7" right="0.7" top="0.75" bottom="0.7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9"/>
  <sheetViews>
    <sheetView showGridLines="0" zoomScaleNormal="100" workbookViewId="0">
      <selection activeCell="A18" sqref="A18"/>
    </sheetView>
  </sheetViews>
  <sheetFormatPr defaultRowHeight="13.2"/>
  <cols>
    <col min="1" max="1" width="14.88671875" customWidth="1"/>
    <col min="3" max="3" width="11.33203125" bestFit="1" customWidth="1"/>
    <col min="4" max="4" width="112.44140625" customWidth="1"/>
    <col min="5" max="5" width="9.109375" style="656"/>
  </cols>
  <sheetData>
    <row r="1" spans="1:4">
      <c r="A1" s="204" t="s">
        <v>567</v>
      </c>
      <c r="B1" s="204"/>
    </row>
    <row r="3" spans="1:4" ht="27.6">
      <c r="A3" s="205" t="s">
        <v>538</v>
      </c>
      <c r="B3" s="206" t="s">
        <v>568</v>
      </c>
      <c r="C3" s="205" t="s">
        <v>569</v>
      </c>
      <c r="D3" s="206" t="s">
        <v>570</v>
      </c>
    </row>
    <row r="4" spans="1:4" ht="52.8">
      <c r="A4" s="639" t="s">
        <v>478</v>
      </c>
      <c r="B4" s="640" t="s">
        <v>571</v>
      </c>
      <c r="C4" s="641">
        <v>39896</v>
      </c>
      <c r="D4" s="642" t="s">
        <v>572</v>
      </c>
    </row>
    <row r="5" spans="1:4">
      <c r="A5" s="639" t="s">
        <v>481</v>
      </c>
      <c r="B5" s="640" t="s">
        <v>573</v>
      </c>
      <c r="C5" s="641">
        <v>39023</v>
      </c>
      <c r="D5" s="642" t="s">
        <v>574</v>
      </c>
    </row>
    <row r="6" spans="1:4" ht="52.8">
      <c r="A6" s="639" t="s">
        <v>484</v>
      </c>
      <c r="B6" s="640" t="s">
        <v>575</v>
      </c>
      <c r="C6" s="641">
        <v>39896</v>
      </c>
      <c r="D6" s="642" t="s">
        <v>576</v>
      </c>
    </row>
    <row r="7" spans="1:4" ht="52.8">
      <c r="A7" s="643" t="s">
        <v>487</v>
      </c>
      <c r="B7" s="640" t="s">
        <v>577</v>
      </c>
      <c r="C7" s="641">
        <v>41368</v>
      </c>
      <c r="D7" s="642" t="s">
        <v>578</v>
      </c>
    </row>
    <row r="8" spans="1:4" ht="26.4">
      <c r="A8" s="643" t="s">
        <v>490</v>
      </c>
      <c r="B8" s="640" t="s">
        <v>579</v>
      </c>
      <c r="C8" s="641">
        <v>39294</v>
      </c>
      <c r="D8" s="642" t="s">
        <v>580</v>
      </c>
    </row>
    <row r="9" spans="1:4" ht="26.4">
      <c r="A9" s="643" t="s">
        <v>493</v>
      </c>
      <c r="B9" s="640" t="s">
        <v>581</v>
      </c>
      <c r="C9" s="641">
        <v>40298</v>
      </c>
      <c r="D9" s="642" t="s">
        <v>582</v>
      </c>
    </row>
    <row r="10" spans="1:4">
      <c r="A10" s="643" t="s">
        <v>502</v>
      </c>
      <c r="B10" s="640">
        <v>5042</v>
      </c>
      <c r="C10" s="641">
        <v>40148</v>
      </c>
      <c r="D10" s="642" t="s">
        <v>583</v>
      </c>
    </row>
    <row r="11" spans="1:4">
      <c r="A11" s="643" t="s">
        <v>505</v>
      </c>
      <c r="B11" s="640">
        <v>4913</v>
      </c>
      <c r="C11" s="641">
        <v>40298</v>
      </c>
      <c r="D11" s="642" t="s">
        <v>584</v>
      </c>
    </row>
    <row r="12" spans="1:4">
      <c r="A12" s="643" t="s">
        <v>496</v>
      </c>
      <c r="B12" s="640">
        <v>3831</v>
      </c>
      <c r="C12" s="641">
        <v>40436</v>
      </c>
      <c r="D12" s="642" t="s">
        <v>585</v>
      </c>
    </row>
    <row r="13" spans="1:4" ht="26.4">
      <c r="A13" s="643" t="s">
        <v>514</v>
      </c>
      <c r="B13" s="640" t="s">
        <v>586</v>
      </c>
      <c r="C13" s="641">
        <v>41460</v>
      </c>
      <c r="D13" s="642" t="s">
        <v>587</v>
      </c>
    </row>
    <row r="14" spans="1:4">
      <c r="A14" s="643" t="s">
        <v>499</v>
      </c>
      <c r="B14" s="640">
        <v>5068</v>
      </c>
      <c r="C14" s="641">
        <v>41480</v>
      </c>
      <c r="D14" s="644" t="s">
        <v>588</v>
      </c>
    </row>
    <row r="15" spans="1:4" ht="26.4">
      <c r="A15" s="645" t="s">
        <v>508</v>
      </c>
      <c r="B15" s="646" t="s">
        <v>589</v>
      </c>
      <c r="C15" s="647">
        <v>41460</v>
      </c>
      <c r="D15" s="648" t="s">
        <v>590</v>
      </c>
    </row>
    <row r="16" spans="1:4">
      <c r="A16" s="643" t="s">
        <v>511</v>
      </c>
      <c r="B16" s="640">
        <v>5476</v>
      </c>
      <c r="C16" s="641">
        <v>41460</v>
      </c>
      <c r="D16" s="644" t="s">
        <v>591</v>
      </c>
    </row>
    <row r="17" spans="1:4" ht="52.8">
      <c r="A17" s="643" t="s">
        <v>517</v>
      </c>
      <c r="B17" s="649" t="s">
        <v>592</v>
      </c>
      <c r="C17" s="641">
        <v>41460</v>
      </c>
      <c r="D17" s="644" t="s">
        <v>593</v>
      </c>
    </row>
    <row r="18" spans="1:4" ht="26.4">
      <c r="A18" s="643" t="s">
        <v>520</v>
      </c>
      <c r="B18" s="651" t="s">
        <v>594</v>
      </c>
      <c r="C18" s="661">
        <v>43077</v>
      </c>
      <c r="D18" s="652" t="s">
        <v>595</v>
      </c>
    </row>
    <row r="19" spans="1:4">
      <c r="A19" s="207"/>
      <c r="B19" s="207"/>
      <c r="C19" s="207"/>
      <c r="D19" s="207"/>
    </row>
    <row r="20" spans="1:4">
      <c r="A20" s="207"/>
      <c r="B20" s="207"/>
      <c r="C20" s="207"/>
      <c r="D20" s="207"/>
    </row>
    <row r="21" spans="1:4">
      <c r="A21" s="207"/>
      <c r="B21" s="207"/>
      <c r="C21" s="207"/>
      <c r="D21" s="207"/>
    </row>
    <row r="22" spans="1:4">
      <c r="A22" s="207"/>
      <c r="B22" s="207"/>
      <c r="C22" s="207"/>
      <c r="D22" s="207"/>
    </row>
    <row r="23" spans="1:4">
      <c r="A23" s="207"/>
      <c r="B23" s="207"/>
      <c r="C23" s="207"/>
      <c r="D23" s="207"/>
    </row>
    <row r="24" spans="1:4">
      <c r="A24" s="207"/>
      <c r="B24" s="207"/>
      <c r="C24" s="207"/>
      <c r="D24" s="207"/>
    </row>
    <row r="25" spans="1:4">
      <c r="A25" s="207"/>
      <c r="B25" s="207"/>
      <c r="C25" s="207"/>
      <c r="D25" s="207"/>
    </row>
    <row r="26" spans="1:4">
      <c r="A26" s="207"/>
      <c r="B26" s="207"/>
      <c r="C26" s="207"/>
      <c r="D26" s="207"/>
    </row>
    <row r="27" spans="1:4">
      <c r="A27" s="207"/>
      <c r="B27" s="207"/>
      <c r="C27" s="207"/>
      <c r="D27" s="207"/>
    </row>
    <row r="28" spans="1:4">
      <c r="A28" s="207"/>
      <c r="B28" s="207"/>
      <c r="C28" s="207"/>
      <c r="D28" s="207"/>
    </row>
    <row r="29" spans="1:4">
      <c r="A29" s="207"/>
      <c r="B29" s="207"/>
      <c r="C29" s="207"/>
      <c r="D29" s="207"/>
    </row>
    <row r="30" spans="1:4">
      <c r="A30" s="207"/>
      <c r="B30" s="207"/>
      <c r="C30" s="207"/>
      <c r="D30" s="207"/>
    </row>
    <row r="31" spans="1:4">
      <c r="A31" s="207"/>
      <c r="B31" s="207"/>
      <c r="C31" s="207"/>
      <c r="D31" s="207"/>
    </row>
    <row r="32" spans="1:4">
      <c r="A32" s="207"/>
      <c r="B32" s="207"/>
      <c r="C32" s="207"/>
      <c r="D32" s="207"/>
    </row>
    <row r="33" spans="1:4">
      <c r="A33" s="207"/>
      <c r="B33" s="207"/>
      <c r="C33" s="207"/>
      <c r="D33" s="207"/>
    </row>
    <row r="34" spans="1:4">
      <c r="A34" s="207"/>
      <c r="B34" s="207"/>
      <c r="C34" s="207"/>
      <c r="D34" s="207"/>
    </row>
    <row r="35" spans="1:4">
      <c r="A35" s="207"/>
      <c r="B35" s="207"/>
      <c r="C35" s="207"/>
      <c r="D35" s="207"/>
    </row>
    <row r="36" spans="1:4">
      <c r="A36" s="207"/>
      <c r="B36" s="207"/>
      <c r="C36" s="207"/>
      <c r="D36" s="207"/>
    </row>
    <row r="37" spans="1:4">
      <c r="A37" s="207"/>
      <c r="B37" s="207"/>
      <c r="C37" s="207"/>
      <c r="D37" s="207"/>
    </row>
    <row r="38" spans="1:4">
      <c r="A38" s="207"/>
      <c r="B38" s="207"/>
      <c r="C38" s="207"/>
      <c r="D38" s="207"/>
    </row>
    <row r="39" spans="1:4">
      <c r="A39" s="207"/>
      <c r="B39" s="207"/>
      <c r="C39" s="207"/>
      <c r="D39" s="207"/>
    </row>
  </sheetData>
  <pageMargins left="0.7" right="0.7" top="0.75" bottom="0.75" header="0.3" footer="0.3"/>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R314"/>
  <sheetViews>
    <sheetView showGridLines="0" zoomScale="70" zoomScaleNormal="70" workbookViewId="0">
      <selection activeCell="R74" sqref="R74:R75"/>
    </sheetView>
  </sheetViews>
  <sheetFormatPr defaultColWidth="9.109375" defaultRowHeight="15"/>
  <cols>
    <col min="1" max="1" width="7.6640625" style="232" customWidth="1"/>
    <col min="2" max="2" width="1.88671875" style="232" customWidth="1"/>
    <col min="3" max="3" width="68.5546875" style="232" customWidth="1"/>
    <col min="4" max="4" width="17.88671875" style="232" customWidth="1"/>
    <col min="5" max="5" width="17.109375" style="232" bestFit="1" customWidth="1"/>
    <col min="6" max="6" width="16.5546875" style="232" customWidth="1"/>
    <col min="7" max="7" width="17.44140625" style="232" customWidth="1"/>
    <col min="8" max="8" width="18.5546875" style="232" customWidth="1"/>
    <col min="9" max="9" width="18.6640625" style="232" customWidth="1"/>
    <col min="10" max="10" width="18.109375" style="232" customWidth="1"/>
    <col min="11" max="11" width="15.6640625" style="232" customWidth="1"/>
    <col min="12" max="12" width="15.88671875" style="232" customWidth="1"/>
    <col min="13" max="13" width="16.33203125" style="232" customWidth="1"/>
    <col min="14" max="14" width="16.44140625" style="232" customWidth="1"/>
    <col min="15" max="16" width="16" style="232" customWidth="1"/>
    <col min="17" max="17" width="20.5546875" style="232" customWidth="1"/>
    <col min="18" max="18" width="15.88671875" style="232" customWidth="1"/>
    <col min="19" max="19" width="17.88671875" style="232" customWidth="1"/>
    <col min="20" max="20" width="2.44140625" style="232" customWidth="1"/>
    <col min="21" max="21" width="16.6640625" style="232" customWidth="1"/>
    <col min="22" max="16384" width="9.109375" style="232"/>
  </cols>
  <sheetData>
    <row r="1" spans="1:70">
      <c r="S1" s="233"/>
    </row>
    <row r="2" spans="1:70">
      <c r="S2" s="233"/>
    </row>
    <row r="4" spans="1:70">
      <c r="I4" s="234"/>
      <c r="J4" s="234"/>
      <c r="K4" s="234"/>
      <c r="L4" s="234"/>
      <c r="M4" s="234"/>
      <c r="S4" s="235" t="s">
        <v>596</v>
      </c>
    </row>
    <row r="5" spans="1:70">
      <c r="C5" s="236" t="s">
        <v>399</v>
      </c>
      <c r="D5" s="236"/>
      <c r="E5" s="236"/>
      <c r="F5" s="236"/>
      <c r="G5" s="236"/>
      <c r="H5" s="236"/>
      <c r="I5" s="236"/>
      <c r="J5" s="237" t="s">
        <v>400</v>
      </c>
      <c r="K5" s="237"/>
      <c r="L5" s="236"/>
      <c r="M5" s="236"/>
      <c r="N5" s="236"/>
      <c r="O5" s="238"/>
      <c r="P5" s="238"/>
      <c r="R5" s="342"/>
      <c r="S5" s="343" t="s">
        <v>401</v>
      </c>
      <c r="T5" s="242"/>
      <c r="U5" s="243"/>
      <c r="V5" s="243"/>
      <c r="W5" s="242"/>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row>
    <row r="6" spans="1:70">
      <c r="C6" s="236"/>
      <c r="D6" s="236"/>
      <c r="E6" s="236"/>
      <c r="F6" s="236"/>
      <c r="G6" s="236"/>
      <c r="H6" s="244" t="s">
        <v>11</v>
      </c>
      <c r="I6" s="244"/>
      <c r="J6" s="244" t="s">
        <v>402</v>
      </c>
      <c r="K6" s="244"/>
      <c r="L6" s="244"/>
      <c r="M6" s="244"/>
      <c r="N6" s="244"/>
      <c r="O6" s="238"/>
      <c r="P6" s="238"/>
      <c r="R6" s="245"/>
      <c r="S6" s="238"/>
      <c r="T6" s="242"/>
      <c r="U6" s="246"/>
      <c r="V6" s="243"/>
      <c r="W6" s="242"/>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row>
    <row r="7" spans="1:70">
      <c r="C7" s="245"/>
      <c r="D7" s="245"/>
      <c r="E7" s="245"/>
      <c r="F7" s="245"/>
      <c r="G7" s="245"/>
      <c r="H7" s="245"/>
      <c r="I7" s="245"/>
      <c r="J7" s="245"/>
      <c r="K7" s="245"/>
      <c r="L7" s="245"/>
      <c r="M7" s="245"/>
      <c r="N7" s="245"/>
      <c r="O7" s="245"/>
      <c r="P7" s="245"/>
      <c r="R7" s="245"/>
      <c r="S7" s="245" t="s">
        <v>403</v>
      </c>
      <c r="T7" s="242"/>
      <c r="U7" s="243"/>
      <c r="V7" s="243"/>
      <c r="W7" s="242"/>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row>
    <row r="8" spans="1:70">
      <c r="A8" s="291"/>
      <c r="C8" s="245"/>
      <c r="D8" s="245"/>
      <c r="E8" s="245"/>
      <c r="F8" s="245"/>
      <c r="G8" s="245"/>
      <c r="H8" s="245"/>
      <c r="I8" s="245"/>
      <c r="J8" s="344" t="s">
        <v>0</v>
      </c>
      <c r="K8" s="252"/>
      <c r="L8" s="245"/>
      <c r="M8" s="245"/>
      <c r="N8" s="245"/>
      <c r="O8" s="245"/>
      <c r="P8" s="245"/>
      <c r="Q8" s="245"/>
      <c r="R8" s="245"/>
      <c r="S8" s="245"/>
      <c r="T8" s="242"/>
      <c r="U8" s="243"/>
      <c r="V8" s="243"/>
      <c r="W8" s="242"/>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row>
    <row r="9" spans="1:70">
      <c r="A9" s="291"/>
      <c r="C9" s="245"/>
      <c r="D9" s="245"/>
      <c r="E9" s="245"/>
      <c r="F9" s="245"/>
      <c r="G9" s="245"/>
      <c r="H9" s="245"/>
      <c r="I9" s="245"/>
      <c r="J9" s="249"/>
      <c r="K9" s="249"/>
      <c r="L9" s="245"/>
      <c r="M9" s="245"/>
      <c r="N9" s="245"/>
      <c r="O9" s="245"/>
      <c r="P9" s="245"/>
      <c r="Q9" s="245"/>
      <c r="R9" s="245"/>
      <c r="S9" s="245"/>
      <c r="T9" s="242"/>
      <c r="U9" s="243"/>
      <c r="V9" s="243"/>
      <c r="W9" s="242"/>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row>
    <row r="10" spans="1:70">
      <c r="A10" s="291"/>
      <c r="C10" s="245" t="s">
        <v>404</v>
      </c>
      <c r="D10" s="245"/>
      <c r="E10" s="245"/>
      <c r="F10" s="245"/>
      <c r="G10" s="245"/>
      <c r="H10" s="245"/>
      <c r="I10" s="245"/>
      <c r="J10" s="249"/>
      <c r="K10" s="249"/>
      <c r="L10" s="245"/>
      <c r="M10" s="245"/>
      <c r="N10" s="245"/>
      <c r="O10" s="245"/>
      <c r="P10" s="245"/>
      <c r="Q10" s="245"/>
      <c r="R10" s="245"/>
      <c r="S10" s="245"/>
      <c r="T10" s="242"/>
      <c r="U10" s="243"/>
      <c r="V10" s="243"/>
      <c r="W10" s="242"/>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row>
    <row r="11" spans="1:70">
      <c r="A11" s="291"/>
      <c r="C11" s="245" t="s">
        <v>597</v>
      </c>
      <c r="D11" s="245"/>
      <c r="E11" s="245"/>
      <c r="F11" s="245"/>
      <c r="G11" s="245"/>
      <c r="H11" s="245"/>
      <c r="I11" s="245"/>
      <c r="J11" s="249"/>
      <c r="K11" s="249"/>
      <c r="Q11" s="245"/>
      <c r="R11" s="245"/>
      <c r="S11" s="245"/>
      <c r="T11" s="242"/>
      <c r="U11" s="242"/>
      <c r="V11" s="242"/>
      <c r="W11" s="242"/>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row>
    <row r="12" spans="1:70">
      <c r="A12" s="291"/>
      <c r="C12" s="245"/>
      <c r="D12" s="245"/>
      <c r="E12" s="245"/>
      <c r="F12" s="245"/>
      <c r="G12" s="245"/>
      <c r="H12" s="245"/>
      <c r="I12" s="245"/>
      <c r="J12" s="245"/>
      <c r="K12" s="245"/>
      <c r="Q12" s="250"/>
      <c r="R12" s="245"/>
      <c r="S12" s="245"/>
      <c r="T12" s="242"/>
      <c r="U12" s="242"/>
      <c r="V12" s="242"/>
      <c r="W12" s="242"/>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row>
    <row r="13" spans="1:70">
      <c r="C13" s="251" t="s">
        <v>69</v>
      </c>
      <c r="D13" s="251"/>
      <c r="E13" s="251"/>
      <c r="F13" s="251"/>
      <c r="G13" s="251"/>
      <c r="H13" s="251" t="s">
        <v>70</v>
      </c>
      <c r="I13" s="251"/>
      <c r="J13" s="251" t="s">
        <v>71</v>
      </c>
      <c r="K13" s="251"/>
      <c r="L13" s="252" t="s">
        <v>72</v>
      </c>
      <c r="R13" s="244"/>
      <c r="S13" s="252"/>
      <c r="T13" s="253"/>
      <c r="U13" s="252"/>
      <c r="V13" s="253"/>
      <c r="W13" s="25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row>
    <row r="14" spans="1:70" ht="15.6">
      <c r="C14" s="255"/>
      <c r="D14" s="255"/>
      <c r="E14" s="255"/>
      <c r="F14" s="255"/>
      <c r="G14" s="255"/>
      <c r="H14" s="256" t="s">
        <v>405</v>
      </c>
      <c r="I14" s="256"/>
      <c r="J14" s="244"/>
      <c r="K14" s="244"/>
      <c r="R14" s="244"/>
      <c r="T14" s="253"/>
      <c r="U14" s="257"/>
      <c r="V14" s="257"/>
      <c r="W14" s="25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row>
    <row r="15" spans="1:70" ht="15.6">
      <c r="A15" s="291" t="s">
        <v>15</v>
      </c>
      <c r="C15" s="255"/>
      <c r="D15" s="255"/>
      <c r="E15" s="255"/>
      <c r="F15" s="255"/>
      <c r="G15" s="255"/>
      <c r="H15" s="258" t="s">
        <v>76</v>
      </c>
      <c r="I15" s="258"/>
      <c r="J15" s="259" t="s">
        <v>75</v>
      </c>
      <c r="K15" s="259"/>
      <c r="L15" s="259" t="s">
        <v>23</v>
      </c>
      <c r="R15" s="244"/>
      <c r="T15" s="242"/>
      <c r="U15" s="260"/>
      <c r="V15" s="257"/>
      <c r="W15" s="25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row>
    <row r="16" spans="1:70" ht="15.6">
      <c r="A16" s="291" t="s">
        <v>17</v>
      </c>
      <c r="C16" s="261"/>
      <c r="D16" s="261"/>
      <c r="E16" s="261"/>
      <c r="F16" s="261"/>
      <c r="G16" s="261"/>
      <c r="H16" s="244"/>
      <c r="I16" s="244"/>
      <c r="J16" s="244"/>
      <c r="K16" s="244"/>
      <c r="L16" s="244"/>
      <c r="R16" s="244"/>
      <c r="S16" s="244"/>
      <c r="T16" s="242"/>
      <c r="U16" s="253"/>
      <c r="V16" s="253"/>
      <c r="W16" s="25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row>
    <row r="17" spans="1:70" ht="15.6">
      <c r="A17" s="262"/>
      <c r="C17" s="255"/>
      <c r="D17" s="255"/>
      <c r="E17" s="255"/>
      <c r="F17" s="255"/>
      <c r="G17" s="255"/>
      <c r="H17" s="244"/>
      <c r="I17" s="244"/>
      <c r="J17" s="244"/>
      <c r="K17" s="244"/>
      <c r="L17" s="244"/>
      <c r="R17" s="244"/>
      <c r="S17" s="244"/>
      <c r="T17" s="242"/>
      <c r="U17" s="253"/>
      <c r="V17" s="253"/>
      <c r="W17" s="25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row>
    <row r="18" spans="1:70">
      <c r="A18" s="263">
        <v>1</v>
      </c>
      <c r="C18" s="255" t="s">
        <v>406</v>
      </c>
      <c r="D18" s="255"/>
      <c r="E18" s="255"/>
      <c r="F18" s="255"/>
      <c r="G18" s="255"/>
      <c r="H18" s="264" t="s">
        <v>598</v>
      </c>
      <c r="I18" s="264"/>
      <c r="J18" s="345">
        <f>'ATC Attach O ER19-838'!I87+'ATC Attach O ER19-838'!I88</f>
        <v>5773231258</v>
      </c>
      <c r="K18" s="244"/>
      <c r="R18" s="244"/>
      <c r="S18" s="244"/>
      <c r="T18" s="242"/>
      <c r="U18" s="253"/>
      <c r="V18" s="253"/>
      <c r="W18" s="25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row>
    <row r="19" spans="1:70">
      <c r="A19" s="263" t="s">
        <v>150</v>
      </c>
      <c r="C19" s="255" t="s">
        <v>599</v>
      </c>
      <c r="D19" s="255"/>
      <c r="E19" s="255"/>
      <c r="F19" s="255"/>
      <c r="G19" s="255"/>
      <c r="H19" s="264" t="s">
        <v>600</v>
      </c>
      <c r="I19" s="264"/>
      <c r="J19" s="346">
        <f>'ATC Attach O ER19-838'!I96+'ATC Attach O ER19-838'!I97</f>
        <v>1470289972</v>
      </c>
      <c r="K19" s="347"/>
      <c r="R19" s="244"/>
      <c r="S19" s="244"/>
      <c r="T19" s="242"/>
      <c r="U19" s="253"/>
      <c r="V19" s="253"/>
      <c r="W19" s="25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row>
    <row r="20" spans="1:70">
      <c r="A20" s="263">
        <v>2</v>
      </c>
      <c r="C20" s="255" t="s">
        <v>408</v>
      </c>
      <c r="D20" s="255"/>
      <c r="E20" s="255"/>
      <c r="F20" s="255"/>
      <c r="G20" s="255"/>
      <c r="H20" s="264" t="s">
        <v>601</v>
      </c>
      <c r="I20" s="264"/>
      <c r="J20" s="348">
        <f>J18-J19</f>
        <v>4302941286</v>
      </c>
      <c r="K20" s="349"/>
      <c r="R20" s="244"/>
      <c r="S20" s="244"/>
      <c r="T20" s="242"/>
      <c r="U20" s="253"/>
      <c r="V20" s="253"/>
      <c r="W20" s="25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row>
    <row r="21" spans="1:70">
      <c r="A21" s="263"/>
      <c r="C21" s="234"/>
      <c r="D21" s="234"/>
      <c r="E21" s="234"/>
      <c r="F21" s="234"/>
      <c r="G21" s="234"/>
      <c r="H21" s="264"/>
      <c r="I21" s="264"/>
      <c r="R21" s="244"/>
      <c r="S21" s="244"/>
      <c r="T21" s="242"/>
      <c r="U21" s="253"/>
      <c r="V21" s="253"/>
      <c r="W21" s="25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row>
    <row r="22" spans="1:70">
      <c r="A22" s="263"/>
      <c r="C22" s="255" t="s">
        <v>602</v>
      </c>
      <c r="D22" s="255"/>
      <c r="E22" s="255"/>
      <c r="F22" s="255"/>
      <c r="G22" s="255"/>
      <c r="H22" s="264"/>
      <c r="I22" s="264"/>
      <c r="J22" s="244"/>
      <c r="K22" s="244"/>
      <c r="L22" s="244"/>
      <c r="R22" s="244"/>
      <c r="S22" s="244"/>
      <c r="T22" s="253"/>
      <c r="U22" s="253"/>
      <c r="V22" s="253"/>
      <c r="W22" s="25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row>
    <row r="23" spans="1:70">
      <c r="A23" s="263">
        <v>3</v>
      </c>
      <c r="C23" s="255" t="s">
        <v>411</v>
      </c>
      <c r="D23" s="255"/>
      <c r="E23" s="255"/>
      <c r="F23" s="255"/>
      <c r="G23" s="255"/>
      <c r="H23" s="264" t="s">
        <v>412</v>
      </c>
      <c r="I23" s="264"/>
      <c r="J23" s="345">
        <f>'ATC Attach O ER19-838'!I165</f>
        <v>147867544.3292425</v>
      </c>
      <c r="K23" s="244"/>
      <c r="R23" s="244"/>
      <c r="S23" s="244"/>
      <c r="T23" s="253"/>
      <c r="U23" s="253"/>
      <c r="V23" s="253"/>
      <c r="W23" s="25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row>
    <row r="24" spans="1:70">
      <c r="A24" s="263" t="s">
        <v>413</v>
      </c>
      <c r="C24" s="255" t="s">
        <v>603</v>
      </c>
      <c r="D24" s="255"/>
      <c r="E24" s="255"/>
      <c r="F24" s="255"/>
      <c r="G24" s="255"/>
      <c r="H24" s="264" t="s">
        <v>604</v>
      </c>
      <c r="I24" s="264"/>
      <c r="J24" s="345">
        <f>'ATC Attach O ER19-838'!I156</f>
        <v>105766918</v>
      </c>
      <c r="K24" s="244"/>
      <c r="R24" s="244"/>
      <c r="S24" s="244"/>
      <c r="T24" s="253"/>
      <c r="U24" s="253"/>
      <c r="V24" s="253"/>
      <c r="W24" s="25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row>
    <row r="25" spans="1:70">
      <c r="A25" s="263"/>
      <c r="C25" s="255"/>
      <c r="D25" s="255"/>
      <c r="E25" s="255"/>
      <c r="F25" s="255"/>
      <c r="G25" s="255"/>
      <c r="H25" s="264" t="s">
        <v>605</v>
      </c>
      <c r="I25" s="264"/>
      <c r="J25" s="345"/>
      <c r="K25" s="244"/>
      <c r="R25" s="244"/>
      <c r="S25" s="244"/>
      <c r="T25" s="253"/>
      <c r="U25" s="253"/>
      <c r="V25" s="253"/>
      <c r="W25" s="25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row>
    <row r="26" spans="1:70" s="266" customFormat="1">
      <c r="A26" s="263" t="s">
        <v>606</v>
      </c>
      <c r="C26" s="255" t="s">
        <v>607</v>
      </c>
      <c r="D26" s="255"/>
      <c r="E26" s="255"/>
      <c r="F26" s="255"/>
      <c r="G26" s="255"/>
      <c r="H26" s="264" t="s">
        <v>608</v>
      </c>
      <c r="I26" s="264"/>
      <c r="J26" s="345">
        <v>6351874</v>
      </c>
      <c r="K26" s="350"/>
      <c r="R26" s="350"/>
      <c r="S26" s="350"/>
      <c r="T26" s="351"/>
      <c r="U26" s="351"/>
      <c r="V26" s="351"/>
      <c r="W26" s="352"/>
    </row>
    <row r="27" spans="1:70">
      <c r="A27" s="263" t="s">
        <v>416</v>
      </c>
      <c r="C27" s="255" t="s">
        <v>609</v>
      </c>
      <c r="D27" s="255"/>
      <c r="E27" s="255"/>
      <c r="F27" s="255"/>
      <c r="G27" s="255"/>
      <c r="H27" s="264" t="s">
        <v>610</v>
      </c>
      <c r="I27" s="264"/>
      <c r="J27" s="345">
        <v>0</v>
      </c>
      <c r="K27" s="244"/>
      <c r="R27" s="244"/>
      <c r="S27" s="244"/>
      <c r="T27" s="253"/>
      <c r="U27" s="253"/>
      <c r="V27" s="253"/>
      <c r="W27" s="25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row>
    <row r="28" spans="1:70">
      <c r="A28" s="263" t="s">
        <v>611</v>
      </c>
      <c r="C28" s="255" t="s">
        <v>612</v>
      </c>
      <c r="D28" s="255"/>
      <c r="E28" s="255"/>
      <c r="F28" s="255"/>
      <c r="G28" s="255"/>
      <c r="H28" s="264" t="s">
        <v>613</v>
      </c>
      <c r="I28" s="264"/>
      <c r="J28" s="346">
        <v>0</v>
      </c>
      <c r="K28" s="347"/>
      <c r="R28" s="244"/>
      <c r="S28" s="244"/>
      <c r="T28" s="253"/>
      <c r="U28" s="253"/>
      <c r="V28" s="253"/>
      <c r="W28" s="25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row>
    <row r="29" spans="1:70">
      <c r="A29" s="353" t="s">
        <v>614</v>
      </c>
      <c r="C29" s="255" t="s">
        <v>615</v>
      </c>
      <c r="D29" s="255"/>
      <c r="E29" s="255"/>
      <c r="F29" s="255"/>
      <c r="G29" s="255"/>
      <c r="H29" s="264" t="s">
        <v>616</v>
      </c>
      <c r="I29" s="264"/>
      <c r="J29" s="348">
        <f>J24-(J26+J27+J28)</f>
        <v>99415044</v>
      </c>
      <c r="K29" s="244"/>
      <c r="R29" s="244"/>
      <c r="S29" s="244"/>
      <c r="T29" s="253"/>
      <c r="U29" s="253"/>
      <c r="V29" s="253"/>
      <c r="W29" s="25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row>
    <row r="30" spans="1:70">
      <c r="A30" s="353"/>
      <c r="C30" s="255"/>
      <c r="D30" s="255"/>
      <c r="E30" s="255"/>
      <c r="F30" s="255"/>
      <c r="G30" s="255"/>
      <c r="H30" s="264"/>
      <c r="I30" s="264"/>
      <c r="J30" s="244"/>
      <c r="K30" s="244"/>
      <c r="R30" s="244"/>
      <c r="S30" s="244"/>
      <c r="T30" s="253"/>
      <c r="U30" s="253"/>
      <c r="V30" s="253"/>
      <c r="W30" s="25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row>
    <row r="31" spans="1:70" ht="15.6">
      <c r="A31" s="353">
        <v>4</v>
      </c>
      <c r="C31" s="261" t="s">
        <v>617</v>
      </c>
      <c r="D31" s="261"/>
      <c r="E31" s="261"/>
      <c r="F31" s="261"/>
      <c r="G31" s="255"/>
      <c r="H31" s="264" t="s">
        <v>618</v>
      </c>
      <c r="I31" s="264"/>
      <c r="J31" s="271">
        <f>IF(J29=0,0,J29/J19)</f>
        <v>6.7615943720794144E-2</v>
      </c>
      <c r="K31" s="271"/>
      <c r="L31" s="354">
        <f>J31</f>
        <v>6.7615943720794144E-2</v>
      </c>
      <c r="R31" s="244"/>
      <c r="S31" s="244"/>
      <c r="T31" s="253"/>
      <c r="U31" s="253"/>
      <c r="V31" s="253"/>
      <c r="W31" s="25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1:70">
      <c r="A32" s="353"/>
      <c r="C32" s="255"/>
      <c r="D32" s="255"/>
      <c r="E32" s="255"/>
      <c r="F32" s="255"/>
      <c r="G32" s="255"/>
      <c r="H32" s="264"/>
      <c r="I32" s="264"/>
      <c r="J32" s="244"/>
      <c r="K32" s="244"/>
      <c r="R32" s="244"/>
      <c r="S32" s="244"/>
      <c r="T32" s="253"/>
      <c r="U32" s="253"/>
      <c r="V32" s="253"/>
      <c r="W32" s="25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1:70">
      <c r="A33" s="353"/>
      <c r="C33" s="255"/>
      <c r="D33" s="255"/>
      <c r="E33" s="255"/>
      <c r="F33" s="255"/>
      <c r="G33" s="255"/>
      <c r="H33" s="264"/>
      <c r="I33" s="264"/>
      <c r="J33" s="244"/>
      <c r="K33" s="244"/>
      <c r="R33" s="244"/>
      <c r="S33" s="244"/>
      <c r="T33" s="253"/>
      <c r="U33" s="253"/>
      <c r="V33" s="253"/>
      <c r="W33" s="25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1:70" ht="15.6">
      <c r="A34" s="353"/>
      <c r="C34" s="255" t="s">
        <v>619</v>
      </c>
      <c r="D34" s="255"/>
      <c r="E34" s="255"/>
      <c r="F34" s="255"/>
      <c r="G34" s="255"/>
      <c r="H34" s="264"/>
      <c r="I34" s="264"/>
      <c r="J34" s="269"/>
      <c r="K34" s="269"/>
      <c r="L34" s="355"/>
      <c r="R34" s="244"/>
      <c r="S34" s="271"/>
      <c r="T34" s="272"/>
      <c r="U34" s="273"/>
      <c r="V34" s="253"/>
      <c r="W34" s="25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row>
    <row r="35" spans="1:70" ht="15.6">
      <c r="A35" s="353" t="s">
        <v>620</v>
      </c>
      <c r="C35" s="255" t="s">
        <v>621</v>
      </c>
      <c r="D35" s="255"/>
      <c r="E35" s="255"/>
      <c r="F35" s="255"/>
      <c r="G35" s="255"/>
      <c r="H35" s="264" t="s">
        <v>622</v>
      </c>
      <c r="I35" s="264"/>
      <c r="J35" s="356">
        <f>J23-J29-J26</f>
        <v>42100626.329242498</v>
      </c>
      <c r="K35" s="269"/>
      <c r="L35" s="355"/>
      <c r="R35" s="244"/>
      <c r="S35" s="271"/>
      <c r="T35" s="272"/>
      <c r="U35" s="273"/>
      <c r="V35" s="253"/>
      <c r="W35" s="25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row>
    <row r="36" spans="1:70" ht="15.6">
      <c r="A36" s="353" t="s">
        <v>623</v>
      </c>
      <c r="C36" s="255" t="s">
        <v>624</v>
      </c>
      <c r="D36" s="255"/>
      <c r="E36" s="255"/>
      <c r="F36" s="255"/>
      <c r="G36" s="255"/>
      <c r="H36" s="264" t="s">
        <v>625</v>
      </c>
      <c r="I36" s="264"/>
      <c r="J36" s="269">
        <f>IF(J35=0,0,J35/J18)</f>
        <v>7.2923852255014753E-3</v>
      </c>
      <c r="K36" s="269"/>
      <c r="L36" s="355">
        <f>J36</f>
        <v>7.2923852255014753E-3</v>
      </c>
      <c r="R36" s="244"/>
      <c r="S36" s="271"/>
      <c r="T36" s="272"/>
      <c r="U36" s="273"/>
      <c r="V36" s="253"/>
      <c r="W36" s="25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row>
    <row r="37" spans="1:70" ht="15.6">
      <c r="A37" s="353"/>
      <c r="C37" s="255"/>
      <c r="D37" s="255"/>
      <c r="E37" s="255"/>
      <c r="F37" s="255"/>
      <c r="G37" s="255"/>
      <c r="H37" s="264"/>
      <c r="I37" s="264"/>
      <c r="J37" s="269"/>
      <c r="K37" s="269"/>
      <c r="L37" s="355"/>
      <c r="R37" s="244"/>
      <c r="S37" s="271"/>
      <c r="T37" s="272"/>
      <c r="U37" s="273"/>
      <c r="V37" s="253"/>
      <c r="W37" s="25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row>
    <row r="38" spans="1:70" ht="15.6">
      <c r="A38" s="274"/>
      <c r="B38" s="234"/>
      <c r="C38" s="255" t="s">
        <v>421</v>
      </c>
      <c r="D38" s="255"/>
      <c r="E38" s="255"/>
      <c r="F38" s="255"/>
      <c r="G38" s="255"/>
      <c r="H38" s="275"/>
      <c r="I38" s="275"/>
      <c r="J38" s="244"/>
      <c r="K38" s="244"/>
      <c r="L38" s="244"/>
      <c r="N38" s="234"/>
      <c r="O38" s="234"/>
      <c r="P38" s="234"/>
      <c r="R38" s="244"/>
      <c r="S38" s="271"/>
      <c r="T38" s="272"/>
      <c r="U38" s="273"/>
      <c r="V38" s="253"/>
      <c r="W38" s="25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row>
    <row r="39" spans="1:70" ht="15.6">
      <c r="A39" s="274" t="s">
        <v>422</v>
      </c>
      <c r="B39" s="234"/>
      <c r="C39" s="255" t="s">
        <v>423</v>
      </c>
      <c r="D39" s="255"/>
      <c r="E39" s="255"/>
      <c r="F39" s="255"/>
      <c r="G39" s="255"/>
      <c r="H39" s="264" t="s">
        <v>424</v>
      </c>
      <c r="I39" s="264"/>
      <c r="J39" s="345">
        <f>'ATC Attach O ER19-838'!I169+'ATC Attach O ER19-838'!I170</f>
        <v>16219952</v>
      </c>
      <c r="K39" s="244"/>
      <c r="L39" s="234"/>
      <c r="N39" s="234"/>
      <c r="O39" s="234"/>
      <c r="P39" s="234"/>
      <c r="R39" s="244"/>
      <c r="S39" s="271"/>
      <c r="T39" s="272"/>
      <c r="U39" s="273"/>
      <c r="V39" s="253"/>
      <c r="W39" s="25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row>
    <row r="40" spans="1:70" ht="15.6">
      <c r="A40" s="274" t="s">
        <v>425</v>
      </c>
      <c r="B40" s="234"/>
      <c r="C40" s="255" t="s">
        <v>426</v>
      </c>
      <c r="D40" s="255"/>
      <c r="E40" s="255"/>
      <c r="F40" s="255"/>
      <c r="G40" s="255"/>
      <c r="H40" s="264" t="s">
        <v>427</v>
      </c>
      <c r="I40" s="264"/>
      <c r="J40" s="269">
        <f>IF(J39=0,0,J39/J18)</f>
        <v>2.8095101815857311E-3</v>
      </c>
      <c r="K40" s="269"/>
      <c r="L40" s="355">
        <f>J40</f>
        <v>2.8095101815857311E-3</v>
      </c>
      <c r="N40" s="234"/>
      <c r="O40" s="234"/>
      <c r="P40" s="234"/>
      <c r="R40" s="244"/>
      <c r="S40" s="271"/>
      <c r="T40" s="272"/>
      <c r="U40" s="273"/>
      <c r="V40" s="253"/>
      <c r="W40" s="25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row>
    <row r="41" spans="1:70" ht="15.6">
      <c r="A41" s="353"/>
      <c r="C41" s="255"/>
      <c r="D41" s="255"/>
      <c r="E41" s="255"/>
      <c r="F41" s="255"/>
      <c r="G41" s="255"/>
      <c r="H41" s="264"/>
      <c r="I41" s="264"/>
      <c r="J41" s="269"/>
      <c r="K41" s="269"/>
      <c r="L41" s="355"/>
      <c r="R41" s="244"/>
      <c r="S41" s="271"/>
      <c r="T41" s="272"/>
      <c r="U41" s="273"/>
      <c r="V41" s="253"/>
      <c r="W41" s="25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row>
    <row r="42" spans="1:70">
      <c r="A42" s="357"/>
      <c r="C42" s="255" t="s">
        <v>428</v>
      </c>
      <c r="D42" s="255"/>
      <c r="E42" s="255"/>
      <c r="F42" s="255"/>
      <c r="G42" s="255"/>
      <c r="H42" s="275"/>
      <c r="I42" s="275"/>
      <c r="J42" s="244"/>
      <c r="K42" s="244"/>
      <c r="L42" s="244"/>
      <c r="R42" s="244"/>
      <c r="S42" s="244"/>
      <c r="T42" s="253"/>
      <c r="U42" s="244"/>
      <c r="V42" s="253"/>
      <c r="W42" s="25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row>
    <row r="43" spans="1:70" ht="15.6">
      <c r="A43" s="357" t="s">
        <v>429</v>
      </c>
      <c r="C43" s="255" t="s">
        <v>430</v>
      </c>
      <c r="D43" s="255"/>
      <c r="E43" s="255"/>
      <c r="F43" s="255"/>
      <c r="G43" s="255"/>
      <c r="H43" s="264" t="s">
        <v>431</v>
      </c>
      <c r="I43" s="264"/>
      <c r="J43" s="345">
        <f>'ATC Attach O ER19-838'!I182</f>
        <v>27897383</v>
      </c>
      <c r="K43" s="244"/>
      <c r="R43" s="244"/>
      <c r="S43" s="276"/>
      <c r="T43" s="253"/>
      <c r="U43" s="263"/>
      <c r="V43" s="257"/>
      <c r="W43" s="25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row>
    <row r="44" spans="1:70" ht="15.6">
      <c r="A44" s="357" t="s">
        <v>432</v>
      </c>
      <c r="C44" s="255" t="s">
        <v>433</v>
      </c>
      <c r="D44" s="255"/>
      <c r="E44" s="255"/>
      <c r="F44" s="255"/>
      <c r="G44" s="255"/>
      <c r="H44" s="264" t="s">
        <v>434</v>
      </c>
      <c r="I44" s="264"/>
      <c r="J44" s="269">
        <f>IF(J43=0,0,J43/J18)</f>
        <v>4.8321956549622772E-3</v>
      </c>
      <c r="K44" s="269"/>
      <c r="L44" s="355">
        <f>J44</f>
        <v>4.8321956549622772E-3</v>
      </c>
      <c r="R44" s="244"/>
      <c r="S44" s="271"/>
      <c r="T44" s="253"/>
      <c r="U44" s="273"/>
      <c r="V44" s="257"/>
      <c r="W44" s="25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row>
    <row r="45" spans="1:70">
      <c r="A45" s="357"/>
      <c r="C45" s="255"/>
      <c r="D45" s="255"/>
      <c r="E45" s="255"/>
      <c r="F45" s="255"/>
      <c r="G45" s="255"/>
      <c r="H45" s="264"/>
      <c r="I45" s="264"/>
      <c r="J45" s="244"/>
      <c r="K45" s="244"/>
      <c r="L45" s="244"/>
      <c r="R45" s="244"/>
      <c r="V45" s="253"/>
      <c r="W45" s="25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row>
    <row r="46" spans="1:70" ht="15.6">
      <c r="A46" s="277" t="s">
        <v>435</v>
      </c>
      <c r="B46" s="278"/>
      <c r="C46" s="261" t="s">
        <v>626</v>
      </c>
      <c r="D46" s="261"/>
      <c r="E46" s="261"/>
      <c r="F46" s="261"/>
      <c r="G46" s="261"/>
      <c r="H46" s="256" t="s">
        <v>627</v>
      </c>
      <c r="I46" s="256"/>
      <c r="J46" s="280">
        <f>J36+J40+J44</f>
        <v>1.4934091062049484E-2</v>
      </c>
      <c r="K46" s="280"/>
      <c r="L46" s="280">
        <f>L36+L40+L44</f>
        <v>1.4934091062049484E-2</v>
      </c>
      <c r="R46" s="244"/>
      <c r="V46" s="253"/>
      <c r="W46" s="25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row>
    <row r="47" spans="1:70">
      <c r="A47" s="357"/>
      <c r="C47" s="255"/>
      <c r="D47" s="255"/>
      <c r="E47" s="255"/>
      <c r="F47" s="255"/>
      <c r="G47" s="255"/>
      <c r="H47" s="264"/>
      <c r="I47" s="264"/>
      <c r="J47" s="244"/>
      <c r="K47" s="244"/>
      <c r="L47" s="244"/>
      <c r="R47" s="244"/>
      <c r="S47" s="244"/>
      <c r="T47" s="253"/>
      <c r="U47" s="281"/>
      <c r="V47" s="253"/>
      <c r="W47" s="25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row>
    <row r="48" spans="1:70">
      <c r="A48" s="274"/>
      <c r="B48" s="282"/>
      <c r="C48" s="244" t="s">
        <v>438</v>
      </c>
      <c r="D48" s="244"/>
      <c r="E48" s="244"/>
      <c r="F48" s="244"/>
      <c r="G48" s="244"/>
      <c r="H48" s="264"/>
      <c r="I48" s="264"/>
      <c r="J48" s="244"/>
      <c r="K48" s="244"/>
      <c r="L48" s="244"/>
      <c r="R48" s="358"/>
      <c r="S48" s="282"/>
      <c r="V48" s="257"/>
      <c r="W48" s="253" t="s">
        <v>11</v>
      </c>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row>
    <row r="49" spans="1:70">
      <c r="A49" s="357" t="s">
        <v>439</v>
      </c>
      <c r="B49" s="282"/>
      <c r="C49" s="244" t="s">
        <v>440</v>
      </c>
      <c r="D49" s="244"/>
      <c r="E49" s="244"/>
      <c r="F49" s="244"/>
      <c r="G49" s="244"/>
      <c r="H49" s="264" t="s">
        <v>441</v>
      </c>
      <c r="I49" s="264"/>
      <c r="J49" s="345">
        <f>'ATC Attach O ER19-838'!I197</f>
        <v>58326262.592863396</v>
      </c>
      <c r="K49" s="244"/>
      <c r="L49" s="244"/>
      <c r="R49" s="358"/>
      <c r="S49" s="282"/>
      <c r="V49" s="257"/>
      <c r="W49" s="253"/>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row>
    <row r="50" spans="1:70">
      <c r="A50" s="357" t="s">
        <v>442</v>
      </c>
      <c r="B50" s="282"/>
      <c r="C50" s="244" t="s">
        <v>443</v>
      </c>
      <c r="D50" s="244"/>
      <c r="E50" s="244"/>
      <c r="F50" s="244"/>
      <c r="G50" s="244"/>
      <c r="H50" s="264" t="s">
        <v>444</v>
      </c>
      <c r="I50" s="264"/>
      <c r="J50" s="269">
        <f>IF(J49=0,0,J49/J20)</f>
        <v>1.3554975240455418E-2</v>
      </c>
      <c r="K50" s="269"/>
      <c r="L50" s="355">
        <f>J50</f>
        <v>1.3554975240455418E-2</v>
      </c>
      <c r="R50" s="358"/>
      <c r="S50" s="282"/>
      <c r="T50" s="253"/>
      <c r="U50" s="253"/>
      <c r="V50" s="257"/>
      <c r="W50" s="253"/>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row>
    <row r="51" spans="1:70">
      <c r="A51" s="357"/>
      <c r="C51" s="244"/>
      <c r="D51" s="244"/>
      <c r="E51" s="244"/>
      <c r="F51" s="244"/>
      <c r="G51" s="244"/>
      <c r="H51" s="264"/>
      <c r="I51" s="264"/>
      <c r="J51" s="244"/>
      <c r="K51" s="244"/>
      <c r="L51" s="244"/>
      <c r="R51" s="244"/>
      <c r="T51" s="242"/>
      <c r="U51" s="253"/>
      <c r="V51" s="242"/>
      <c r="W51" s="25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row>
    <row r="52" spans="1:70">
      <c r="A52" s="357"/>
      <c r="C52" s="255" t="s">
        <v>197</v>
      </c>
      <c r="D52" s="255"/>
      <c r="E52" s="255"/>
      <c r="F52" s="255"/>
      <c r="G52" s="255"/>
      <c r="H52" s="283"/>
      <c r="I52" s="283"/>
      <c r="R52" s="244"/>
      <c r="T52" s="253"/>
      <c r="U52" s="253"/>
      <c r="V52" s="253"/>
      <c r="W52" s="25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row>
    <row r="53" spans="1:70">
      <c r="A53" s="357" t="s">
        <v>445</v>
      </c>
      <c r="C53" s="255" t="s">
        <v>446</v>
      </c>
      <c r="D53" s="255"/>
      <c r="E53" s="255"/>
      <c r="F53" s="255"/>
      <c r="G53" s="255"/>
      <c r="H53" s="264" t="s">
        <v>447</v>
      </c>
      <c r="I53" s="264"/>
      <c r="J53" s="345">
        <f>'ATC Attach O ER19-838'!I199</f>
        <v>282163280.5221566</v>
      </c>
      <c r="K53" s="244"/>
      <c r="L53" s="244"/>
      <c r="R53" s="244"/>
      <c r="T53" s="253"/>
      <c r="U53" s="253"/>
      <c r="V53" s="253"/>
      <c r="W53" s="25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row>
    <row r="54" spans="1:70">
      <c r="A54" s="357" t="s">
        <v>448</v>
      </c>
      <c r="B54" s="282"/>
      <c r="C54" s="244" t="s">
        <v>449</v>
      </c>
      <c r="D54" s="244"/>
      <c r="E54" s="244"/>
      <c r="F54" s="244"/>
      <c r="G54" s="244"/>
      <c r="H54" s="264" t="s">
        <v>450</v>
      </c>
      <c r="I54" s="264"/>
      <c r="J54" s="284">
        <f>IF(J53=0,0,J53/J20)</f>
        <v>6.5574513284715225E-2</v>
      </c>
      <c r="K54" s="284"/>
      <c r="L54" s="355">
        <f>J54</f>
        <v>6.5574513284715225E-2</v>
      </c>
      <c r="R54" s="244"/>
      <c r="U54" s="285"/>
      <c r="V54" s="257"/>
      <c r="W54" s="253"/>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row>
    <row r="55" spans="1:70">
      <c r="A55" s="357"/>
      <c r="C55" s="255"/>
      <c r="D55" s="255"/>
      <c r="E55" s="255"/>
      <c r="F55" s="255"/>
      <c r="G55" s="255"/>
      <c r="H55" s="264"/>
      <c r="I55" s="264"/>
      <c r="J55" s="244"/>
      <c r="K55" s="244"/>
      <c r="L55" s="244"/>
      <c r="R55" s="244"/>
      <c r="S55" s="283"/>
      <c r="T55" s="253"/>
      <c r="U55" s="253"/>
      <c r="V55" s="253"/>
      <c r="W55" s="25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row>
    <row r="56" spans="1:70" ht="15.6">
      <c r="A56" s="277" t="s">
        <v>451</v>
      </c>
      <c r="B56" s="278"/>
      <c r="C56" s="261" t="s">
        <v>452</v>
      </c>
      <c r="D56" s="261"/>
      <c r="E56" s="261"/>
      <c r="F56" s="261"/>
      <c r="G56" s="261"/>
      <c r="H56" s="256" t="s">
        <v>453</v>
      </c>
      <c r="I56" s="256"/>
      <c r="J56" s="279"/>
      <c r="K56" s="279"/>
      <c r="L56" s="280">
        <f>L50+L54</f>
        <v>7.9129488525170641E-2</v>
      </c>
      <c r="R56" s="244"/>
      <c r="S56" s="283"/>
      <c r="T56" s="253"/>
      <c r="U56" s="253"/>
      <c r="V56" s="253"/>
      <c r="W56" s="25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row>
    <row r="57" spans="1:70">
      <c r="R57" s="359"/>
      <c r="S57" s="359"/>
      <c r="T57" s="253"/>
      <c r="U57" s="253"/>
      <c r="V57" s="253"/>
      <c r="W57" s="25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row>
    <row r="58" spans="1:70">
      <c r="A58" s="291"/>
      <c r="C58" s="286"/>
      <c r="D58" s="286"/>
      <c r="E58" s="286"/>
      <c r="F58" s="286"/>
      <c r="G58" s="286"/>
      <c r="H58" s="286"/>
      <c r="I58" s="286"/>
      <c r="J58" s="244"/>
      <c r="K58" s="244"/>
      <c r="L58" s="286"/>
      <c r="M58" s="286"/>
      <c r="N58" s="286"/>
      <c r="O58" s="286"/>
      <c r="P58" s="286"/>
      <c r="R58" s="244"/>
      <c r="S58" s="244"/>
      <c r="T58" s="253"/>
      <c r="U58" s="253"/>
      <c r="V58" s="257"/>
      <c r="W58" s="253" t="s">
        <v>11</v>
      </c>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row>
    <row r="59" spans="1:70">
      <c r="S59" s="233"/>
    </row>
    <row r="60" spans="1:70">
      <c r="S60" s="233"/>
    </row>
    <row r="62" spans="1:70">
      <c r="A62" s="291"/>
      <c r="C62" s="286"/>
      <c r="D62" s="286"/>
      <c r="E62" s="286"/>
      <c r="F62" s="286"/>
      <c r="G62" s="286"/>
      <c r="H62" s="286"/>
      <c r="I62" s="286"/>
      <c r="J62" s="244"/>
      <c r="K62" s="244"/>
      <c r="L62" s="286"/>
      <c r="M62" s="286"/>
      <c r="N62" s="286"/>
      <c r="O62" s="286"/>
      <c r="P62" s="286"/>
      <c r="Q62" s="234"/>
      <c r="R62" s="244"/>
      <c r="S62" s="234"/>
      <c r="T62" s="253"/>
      <c r="U62" s="242"/>
      <c r="V62" s="253"/>
      <c r="W62" s="25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row>
    <row r="63" spans="1:70">
      <c r="A63" s="291"/>
      <c r="C63" s="255" t="str">
        <f>C5</f>
        <v>Formula Rate calculation</v>
      </c>
      <c r="D63" s="255"/>
      <c r="E63" s="255"/>
      <c r="F63" s="255"/>
      <c r="G63" s="255"/>
      <c r="H63" s="286"/>
      <c r="I63" s="286"/>
      <c r="J63" s="286" t="str">
        <f>J5</f>
        <v xml:space="preserve">     Rate Formula Template</v>
      </c>
      <c r="K63" s="286"/>
      <c r="L63" s="286"/>
      <c r="M63" s="286"/>
      <c r="N63" s="286"/>
      <c r="O63" s="286"/>
      <c r="P63" s="286"/>
      <c r="Q63" s="234"/>
      <c r="R63" s="244"/>
      <c r="S63" s="235" t="s">
        <v>596</v>
      </c>
      <c r="T63" s="253"/>
      <c r="U63" s="242"/>
      <c r="V63" s="253"/>
      <c r="W63" s="25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row>
    <row r="64" spans="1:70">
      <c r="A64" s="291"/>
      <c r="C64" s="255"/>
      <c r="D64" s="255"/>
      <c r="E64" s="255"/>
      <c r="F64" s="255"/>
      <c r="G64" s="255"/>
      <c r="H64" s="286"/>
      <c r="I64" s="286"/>
      <c r="J64" s="286" t="s">
        <v>402</v>
      </c>
      <c r="K64" s="286"/>
      <c r="L64" s="286"/>
      <c r="M64" s="286"/>
      <c r="N64" s="286"/>
      <c r="O64" s="286"/>
      <c r="P64" s="286"/>
      <c r="Q64" s="244"/>
      <c r="R64" s="244"/>
      <c r="S64" s="292" t="str">
        <f>S5</f>
        <v>For  the 12 months ended 12/31/2018</v>
      </c>
      <c r="T64" s="253"/>
      <c r="U64" s="242"/>
      <c r="V64" s="253"/>
      <c r="W64" s="25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row>
    <row r="65" spans="1:70" ht="14.25" customHeight="1">
      <c r="A65" s="291"/>
      <c r="C65" s="286"/>
      <c r="D65" s="286"/>
      <c r="E65" s="286"/>
      <c r="F65" s="286"/>
      <c r="G65" s="286"/>
      <c r="H65" s="286"/>
      <c r="I65" s="286"/>
      <c r="J65" s="286"/>
      <c r="K65" s="286"/>
      <c r="L65" s="286"/>
      <c r="M65" s="286"/>
      <c r="N65" s="286"/>
      <c r="O65" s="286"/>
      <c r="P65" s="286"/>
      <c r="Q65" s="234"/>
      <c r="R65" s="244"/>
      <c r="S65" s="286" t="s">
        <v>454</v>
      </c>
      <c r="T65" s="253"/>
      <c r="U65" s="242"/>
      <c r="V65" s="253"/>
      <c r="W65" s="25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row>
    <row r="66" spans="1:70">
      <c r="A66" s="291"/>
      <c r="H66" s="286"/>
      <c r="I66" s="286"/>
      <c r="J66" s="286" t="str">
        <f>J8</f>
        <v>American Transmission Company LLC</v>
      </c>
      <c r="K66" s="286"/>
      <c r="L66" s="286"/>
      <c r="M66" s="286"/>
      <c r="N66" s="286"/>
      <c r="O66" s="286"/>
      <c r="P66" s="286"/>
      <c r="Q66" s="286"/>
      <c r="R66" s="244"/>
      <c r="S66" s="244"/>
      <c r="T66" s="253"/>
      <c r="U66" s="242"/>
      <c r="V66" s="253"/>
      <c r="W66" s="25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row>
    <row r="67" spans="1:70">
      <c r="A67" s="291"/>
      <c r="H67" s="255"/>
      <c r="I67" s="255"/>
      <c r="J67" s="255"/>
      <c r="K67" s="255"/>
      <c r="L67" s="255"/>
      <c r="M67" s="255"/>
      <c r="N67" s="255"/>
      <c r="O67" s="255"/>
      <c r="P67" s="255"/>
      <c r="Q67" s="255"/>
      <c r="R67" s="255"/>
      <c r="S67" s="255"/>
      <c r="T67" s="253"/>
      <c r="U67" s="242"/>
      <c r="V67" s="253"/>
      <c r="W67" s="25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row>
    <row r="68" spans="1:70" ht="15.6">
      <c r="A68" s="291"/>
      <c r="C68" s="286"/>
      <c r="D68" s="286"/>
      <c r="E68" s="286"/>
      <c r="F68" s="286"/>
      <c r="G68" s="286"/>
      <c r="I68" s="360" t="s">
        <v>628</v>
      </c>
      <c r="K68" s="234"/>
      <c r="L68" s="245"/>
      <c r="M68" s="245"/>
      <c r="N68" s="245"/>
      <c r="O68" s="245"/>
      <c r="P68" s="245"/>
      <c r="Q68" s="245"/>
      <c r="R68" s="244"/>
      <c r="S68" s="244"/>
      <c r="T68" s="253"/>
      <c r="U68" s="242"/>
      <c r="V68" s="253"/>
      <c r="W68" s="25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row>
    <row r="69" spans="1:70" ht="15.6">
      <c r="A69" s="291"/>
      <c r="C69" s="286"/>
      <c r="D69" s="286"/>
      <c r="E69" s="286"/>
      <c r="F69" s="286"/>
      <c r="G69" s="286"/>
      <c r="H69" s="261"/>
      <c r="I69" s="261"/>
      <c r="L69" s="245"/>
      <c r="M69" s="245"/>
      <c r="N69" s="245"/>
      <c r="O69" s="245"/>
      <c r="P69" s="245"/>
      <c r="Q69" s="245"/>
      <c r="R69" s="244"/>
      <c r="S69" s="244"/>
      <c r="T69" s="253"/>
      <c r="U69" s="242"/>
      <c r="V69" s="253"/>
      <c r="W69" s="25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row>
    <row r="70" spans="1:70" ht="15.6">
      <c r="A70" s="361"/>
      <c r="C70" s="362" t="s">
        <v>69</v>
      </c>
      <c r="D70" s="362" t="s">
        <v>70</v>
      </c>
      <c r="E70" s="362" t="s">
        <v>71</v>
      </c>
      <c r="F70" s="362" t="s">
        <v>72</v>
      </c>
      <c r="G70" s="362" t="s">
        <v>73</v>
      </c>
      <c r="H70" s="362" t="s">
        <v>629</v>
      </c>
      <c r="I70" s="362" t="s">
        <v>630</v>
      </c>
      <c r="J70" s="362" t="s">
        <v>631</v>
      </c>
      <c r="K70" s="362" t="s">
        <v>632</v>
      </c>
      <c r="L70" s="362" t="s">
        <v>633</v>
      </c>
      <c r="M70" s="362" t="s">
        <v>634</v>
      </c>
      <c r="N70" s="362" t="s">
        <v>635</v>
      </c>
      <c r="O70" s="362" t="s">
        <v>636</v>
      </c>
      <c r="P70" s="362" t="s">
        <v>637</v>
      </c>
      <c r="Q70" s="362" t="s">
        <v>638</v>
      </c>
      <c r="R70" s="362" t="s">
        <v>639</v>
      </c>
      <c r="S70" s="362" t="s">
        <v>640</v>
      </c>
      <c r="T70" s="253"/>
      <c r="U70" s="242"/>
      <c r="V70" s="253"/>
      <c r="W70" s="25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row>
    <row r="71" spans="1:70" ht="85.5" customHeight="1">
      <c r="A71" s="295" t="s">
        <v>457</v>
      </c>
      <c r="B71" s="296"/>
      <c r="C71" s="297" t="s">
        <v>458</v>
      </c>
      <c r="D71" s="297" t="s">
        <v>459</v>
      </c>
      <c r="E71" s="297" t="s">
        <v>641</v>
      </c>
      <c r="F71" s="297" t="s">
        <v>642</v>
      </c>
      <c r="G71" s="297" t="s">
        <v>643</v>
      </c>
      <c r="H71" s="298" t="s">
        <v>644</v>
      </c>
      <c r="I71" s="298" t="s">
        <v>645</v>
      </c>
      <c r="J71" s="363" t="s">
        <v>646</v>
      </c>
      <c r="K71" s="299" t="s">
        <v>461</v>
      </c>
      <c r="L71" s="298" t="s">
        <v>462</v>
      </c>
      <c r="M71" s="298" t="s">
        <v>452</v>
      </c>
      <c r="N71" s="299" t="s">
        <v>463</v>
      </c>
      <c r="O71" s="298" t="s">
        <v>464</v>
      </c>
      <c r="P71" s="298" t="s">
        <v>647</v>
      </c>
      <c r="Q71" s="301" t="s">
        <v>466</v>
      </c>
      <c r="R71" s="302" t="s">
        <v>467</v>
      </c>
      <c r="S71" s="301" t="s">
        <v>648</v>
      </c>
      <c r="T71" s="272"/>
      <c r="U71" s="242"/>
      <c r="V71" s="253"/>
      <c r="W71" s="25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row>
    <row r="72" spans="1:70" ht="46.5" customHeight="1">
      <c r="A72" s="303"/>
      <c r="B72" s="304"/>
      <c r="C72" s="304"/>
      <c r="D72" s="304"/>
      <c r="E72" s="364" t="s">
        <v>40</v>
      </c>
      <c r="F72" s="304"/>
      <c r="G72" s="304" t="s">
        <v>649</v>
      </c>
      <c r="H72" s="364" t="s">
        <v>650</v>
      </c>
      <c r="I72" s="305" t="s">
        <v>651</v>
      </c>
      <c r="J72" s="364" t="s">
        <v>652</v>
      </c>
      <c r="K72" s="365" t="s">
        <v>653</v>
      </c>
      <c r="L72" s="364" t="s">
        <v>654</v>
      </c>
      <c r="M72" s="305" t="s">
        <v>471</v>
      </c>
      <c r="N72" s="306" t="s">
        <v>655</v>
      </c>
      <c r="O72" s="305" t="s">
        <v>64</v>
      </c>
      <c r="P72" s="305" t="s">
        <v>473</v>
      </c>
      <c r="Q72" s="308" t="s">
        <v>656</v>
      </c>
      <c r="R72" s="309" t="s">
        <v>475</v>
      </c>
      <c r="S72" s="310" t="s">
        <v>657</v>
      </c>
      <c r="T72" s="253"/>
      <c r="U72" s="242"/>
      <c r="V72" s="253"/>
      <c r="W72" s="25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row>
    <row r="73" spans="1:70">
      <c r="A73" s="311" t="s">
        <v>658</v>
      </c>
      <c r="B73" s="245"/>
      <c r="C73" s="245"/>
      <c r="D73" s="245"/>
      <c r="E73" s="245"/>
      <c r="F73" s="245"/>
      <c r="G73" s="245"/>
      <c r="H73" s="245"/>
      <c r="I73" s="245"/>
      <c r="J73" s="245"/>
      <c r="K73" s="312"/>
      <c r="L73" s="245"/>
      <c r="M73" s="245"/>
      <c r="N73" s="312"/>
      <c r="O73" s="245"/>
      <c r="P73" s="245"/>
      <c r="Q73" s="312"/>
      <c r="R73" s="244"/>
      <c r="S73" s="314"/>
      <c r="T73" s="253"/>
      <c r="U73" s="242"/>
      <c r="V73" s="253"/>
      <c r="W73" s="25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row>
    <row r="74" spans="1:70">
      <c r="A74" s="366" t="s">
        <v>150</v>
      </c>
      <c r="C74" s="232" t="s">
        <v>659</v>
      </c>
      <c r="D74" s="367" t="s">
        <v>660</v>
      </c>
      <c r="E74" s="446">
        <f>IF(ISNA(HLOOKUP($D74,'MM Support Data'!$C$8:$N$67,17,FALSE)),0,HLOOKUP($D74,'MM Support Data'!$C$8:$N$67,17,FALSE))</f>
        <v>33530245.149999995</v>
      </c>
      <c r="F74" s="446">
        <f>IF(ISNA(HLOOKUP($D74,'MM Support Data'!$C$8:$N$67,17,FALSE)),0,HLOOKUP($D74,'MM Support Data'!$C$8:$N$67,33,FALSE))</f>
        <v>3399143.3399999971</v>
      </c>
      <c r="G74" s="355">
        <f>$L$31</f>
        <v>6.7615943720794144E-2</v>
      </c>
      <c r="H74" s="447">
        <f>F74*G74</f>
        <v>229836.28477635203</v>
      </c>
      <c r="I74" s="355">
        <f>$L$46</f>
        <v>1.4934091062049484E-2</v>
      </c>
      <c r="J74" s="232">
        <f>E74*I74</f>
        <v>500743.734402943</v>
      </c>
      <c r="K74" s="448">
        <f>H74+J74</f>
        <v>730580.01917929505</v>
      </c>
      <c r="L74" s="447">
        <f>E74-F74</f>
        <v>30131101.809999999</v>
      </c>
      <c r="M74" s="355">
        <f>$L$56</f>
        <v>7.9129488525170641E-2</v>
      </c>
      <c r="N74" s="449">
        <f>L74*M74</f>
        <v>2384258.6749251434</v>
      </c>
      <c r="O74" s="446">
        <f>IF(ISNA(HLOOKUP($D74,'MM Support Data'!$C$8:$N$67,17,FALSE)),0,HLOOKUP($D74,'MM Support Data'!$C$8:$N$67,55,FALSE))</f>
        <v>726745.07999999973</v>
      </c>
      <c r="P74" s="450">
        <f>IF(ISNA(HLOOKUP($D74,'MM Support Data'!$C$8:$N$67,17,FALSE)),0,HLOOKUP($D74,'MM Support Data'!$C$8:$N$67,60,FALSE))</f>
        <v>0</v>
      </c>
      <c r="Q74" s="449">
        <f>K74+N74+O74+P74</f>
        <v>3841583.7741044383</v>
      </c>
      <c r="R74" s="451">
        <v>379327.40806909016</v>
      </c>
      <c r="S74" s="452">
        <f>Q74+R74</f>
        <v>4220911.1821735287</v>
      </c>
      <c r="T74" s="323"/>
      <c r="U74" s="323"/>
      <c r="V74" s="323"/>
      <c r="W74" s="323"/>
      <c r="X74" s="323"/>
      <c r="Y74" s="323"/>
      <c r="Z74" s="323"/>
    </row>
    <row r="75" spans="1:70">
      <c r="A75" s="366" t="s">
        <v>479</v>
      </c>
      <c r="C75" s="232" t="s">
        <v>661</v>
      </c>
      <c r="D75" s="367" t="s">
        <v>662</v>
      </c>
      <c r="E75" s="446">
        <f>IF(ISNA(HLOOKUP($D75,'MM Support Data'!$C$8:$N$67,17,FALSE)),0,HLOOKUP($D75,'MM Support Data'!$C$8:$N$67,17,FALSE))</f>
        <v>235743814.92230767</v>
      </c>
      <c r="F75" s="446">
        <f>IF(ISNA(HLOOKUP($D75,'MM Support Data'!$C$8:$N$67,17,FALSE)),0,HLOOKUP($D75,'MM Support Data'!$C$8:$N$67,33,FALSE))</f>
        <v>1117621.9046153838</v>
      </c>
      <c r="G75" s="355">
        <f t="shared" ref="G75:G97" si="0">$L$31</f>
        <v>6.7615943720794144E-2</v>
      </c>
      <c r="H75" s="447">
        <f>F75*G75</f>
        <v>75569.059803600554</v>
      </c>
      <c r="I75" s="355">
        <f t="shared" ref="I75:I97" si="1">$L$46</f>
        <v>1.4934091062049484E-2</v>
      </c>
      <c r="J75" s="232">
        <f>E75*I75</f>
        <v>3520619.5993646826</v>
      </c>
      <c r="K75" s="448">
        <f>H75+J75</f>
        <v>3596188.659168283</v>
      </c>
      <c r="L75" s="447">
        <f>E75-F75</f>
        <v>234626193.0176923</v>
      </c>
      <c r="M75" s="355">
        <f t="shared" ref="M75:M97" si="2">$L$56</f>
        <v>7.9129488525170641E-2</v>
      </c>
      <c r="N75" s="449">
        <f>L75*M75</f>
        <v>18565850.648097955</v>
      </c>
      <c r="O75" s="446">
        <f>IF(ISNA(HLOOKUP($D75,'MM Support Data'!$C$8:$N$67,17,FALSE)),0,HLOOKUP($D75,'MM Support Data'!$C$8:$N$67,55,FALSE))</f>
        <v>1637155.61</v>
      </c>
      <c r="P75" s="450">
        <f>IF(ISNA(HLOOKUP($D75,'MM Support Data'!$C$8:$N$67,17,FALSE)),0,HLOOKUP($D75,'MM Support Data'!$C$8:$N$67,60,FALSE))</f>
        <v>3943895.9299999997</v>
      </c>
      <c r="Q75" s="449">
        <f>K75+N75+O75+P75</f>
        <v>27743090.847266238</v>
      </c>
      <c r="R75" s="451">
        <v>-996692.24952741107</v>
      </c>
      <c r="S75" s="452">
        <f t="shared" ref="S75:S97" si="3">Q75+R75</f>
        <v>26746398.597738829</v>
      </c>
      <c r="T75" s="323"/>
      <c r="U75" s="323"/>
      <c r="V75" s="323"/>
      <c r="W75" s="323"/>
      <c r="X75" s="323"/>
      <c r="Y75" s="323"/>
      <c r="Z75" s="323"/>
    </row>
    <row r="76" spans="1:70">
      <c r="A76" s="366" t="s">
        <v>482</v>
      </c>
      <c r="D76" s="367"/>
      <c r="E76" s="446">
        <v>0</v>
      </c>
      <c r="F76" s="446">
        <v>0</v>
      </c>
      <c r="G76" s="355">
        <f t="shared" si="0"/>
        <v>6.7615943720794144E-2</v>
      </c>
      <c r="H76" s="447">
        <f>F76*G76</f>
        <v>0</v>
      </c>
      <c r="I76" s="355">
        <f t="shared" si="1"/>
        <v>1.4934091062049484E-2</v>
      </c>
      <c r="J76" s="232">
        <f>E76*I76</f>
        <v>0</v>
      </c>
      <c r="K76" s="448">
        <f>H76+J76</f>
        <v>0</v>
      </c>
      <c r="L76" s="447">
        <f>E76-F76</f>
        <v>0</v>
      </c>
      <c r="M76" s="355">
        <f t="shared" si="2"/>
        <v>7.9129488525170641E-2</v>
      </c>
      <c r="N76" s="449">
        <f>L76*M76</f>
        <v>0</v>
      </c>
      <c r="O76" s="446">
        <v>0</v>
      </c>
      <c r="P76" s="450">
        <v>0</v>
      </c>
      <c r="Q76" s="449">
        <f t="shared" ref="Q76:Q97" si="4">K76+N76+O76+P76</f>
        <v>0</v>
      </c>
      <c r="R76" s="451">
        <v>0</v>
      </c>
      <c r="S76" s="452">
        <f t="shared" si="3"/>
        <v>0</v>
      </c>
      <c r="T76" s="323"/>
      <c r="U76" s="323"/>
      <c r="V76" s="323"/>
      <c r="W76" s="323"/>
      <c r="X76" s="323"/>
      <c r="Y76" s="323"/>
      <c r="Z76" s="323"/>
    </row>
    <row r="77" spans="1:70">
      <c r="A77" s="366" t="s">
        <v>485</v>
      </c>
      <c r="D77" s="367"/>
      <c r="E77" s="446">
        <v>0</v>
      </c>
      <c r="F77" s="446">
        <v>0</v>
      </c>
      <c r="G77" s="355">
        <f t="shared" si="0"/>
        <v>6.7615943720794144E-2</v>
      </c>
      <c r="H77" s="447">
        <f t="shared" ref="H77:H97" si="5">F77*G77</f>
        <v>0</v>
      </c>
      <c r="I77" s="355">
        <f t="shared" si="1"/>
        <v>1.4934091062049484E-2</v>
      </c>
      <c r="J77" s="232">
        <f t="shared" ref="J77:J97" si="6">E77*I77</f>
        <v>0</v>
      </c>
      <c r="K77" s="448">
        <f t="shared" ref="K77:K97" si="7">H77+J77</f>
        <v>0</v>
      </c>
      <c r="L77" s="447">
        <f t="shared" ref="L77:L97" si="8">E77-F77</f>
        <v>0</v>
      </c>
      <c r="M77" s="355">
        <f t="shared" si="2"/>
        <v>7.9129488525170641E-2</v>
      </c>
      <c r="N77" s="449">
        <f t="shared" ref="N77:N97" si="9">L77*M77</f>
        <v>0</v>
      </c>
      <c r="O77" s="446">
        <v>0</v>
      </c>
      <c r="P77" s="450">
        <v>0</v>
      </c>
      <c r="Q77" s="449">
        <f t="shared" si="4"/>
        <v>0</v>
      </c>
      <c r="R77" s="451">
        <v>0</v>
      </c>
      <c r="S77" s="452">
        <f t="shared" si="3"/>
        <v>0</v>
      </c>
      <c r="T77" s="323"/>
      <c r="U77" s="323"/>
      <c r="V77" s="323"/>
      <c r="W77" s="323"/>
      <c r="X77" s="323"/>
      <c r="Y77" s="323"/>
      <c r="Z77" s="323"/>
    </row>
    <row r="78" spans="1:70">
      <c r="A78" s="366" t="s">
        <v>488</v>
      </c>
      <c r="D78" s="367"/>
      <c r="E78" s="446">
        <v>0</v>
      </c>
      <c r="F78" s="446">
        <v>0</v>
      </c>
      <c r="G78" s="355">
        <f t="shared" si="0"/>
        <v>6.7615943720794144E-2</v>
      </c>
      <c r="H78" s="447">
        <f t="shared" si="5"/>
        <v>0</v>
      </c>
      <c r="I78" s="355">
        <f t="shared" si="1"/>
        <v>1.4934091062049484E-2</v>
      </c>
      <c r="J78" s="232">
        <f t="shared" si="6"/>
        <v>0</v>
      </c>
      <c r="K78" s="448">
        <f t="shared" si="7"/>
        <v>0</v>
      </c>
      <c r="L78" s="447">
        <f t="shared" si="8"/>
        <v>0</v>
      </c>
      <c r="M78" s="355">
        <f t="shared" si="2"/>
        <v>7.9129488525170641E-2</v>
      </c>
      <c r="N78" s="449">
        <f t="shared" si="9"/>
        <v>0</v>
      </c>
      <c r="O78" s="446">
        <v>0</v>
      </c>
      <c r="P78" s="450">
        <v>0</v>
      </c>
      <c r="Q78" s="449">
        <f t="shared" si="4"/>
        <v>0</v>
      </c>
      <c r="R78" s="451">
        <v>0</v>
      </c>
      <c r="S78" s="452">
        <f t="shared" si="3"/>
        <v>0</v>
      </c>
      <c r="T78" s="323"/>
      <c r="U78" s="323"/>
      <c r="V78" s="323"/>
      <c r="W78" s="323"/>
      <c r="X78" s="323"/>
      <c r="Y78" s="323"/>
      <c r="Z78" s="323"/>
    </row>
    <row r="79" spans="1:70">
      <c r="A79" s="366" t="s">
        <v>491</v>
      </c>
      <c r="D79" s="367"/>
      <c r="E79" s="446">
        <v>0</v>
      </c>
      <c r="F79" s="446">
        <v>0</v>
      </c>
      <c r="G79" s="355">
        <f t="shared" si="0"/>
        <v>6.7615943720794144E-2</v>
      </c>
      <c r="H79" s="447">
        <f t="shared" si="5"/>
        <v>0</v>
      </c>
      <c r="I79" s="355">
        <f t="shared" si="1"/>
        <v>1.4934091062049484E-2</v>
      </c>
      <c r="J79" s="232">
        <f t="shared" si="6"/>
        <v>0</v>
      </c>
      <c r="K79" s="448">
        <f t="shared" si="7"/>
        <v>0</v>
      </c>
      <c r="L79" s="447">
        <f t="shared" si="8"/>
        <v>0</v>
      </c>
      <c r="M79" s="355">
        <f t="shared" si="2"/>
        <v>7.9129488525170641E-2</v>
      </c>
      <c r="N79" s="449">
        <f t="shared" si="9"/>
        <v>0</v>
      </c>
      <c r="O79" s="446">
        <v>0</v>
      </c>
      <c r="P79" s="450">
        <v>0</v>
      </c>
      <c r="Q79" s="449">
        <f t="shared" si="4"/>
        <v>0</v>
      </c>
      <c r="R79" s="451">
        <v>0</v>
      </c>
      <c r="S79" s="452">
        <f t="shared" si="3"/>
        <v>0</v>
      </c>
      <c r="T79" s="323"/>
      <c r="U79" s="323"/>
      <c r="V79" s="323"/>
      <c r="W79" s="323"/>
      <c r="X79" s="323"/>
      <c r="Y79" s="323"/>
      <c r="Z79" s="323"/>
    </row>
    <row r="80" spans="1:70">
      <c r="A80" s="366" t="s">
        <v>494</v>
      </c>
      <c r="D80" s="367"/>
      <c r="E80" s="446">
        <v>0</v>
      </c>
      <c r="F80" s="446">
        <v>0</v>
      </c>
      <c r="G80" s="355">
        <f t="shared" si="0"/>
        <v>6.7615943720794144E-2</v>
      </c>
      <c r="H80" s="447">
        <f t="shared" si="5"/>
        <v>0</v>
      </c>
      <c r="I80" s="355">
        <f t="shared" si="1"/>
        <v>1.4934091062049484E-2</v>
      </c>
      <c r="J80" s="232">
        <f t="shared" si="6"/>
        <v>0</v>
      </c>
      <c r="K80" s="448">
        <f t="shared" si="7"/>
        <v>0</v>
      </c>
      <c r="L80" s="447">
        <f t="shared" si="8"/>
        <v>0</v>
      </c>
      <c r="M80" s="355">
        <f t="shared" si="2"/>
        <v>7.9129488525170641E-2</v>
      </c>
      <c r="N80" s="449">
        <f t="shared" si="9"/>
        <v>0</v>
      </c>
      <c r="O80" s="446">
        <v>0</v>
      </c>
      <c r="P80" s="450">
        <v>0</v>
      </c>
      <c r="Q80" s="449">
        <f t="shared" si="4"/>
        <v>0</v>
      </c>
      <c r="R80" s="451">
        <v>0</v>
      </c>
      <c r="S80" s="452">
        <f t="shared" si="3"/>
        <v>0</v>
      </c>
      <c r="T80" s="323"/>
      <c r="U80" s="323"/>
      <c r="V80" s="323"/>
      <c r="W80" s="323"/>
      <c r="X80" s="323"/>
      <c r="Y80" s="323"/>
      <c r="Z80" s="323"/>
    </row>
    <row r="81" spans="1:26">
      <c r="A81" s="366" t="s">
        <v>497</v>
      </c>
      <c r="D81" s="367"/>
      <c r="E81" s="446">
        <v>0</v>
      </c>
      <c r="F81" s="446">
        <v>0</v>
      </c>
      <c r="G81" s="355">
        <f t="shared" si="0"/>
        <v>6.7615943720794144E-2</v>
      </c>
      <c r="H81" s="447">
        <f t="shared" si="5"/>
        <v>0</v>
      </c>
      <c r="I81" s="355">
        <f t="shared" si="1"/>
        <v>1.4934091062049484E-2</v>
      </c>
      <c r="J81" s="232">
        <f t="shared" si="6"/>
        <v>0</v>
      </c>
      <c r="K81" s="448">
        <f t="shared" si="7"/>
        <v>0</v>
      </c>
      <c r="L81" s="447">
        <f t="shared" si="8"/>
        <v>0</v>
      </c>
      <c r="M81" s="355">
        <f t="shared" si="2"/>
        <v>7.9129488525170641E-2</v>
      </c>
      <c r="N81" s="449">
        <f t="shared" si="9"/>
        <v>0</v>
      </c>
      <c r="O81" s="446">
        <v>0</v>
      </c>
      <c r="P81" s="450">
        <v>0</v>
      </c>
      <c r="Q81" s="449">
        <f t="shared" si="4"/>
        <v>0</v>
      </c>
      <c r="R81" s="451">
        <v>0</v>
      </c>
      <c r="S81" s="452">
        <f t="shared" si="3"/>
        <v>0</v>
      </c>
      <c r="T81" s="323"/>
      <c r="U81" s="323"/>
      <c r="V81" s="323"/>
      <c r="W81" s="323"/>
      <c r="X81" s="323"/>
      <c r="Y81" s="323"/>
      <c r="Z81" s="323"/>
    </row>
    <row r="82" spans="1:26">
      <c r="A82" s="366" t="s">
        <v>500</v>
      </c>
      <c r="C82" s="323"/>
      <c r="D82" s="368"/>
      <c r="E82" s="446">
        <v>0</v>
      </c>
      <c r="F82" s="446">
        <v>0</v>
      </c>
      <c r="G82" s="355">
        <f t="shared" si="0"/>
        <v>6.7615943720794144E-2</v>
      </c>
      <c r="H82" s="447">
        <f t="shared" si="5"/>
        <v>0</v>
      </c>
      <c r="I82" s="355">
        <f t="shared" si="1"/>
        <v>1.4934091062049484E-2</v>
      </c>
      <c r="J82" s="232">
        <f t="shared" si="6"/>
        <v>0</v>
      </c>
      <c r="K82" s="448">
        <f t="shared" si="7"/>
        <v>0</v>
      </c>
      <c r="L82" s="447">
        <f t="shared" si="8"/>
        <v>0</v>
      </c>
      <c r="M82" s="355">
        <f t="shared" si="2"/>
        <v>7.9129488525170641E-2</v>
      </c>
      <c r="N82" s="449">
        <f t="shared" si="9"/>
        <v>0</v>
      </c>
      <c r="O82" s="446">
        <v>0</v>
      </c>
      <c r="P82" s="450">
        <v>0</v>
      </c>
      <c r="Q82" s="449">
        <f t="shared" si="4"/>
        <v>0</v>
      </c>
      <c r="R82" s="451">
        <v>0</v>
      </c>
      <c r="S82" s="452">
        <f t="shared" si="3"/>
        <v>0</v>
      </c>
      <c r="T82" s="323"/>
      <c r="U82" s="323"/>
      <c r="V82" s="323"/>
      <c r="W82" s="323"/>
      <c r="X82" s="323"/>
      <c r="Y82" s="323"/>
      <c r="Z82" s="323"/>
    </row>
    <row r="83" spans="1:26">
      <c r="A83" s="366" t="s">
        <v>503</v>
      </c>
      <c r="C83" s="323"/>
      <c r="D83" s="368"/>
      <c r="E83" s="446">
        <v>0</v>
      </c>
      <c r="F83" s="446">
        <v>0</v>
      </c>
      <c r="G83" s="355">
        <f t="shared" si="0"/>
        <v>6.7615943720794144E-2</v>
      </c>
      <c r="H83" s="447">
        <f t="shared" si="5"/>
        <v>0</v>
      </c>
      <c r="I83" s="355">
        <f t="shared" si="1"/>
        <v>1.4934091062049484E-2</v>
      </c>
      <c r="J83" s="232">
        <f t="shared" si="6"/>
        <v>0</v>
      </c>
      <c r="K83" s="448">
        <f t="shared" si="7"/>
        <v>0</v>
      </c>
      <c r="L83" s="447">
        <f t="shared" si="8"/>
        <v>0</v>
      </c>
      <c r="M83" s="355">
        <f t="shared" si="2"/>
        <v>7.9129488525170641E-2</v>
      </c>
      <c r="N83" s="449">
        <f t="shared" si="9"/>
        <v>0</v>
      </c>
      <c r="O83" s="446">
        <v>0</v>
      </c>
      <c r="P83" s="450">
        <v>0</v>
      </c>
      <c r="Q83" s="449">
        <f t="shared" si="4"/>
        <v>0</v>
      </c>
      <c r="R83" s="451">
        <v>0</v>
      </c>
      <c r="S83" s="452">
        <f t="shared" si="3"/>
        <v>0</v>
      </c>
      <c r="T83" s="323"/>
      <c r="U83" s="323"/>
      <c r="V83" s="323"/>
      <c r="W83" s="323"/>
      <c r="X83" s="323"/>
      <c r="Y83" s="323"/>
      <c r="Z83" s="323"/>
    </row>
    <row r="84" spans="1:26">
      <c r="A84" s="366" t="s">
        <v>506</v>
      </c>
      <c r="C84" s="323"/>
      <c r="D84" s="368"/>
      <c r="E84" s="446">
        <v>0</v>
      </c>
      <c r="F84" s="446">
        <v>0</v>
      </c>
      <c r="G84" s="355">
        <f t="shared" si="0"/>
        <v>6.7615943720794144E-2</v>
      </c>
      <c r="H84" s="447">
        <f t="shared" si="5"/>
        <v>0</v>
      </c>
      <c r="I84" s="355">
        <f t="shared" si="1"/>
        <v>1.4934091062049484E-2</v>
      </c>
      <c r="J84" s="232">
        <f t="shared" si="6"/>
        <v>0</v>
      </c>
      <c r="K84" s="448">
        <f t="shared" si="7"/>
        <v>0</v>
      </c>
      <c r="L84" s="447">
        <f t="shared" si="8"/>
        <v>0</v>
      </c>
      <c r="M84" s="355">
        <f t="shared" si="2"/>
        <v>7.9129488525170641E-2</v>
      </c>
      <c r="N84" s="449">
        <f t="shared" si="9"/>
        <v>0</v>
      </c>
      <c r="O84" s="446">
        <v>0</v>
      </c>
      <c r="P84" s="450">
        <v>0</v>
      </c>
      <c r="Q84" s="449">
        <f t="shared" si="4"/>
        <v>0</v>
      </c>
      <c r="R84" s="451">
        <v>0</v>
      </c>
      <c r="S84" s="452">
        <f t="shared" si="3"/>
        <v>0</v>
      </c>
      <c r="T84" s="323"/>
      <c r="U84" s="323"/>
      <c r="V84" s="323"/>
      <c r="W84" s="323"/>
      <c r="X84" s="323"/>
      <c r="Y84" s="323"/>
      <c r="Z84" s="323"/>
    </row>
    <row r="85" spans="1:26">
      <c r="A85" s="366" t="s">
        <v>509</v>
      </c>
      <c r="C85" s="323"/>
      <c r="D85" s="368"/>
      <c r="E85" s="446">
        <v>0</v>
      </c>
      <c r="F85" s="446">
        <v>0</v>
      </c>
      <c r="G85" s="355">
        <f t="shared" si="0"/>
        <v>6.7615943720794144E-2</v>
      </c>
      <c r="H85" s="447">
        <f t="shared" si="5"/>
        <v>0</v>
      </c>
      <c r="I85" s="355">
        <f t="shared" si="1"/>
        <v>1.4934091062049484E-2</v>
      </c>
      <c r="J85" s="232">
        <f t="shared" si="6"/>
        <v>0</v>
      </c>
      <c r="K85" s="448">
        <f t="shared" si="7"/>
        <v>0</v>
      </c>
      <c r="L85" s="447">
        <f t="shared" si="8"/>
        <v>0</v>
      </c>
      <c r="M85" s="355">
        <f t="shared" si="2"/>
        <v>7.9129488525170641E-2</v>
      </c>
      <c r="N85" s="449">
        <f t="shared" si="9"/>
        <v>0</v>
      </c>
      <c r="O85" s="446">
        <v>0</v>
      </c>
      <c r="P85" s="450">
        <v>0</v>
      </c>
      <c r="Q85" s="449">
        <f t="shared" si="4"/>
        <v>0</v>
      </c>
      <c r="R85" s="451">
        <v>0</v>
      </c>
      <c r="S85" s="452">
        <f t="shared" si="3"/>
        <v>0</v>
      </c>
      <c r="T85" s="323"/>
      <c r="U85" s="323"/>
      <c r="V85" s="323"/>
      <c r="W85" s="323"/>
      <c r="X85" s="323"/>
      <c r="Y85" s="323"/>
      <c r="Z85" s="323"/>
    </row>
    <row r="86" spans="1:26">
      <c r="A86" s="366" t="s">
        <v>512</v>
      </c>
      <c r="C86" s="323"/>
      <c r="D86" s="368"/>
      <c r="E86" s="446">
        <v>0</v>
      </c>
      <c r="F86" s="446">
        <v>0</v>
      </c>
      <c r="G86" s="355">
        <f t="shared" si="0"/>
        <v>6.7615943720794144E-2</v>
      </c>
      <c r="H86" s="447">
        <f t="shared" si="5"/>
        <v>0</v>
      </c>
      <c r="I86" s="355">
        <f t="shared" si="1"/>
        <v>1.4934091062049484E-2</v>
      </c>
      <c r="J86" s="232">
        <f t="shared" si="6"/>
        <v>0</v>
      </c>
      <c r="K86" s="448">
        <f t="shared" si="7"/>
        <v>0</v>
      </c>
      <c r="L86" s="447">
        <f t="shared" si="8"/>
        <v>0</v>
      </c>
      <c r="M86" s="355">
        <f t="shared" si="2"/>
        <v>7.9129488525170641E-2</v>
      </c>
      <c r="N86" s="449">
        <f t="shared" si="9"/>
        <v>0</v>
      </c>
      <c r="O86" s="446">
        <v>0</v>
      </c>
      <c r="P86" s="450">
        <v>0</v>
      </c>
      <c r="Q86" s="449">
        <f t="shared" si="4"/>
        <v>0</v>
      </c>
      <c r="R86" s="451">
        <v>0</v>
      </c>
      <c r="S86" s="452">
        <f t="shared" si="3"/>
        <v>0</v>
      </c>
      <c r="T86" s="323"/>
      <c r="U86" s="323"/>
      <c r="V86" s="323"/>
      <c r="W86" s="323"/>
      <c r="X86" s="323"/>
      <c r="Y86" s="323"/>
      <c r="Z86" s="323"/>
    </row>
    <row r="87" spans="1:26">
      <c r="A87" s="366" t="s">
        <v>515</v>
      </c>
      <c r="C87" s="323"/>
      <c r="D87" s="368"/>
      <c r="E87" s="446">
        <v>0</v>
      </c>
      <c r="F87" s="446">
        <v>0</v>
      </c>
      <c r="G87" s="355">
        <f t="shared" si="0"/>
        <v>6.7615943720794144E-2</v>
      </c>
      <c r="H87" s="447">
        <f t="shared" si="5"/>
        <v>0</v>
      </c>
      <c r="I87" s="355">
        <f t="shared" si="1"/>
        <v>1.4934091062049484E-2</v>
      </c>
      <c r="J87" s="232">
        <f t="shared" si="6"/>
        <v>0</v>
      </c>
      <c r="K87" s="448">
        <f t="shared" si="7"/>
        <v>0</v>
      </c>
      <c r="L87" s="447">
        <f t="shared" si="8"/>
        <v>0</v>
      </c>
      <c r="M87" s="355">
        <f t="shared" si="2"/>
        <v>7.9129488525170641E-2</v>
      </c>
      <c r="N87" s="449">
        <f t="shared" si="9"/>
        <v>0</v>
      </c>
      <c r="O87" s="446">
        <v>0</v>
      </c>
      <c r="P87" s="450">
        <v>0</v>
      </c>
      <c r="Q87" s="449">
        <f t="shared" si="4"/>
        <v>0</v>
      </c>
      <c r="R87" s="451">
        <v>0</v>
      </c>
      <c r="S87" s="452">
        <f t="shared" si="3"/>
        <v>0</v>
      </c>
      <c r="T87" s="323"/>
      <c r="U87" s="323"/>
      <c r="V87" s="323"/>
      <c r="W87" s="323"/>
      <c r="X87" s="323"/>
      <c r="Y87" s="323"/>
      <c r="Z87" s="323"/>
    </row>
    <row r="88" spans="1:26">
      <c r="A88" s="366" t="s">
        <v>518</v>
      </c>
      <c r="C88" s="323"/>
      <c r="D88" s="368"/>
      <c r="E88" s="446">
        <v>0</v>
      </c>
      <c r="F88" s="446">
        <v>0</v>
      </c>
      <c r="G88" s="355">
        <f t="shared" si="0"/>
        <v>6.7615943720794144E-2</v>
      </c>
      <c r="H88" s="447">
        <f t="shared" si="5"/>
        <v>0</v>
      </c>
      <c r="I88" s="355">
        <f t="shared" si="1"/>
        <v>1.4934091062049484E-2</v>
      </c>
      <c r="J88" s="232">
        <f t="shared" si="6"/>
        <v>0</v>
      </c>
      <c r="K88" s="448">
        <f t="shared" si="7"/>
        <v>0</v>
      </c>
      <c r="L88" s="447">
        <f t="shared" si="8"/>
        <v>0</v>
      </c>
      <c r="M88" s="355">
        <f t="shared" si="2"/>
        <v>7.9129488525170641E-2</v>
      </c>
      <c r="N88" s="449">
        <f t="shared" si="9"/>
        <v>0</v>
      </c>
      <c r="O88" s="446">
        <v>0</v>
      </c>
      <c r="P88" s="450">
        <v>0</v>
      </c>
      <c r="Q88" s="449">
        <f t="shared" si="4"/>
        <v>0</v>
      </c>
      <c r="R88" s="451">
        <v>0</v>
      </c>
      <c r="S88" s="452">
        <f t="shared" si="3"/>
        <v>0</v>
      </c>
      <c r="T88" s="323"/>
      <c r="U88" s="323"/>
      <c r="V88" s="323"/>
      <c r="W88" s="323"/>
      <c r="X88" s="323"/>
      <c r="Y88" s="323"/>
      <c r="Z88" s="323"/>
    </row>
    <row r="89" spans="1:26">
      <c r="A89" s="366" t="s">
        <v>663</v>
      </c>
      <c r="C89" s="323"/>
      <c r="D89" s="368"/>
      <c r="E89" s="446">
        <v>0</v>
      </c>
      <c r="F89" s="446">
        <v>0</v>
      </c>
      <c r="G89" s="355">
        <f t="shared" si="0"/>
        <v>6.7615943720794144E-2</v>
      </c>
      <c r="H89" s="447">
        <f t="shared" si="5"/>
        <v>0</v>
      </c>
      <c r="I89" s="355">
        <f t="shared" si="1"/>
        <v>1.4934091062049484E-2</v>
      </c>
      <c r="J89" s="232">
        <f t="shared" si="6"/>
        <v>0</v>
      </c>
      <c r="K89" s="448">
        <f t="shared" si="7"/>
        <v>0</v>
      </c>
      <c r="L89" s="447">
        <f t="shared" si="8"/>
        <v>0</v>
      </c>
      <c r="M89" s="355">
        <f t="shared" si="2"/>
        <v>7.9129488525170641E-2</v>
      </c>
      <c r="N89" s="449">
        <f t="shared" si="9"/>
        <v>0</v>
      </c>
      <c r="O89" s="446">
        <v>0</v>
      </c>
      <c r="P89" s="450">
        <v>0</v>
      </c>
      <c r="Q89" s="449">
        <f t="shared" si="4"/>
        <v>0</v>
      </c>
      <c r="R89" s="451">
        <v>0</v>
      </c>
      <c r="S89" s="452">
        <f t="shared" si="3"/>
        <v>0</v>
      </c>
      <c r="T89" s="323"/>
      <c r="U89" s="323"/>
      <c r="V89" s="323"/>
      <c r="W89" s="323"/>
      <c r="X89" s="323"/>
      <c r="Y89" s="323"/>
      <c r="Z89" s="323"/>
    </row>
    <row r="90" spans="1:26">
      <c r="A90" s="366" t="s">
        <v>664</v>
      </c>
      <c r="C90" s="323"/>
      <c r="D90" s="368"/>
      <c r="E90" s="446">
        <v>0</v>
      </c>
      <c r="F90" s="446">
        <v>0</v>
      </c>
      <c r="G90" s="355">
        <f t="shared" si="0"/>
        <v>6.7615943720794144E-2</v>
      </c>
      <c r="H90" s="447">
        <f t="shared" si="5"/>
        <v>0</v>
      </c>
      <c r="I90" s="355">
        <f t="shared" si="1"/>
        <v>1.4934091062049484E-2</v>
      </c>
      <c r="J90" s="232">
        <f t="shared" si="6"/>
        <v>0</v>
      </c>
      <c r="K90" s="448">
        <f t="shared" si="7"/>
        <v>0</v>
      </c>
      <c r="L90" s="447">
        <f t="shared" si="8"/>
        <v>0</v>
      </c>
      <c r="M90" s="355">
        <f t="shared" si="2"/>
        <v>7.9129488525170641E-2</v>
      </c>
      <c r="N90" s="449">
        <f t="shared" si="9"/>
        <v>0</v>
      </c>
      <c r="O90" s="446">
        <v>0</v>
      </c>
      <c r="P90" s="450">
        <v>0</v>
      </c>
      <c r="Q90" s="449">
        <f t="shared" si="4"/>
        <v>0</v>
      </c>
      <c r="R90" s="451">
        <v>0</v>
      </c>
      <c r="S90" s="452">
        <f t="shared" si="3"/>
        <v>0</v>
      </c>
      <c r="T90" s="323"/>
      <c r="U90" s="323"/>
      <c r="V90" s="323"/>
      <c r="W90" s="323"/>
      <c r="X90" s="323"/>
      <c r="Y90" s="323"/>
      <c r="Z90" s="323"/>
    </row>
    <row r="91" spans="1:26">
      <c r="A91" s="366" t="s">
        <v>665</v>
      </c>
      <c r="C91" s="323"/>
      <c r="D91" s="368"/>
      <c r="E91" s="446">
        <v>0</v>
      </c>
      <c r="F91" s="446">
        <v>0</v>
      </c>
      <c r="G91" s="355">
        <f t="shared" si="0"/>
        <v>6.7615943720794144E-2</v>
      </c>
      <c r="H91" s="447">
        <f t="shared" si="5"/>
        <v>0</v>
      </c>
      <c r="I91" s="355">
        <f t="shared" si="1"/>
        <v>1.4934091062049484E-2</v>
      </c>
      <c r="J91" s="232">
        <f t="shared" si="6"/>
        <v>0</v>
      </c>
      <c r="K91" s="448">
        <f t="shared" si="7"/>
        <v>0</v>
      </c>
      <c r="L91" s="447">
        <f t="shared" si="8"/>
        <v>0</v>
      </c>
      <c r="M91" s="355">
        <f t="shared" si="2"/>
        <v>7.9129488525170641E-2</v>
      </c>
      <c r="N91" s="449">
        <f t="shared" si="9"/>
        <v>0</v>
      </c>
      <c r="O91" s="446">
        <v>0</v>
      </c>
      <c r="P91" s="450">
        <v>0</v>
      </c>
      <c r="Q91" s="449">
        <f t="shared" si="4"/>
        <v>0</v>
      </c>
      <c r="R91" s="451">
        <v>0</v>
      </c>
      <c r="S91" s="452">
        <f t="shared" si="3"/>
        <v>0</v>
      </c>
      <c r="T91" s="323"/>
      <c r="U91" s="323"/>
      <c r="V91" s="323"/>
      <c r="W91" s="323"/>
      <c r="X91" s="323"/>
      <c r="Y91" s="323"/>
      <c r="Z91" s="323"/>
    </row>
    <row r="92" spans="1:26">
      <c r="A92" s="366" t="s">
        <v>666</v>
      </c>
      <c r="C92" s="323"/>
      <c r="D92" s="368"/>
      <c r="E92" s="446">
        <v>0</v>
      </c>
      <c r="F92" s="446">
        <v>0</v>
      </c>
      <c r="G92" s="355">
        <f t="shared" si="0"/>
        <v>6.7615943720794144E-2</v>
      </c>
      <c r="H92" s="447">
        <f t="shared" si="5"/>
        <v>0</v>
      </c>
      <c r="I92" s="355">
        <f t="shared" si="1"/>
        <v>1.4934091062049484E-2</v>
      </c>
      <c r="J92" s="232">
        <f t="shared" si="6"/>
        <v>0</v>
      </c>
      <c r="K92" s="448">
        <f t="shared" si="7"/>
        <v>0</v>
      </c>
      <c r="L92" s="447">
        <f t="shared" si="8"/>
        <v>0</v>
      </c>
      <c r="M92" s="355">
        <f t="shared" si="2"/>
        <v>7.9129488525170641E-2</v>
      </c>
      <c r="N92" s="449">
        <f t="shared" si="9"/>
        <v>0</v>
      </c>
      <c r="O92" s="446">
        <v>0</v>
      </c>
      <c r="P92" s="450">
        <v>0</v>
      </c>
      <c r="Q92" s="449">
        <f t="shared" si="4"/>
        <v>0</v>
      </c>
      <c r="R92" s="451">
        <v>0</v>
      </c>
      <c r="S92" s="452">
        <f t="shared" si="3"/>
        <v>0</v>
      </c>
      <c r="T92" s="323"/>
      <c r="U92" s="323"/>
      <c r="V92" s="323"/>
      <c r="W92" s="323"/>
      <c r="X92" s="323"/>
      <c r="Y92" s="323"/>
      <c r="Z92" s="323"/>
    </row>
    <row r="93" spans="1:26">
      <c r="A93" s="366" t="s">
        <v>667</v>
      </c>
      <c r="C93" s="323"/>
      <c r="D93" s="368"/>
      <c r="E93" s="446">
        <v>0</v>
      </c>
      <c r="F93" s="446">
        <v>0</v>
      </c>
      <c r="G93" s="355">
        <f t="shared" si="0"/>
        <v>6.7615943720794144E-2</v>
      </c>
      <c r="H93" s="447">
        <f t="shared" si="5"/>
        <v>0</v>
      </c>
      <c r="I93" s="355">
        <f t="shared" si="1"/>
        <v>1.4934091062049484E-2</v>
      </c>
      <c r="J93" s="232">
        <f t="shared" si="6"/>
        <v>0</v>
      </c>
      <c r="K93" s="448">
        <f t="shared" si="7"/>
        <v>0</v>
      </c>
      <c r="L93" s="447">
        <f t="shared" si="8"/>
        <v>0</v>
      </c>
      <c r="M93" s="355">
        <f t="shared" si="2"/>
        <v>7.9129488525170641E-2</v>
      </c>
      <c r="N93" s="449">
        <f t="shared" si="9"/>
        <v>0</v>
      </c>
      <c r="O93" s="446">
        <v>0</v>
      </c>
      <c r="P93" s="450">
        <v>0</v>
      </c>
      <c r="Q93" s="449">
        <f t="shared" si="4"/>
        <v>0</v>
      </c>
      <c r="R93" s="451">
        <v>0</v>
      </c>
      <c r="S93" s="452">
        <f t="shared" si="3"/>
        <v>0</v>
      </c>
      <c r="T93" s="323"/>
      <c r="U93" s="323"/>
      <c r="V93" s="323"/>
      <c r="W93" s="323"/>
      <c r="X93" s="323"/>
      <c r="Y93" s="323"/>
      <c r="Z93" s="323"/>
    </row>
    <row r="94" spans="1:26">
      <c r="A94" s="366" t="s">
        <v>668</v>
      </c>
      <c r="C94" s="323"/>
      <c r="D94" s="368"/>
      <c r="E94" s="446">
        <v>0</v>
      </c>
      <c r="F94" s="446">
        <v>0</v>
      </c>
      <c r="G94" s="355">
        <f t="shared" si="0"/>
        <v>6.7615943720794144E-2</v>
      </c>
      <c r="H94" s="447">
        <f t="shared" si="5"/>
        <v>0</v>
      </c>
      <c r="I94" s="355">
        <f t="shared" si="1"/>
        <v>1.4934091062049484E-2</v>
      </c>
      <c r="J94" s="232">
        <f t="shared" si="6"/>
        <v>0</v>
      </c>
      <c r="K94" s="448">
        <f t="shared" si="7"/>
        <v>0</v>
      </c>
      <c r="L94" s="447">
        <f t="shared" si="8"/>
        <v>0</v>
      </c>
      <c r="M94" s="355">
        <f t="shared" si="2"/>
        <v>7.9129488525170641E-2</v>
      </c>
      <c r="N94" s="449">
        <f t="shared" si="9"/>
        <v>0</v>
      </c>
      <c r="O94" s="446">
        <v>0</v>
      </c>
      <c r="P94" s="450">
        <v>0</v>
      </c>
      <c r="Q94" s="449">
        <f t="shared" si="4"/>
        <v>0</v>
      </c>
      <c r="R94" s="451">
        <v>0</v>
      </c>
      <c r="S94" s="452">
        <f t="shared" si="3"/>
        <v>0</v>
      </c>
      <c r="T94" s="323"/>
      <c r="U94" s="323"/>
      <c r="V94" s="323"/>
      <c r="W94" s="323"/>
      <c r="X94" s="323"/>
      <c r="Y94" s="323"/>
      <c r="Z94" s="323"/>
    </row>
    <row r="95" spans="1:26">
      <c r="A95" s="366" t="s">
        <v>669</v>
      </c>
      <c r="C95" s="323"/>
      <c r="D95" s="368"/>
      <c r="E95" s="446">
        <v>0</v>
      </c>
      <c r="F95" s="446">
        <v>0</v>
      </c>
      <c r="G95" s="355">
        <f t="shared" si="0"/>
        <v>6.7615943720794144E-2</v>
      </c>
      <c r="H95" s="447">
        <f t="shared" si="5"/>
        <v>0</v>
      </c>
      <c r="I95" s="355">
        <f t="shared" si="1"/>
        <v>1.4934091062049484E-2</v>
      </c>
      <c r="J95" s="232">
        <f t="shared" si="6"/>
        <v>0</v>
      </c>
      <c r="K95" s="448">
        <f t="shared" si="7"/>
        <v>0</v>
      </c>
      <c r="L95" s="447">
        <f t="shared" si="8"/>
        <v>0</v>
      </c>
      <c r="M95" s="355">
        <f t="shared" si="2"/>
        <v>7.9129488525170641E-2</v>
      </c>
      <c r="N95" s="449">
        <f t="shared" si="9"/>
        <v>0</v>
      </c>
      <c r="O95" s="446">
        <v>0</v>
      </c>
      <c r="P95" s="450">
        <v>0</v>
      </c>
      <c r="Q95" s="449">
        <f t="shared" si="4"/>
        <v>0</v>
      </c>
      <c r="R95" s="451">
        <v>0</v>
      </c>
      <c r="S95" s="452">
        <f t="shared" si="3"/>
        <v>0</v>
      </c>
      <c r="T95" s="323"/>
      <c r="U95" s="323"/>
      <c r="V95" s="323"/>
      <c r="W95" s="323"/>
      <c r="X95" s="323"/>
      <c r="Y95" s="323"/>
      <c r="Z95" s="323"/>
    </row>
    <row r="96" spans="1:26">
      <c r="A96" s="366" t="s">
        <v>670</v>
      </c>
      <c r="C96" s="323"/>
      <c r="D96" s="368"/>
      <c r="E96" s="446">
        <v>0</v>
      </c>
      <c r="F96" s="446">
        <v>0</v>
      </c>
      <c r="G96" s="355">
        <f t="shared" si="0"/>
        <v>6.7615943720794144E-2</v>
      </c>
      <c r="H96" s="447">
        <f t="shared" si="5"/>
        <v>0</v>
      </c>
      <c r="I96" s="355">
        <f t="shared" si="1"/>
        <v>1.4934091062049484E-2</v>
      </c>
      <c r="J96" s="232">
        <f t="shared" si="6"/>
        <v>0</v>
      </c>
      <c r="K96" s="448">
        <f t="shared" si="7"/>
        <v>0</v>
      </c>
      <c r="L96" s="447">
        <f t="shared" si="8"/>
        <v>0</v>
      </c>
      <c r="M96" s="355">
        <f t="shared" si="2"/>
        <v>7.9129488525170641E-2</v>
      </c>
      <c r="N96" s="449">
        <f t="shared" si="9"/>
        <v>0</v>
      </c>
      <c r="O96" s="446">
        <v>0</v>
      </c>
      <c r="P96" s="450">
        <v>0</v>
      </c>
      <c r="Q96" s="449">
        <f t="shared" si="4"/>
        <v>0</v>
      </c>
      <c r="R96" s="451">
        <v>0</v>
      </c>
      <c r="S96" s="452">
        <f t="shared" si="3"/>
        <v>0</v>
      </c>
      <c r="T96" s="323"/>
      <c r="U96" s="323"/>
      <c r="V96" s="323"/>
      <c r="W96" s="323"/>
      <c r="X96" s="323"/>
      <c r="Y96" s="323"/>
      <c r="Z96" s="323"/>
    </row>
    <row r="97" spans="1:26">
      <c r="A97" s="366" t="s">
        <v>671</v>
      </c>
      <c r="C97" s="323"/>
      <c r="D97" s="368"/>
      <c r="E97" s="446">
        <v>0</v>
      </c>
      <c r="F97" s="446">
        <v>0</v>
      </c>
      <c r="G97" s="355">
        <f t="shared" si="0"/>
        <v>6.7615943720794144E-2</v>
      </c>
      <c r="H97" s="447">
        <f t="shared" si="5"/>
        <v>0</v>
      </c>
      <c r="I97" s="355">
        <f t="shared" si="1"/>
        <v>1.4934091062049484E-2</v>
      </c>
      <c r="J97" s="232">
        <f t="shared" si="6"/>
        <v>0</v>
      </c>
      <c r="K97" s="448">
        <f t="shared" si="7"/>
        <v>0</v>
      </c>
      <c r="L97" s="447">
        <f t="shared" si="8"/>
        <v>0</v>
      </c>
      <c r="M97" s="355">
        <f t="shared" si="2"/>
        <v>7.9129488525170641E-2</v>
      </c>
      <c r="N97" s="449">
        <f t="shared" si="9"/>
        <v>0</v>
      </c>
      <c r="O97" s="446">
        <v>0</v>
      </c>
      <c r="P97" s="450">
        <v>0</v>
      </c>
      <c r="Q97" s="449">
        <f t="shared" si="4"/>
        <v>0</v>
      </c>
      <c r="R97" s="451">
        <v>0</v>
      </c>
      <c r="S97" s="452">
        <f t="shared" si="3"/>
        <v>0</v>
      </c>
      <c r="T97" s="323"/>
      <c r="U97" s="323"/>
      <c r="V97" s="323"/>
      <c r="W97" s="323"/>
      <c r="X97" s="323"/>
      <c r="Y97" s="323"/>
      <c r="Z97" s="323"/>
    </row>
    <row r="98" spans="1:26">
      <c r="A98" s="369"/>
      <c r="B98" s="370"/>
      <c r="C98" s="371"/>
      <c r="D98" s="371"/>
      <c r="E98" s="371"/>
      <c r="F98" s="371"/>
      <c r="G98" s="371"/>
      <c r="H98" s="371"/>
      <c r="I98" s="371"/>
      <c r="J98" s="371"/>
      <c r="K98" s="372"/>
      <c r="L98" s="371"/>
      <c r="M98" s="371"/>
      <c r="N98" s="372"/>
      <c r="O98" s="371"/>
      <c r="P98" s="371"/>
      <c r="Q98" s="372"/>
      <c r="R98" s="371"/>
      <c r="S98" s="372"/>
      <c r="T98" s="323"/>
      <c r="U98" s="323"/>
      <c r="V98" s="323"/>
      <c r="W98" s="323"/>
      <c r="X98" s="323"/>
      <c r="Y98" s="323"/>
      <c r="Z98" s="323"/>
    </row>
    <row r="99" spans="1:26">
      <c r="A99" s="252" t="s">
        <v>521</v>
      </c>
      <c r="B99" s="282"/>
      <c r="C99" s="255" t="s">
        <v>672</v>
      </c>
      <c r="D99" s="255"/>
      <c r="E99" s="255"/>
      <c r="F99" s="255"/>
      <c r="G99" s="255"/>
      <c r="H99" s="275"/>
      <c r="I99" s="275"/>
      <c r="J99" s="244"/>
      <c r="K99" s="244"/>
      <c r="L99" s="244"/>
      <c r="M99" s="244"/>
      <c r="N99" s="244"/>
      <c r="O99" s="244"/>
      <c r="P99" s="331">
        <f>SUM(P74:P98)</f>
        <v>3943895.9299999997</v>
      </c>
      <c r="Q99" s="331">
        <f>SUM(Q74:Q98)</f>
        <v>31584674.621370677</v>
      </c>
      <c r="R99" s="331">
        <f>SUM(R74:R98)</f>
        <v>-617364.84145832085</v>
      </c>
      <c r="S99" s="331">
        <f>SUM(S74:S98)</f>
        <v>30967309.779912356</v>
      </c>
      <c r="T99" s="323"/>
      <c r="U99" s="323"/>
      <c r="V99" s="323"/>
      <c r="W99" s="323"/>
      <c r="X99" s="323"/>
      <c r="Y99" s="323"/>
      <c r="Z99" s="323"/>
    </row>
    <row r="100" spans="1:26">
      <c r="A100" s="332"/>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c r="A101" s="333">
        <v>3</v>
      </c>
      <c r="B101" s="323"/>
      <c r="C101" s="286" t="s">
        <v>523</v>
      </c>
      <c r="D101" s="286"/>
      <c r="E101" s="286"/>
      <c r="F101" s="286"/>
      <c r="G101" s="323"/>
      <c r="H101" s="323"/>
      <c r="I101" s="323"/>
      <c r="J101" s="323"/>
      <c r="K101" s="323"/>
      <c r="L101" s="323"/>
      <c r="M101" s="323"/>
      <c r="N101" s="323"/>
      <c r="O101" s="323"/>
      <c r="P101" s="323"/>
      <c r="Q101" s="331">
        <f>Q99</f>
        <v>31584674.621370677</v>
      </c>
      <c r="R101" s="323"/>
      <c r="S101" s="323"/>
      <c r="T101" s="323"/>
      <c r="U101" s="323"/>
      <c r="V101" s="323"/>
      <c r="W101" s="323"/>
      <c r="X101" s="323"/>
      <c r="Y101" s="323"/>
      <c r="Z101" s="323"/>
    </row>
    <row r="102" spans="1:26">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c r="A104" s="286" t="s">
        <v>296</v>
      </c>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5.6" thickBot="1">
      <c r="A105" s="334" t="s">
        <v>297</v>
      </c>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7.100000000000001" customHeight="1">
      <c r="A106" s="335" t="s">
        <v>298</v>
      </c>
      <c r="B106" s="234"/>
      <c r="C106" s="748" t="s">
        <v>673</v>
      </c>
      <c r="D106" s="748"/>
      <c r="E106" s="748"/>
      <c r="F106" s="748"/>
      <c r="G106" s="748"/>
      <c r="H106" s="748"/>
      <c r="I106" s="748"/>
      <c r="J106" s="748"/>
      <c r="K106" s="748"/>
      <c r="L106" s="748"/>
      <c r="M106" s="748"/>
      <c r="N106" s="748"/>
      <c r="O106" s="748"/>
      <c r="P106" s="748"/>
      <c r="Q106" s="748"/>
      <c r="R106" s="748"/>
      <c r="S106" s="748"/>
      <c r="T106" s="323"/>
      <c r="U106" s="323"/>
      <c r="V106" s="323"/>
      <c r="W106" s="323"/>
      <c r="X106" s="323"/>
      <c r="Y106" s="323"/>
      <c r="Z106" s="323"/>
    </row>
    <row r="107" spans="1:26" ht="17.100000000000001" customHeight="1">
      <c r="A107" s="335" t="s">
        <v>300</v>
      </c>
      <c r="B107" s="234"/>
      <c r="C107" s="748" t="s">
        <v>674</v>
      </c>
      <c r="D107" s="748"/>
      <c r="E107" s="748"/>
      <c r="F107" s="748"/>
      <c r="G107" s="748"/>
      <c r="H107" s="748"/>
      <c r="I107" s="748"/>
      <c r="J107" s="748"/>
      <c r="K107" s="748"/>
      <c r="L107" s="748"/>
      <c r="M107" s="748"/>
      <c r="N107" s="748"/>
      <c r="O107" s="748"/>
      <c r="P107" s="748"/>
      <c r="Q107" s="748"/>
      <c r="R107" s="748"/>
      <c r="S107" s="748"/>
      <c r="T107" s="323"/>
      <c r="U107" s="323"/>
      <c r="V107" s="323"/>
      <c r="W107" s="323"/>
      <c r="X107" s="323"/>
      <c r="Y107" s="323"/>
      <c r="Z107" s="323"/>
    </row>
    <row r="108" spans="1:26" ht="17.100000000000001" customHeight="1">
      <c r="A108" s="335" t="s">
        <v>302</v>
      </c>
      <c r="B108" s="234"/>
      <c r="C108" s="748" t="s">
        <v>675</v>
      </c>
      <c r="D108" s="748"/>
      <c r="E108" s="748"/>
      <c r="F108" s="748"/>
      <c r="G108" s="748"/>
      <c r="H108" s="748"/>
      <c r="I108" s="748"/>
      <c r="J108" s="748"/>
      <c r="K108" s="748"/>
      <c r="L108" s="748"/>
      <c r="M108" s="748"/>
      <c r="N108" s="748"/>
      <c r="O108" s="748"/>
      <c r="P108" s="748"/>
      <c r="Q108" s="748"/>
      <c r="R108" s="748"/>
      <c r="S108" s="748"/>
      <c r="T108" s="323"/>
      <c r="U108" s="323"/>
      <c r="V108" s="323"/>
      <c r="W108" s="323"/>
      <c r="X108" s="323"/>
      <c r="Y108" s="323"/>
      <c r="Z108" s="323"/>
    </row>
    <row r="109" spans="1:26" ht="17.100000000000001" customHeight="1">
      <c r="A109" s="335"/>
      <c r="B109" s="234"/>
      <c r="C109" s="748" t="s">
        <v>676</v>
      </c>
      <c r="D109" s="748"/>
      <c r="E109" s="748"/>
      <c r="F109" s="748"/>
      <c r="G109" s="748"/>
      <c r="H109" s="748"/>
      <c r="I109" s="748"/>
      <c r="J109" s="748"/>
      <c r="K109" s="748"/>
      <c r="L109" s="748"/>
      <c r="M109" s="748"/>
      <c r="N109" s="748"/>
      <c r="O109" s="748"/>
      <c r="P109" s="748"/>
      <c r="Q109" s="748"/>
      <c r="R109" s="748"/>
      <c r="S109" s="748"/>
      <c r="T109" s="323"/>
      <c r="U109" s="323"/>
      <c r="V109" s="323"/>
      <c r="W109" s="323"/>
      <c r="X109" s="323"/>
      <c r="Y109" s="323"/>
      <c r="Z109" s="323"/>
    </row>
    <row r="110" spans="1:26" ht="17.100000000000001" customHeight="1">
      <c r="A110" s="335" t="s">
        <v>304</v>
      </c>
      <c r="B110" s="234"/>
      <c r="C110" s="748" t="s">
        <v>677</v>
      </c>
      <c r="D110" s="748"/>
      <c r="E110" s="748"/>
      <c r="F110" s="748"/>
      <c r="G110" s="748"/>
      <c r="H110" s="748"/>
      <c r="I110" s="748"/>
      <c r="J110" s="748"/>
      <c r="K110" s="748"/>
      <c r="L110" s="748"/>
      <c r="M110" s="748"/>
      <c r="N110" s="748"/>
      <c r="O110" s="748"/>
      <c r="P110" s="748"/>
      <c r="Q110" s="748"/>
      <c r="R110" s="748"/>
      <c r="S110" s="748"/>
      <c r="T110" s="323"/>
      <c r="U110" s="323"/>
      <c r="V110" s="323"/>
      <c r="W110" s="323"/>
      <c r="X110" s="323"/>
      <c r="Y110" s="323"/>
      <c r="Z110" s="323"/>
    </row>
    <row r="111" spans="1:26" ht="17.100000000000001" customHeight="1">
      <c r="A111" s="293" t="s">
        <v>305</v>
      </c>
      <c r="B111" s="234"/>
      <c r="C111" s="748" t="s">
        <v>678</v>
      </c>
      <c r="D111" s="748"/>
      <c r="E111" s="748"/>
      <c r="F111" s="748"/>
      <c r="G111" s="748"/>
      <c r="H111" s="748"/>
      <c r="I111" s="748"/>
      <c r="J111" s="748"/>
      <c r="K111" s="748"/>
      <c r="L111" s="748"/>
      <c r="M111" s="748"/>
      <c r="N111" s="748"/>
      <c r="O111" s="748"/>
      <c r="P111" s="748"/>
      <c r="Q111" s="748"/>
      <c r="R111" s="748"/>
      <c r="S111" s="748"/>
      <c r="T111" s="323"/>
      <c r="U111" s="323"/>
      <c r="V111" s="323"/>
      <c r="W111" s="323"/>
      <c r="X111" s="323"/>
      <c r="Y111" s="323"/>
      <c r="Z111" s="323"/>
    </row>
    <row r="112" spans="1:26" ht="17.100000000000001" customHeight="1">
      <c r="A112" s="293" t="s">
        <v>307</v>
      </c>
      <c r="B112" s="234"/>
      <c r="C112" s="748" t="s">
        <v>679</v>
      </c>
      <c r="D112" s="748"/>
      <c r="E112" s="748"/>
      <c r="F112" s="748"/>
      <c r="G112" s="748"/>
      <c r="H112" s="748"/>
      <c r="I112" s="748"/>
      <c r="J112" s="748"/>
      <c r="K112" s="748"/>
      <c r="L112" s="748"/>
      <c r="M112" s="748"/>
      <c r="N112" s="748"/>
      <c r="O112" s="748"/>
      <c r="P112" s="748"/>
      <c r="Q112" s="748"/>
      <c r="R112" s="748"/>
      <c r="S112" s="748"/>
      <c r="T112" s="323"/>
      <c r="U112" s="323"/>
      <c r="V112" s="323"/>
      <c r="W112" s="323"/>
      <c r="X112" s="323"/>
      <c r="Y112" s="323"/>
      <c r="Z112" s="323"/>
    </row>
    <row r="113" spans="1:26" ht="17.100000000000001" customHeight="1">
      <c r="A113" s="293" t="s">
        <v>309</v>
      </c>
      <c r="B113" s="234"/>
      <c r="C113" s="748" t="s">
        <v>680</v>
      </c>
      <c r="D113" s="748"/>
      <c r="E113" s="748"/>
      <c r="F113" s="748"/>
      <c r="G113" s="748"/>
      <c r="H113" s="748"/>
      <c r="I113" s="748"/>
      <c r="J113" s="748"/>
      <c r="K113" s="748"/>
      <c r="L113" s="748"/>
      <c r="M113" s="748"/>
      <c r="N113" s="748"/>
      <c r="O113" s="748"/>
      <c r="P113" s="748"/>
      <c r="Q113" s="748"/>
      <c r="R113" s="748"/>
      <c r="S113" s="748"/>
      <c r="T113" s="323"/>
      <c r="U113" s="323"/>
      <c r="V113" s="323"/>
      <c r="W113" s="323"/>
      <c r="X113" s="323"/>
      <c r="Y113" s="323"/>
      <c r="Z113" s="323"/>
    </row>
    <row r="114" spans="1:26" ht="17.100000000000001" customHeight="1">
      <c r="A114" s="293" t="s">
        <v>311</v>
      </c>
      <c r="B114" s="234"/>
      <c r="C114" s="748" t="s">
        <v>681</v>
      </c>
      <c r="D114" s="748"/>
      <c r="E114" s="748"/>
      <c r="F114" s="748"/>
      <c r="G114" s="748"/>
      <c r="H114" s="748"/>
      <c r="I114" s="748"/>
      <c r="J114" s="748"/>
      <c r="K114" s="748"/>
      <c r="L114" s="748"/>
      <c r="M114" s="748"/>
      <c r="N114" s="748"/>
      <c r="O114" s="748"/>
      <c r="P114" s="748"/>
      <c r="Q114" s="748"/>
      <c r="R114" s="748"/>
      <c r="S114" s="748"/>
      <c r="T114" s="323"/>
      <c r="U114" s="323"/>
      <c r="V114" s="323"/>
      <c r="W114" s="323"/>
      <c r="X114" s="323"/>
      <c r="Y114" s="323"/>
      <c r="Z114" s="323"/>
    </row>
    <row r="115" spans="1:26" s="266" customFormat="1" ht="17.100000000000001" customHeight="1">
      <c r="A115" s="293" t="s">
        <v>313</v>
      </c>
      <c r="C115" s="748" t="s">
        <v>682</v>
      </c>
      <c r="D115" s="748"/>
      <c r="E115" s="748"/>
      <c r="F115" s="748"/>
      <c r="G115" s="748"/>
      <c r="H115" s="748"/>
      <c r="I115" s="748"/>
      <c r="J115" s="748"/>
      <c r="K115" s="748"/>
      <c r="L115" s="748"/>
      <c r="M115" s="748"/>
      <c r="N115" s="748"/>
      <c r="O115" s="748"/>
      <c r="P115" s="748"/>
      <c r="Q115" s="748"/>
      <c r="R115" s="748"/>
      <c r="S115" s="748"/>
      <c r="T115" s="373"/>
      <c r="U115" s="373"/>
      <c r="V115" s="373"/>
      <c r="W115" s="373"/>
      <c r="X115" s="373"/>
      <c r="Y115" s="373"/>
      <c r="Z115" s="373"/>
    </row>
    <row r="116" spans="1:26" s="266" customFormat="1" ht="17.100000000000001" customHeight="1">
      <c r="A116" s="374" t="s">
        <v>315</v>
      </c>
      <c r="B116" s="373"/>
      <c r="C116" s="234" t="s">
        <v>683</v>
      </c>
      <c r="D116" s="323"/>
      <c r="E116" s="323"/>
      <c r="F116" s="323"/>
      <c r="G116" s="323"/>
      <c r="H116" s="323"/>
      <c r="I116" s="323"/>
      <c r="J116" s="323"/>
      <c r="K116" s="323"/>
      <c r="L116" s="323"/>
      <c r="M116" s="323"/>
      <c r="N116" s="323"/>
      <c r="O116" s="323"/>
      <c r="P116" s="323"/>
      <c r="Q116" s="323"/>
      <c r="R116" s="323"/>
      <c r="S116" s="323"/>
      <c r="T116" s="373"/>
      <c r="U116" s="373"/>
      <c r="V116" s="373"/>
      <c r="W116" s="373"/>
      <c r="X116" s="373"/>
      <c r="Y116" s="373"/>
      <c r="Z116" s="373"/>
    </row>
    <row r="117" spans="1:26" ht="17.100000000000001" customHeight="1">
      <c r="A117" s="287"/>
      <c r="B117" s="340"/>
      <c r="C117" s="341"/>
      <c r="D117" s="341"/>
      <c r="E117" s="341"/>
      <c r="F117" s="341"/>
      <c r="G117" s="274"/>
      <c r="H117" s="275"/>
      <c r="I117" s="275"/>
      <c r="J117" s="244"/>
      <c r="K117" s="244"/>
      <c r="L117" s="286"/>
      <c r="M117" s="286"/>
      <c r="N117" s="269"/>
      <c r="O117" s="286"/>
      <c r="P117" s="286"/>
      <c r="Q117" s="234"/>
      <c r="R117" s="244"/>
      <c r="S117" s="288"/>
      <c r="T117" s="323"/>
      <c r="U117" s="323"/>
      <c r="V117" s="323"/>
      <c r="W117" s="323"/>
      <c r="X117" s="323"/>
      <c r="Y117" s="323"/>
      <c r="Z117" s="323"/>
    </row>
    <row r="118" spans="1:26" ht="15.6">
      <c r="A118" s="287"/>
      <c r="B118" s="340"/>
      <c r="C118" s="341"/>
      <c r="D118" s="341"/>
      <c r="E118" s="341"/>
      <c r="F118" s="341"/>
      <c r="G118" s="274"/>
      <c r="H118" s="275"/>
      <c r="I118" s="275"/>
      <c r="J118" s="244"/>
      <c r="K118" s="244"/>
      <c r="L118" s="286"/>
      <c r="M118" s="286"/>
      <c r="N118" s="269"/>
      <c r="O118" s="286"/>
      <c r="P118" s="286"/>
      <c r="Q118" s="234"/>
      <c r="R118" s="244"/>
      <c r="S118" s="271"/>
      <c r="T118" s="323"/>
      <c r="U118" s="323"/>
      <c r="V118" s="323"/>
      <c r="W118" s="323"/>
      <c r="X118" s="323"/>
      <c r="Y118" s="323"/>
      <c r="Z118" s="323"/>
    </row>
    <row r="119" spans="1:26">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3:26">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3:26">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3:26">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3:26">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3:26">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3:26">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3:26">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3:26">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3:26">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3:26">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3:26">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3:26">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3:26">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3:26">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3:26">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3:26">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3:26">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3:26">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3:26">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3:26">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3:26">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3:26">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3:26">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3:26">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3:26">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3:26">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3:26">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3:26">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3:26">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3:26">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3:26">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3:26">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3:26">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3:26">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3:26">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3:26">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3:26">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3:26">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3:26">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3:26">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3:26">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3:26">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3:26">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3:26">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3:26">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3:26">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3:26">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3:26">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3:26">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3:26">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3:26">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3:26">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3:26">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3:26">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3:26">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3:26">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3:26">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3:26">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3:26">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3:26">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3:26">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3:26">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3:26">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3:26">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3:26">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3:26">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3:26">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3:26">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3:26">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3:26">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3:26">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3:26">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3:26">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3:26">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3:26">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3:26">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3:26">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3:26">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3:26">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3:26">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3:26">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3:26">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3:26">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3:26">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3:26">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3:26">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3:26">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3:26">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3:26">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3:26">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3:26">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3:26">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3:26">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3:26">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3:26">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3:26">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3:26">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3:26">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3:26">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3:26">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3:26">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3:26">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3:26">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3:26">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3:26">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3:26">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3:26">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3:26">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3:26">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3:26">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3:26">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3:26">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3:26">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3:26">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3:26">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3:26">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3:26">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3:26">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3:26">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3:26">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3:26">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3:26">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3:26">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3:26">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3:26">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3:26">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3:26">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3:26">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3:26">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3:26">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3:26">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3:26">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3:26">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3:26">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3:26">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3:26">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3:26">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3:26">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3:26">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3:26">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3:26">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3:26">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3:26">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3:26">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3:26">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3:26">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3:26">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3:26">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3:26">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3:26">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3:26">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3:26">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3:26">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3:26">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3:26">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3:26">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3:26">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3:26">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3:26">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3:26">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3:26">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3:26">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3:26">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3:26">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3:26">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3:26">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3:26">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3:26">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3:26">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3:26">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3:26">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3:26">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3:26">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3:26">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3:26">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3:26">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3:26">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3:26">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3:26">
      <c r="C307" s="323"/>
      <c r="D307" s="323"/>
      <c r="E307" s="323"/>
      <c r="F307" s="323"/>
      <c r="G307" s="323"/>
      <c r="H307" s="323"/>
      <c r="I307" s="323"/>
      <c r="J307" s="323"/>
      <c r="K307" s="323"/>
      <c r="L307" s="323"/>
      <c r="M307" s="323"/>
      <c r="N307" s="323"/>
      <c r="O307" s="323"/>
      <c r="P307" s="323"/>
      <c r="Q307" s="323"/>
      <c r="R307" s="323"/>
      <c r="S307" s="323"/>
    </row>
    <row r="308" spans="3:26">
      <c r="C308" s="323"/>
      <c r="D308" s="323"/>
      <c r="E308" s="323"/>
      <c r="F308" s="323"/>
      <c r="G308" s="323"/>
      <c r="H308" s="323"/>
      <c r="I308" s="323"/>
      <c r="J308" s="323"/>
      <c r="K308" s="323"/>
      <c r="L308" s="323"/>
      <c r="M308" s="323"/>
      <c r="N308" s="323"/>
      <c r="O308" s="323"/>
      <c r="P308" s="323"/>
      <c r="Q308" s="323"/>
      <c r="R308" s="323"/>
      <c r="S308" s="323"/>
    </row>
    <row r="309" spans="3:26">
      <c r="C309" s="323"/>
      <c r="D309" s="323"/>
      <c r="E309" s="323"/>
      <c r="F309" s="323"/>
      <c r="G309" s="323"/>
      <c r="H309" s="323"/>
      <c r="I309" s="323"/>
      <c r="J309" s="323"/>
      <c r="K309" s="323"/>
      <c r="L309" s="323"/>
      <c r="M309" s="323"/>
      <c r="N309" s="323"/>
      <c r="O309" s="323"/>
      <c r="P309" s="323"/>
      <c r="Q309" s="323"/>
      <c r="R309" s="323"/>
      <c r="S309" s="323"/>
    </row>
    <row r="310" spans="3:26">
      <c r="C310" s="323"/>
      <c r="D310" s="323"/>
      <c r="E310" s="323"/>
      <c r="F310" s="323"/>
      <c r="G310" s="323"/>
      <c r="H310" s="323"/>
      <c r="I310" s="323"/>
      <c r="J310" s="323"/>
      <c r="K310" s="323"/>
      <c r="L310" s="323"/>
      <c r="M310" s="323"/>
      <c r="N310" s="323"/>
      <c r="O310" s="323"/>
      <c r="P310" s="323"/>
      <c r="Q310" s="323"/>
      <c r="R310" s="323"/>
      <c r="S310" s="323"/>
    </row>
    <row r="311" spans="3:26">
      <c r="C311" s="323"/>
      <c r="D311" s="323"/>
      <c r="E311" s="323"/>
      <c r="F311" s="323"/>
      <c r="G311" s="323"/>
      <c r="H311" s="323"/>
      <c r="I311" s="323"/>
      <c r="J311" s="323"/>
      <c r="K311" s="323"/>
      <c r="L311" s="323"/>
      <c r="M311" s="323"/>
      <c r="N311" s="323"/>
      <c r="O311" s="323"/>
      <c r="P311" s="323"/>
      <c r="Q311" s="323"/>
      <c r="R311" s="323"/>
      <c r="S311" s="323"/>
    </row>
    <row r="312" spans="3:26">
      <c r="C312" s="323"/>
      <c r="D312" s="323"/>
      <c r="E312" s="323"/>
      <c r="F312" s="323"/>
      <c r="G312" s="323"/>
      <c r="H312" s="323"/>
      <c r="I312" s="323"/>
      <c r="J312" s="323"/>
      <c r="K312" s="323"/>
      <c r="L312" s="323"/>
      <c r="M312" s="323"/>
      <c r="N312" s="323"/>
      <c r="O312" s="323"/>
      <c r="P312" s="323"/>
      <c r="Q312" s="323"/>
      <c r="R312" s="323"/>
      <c r="S312" s="323"/>
    </row>
    <row r="313" spans="3:26">
      <c r="C313" s="323"/>
      <c r="D313" s="323"/>
      <c r="E313" s="323"/>
      <c r="F313" s="323"/>
      <c r="G313" s="323"/>
      <c r="H313" s="323"/>
      <c r="I313" s="323"/>
      <c r="J313" s="323"/>
      <c r="K313" s="323"/>
      <c r="L313" s="323"/>
      <c r="M313" s="323"/>
      <c r="N313" s="323"/>
      <c r="O313" s="323"/>
      <c r="P313" s="323"/>
      <c r="Q313" s="323"/>
      <c r="R313" s="323"/>
      <c r="S313" s="323"/>
    </row>
    <row r="314" spans="3:26">
      <c r="C314" s="323"/>
      <c r="D314" s="323"/>
      <c r="E314" s="323"/>
      <c r="F314" s="323"/>
      <c r="G314" s="323"/>
      <c r="H314" s="323"/>
      <c r="I314" s="323"/>
      <c r="J314" s="323"/>
      <c r="K314" s="323"/>
      <c r="L314" s="323"/>
      <c r="M314" s="323"/>
      <c r="N314" s="323"/>
      <c r="O314" s="323"/>
      <c r="P314" s="323"/>
      <c r="Q314" s="323"/>
      <c r="R314" s="323"/>
      <c r="S314" s="323"/>
    </row>
  </sheetData>
  <mergeCells count="10">
    <mergeCell ref="C112:S112"/>
    <mergeCell ref="C113:S113"/>
    <mergeCell ref="C114:S114"/>
    <mergeCell ref="C115:S115"/>
    <mergeCell ref="C106:S106"/>
    <mergeCell ref="C107:S107"/>
    <mergeCell ref="C108:S108"/>
    <mergeCell ref="C109:S109"/>
    <mergeCell ref="C110:S110"/>
    <mergeCell ref="C111:S111"/>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7"/>
  <sheetViews>
    <sheetView zoomScale="80" zoomScaleNormal="80" zoomScaleSheetLayoutView="85" workbookViewId="0">
      <pane xSplit="2" ySplit="10" topLeftCell="C11" activePane="bottomRight" state="frozen"/>
      <selection pane="topRight" activeCell="F25" sqref="F25:K28"/>
      <selection pane="bottomLeft" activeCell="F25" sqref="F25:K28"/>
      <selection pane="bottomRight" activeCell="B4" sqref="B4"/>
    </sheetView>
  </sheetViews>
  <sheetFormatPr defaultColWidth="9.109375" defaultRowHeight="13.2"/>
  <cols>
    <col min="1" max="1" width="21.33203125" style="376" customWidth="1"/>
    <col min="2" max="2" width="32.88671875" style="376" customWidth="1"/>
    <col min="3" max="4" width="14" style="441" customWidth="1"/>
    <col min="5" max="10" width="13.88671875" style="441" customWidth="1"/>
    <col min="11" max="11" width="13.88671875" style="443" customWidth="1"/>
    <col min="12" max="22" width="13.88671875" style="376" customWidth="1"/>
    <col min="23" max="16384" width="9.109375" style="376"/>
  </cols>
  <sheetData>
    <row r="1" spans="1:14">
      <c r="C1" s="453">
        <v>1</v>
      </c>
      <c r="D1" s="453">
        <f t="shared" ref="D1:N1" si="0">+C1+1</f>
        <v>2</v>
      </c>
      <c r="E1" s="453">
        <f t="shared" si="0"/>
        <v>3</v>
      </c>
      <c r="F1" s="453">
        <f t="shared" si="0"/>
        <v>4</v>
      </c>
      <c r="G1" s="453">
        <f t="shared" si="0"/>
        <v>5</v>
      </c>
      <c r="H1" s="453">
        <f t="shared" si="0"/>
        <v>6</v>
      </c>
      <c r="I1" s="453">
        <f t="shared" si="0"/>
        <v>7</v>
      </c>
      <c r="J1" s="453">
        <f t="shared" si="0"/>
        <v>8</v>
      </c>
      <c r="K1" s="453">
        <f t="shared" si="0"/>
        <v>9</v>
      </c>
      <c r="L1" s="453">
        <f t="shared" si="0"/>
        <v>10</v>
      </c>
      <c r="M1" s="453">
        <f t="shared" si="0"/>
        <v>11</v>
      </c>
      <c r="N1" s="453">
        <f t="shared" si="0"/>
        <v>12</v>
      </c>
    </row>
    <row r="2" spans="1:14" s="380" customFormat="1" ht="17.399999999999999">
      <c r="A2" s="188" t="s">
        <v>684</v>
      </c>
      <c r="K2" s="454"/>
    </row>
    <row r="3" spans="1:14">
      <c r="A3" s="189"/>
      <c r="C3" s="376"/>
      <c r="D3" s="376"/>
      <c r="E3" s="376"/>
      <c r="F3" s="376"/>
      <c r="G3" s="376"/>
      <c r="H3" s="376"/>
      <c r="I3" s="376"/>
      <c r="J3" s="376"/>
      <c r="K3" s="422"/>
    </row>
    <row r="4" spans="1:14">
      <c r="A4" s="190" t="s">
        <v>535</v>
      </c>
      <c r="B4" s="455">
        <v>2018</v>
      </c>
      <c r="C4" s="191"/>
      <c r="D4" s="191"/>
      <c r="E4" s="191"/>
      <c r="F4" s="376"/>
      <c r="G4" s="191"/>
      <c r="H4" s="191"/>
      <c r="I4" s="191"/>
      <c r="J4" s="376"/>
      <c r="K4" s="422"/>
    </row>
    <row r="5" spans="1:14">
      <c r="A5" s="189"/>
      <c r="B5" s="191"/>
      <c r="C5" s="191"/>
      <c r="D5" s="191"/>
      <c r="E5" s="191"/>
      <c r="F5" s="376"/>
      <c r="G5" s="191"/>
      <c r="H5" s="191"/>
      <c r="I5" s="191"/>
      <c r="J5" s="376"/>
      <c r="K5" s="422"/>
    </row>
    <row r="6" spans="1:14">
      <c r="A6" s="190" t="s">
        <v>536</v>
      </c>
      <c r="B6" s="192" t="s">
        <v>537</v>
      </c>
      <c r="C6" s="191"/>
      <c r="D6" s="191"/>
      <c r="E6" s="191"/>
      <c r="F6" s="376"/>
      <c r="G6" s="191"/>
      <c r="H6" s="191"/>
      <c r="I6" s="191"/>
      <c r="J6" s="376"/>
      <c r="K6" s="422"/>
    </row>
    <row r="7" spans="1:14">
      <c r="A7" s="189"/>
      <c r="B7" s="191"/>
      <c r="C7" s="377"/>
      <c r="D7" s="388"/>
      <c r="E7" s="388"/>
      <c r="F7" s="388"/>
      <c r="G7" s="388"/>
      <c r="H7" s="388"/>
      <c r="I7" s="388"/>
      <c r="J7" s="388"/>
      <c r="K7" s="388"/>
      <c r="L7" s="388"/>
      <c r="M7" s="388"/>
      <c r="N7" s="388"/>
    </row>
    <row r="8" spans="1:14" ht="26.25" customHeight="1">
      <c r="A8" s="193"/>
      <c r="B8" s="662" t="s">
        <v>538</v>
      </c>
      <c r="C8" s="457" t="s">
        <v>662</v>
      </c>
      <c r="D8" s="457" t="s">
        <v>660</v>
      </c>
      <c r="E8" s="458" t="s">
        <v>685</v>
      </c>
      <c r="F8" s="458" t="s">
        <v>686</v>
      </c>
      <c r="G8" s="458" t="s">
        <v>687</v>
      </c>
      <c r="H8" s="458" t="s">
        <v>688</v>
      </c>
      <c r="I8" s="458" t="s">
        <v>689</v>
      </c>
      <c r="J8" s="458" t="s">
        <v>690</v>
      </c>
      <c r="K8" s="458" t="s">
        <v>691</v>
      </c>
      <c r="L8" s="458" t="s">
        <v>692</v>
      </c>
      <c r="M8" s="458" t="s">
        <v>693</v>
      </c>
      <c r="N8" s="458" t="s">
        <v>694</v>
      </c>
    </row>
    <row r="9" spans="1:14" ht="13.8">
      <c r="A9" s="193"/>
      <c r="B9" s="456" t="s">
        <v>539</v>
      </c>
      <c r="C9" s="459" t="s">
        <v>537</v>
      </c>
      <c r="D9" s="459" t="s">
        <v>537</v>
      </c>
      <c r="E9" s="194" t="s">
        <v>695</v>
      </c>
      <c r="F9" s="194" t="s">
        <v>695</v>
      </c>
      <c r="G9" s="194" t="s">
        <v>695</v>
      </c>
      <c r="H9" s="194" t="s">
        <v>695</v>
      </c>
      <c r="I9" s="194" t="s">
        <v>695</v>
      </c>
      <c r="J9" s="194" t="s">
        <v>695</v>
      </c>
      <c r="K9" s="194" t="s">
        <v>695</v>
      </c>
      <c r="L9" s="194" t="s">
        <v>695</v>
      </c>
      <c r="M9" s="194" t="s">
        <v>695</v>
      </c>
      <c r="N9" s="194" t="s">
        <v>695</v>
      </c>
    </row>
    <row r="10" spans="1:14" ht="15" customHeight="1">
      <c r="A10" s="193"/>
      <c r="B10" s="456" t="s">
        <v>540</v>
      </c>
      <c r="C10" s="460" t="s">
        <v>696</v>
      </c>
      <c r="D10" s="460" t="s">
        <v>696</v>
      </c>
      <c r="E10" s="460" t="s">
        <v>696</v>
      </c>
      <c r="F10" s="460" t="s">
        <v>696</v>
      </c>
      <c r="G10" s="460" t="s">
        <v>696</v>
      </c>
      <c r="H10" s="460" t="s">
        <v>696</v>
      </c>
      <c r="I10" s="460" t="s">
        <v>696</v>
      </c>
      <c r="J10" s="460" t="s">
        <v>696</v>
      </c>
      <c r="K10" s="460" t="s">
        <v>696</v>
      </c>
      <c r="L10" s="460" t="s">
        <v>696</v>
      </c>
      <c r="M10" s="460" t="s">
        <v>696</v>
      </c>
      <c r="N10" s="460" t="s">
        <v>696</v>
      </c>
    </row>
    <row r="11" spans="1:14">
      <c r="A11" s="195" t="s">
        <v>542</v>
      </c>
      <c r="B11" s="397" t="str">
        <f>"December "&amp;B4-1</f>
        <v>December 2017</v>
      </c>
      <c r="C11" s="398">
        <v>188136407.63</v>
      </c>
      <c r="D11" s="399">
        <v>33530245.149999999</v>
      </c>
      <c r="E11" s="398">
        <v>0</v>
      </c>
      <c r="F11" s="399">
        <v>0</v>
      </c>
      <c r="G11" s="398">
        <v>0</v>
      </c>
      <c r="H11" s="399">
        <v>0</v>
      </c>
      <c r="I11" s="398">
        <v>0</v>
      </c>
      <c r="J11" s="399">
        <v>0</v>
      </c>
      <c r="K11" s="398">
        <v>0</v>
      </c>
      <c r="L11" s="399">
        <v>0</v>
      </c>
      <c r="M11" s="398">
        <v>0</v>
      </c>
      <c r="N11" s="401">
        <v>0</v>
      </c>
    </row>
    <row r="12" spans="1:14">
      <c r="A12" s="196" t="s">
        <v>543</v>
      </c>
      <c r="B12" s="402" t="str">
        <f>"January "&amp;B4</f>
        <v>January 2018</v>
      </c>
      <c r="C12" s="398">
        <v>199162122.68000001</v>
      </c>
      <c r="D12" s="399">
        <v>33530245.150000002</v>
      </c>
      <c r="E12" s="398">
        <v>0</v>
      </c>
      <c r="F12" s="399">
        <v>0</v>
      </c>
      <c r="G12" s="398">
        <v>0</v>
      </c>
      <c r="H12" s="399">
        <v>0</v>
      </c>
      <c r="I12" s="398">
        <v>0</v>
      </c>
      <c r="J12" s="399">
        <v>0</v>
      </c>
      <c r="K12" s="398">
        <v>0</v>
      </c>
      <c r="L12" s="399">
        <v>0</v>
      </c>
      <c r="M12" s="398">
        <v>0</v>
      </c>
      <c r="N12" s="401">
        <v>0</v>
      </c>
    </row>
    <row r="13" spans="1:14">
      <c r="A13" s="196"/>
      <c r="B13" s="403" t="s">
        <v>544</v>
      </c>
      <c r="C13" s="398">
        <v>208493624.19</v>
      </c>
      <c r="D13" s="399">
        <v>33530245.150000002</v>
      </c>
      <c r="E13" s="398">
        <v>0</v>
      </c>
      <c r="F13" s="399">
        <v>0</v>
      </c>
      <c r="G13" s="398">
        <v>0</v>
      </c>
      <c r="H13" s="399">
        <v>0</v>
      </c>
      <c r="I13" s="398">
        <v>0</v>
      </c>
      <c r="J13" s="399">
        <v>0</v>
      </c>
      <c r="K13" s="398">
        <v>0</v>
      </c>
      <c r="L13" s="399">
        <v>0</v>
      </c>
      <c r="M13" s="398">
        <v>0</v>
      </c>
      <c r="N13" s="401">
        <v>0</v>
      </c>
    </row>
    <row r="14" spans="1:14">
      <c r="A14" s="196"/>
      <c r="B14" s="403" t="s">
        <v>545</v>
      </c>
      <c r="C14" s="398">
        <v>217927869.99000001</v>
      </c>
      <c r="D14" s="399">
        <v>33530245.150000002</v>
      </c>
      <c r="E14" s="398">
        <v>0</v>
      </c>
      <c r="F14" s="399">
        <v>0</v>
      </c>
      <c r="G14" s="398">
        <v>0</v>
      </c>
      <c r="H14" s="399">
        <v>0</v>
      </c>
      <c r="I14" s="398">
        <v>0</v>
      </c>
      <c r="J14" s="399">
        <v>0</v>
      </c>
      <c r="K14" s="398">
        <v>0</v>
      </c>
      <c r="L14" s="399">
        <v>0</v>
      </c>
      <c r="M14" s="398">
        <v>0</v>
      </c>
      <c r="N14" s="401">
        <v>0</v>
      </c>
    </row>
    <row r="15" spans="1:14">
      <c r="A15" s="196"/>
      <c r="B15" s="403" t="s">
        <v>546</v>
      </c>
      <c r="C15" s="398">
        <v>224167284.31</v>
      </c>
      <c r="D15" s="399">
        <v>33530245.150000002</v>
      </c>
      <c r="E15" s="398">
        <v>0</v>
      </c>
      <c r="F15" s="399">
        <v>0</v>
      </c>
      <c r="G15" s="398">
        <v>0</v>
      </c>
      <c r="H15" s="399">
        <v>0</v>
      </c>
      <c r="I15" s="398">
        <v>0</v>
      </c>
      <c r="J15" s="399">
        <v>0</v>
      </c>
      <c r="K15" s="398">
        <v>0</v>
      </c>
      <c r="L15" s="399">
        <v>0</v>
      </c>
      <c r="M15" s="398">
        <v>0</v>
      </c>
      <c r="N15" s="401">
        <v>0</v>
      </c>
    </row>
    <row r="16" spans="1:14">
      <c r="A16" s="196"/>
      <c r="B16" s="403" t="s">
        <v>547</v>
      </c>
      <c r="C16" s="398">
        <v>231105241.17000002</v>
      </c>
      <c r="D16" s="399">
        <v>33530245.150000002</v>
      </c>
      <c r="E16" s="398">
        <v>0</v>
      </c>
      <c r="F16" s="399">
        <v>0</v>
      </c>
      <c r="G16" s="398">
        <v>0</v>
      </c>
      <c r="H16" s="399">
        <v>0</v>
      </c>
      <c r="I16" s="398">
        <v>0</v>
      </c>
      <c r="J16" s="399">
        <v>0</v>
      </c>
      <c r="K16" s="398">
        <v>0</v>
      </c>
      <c r="L16" s="399">
        <v>0</v>
      </c>
      <c r="M16" s="398">
        <v>0</v>
      </c>
      <c r="N16" s="401">
        <v>0</v>
      </c>
    </row>
    <row r="17" spans="1:14">
      <c r="A17" s="196"/>
      <c r="B17" s="403" t="s">
        <v>548</v>
      </c>
      <c r="C17" s="398">
        <v>240767149.03999999</v>
      </c>
      <c r="D17" s="399">
        <v>33530245.150000002</v>
      </c>
      <c r="E17" s="398">
        <v>0</v>
      </c>
      <c r="F17" s="399">
        <v>0</v>
      </c>
      <c r="G17" s="398">
        <v>0</v>
      </c>
      <c r="H17" s="399">
        <v>0</v>
      </c>
      <c r="I17" s="398">
        <v>0</v>
      </c>
      <c r="J17" s="399">
        <v>0</v>
      </c>
      <c r="K17" s="398">
        <v>0</v>
      </c>
      <c r="L17" s="399">
        <v>0</v>
      </c>
      <c r="M17" s="398">
        <v>0</v>
      </c>
      <c r="N17" s="401">
        <v>0</v>
      </c>
    </row>
    <row r="18" spans="1:14">
      <c r="A18" s="196"/>
      <c r="B18" s="403" t="s">
        <v>549</v>
      </c>
      <c r="C18" s="398">
        <v>247555125.63</v>
      </c>
      <c r="D18" s="399">
        <v>33530245.150000002</v>
      </c>
      <c r="E18" s="398">
        <v>0</v>
      </c>
      <c r="F18" s="399">
        <v>0</v>
      </c>
      <c r="G18" s="398">
        <v>0</v>
      </c>
      <c r="H18" s="399">
        <v>0</v>
      </c>
      <c r="I18" s="398">
        <v>0</v>
      </c>
      <c r="J18" s="399">
        <v>0</v>
      </c>
      <c r="K18" s="398">
        <v>0</v>
      </c>
      <c r="L18" s="399">
        <v>0</v>
      </c>
      <c r="M18" s="398">
        <v>0</v>
      </c>
      <c r="N18" s="401">
        <v>0</v>
      </c>
    </row>
    <row r="19" spans="1:14">
      <c r="A19" s="196"/>
      <c r="B19" s="403" t="s">
        <v>550</v>
      </c>
      <c r="C19" s="398">
        <v>253624651.01000002</v>
      </c>
      <c r="D19" s="399">
        <v>33530245.150000002</v>
      </c>
      <c r="E19" s="398">
        <v>0</v>
      </c>
      <c r="F19" s="399">
        <v>0</v>
      </c>
      <c r="G19" s="398">
        <v>0</v>
      </c>
      <c r="H19" s="399">
        <v>0</v>
      </c>
      <c r="I19" s="398">
        <v>0</v>
      </c>
      <c r="J19" s="399">
        <v>0</v>
      </c>
      <c r="K19" s="398">
        <v>0</v>
      </c>
      <c r="L19" s="399">
        <v>0</v>
      </c>
      <c r="M19" s="398">
        <v>0</v>
      </c>
      <c r="N19" s="401">
        <v>0</v>
      </c>
    </row>
    <row r="20" spans="1:14">
      <c r="A20" s="196"/>
      <c r="B20" s="403" t="s">
        <v>551</v>
      </c>
      <c r="C20" s="398">
        <v>257568699.24000001</v>
      </c>
      <c r="D20" s="399">
        <v>33530245.150000002</v>
      </c>
      <c r="E20" s="398">
        <v>0</v>
      </c>
      <c r="F20" s="399">
        <v>0</v>
      </c>
      <c r="G20" s="398">
        <v>0</v>
      </c>
      <c r="H20" s="399">
        <v>0</v>
      </c>
      <c r="I20" s="398">
        <v>0</v>
      </c>
      <c r="J20" s="399">
        <v>0</v>
      </c>
      <c r="K20" s="398">
        <v>0</v>
      </c>
      <c r="L20" s="399">
        <v>0</v>
      </c>
      <c r="M20" s="398">
        <v>0</v>
      </c>
      <c r="N20" s="401">
        <v>0</v>
      </c>
    </row>
    <row r="21" spans="1:14">
      <c r="A21" s="196"/>
      <c r="B21" s="403" t="s">
        <v>552</v>
      </c>
      <c r="C21" s="398">
        <v>261496334.29999998</v>
      </c>
      <c r="D21" s="399">
        <v>33530245.150000002</v>
      </c>
      <c r="E21" s="398">
        <v>0</v>
      </c>
      <c r="F21" s="399">
        <v>0</v>
      </c>
      <c r="G21" s="398">
        <v>0</v>
      </c>
      <c r="H21" s="399">
        <v>0</v>
      </c>
      <c r="I21" s="398">
        <v>0</v>
      </c>
      <c r="J21" s="399">
        <v>0</v>
      </c>
      <c r="K21" s="398">
        <v>0</v>
      </c>
      <c r="L21" s="399">
        <v>0</v>
      </c>
      <c r="M21" s="398">
        <v>0</v>
      </c>
      <c r="N21" s="401">
        <v>0</v>
      </c>
    </row>
    <row r="22" spans="1:14">
      <c r="A22" s="196"/>
      <c r="B22" s="403" t="s">
        <v>553</v>
      </c>
      <c r="C22" s="398">
        <v>266432989.56</v>
      </c>
      <c r="D22" s="399">
        <v>33530245.150000002</v>
      </c>
      <c r="E22" s="398">
        <v>0</v>
      </c>
      <c r="F22" s="399">
        <v>0</v>
      </c>
      <c r="G22" s="398">
        <v>0</v>
      </c>
      <c r="H22" s="399">
        <v>0</v>
      </c>
      <c r="I22" s="398">
        <v>0</v>
      </c>
      <c r="J22" s="399">
        <v>0</v>
      </c>
      <c r="K22" s="398">
        <v>0</v>
      </c>
      <c r="L22" s="399">
        <v>0</v>
      </c>
      <c r="M22" s="398">
        <v>0</v>
      </c>
      <c r="N22" s="401">
        <v>0</v>
      </c>
    </row>
    <row r="23" spans="1:14">
      <c r="A23" s="197"/>
      <c r="B23" s="404" t="str">
        <f>"December "&amp;B4</f>
        <v>December 2018</v>
      </c>
      <c r="C23" s="398">
        <v>268232095.24000001</v>
      </c>
      <c r="D23" s="399">
        <v>33530245.150000002</v>
      </c>
      <c r="E23" s="398">
        <v>0</v>
      </c>
      <c r="F23" s="399">
        <v>0</v>
      </c>
      <c r="G23" s="398">
        <v>0</v>
      </c>
      <c r="H23" s="399">
        <v>0</v>
      </c>
      <c r="I23" s="398">
        <v>0</v>
      </c>
      <c r="J23" s="399">
        <v>0</v>
      </c>
      <c r="K23" s="398">
        <v>0</v>
      </c>
      <c r="L23" s="399">
        <v>0</v>
      </c>
      <c r="M23" s="398">
        <v>0</v>
      </c>
      <c r="N23" s="401">
        <v>0</v>
      </c>
    </row>
    <row r="24" spans="1:14">
      <c r="A24" s="198"/>
      <c r="B24" s="438" t="s">
        <v>554</v>
      </c>
      <c r="C24" s="406">
        <f t="shared" ref="C24:N24" si="1">AVERAGE(C11:C23)</f>
        <v>235743814.92230767</v>
      </c>
      <c r="D24" s="406">
        <f t="shared" si="1"/>
        <v>33530245.149999995</v>
      </c>
      <c r="E24" s="406">
        <f t="shared" si="1"/>
        <v>0</v>
      </c>
      <c r="F24" s="406">
        <f t="shared" si="1"/>
        <v>0</v>
      </c>
      <c r="G24" s="406">
        <f t="shared" si="1"/>
        <v>0</v>
      </c>
      <c r="H24" s="406">
        <f t="shared" si="1"/>
        <v>0</v>
      </c>
      <c r="I24" s="406">
        <f t="shared" si="1"/>
        <v>0</v>
      </c>
      <c r="J24" s="406">
        <f t="shared" si="1"/>
        <v>0</v>
      </c>
      <c r="K24" s="406">
        <f t="shared" si="1"/>
        <v>0</v>
      </c>
      <c r="L24" s="406">
        <f t="shared" si="1"/>
        <v>0</v>
      </c>
      <c r="M24" s="406">
        <f t="shared" si="1"/>
        <v>0</v>
      </c>
      <c r="N24" s="407">
        <f t="shared" si="1"/>
        <v>0</v>
      </c>
    </row>
    <row r="25" spans="1:14">
      <c r="A25" s="198"/>
      <c r="B25" s="438"/>
      <c r="C25" s="438"/>
      <c r="D25" s="438"/>
      <c r="E25" s="438"/>
      <c r="F25" s="438"/>
      <c r="G25" s="438"/>
      <c r="H25" s="438"/>
      <c r="I25" s="438"/>
      <c r="J25" s="438"/>
      <c r="K25" s="438"/>
      <c r="L25" s="438"/>
    </row>
    <row r="26" spans="1:14">
      <c r="A26" s="198"/>
      <c r="B26" s="438"/>
      <c r="C26" s="438"/>
      <c r="D26" s="438"/>
      <c r="E26" s="438"/>
      <c r="F26" s="438"/>
      <c r="G26" s="438"/>
      <c r="H26" s="438"/>
      <c r="I26" s="438"/>
      <c r="J26" s="438"/>
      <c r="K26" s="438"/>
      <c r="L26" s="438"/>
    </row>
    <row r="27" spans="1:14">
      <c r="A27" s="195" t="s">
        <v>555</v>
      </c>
      <c r="B27" s="397" t="str">
        <f t="shared" ref="B27:B39" si="2">+B11</f>
        <v>December 2017</v>
      </c>
      <c r="C27" s="410">
        <f t="shared" ref="C27:N39" si="3">+C11-C44</f>
        <v>314291.62999999523</v>
      </c>
      <c r="D27" s="411">
        <f t="shared" si="3"/>
        <v>3035773.6000000015</v>
      </c>
      <c r="E27" s="410">
        <f t="shared" si="3"/>
        <v>0</v>
      </c>
      <c r="F27" s="411">
        <f t="shared" si="3"/>
        <v>0</v>
      </c>
      <c r="G27" s="410">
        <f t="shared" si="3"/>
        <v>0</v>
      </c>
      <c r="H27" s="411">
        <f t="shared" si="3"/>
        <v>0</v>
      </c>
      <c r="I27" s="410">
        <f t="shared" si="3"/>
        <v>0</v>
      </c>
      <c r="J27" s="411">
        <f t="shared" si="3"/>
        <v>0</v>
      </c>
      <c r="K27" s="410">
        <f t="shared" si="3"/>
        <v>0</v>
      </c>
      <c r="L27" s="411">
        <f t="shared" si="3"/>
        <v>0</v>
      </c>
      <c r="M27" s="410">
        <f t="shared" si="3"/>
        <v>0</v>
      </c>
      <c r="N27" s="413">
        <f t="shared" si="3"/>
        <v>0</v>
      </c>
    </row>
    <row r="28" spans="1:14">
      <c r="A28" s="196" t="s">
        <v>556</v>
      </c>
      <c r="B28" s="402" t="str">
        <f t="shared" si="2"/>
        <v>January 2018</v>
      </c>
      <c r="C28" s="398">
        <f t="shared" si="3"/>
        <v>445419.70000001788</v>
      </c>
      <c r="D28" s="399">
        <f t="shared" si="3"/>
        <v>3096335.6899999976</v>
      </c>
      <c r="E28" s="398">
        <f t="shared" si="3"/>
        <v>0</v>
      </c>
      <c r="F28" s="399">
        <f t="shared" si="3"/>
        <v>0</v>
      </c>
      <c r="G28" s="398">
        <f t="shared" si="3"/>
        <v>0</v>
      </c>
      <c r="H28" s="399">
        <f t="shared" si="3"/>
        <v>0</v>
      </c>
      <c r="I28" s="398">
        <f t="shared" si="3"/>
        <v>0</v>
      </c>
      <c r="J28" s="399">
        <f t="shared" si="3"/>
        <v>0</v>
      </c>
      <c r="K28" s="398">
        <f t="shared" si="3"/>
        <v>0</v>
      </c>
      <c r="L28" s="399">
        <f t="shared" si="3"/>
        <v>0</v>
      </c>
      <c r="M28" s="398">
        <f t="shared" si="3"/>
        <v>0</v>
      </c>
      <c r="N28" s="401">
        <f t="shared" si="3"/>
        <v>0</v>
      </c>
    </row>
    <row r="29" spans="1:14">
      <c r="A29" s="196"/>
      <c r="B29" s="402" t="str">
        <f t="shared" si="2"/>
        <v>February</v>
      </c>
      <c r="C29" s="398">
        <f t="shared" si="3"/>
        <v>577821.95999997854</v>
      </c>
      <c r="D29" s="399">
        <f t="shared" si="3"/>
        <v>3156897.7799999975</v>
      </c>
      <c r="E29" s="398">
        <f t="shared" si="3"/>
        <v>0</v>
      </c>
      <c r="F29" s="399">
        <f t="shared" si="3"/>
        <v>0</v>
      </c>
      <c r="G29" s="398">
        <f t="shared" si="3"/>
        <v>0</v>
      </c>
      <c r="H29" s="399">
        <f t="shared" si="3"/>
        <v>0</v>
      </c>
      <c r="I29" s="398">
        <f t="shared" si="3"/>
        <v>0</v>
      </c>
      <c r="J29" s="399">
        <f t="shared" si="3"/>
        <v>0</v>
      </c>
      <c r="K29" s="398">
        <f t="shared" si="3"/>
        <v>0</v>
      </c>
      <c r="L29" s="399">
        <f t="shared" si="3"/>
        <v>0</v>
      </c>
      <c r="M29" s="398">
        <f t="shared" si="3"/>
        <v>0</v>
      </c>
      <c r="N29" s="401">
        <f t="shared" si="3"/>
        <v>0</v>
      </c>
    </row>
    <row r="30" spans="1:14">
      <c r="A30" s="196"/>
      <c r="B30" s="402" t="str">
        <f t="shared" si="2"/>
        <v xml:space="preserve">March </v>
      </c>
      <c r="C30" s="398">
        <f t="shared" si="3"/>
        <v>710362.18000000715</v>
      </c>
      <c r="D30" s="399">
        <f t="shared" si="3"/>
        <v>3217459.8699999973</v>
      </c>
      <c r="E30" s="398">
        <f t="shared" si="3"/>
        <v>0</v>
      </c>
      <c r="F30" s="399">
        <f t="shared" si="3"/>
        <v>0</v>
      </c>
      <c r="G30" s="398">
        <f t="shared" si="3"/>
        <v>0</v>
      </c>
      <c r="H30" s="399">
        <f t="shared" si="3"/>
        <v>0</v>
      </c>
      <c r="I30" s="398">
        <f t="shared" si="3"/>
        <v>0</v>
      </c>
      <c r="J30" s="399">
        <f t="shared" si="3"/>
        <v>0</v>
      </c>
      <c r="K30" s="398">
        <f t="shared" si="3"/>
        <v>0</v>
      </c>
      <c r="L30" s="399">
        <f t="shared" si="3"/>
        <v>0</v>
      </c>
      <c r="M30" s="398">
        <f t="shared" si="3"/>
        <v>0</v>
      </c>
      <c r="N30" s="401">
        <f t="shared" si="3"/>
        <v>0</v>
      </c>
    </row>
    <row r="31" spans="1:14">
      <c r="A31" s="196"/>
      <c r="B31" s="402" t="str">
        <f t="shared" si="2"/>
        <v>April</v>
      </c>
      <c r="C31" s="398">
        <f t="shared" si="3"/>
        <v>843088.1099999845</v>
      </c>
      <c r="D31" s="399">
        <f t="shared" si="3"/>
        <v>3278021.9599999972</v>
      </c>
      <c r="E31" s="398">
        <f t="shared" si="3"/>
        <v>0</v>
      </c>
      <c r="F31" s="399">
        <f t="shared" si="3"/>
        <v>0</v>
      </c>
      <c r="G31" s="398">
        <f t="shared" si="3"/>
        <v>0</v>
      </c>
      <c r="H31" s="399">
        <f t="shared" si="3"/>
        <v>0</v>
      </c>
      <c r="I31" s="398">
        <f t="shared" si="3"/>
        <v>0</v>
      </c>
      <c r="J31" s="399">
        <f t="shared" si="3"/>
        <v>0</v>
      </c>
      <c r="K31" s="398">
        <f t="shared" si="3"/>
        <v>0</v>
      </c>
      <c r="L31" s="399">
        <f t="shared" si="3"/>
        <v>0</v>
      </c>
      <c r="M31" s="398">
        <f t="shared" si="3"/>
        <v>0</v>
      </c>
      <c r="N31" s="401">
        <f t="shared" si="3"/>
        <v>0</v>
      </c>
    </row>
    <row r="32" spans="1:14">
      <c r="A32" s="196"/>
      <c r="B32" s="402" t="str">
        <f t="shared" si="2"/>
        <v>May</v>
      </c>
      <c r="C32" s="398">
        <f t="shared" si="3"/>
        <v>976073.15000000596</v>
      </c>
      <c r="D32" s="399">
        <f t="shared" si="3"/>
        <v>3338584.049999997</v>
      </c>
      <c r="E32" s="398">
        <f t="shared" si="3"/>
        <v>0</v>
      </c>
      <c r="F32" s="399">
        <f t="shared" si="3"/>
        <v>0</v>
      </c>
      <c r="G32" s="398">
        <f t="shared" si="3"/>
        <v>0</v>
      </c>
      <c r="H32" s="399">
        <f t="shared" si="3"/>
        <v>0</v>
      </c>
      <c r="I32" s="398">
        <f t="shared" si="3"/>
        <v>0</v>
      </c>
      <c r="J32" s="399">
        <f t="shared" si="3"/>
        <v>0</v>
      </c>
      <c r="K32" s="398">
        <f t="shared" si="3"/>
        <v>0</v>
      </c>
      <c r="L32" s="399">
        <f t="shared" si="3"/>
        <v>0</v>
      </c>
      <c r="M32" s="398">
        <f t="shared" si="3"/>
        <v>0</v>
      </c>
      <c r="N32" s="401">
        <f t="shared" si="3"/>
        <v>0</v>
      </c>
    </row>
    <row r="33" spans="1:22">
      <c r="A33" s="196"/>
      <c r="B33" s="402" t="str">
        <f t="shared" si="2"/>
        <v>June</v>
      </c>
      <c r="C33" s="398">
        <f t="shared" si="3"/>
        <v>1109399.5399999917</v>
      </c>
      <c r="D33" s="399">
        <f t="shared" si="3"/>
        <v>3399146.1399999969</v>
      </c>
      <c r="E33" s="398">
        <f t="shared" si="3"/>
        <v>0</v>
      </c>
      <c r="F33" s="399">
        <f t="shared" si="3"/>
        <v>0</v>
      </c>
      <c r="G33" s="398">
        <f t="shared" si="3"/>
        <v>0</v>
      </c>
      <c r="H33" s="399">
        <f t="shared" si="3"/>
        <v>0</v>
      </c>
      <c r="I33" s="398">
        <f t="shared" si="3"/>
        <v>0</v>
      </c>
      <c r="J33" s="399">
        <f t="shared" si="3"/>
        <v>0</v>
      </c>
      <c r="K33" s="398">
        <f t="shared" si="3"/>
        <v>0</v>
      </c>
      <c r="L33" s="399">
        <f t="shared" si="3"/>
        <v>0</v>
      </c>
      <c r="M33" s="398">
        <f t="shared" si="3"/>
        <v>0</v>
      </c>
      <c r="N33" s="401">
        <f t="shared" si="3"/>
        <v>0</v>
      </c>
    </row>
    <row r="34" spans="1:22">
      <c r="A34" s="196"/>
      <c r="B34" s="402" t="str">
        <f t="shared" si="2"/>
        <v>July</v>
      </c>
      <c r="C34" s="398">
        <f t="shared" si="3"/>
        <v>1245742.2899999917</v>
      </c>
      <c r="D34" s="399">
        <f t="shared" si="3"/>
        <v>3459708.2299999967</v>
      </c>
      <c r="E34" s="398">
        <f t="shared" si="3"/>
        <v>0</v>
      </c>
      <c r="F34" s="399">
        <f t="shared" si="3"/>
        <v>0</v>
      </c>
      <c r="G34" s="398">
        <f t="shared" si="3"/>
        <v>0</v>
      </c>
      <c r="H34" s="399">
        <f t="shared" si="3"/>
        <v>0</v>
      </c>
      <c r="I34" s="398">
        <f t="shared" si="3"/>
        <v>0</v>
      </c>
      <c r="J34" s="399">
        <f t="shared" si="3"/>
        <v>0</v>
      </c>
      <c r="K34" s="398">
        <f t="shared" si="3"/>
        <v>0</v>
      </c>
      <c r="L34" s="399">
        <f t="shared" si="3"/>
        <v>0</v>
      </c>
      <c r="M34" s="398">
        <f t="shared" si="3"/>
        <v>0</v>
      </c>
      <c r="N34" s="401">
        <f t="shared" si="3"/>
        <v>0</v>
      </c>
    </row>
    <row r="35" spans="1:22">
      <c r="A35" s="196"/>
      <c r="B35" s="402" t="str">
        <f t="shared" si="2"/>
        <v xml:space="preserve">August </v>
      </c>
      <c r="C35" s="398">
        <f t="shared" si="3"/>
        <v>1382363.2400000095</v>
      </c>
      <c r="D35" s="399">
        <f t="shared" si="3"/>
        <v>3520270.3199999966</v>
      </c>
      <c r="E35" s="398">
        <f t="shared" si="3"/>
        <v>0</v>
      </c>
      <c r="F35" s="399">
        <f t="shared" si="3"/>
        <v>0</v>
      </c>
      <c r="G35" s="398">
        <f t="shared" si="3"/>
        <v>0</v>
      </c>
      <c r="H35" s="399">
        <f t="shared" si="3"/>
        <v>0</v>
      </c>
      <c r="I35" s="398">
        <f t="shared" si="3"/>
        <v>0</v>
      </c>
      <c r="J35" s="399">
        <f t="shared" si="3"/>
        <v>0</v>
      </c>
      <c r="K35" s="398">
        <f t="shared" si="3"/>
        <v>0</v>
      </c>
      <c r="L35" s="399">
        <f t="shared" si="3"/>
        <v>0</v>
      </c>
      <c r="M35" s="398">
        <f t="shared" si="3"/>
        <v>0</v>
      </c>
      <c r="N35" s="401">
        <f t="shared" si="3"/>
        <v>0</v>
      </c>
    </row>
    <row r="36" spans="1:22">
      <c r="A36" s="196"/>
      <c r="B36" s="402" t="str">
        <f t="shared" si="2"/>
        <v>September</v>
      </c>
      <c r="C36" s="398">
        <f t="shared" si="3"/>
        <v>1519562.9600000083</v>
      </c>
      <c r="D36" s="399">
        <f t="shared" si="3"/>
        <v>3580832.4099999964</v>
      </c>
      <c r="E36" s="398">
        <f t="shared" si="3"/>
        <v>0</v>
      </c>
      <c r="F36" s="399">
        <f t="shared" si="3"/>
        <v>0</v>
      </c>
      <c r="G36" s="398">
        <f t="shared" si="3"/>
        <v>0</v>
      </c>
      <c r="H36" s="399">
        <f t="shared" si="3"/>
        <v>0</v>
      </c>
      <c r="I36" s="398">
        <f t="shared" si="3"/>
        <v>0</v>
      </c>
      <c r="J36" s="399">
        <f t="shared" si="3"/>
        <v>0</v>
      </c>
      <c r="K36" s="398">
        <f t="shared" si="3"/>
        <v>0</v>
      </c>
      <c r="L36" s="399">
        <f t="shared" si="3"/>
        <v>0</v>
      </c>
      <c r="M36" s="398">
        <f t="shared" si="3"/>
        <v>0</v>
      </c>
      <c r="N36" s="401">
        <f t="shared" si="3"/>
        <v>0</v>
      </c>
    </row>
    <row r="37" spans="1:22">
      <c r="A37" s="196"/>
      <c r="B37" s="402" t="str">
        <f t="shared" si="2"/>
        <v>October</v>
      </c>
      <c r="C37" s="398">
        <f t="shared" si="3"/>
        <v>1657467.8400000036</v>
      </c>
      <c r="D37" s="399">
        <f t="shared" si="3"/>
        <v>3641388.799999997</v>
      </c>
      <c r="E37" s="398">
        <f t="shared" si="3"/>
        <v>0</v>
      </c>
      <c r="F37" s="399">
        <f t="shared" si="3"/>
        <v>0</v>
      </c>
      <c r="G37" s="398">
        <f t="shared" si="3"/>
        <v>0</v>
      </c>
      <c r="H37" s="399">
        <f t="shared" si="3"/>
        <v>0</v>
      </c>
      <c r="I37" s="398">
        <f t="shared" si="3"/>
        <v>0</v>
      </c>
      <c r="J37" s="399">
        <f t="shared" si="3"/>
        <v>0</v>
      </c>
      <c r="K37" s="398">
        <f t="shared" si="3"/>
        <v>0</v>
      </c>
      <c r="L37" s="399">
        <f t="shared" si="3"/>
        <v>0</v>
      </c>
      <c r="M37" s="398">
        <f t="shared" si="3"/>
        <v>0</v>
      </c>
      <c r="N37" s="401">
        <f t="shared" si="3"/>
        <v>0</v>
      </c>
    </row>
    <row r="38" spans="1:22">
      <c r="A38" s="196"/>
      <c r="B38" s="402" t="str">
        <f t="shared" si="2"/>
        <v>November</v>
      </c>
      <c r="C38" s="398">
        <f t="shared" si="3"/>
        <v>1796044.9199999869</v>
      </c>
      <c r="D38" s="399">
        <f t="shared" si="3"/>
        <v>3701944.5899999961</v>
      </c>
      <c r="E38" s="398">
        <f t="shared" si="3"/>
        <v>0</v>
      </c>
      <c r="F38" s="399">
        <f t="shared" si="3"/>
        <v>0</v>
      </c>
      <c r="G38" s="398">
        <f t="shared" si="3"/>
        <v>0</v>
      </c>
      <c r="H38" s="399">
        <f t="shared" si="3"/>
        <v>0</v>
      </c>
      <c r="I38" s="398">
        <f t="shared" si="3"/>
        <v>0</v>
      </c>
      <c r="J38" s="399">
        <f t="shared" si="3"/>
        <v>0</v>
      </c>
      <c r="K38" s="398">
        <f t="shared" si="3"/>
        <v>0</v>
      </c>
      <c r="L38" s="399">
        <f t="shared" si="3"/>
        <v>0</v>
      </c>
      <c r="M38" s="398">
        <f t="shared" si="3"/>
        <v>0</v>
      </c>
      <c r="N38" s="401">
        <f t="shared" si="3"/>
        <v>0</v>
      </c>
    </row>
    <row r="39" spans="1:22">
      <c r="A39" s="197"/>
      <c r="B39" s="402" t="str">
        <f t="shared" si="2"/>
        <v>December 2018</v>
      </c>
      <c r="C39" s="414">
        <f t="shared" si="3"/>
        <v>1951447.2400000095</v>
      </c>
      <c r="D39" s="415">
        <f t="shared" si="3"/>
        <v>3762499.9799999967</v>
      </c>
      <c r="E39" s="414">
        <f t="shared" si="3"/>
        <v>0</v>
      </c>
      <c r="F39" s="415">
        <f t="shared" si="3"/>
        <v>0</v>
      </c>
      <c r="G39" s="414">
        <f t="shared" si="3"/>
        <v>0</v>
      </c>
      <c r="H39" s="415">
        <f t="shared" si="3"/>
        <v>0</v>
      </c>
      <c r="I39" s="414">
        <f t="shared" si="3"/>
        <v>0</v>
      </c>
      <c r="J39" s="415">
        <f t="shared" si="3"/>
        <v>0</v>
      </c>
      <c r="K39" s="414">
        <f t="shared" si="3"/>
        <v>0</v>
      </c>
      <c r="L39" s="415">
        <f t="shared" si="3"/>
        <v>0</v>
      </c>
      <c r="M39" s="414">
        <f t="shared" si="3"/>
        <v>0</v>
      </c>
      <c r="N39" s="417">
        <f t="shared" si="3"/>
        <v>0</v>
      </c>
    </row>
    <row r="40" spans="1:22">
      <c r="A40" s="198"/>
      <c r="B40" s="418" t="s">
        <v>554</v>
      </c>
      <c r="C40" s="406">
        <f t="shared" ref="C40:N40" si="4">AVERAGE(C27:C39)</f>
        <v>1117621.9046153838</v>
      </c>
      <c r="D40" s="406">
        <f t="shared" si="4"/>
        <v>3399143.3399999971</v>
      </c>
      <c r="E40" s="406">
        <f t="shared" si="4"/>
        <v>0</v>
      </c>
      <c r="F40" s="406">
        <f t="shared" si="4"/>
        <v>0</v>
      </c>
      <c r="G40" s="406">
        <f t="shared" si="4"/>
        <v>0</v>
      </c>
      <c r="H40" s="406">
        <f t="shared" si="4"/>
        <v>0</v>
      </c>
      <c r="I40" s="406">
        <f t="shared" si="4"/>
        <v>0</v>
      </c>
      <c r="J40" s="406">
        <f t="shared" si="4"/>
        <v>0</v>
      </c>
      <c r="K40" s="406">
        <f t="shared" si="4"/>
        <v>0</v>
      </c>
      <c r="L40" s="406">
        <f t="shared" si="4"/>
        <v>0</v>
      </c>
      <c r="M40" s="406">
        <f t="shared" si="4"/>
        <v>0</v>
      </c>
      <c r="N40" s="407">
        <f t="shared" si="4"/>
        <v>0</v>
      </c>
    </row>
    <row r="41" spans="1:22" s="422" customFormat="1">
      <c r="A41" s="199"/>
      <c r="B41" s="461"/>
      <c r="C41" s="462"/>
      <c r="D41" s="462"/>
      <c r="E41" s="462"/>
      <c r="F41" s="462"/>
      <c r="G41" s="462"/>
      <c r="H41" s="200"/>
      <c r="I41" s="200"/>
      <c r="J41" s="200"/>
      <c r="K41" s="462"/>
      <c r="O41" s="376"/>
      <c r="P41" s="376"/>
      <c r="Q41" s="376"/>
      <c r="R41" s="376"/>
      <c r="S41" s="376"/>
      <c r="T41" s="376"/>
      <c r="U41" s="376"/>
      <c r="V41" s="376"/>
    </row>
    <row r="42" spans="1:22">
      <c r="A42" s="198"/>
      <c r="B42" s="432"/>
      <c r="C42" s="463"/>
      <c r="D42" s="463"/>
      <c r="E42" s="463"/>
      <c r="F42" s="463"/>
      <c r="G42" s="463"/>
      <c r="H42" s="463"/>
      <c r="I42" s="463"/>
      <c r="J42" s="463"/>
      <c r="K42" s="464"/>
    </row>
    <row r="43" spans="1:22">
      <c r="A43" s="425"/>
      <c r="B43" s="465"/>
      <c r="C43" s="466"/>
      <c r="D43" s="467"/>
      <c r="E43" s="467"/>
      <c r="F43" s="467"/>
      <c r="G43" s="467"/>
      <c r="H43" s="467"/>
      <c r="I43" s="467"/>
      <c r="J43" s="467"/>
      <c r="K43" s="468"/>
      <c r="L43" s="469"/>
      <c r="M43" s="469"/>
      <c r="N43" s="469"/>
    </row>
    <row r="44" spans="1:22">
      <c r="A44" s="196" t="s">
        <v>557</v>
      </c>
      <c r="B44" s="430" t="str">
        <f t="shared" ref="B44:B56" si="5">+B11</f>
        <v>December 2017</v>
      </c>
      <c r="C44" s="410">
        <v>187822116</v>
      </c>
      <c r="D44" s="411">
        <v>30494471.549999997</v>
      </c>
      <c r="E44" s="410">
        <v>0</v>
      </c>
      <c r="F44" s="411">
        <v>0</v>
      </c>
      <c r="G44" s="410">
        <v>0</v>
      </c>
      <c r="H44" s="411">
        <v>0</v>
      </c>
      <c r="I44" s="410">
        <v>0</v>
      </c>
      <c r="J44" s="411">
        <v>0</v>
      </c>
      <c r="K44" s="410">
        <v>0</v>
      </c>
      <c r="L44" s="411">
        <v>0</v>
      </c>
      <c r="M44" s="410">
        <v>0</v>
      </c>
      <c r="N44" s="413">
        <v>0</v>
      </c>
    </row>
    <row r="45" spans="1:22">
      <c r="A45" s="196" t="s">
        <v>697</v>
      </c>
      <c r="B45" s="430" t="str">
        <f t="shared" si="5"/>
        <v>January 2018</v>
      </c>
      <c r="C45" s="398">
        <v>198716702.97999999</v>
      </c>
      <c r="D45" s="399">
        <v>30433909.460000005</v>
      </c>
      <c r="E45" s="398">
        <v>0</v>
      </c>
      <c r="F45" s="399">
        <v>0</v>
      </c>
      <c r="G45" s="398">
        <v>0</v>
      </c>
      <c r="H45" s="399">
        <v>0</v>
      </c>
      <c r="I45" s="398">
        <v>0</v>
      </c>
      <c r="J45" s="399">
        <v>0</v>
      </c>
      <c r="K45" s="398">
        <v>0</v>
      </c>
      <c r="L45" s="399">
        <v>0</v>
      </c>
      <c r="M45" s="398">
        <v>0</v>
      </c>
      <c r="N45" s="401">
        <v>0</v>
      </c>
    </row>
    <row r="46" spans="1:22">
      <c r="A46" s="196"/>
      <c r="B46" s="430" t="str">
        <f t="shared" si="5"/>
        <v>February</v>
      </c>
      <c r="C46" s="398">
        <v>207915802.23000002</v>
      </c>
      <c r="D46" s="399">
        <v>30373347.370000005</v>
      </c>
      <c r="E46" s="398">
        <v>0</v>
      </c>
      <c r="F46" s="399">
        <v>0</v>
      </c>
      <c r="G46" s="398">
        <v>0</v>
      </c>
      <c r="H46" s="399">
        <v>0</v>
      </c>
      <c r="I46" s="398">
        <v>0</v>
      </c>
      <c r="J46" s="399">
        <v>0</v>
      </c>
      <c r="K46" s="398">
        <v>0</v>
      </c>
      <c r="L46" s="399">
        <v>0</v>
      </c>
      <c r="M46" s="398">
        <v>0</v>
      </c>
      <c r="N46" s="401">
        <v>0</v>
      </c>
    </row>
    <row r="47" spans="1:22">
      <c r="A47" s="196"/>
      <c r="B47" s="430" t="str">
        <f t="shared" si="5"/>
        <v xml:space="preserve">March </v>
      </c>
      <c r="C47" s="398">
        <v>217217507.81</v>
      </c>
      <c r="D47" s="399">
        <v>30312785.280000005</v>
      </c>
      <c r="E47" s="398">
        <v>0</v>
      </c>
      <c r="F47" s="399">
        <v>0</v>
      </c>
      <c r="G47" s="398">
        <v>0</v>
      </c>
      <c r="H47" s="399">
        <v>0</v>
      </c>
      <c r="I47" s="398">
        <v>0</v>
      </c>
      <c r="J47" s="399">
        <v>0</v>
      </c>
      <c r="K47" s="398">
        <v>0</v>
      </c>
      <c r="L47" s="399">
        <v>0</v>
      </c>
      <c r="M47" s="398">
        <v>0</v>
      </c>
      <c r="N47" s="401">
        <v>0</v>
      </c>
    </row>
    <row r="48" spans="1:22">
      <c r="A48" s="196"/>
      <c r="B48" s="430" t="str">
        <f t="shared" si="5"/>
        <v>April</v>
      </c>
      <c r="C48" s="398">
        <v>223324196.20000002</v>
      </c>
      <c r="D48" s="399">
        <v>30252223.190000005</v>
      </c>
      <c r="E48" s="398">
        <v>0</v>
      </c>
      <c r="F48" s="399">
        <v>0</v>
      </c>
      <c r="G48" s="398">
        <v>0</v>
      </c>
      <c r="H48" s="399">
        <v>0</v>
      </c>
      <c r="I48" s="398">
        <v>0</v>
      </c>
      <c r="J48" s="399">
        <v>0</v>
      </c>
      <c r="K48" s="398">
        <v>0</v>
      </c>
      <c r="L48" s="399">
        <v>0</v>
      </c>
      <c r="M48" s="398">
        <v>0</v>
      </c>
      <c r="N48" s="401">
        <v>0</v>
      </c>
    </row>
    <row r="49" spans="1:14">
      <c r="A49" s="196"/>
      <c r="B49" s="430" t="str">
        <f t="shared" si="5"/>
        <v>May</v>
      </c>
      <c r="C49" s="398">
        <v>230129168.02000001</v>
      </c>
      <c r="D49" s="399">
        <v>30191661.100000005</v>
      </c>
      <c r="E49" s="398">
        <v>0</v>
      </c>
      <c r="F49" s="399">
        <v>0</v>
      </c>
      <c r="G49" s="398">
        <v>0</v>
      </c>
      <c r="H49" s="399">
        <v>0</v>
      </c>
      <c r="I49" s="398">
        <v>0</v>
      </c>
      <c r="J49" s="399">
        <v>0</v>
      </c>
      <c r="K49" s="398">
        <v>0</v>
      </c>
      <c r="L49" s="399">
        <v>0</v>
      </c>
      <c r="M49" s="398">
        <v>0</v>
      </c>
      <c r="N49" s="401">
        <v>0</v>
      </c>
    </row>
    <row r="50" spans="1:14">
      <c r="A50" s="196"/>
      <c r="B50" s="430" t="str">
        <f t="shared" si="5"/>
        <v>June</v>
      </c>
      <c r="C50" s="398">
        <v>239657749.5</v>
      </c>
      <c r="D50" s="399">
        <v>30131099.010000005</v>
      </c>
      <c r="E50" s="398">
        <v>0</v>
      </c>
      <c r="F50" s="399">
        <v>0</v>
      </c>
      <c r="G50" s="398">
        <v>0</v>
      </c>
      <c r="H50" s="399">
        <v>0</v>
      </c>
      <c r="I50" s="398">
        <v>0</v>
      </c>
      <c r="J50" s="399">
        <v>0</v>
      </c>
      <c r="K50" s="398">
        <v>0</v>
      </c>
      <c r="L50" s="399">
        <v>0</v>
      </c>
      <c r="M50" s="398">
        <v>0</v>
      </c>
      <c r="N50" s="401">
        <v>0</v>
      </c>
    </row>
    <row r="51" spans="1:14">
      <c r="A51" s="196"/>
      <c r="B51" s="430" t="str">
        <f t="shared" si="5"/>
        <v>July</v>
      </c>
      <c r="C51" s="398">
        <v>246309383.34</v>
      </c>
      <c r="D51" s="399">
        <v>30070536.920000006</v>
      </c>
      <c r="E51" s="398">
        <v>0</v>
      </c>
      <c r="F51" s="399">
        <v>0</v>
      </c>
      <c r="G51" s="398">
        <v>0</v>
      </c>
      <c r="H51" s="399">
        <v>0</v>
      </c>
      <c r="I51" s="398">
        <v>0</v>
      </c>
      <c r="J51" s="399">
        <v>0</v>
      </c>
      <c r="K51" s="398">
        <v>0</v>
      </c>
      <c r="L51" s="399">
        <v>0</v>
      </c>
      <c r="M51" s="398">
        <v>0</v>
      </c>
      <c r="N51" s="401">
        <v>0</v>
      </c>
    </row>
    <row r="52" spans="1:14">
      <c r="A52" s="196"/>
      <c r="B52" s="430" t="str">
        <f t="shared" si="5"/>
        <v xml:space="preserve">August </v>
      </c>
      <c r="C52" s="398">
        <v>252242287.77000001</v>
      </c>
      <c r="D52" s="399">
        <v>30009974.830000006</v>
      </c>
      <c r="E52" s="398">
        <v>0</v>
      </c>
      <c r="F52" s="399">
        <v>0</v>
      </c>
      <c r="G52" s="398">
        <v>0</v>
      </c>
      <c r="H52" s="399">
        <v>0</v>
      </c>
      <c r="I52" s="398">
        <v>0</v>
      </c>
      <c r="J52" s="399">
        <v>0</v>
      </c>
      <c r="K52" s="398">
        <v>0</v>
      </c>
      <c r="L52" s="399">
        <v>0</v>
      </c>
      <c r="M52" s="398">
        <v>0</v>
      </c>
      <c r="N52" s="401">
        <v>0</v>
      </c>
    </row>
    <row r="53" spans="1:14">
      <c r="A53" s="196"/>
      <c r="B53" s="430" t="str">
        <f t="shared" si="5"/>
        <v>September</v>
      </c>
      <c r="C53" s="398">
        <v>256049136.28</v>
      </c>
      <c r="D53" s="399">
        <v>29949412.740000006</v>
      </c>
      <c r="E53" s="398">
        <v>0</v>
      </c>
      <c r="F53" s="399">
        <v>0</v>
      </c>
      <c r="G53" s="398">
        <v>0</v>
      </c>
      <c r="H53" s="399">
        <v>0</v>
      </c>
      <c r="I53" s="398">
        <v>0</v>
      </c>
      <c r="J53" s="399">
        <v>0</v>
      </c>
      <c r="K53" s="398">
        <v>0</v>
      </c>
      <c r="L53" s="399">
        <v>0</v>
      </c>
      <c r="M53" s="398">
        <v>0</v>
      </c>
      <c r="N53" s="401">
        <v>0</v>
      </c>
    </row>
    <row r="54" spans="1:14">
      <c r="A54" s="196"/>
      <c r="B54" s="430" t="str">
        <f t="shared" si="5"/>
        <v>October</v>
      </c>
      <c r="C54" s="398">
        <v>259838866.45999998</v>
      </c>
      <c r="D54" s="399">
        <v>29888856.350000005</v>
      </c>
      <c r="E54" s="398">
        <v>0</v>
      </c>
      <c r="F54" s="399">
        <v>0</v>
      </c>
      <c r="G54" s="398">
        <v>0</v>
      </c>
      <c r="H54" s="399">
        <v>0</v>
      </c>
      <c r="I54" s="398">
        <v>0</v>
      </c>
      <c r="J54" s="399">
        <v>0</v>
      </c>
      <c r="K54" s="398">
        <v>0</v>
      </c>
      <c r="L54" s="399">
        <v>0</v>
      </c>
      <c r="M54" s="398">
        <v>0</v>
      </c>
      <c r="N54" s="401">
        <v>0</v>
      </c>
    </row>
    <row r="55" spans="1:14">
      <c r="A55" s="196"/>
      <c r="B55" s="430" t="str">
        <f t="shared" si="5"/>
        <v>November</v>
      </c>
      <c r="C55" s="398">
        <v>264636944.64000002</v>
      </c>
      <c r="D55" s="399">
        <v>29828300.560000006</v>
      </c>
      <c r="E55" s="398">
        <v>0</v>
      </c>
      <c r="F55" s="399">
        <v>0</v>
      </c>
      <c r="G55" s="398">
        <v>0</v>
      </c>
      <c r="H55" s="399">
        <v>0</v>
      </c>
      <c r="I55" s="398">
        <v>0</v>
      </c>
      <c r="J55" s="399">
        <v>0</v>
      </c>
      <c r="K55" s="398">
        <v>0</v>
      </c>
      <c r="L55" s="399">
        <v>0</v>
      </c>
      <c r="M55" s="398">
        <v>0</v>
      </c>
      <c r="N55" s="401">
        <v>0</v>
      </c>
    </row>
    <row r="56" spans="1:14">
      <c r="A56" s="196"/>
      <c r="B56" s="430" t="str">
        <f t="shared" si="5"/>
        <v>December 2018</v>
      </c>
      <c r="C56" s="414">
        <v>266280648</v>
      </c>
      <c r="D56" s="415">
        <v>29767745.170000006</v>
      </c>
      <c r="E56" s="414">
        <v>0</v>
      </c>
      <c r="F56" s="415">
        <v>0</v>
      </c>
      <c r="G56" s="414">
        <v>0</v>
      </c>
      <c r="H56" s="415">
        <v>0</v>
      </c>
      <c r="I56" s="414">
        <v>0</v>
      </c>
      <c r="J56" s="415">
        <v>0</v>
      </c>
      <c r="K56" s="414">
        <v>0</v>
      </c>
      <c r="L56" s="415">
        <v>0</v>
      </c>
      <c r="M56" s="414">
        <v>0</v>
      </c>
      <c r="N56" s="417">
        <v>0</v>
      </c>
    </row>
    <row r="57" spans="1:14">
      <c r="A57" s="431"/>
      <c r="B57" s="418" t="s">
        <v>554</v>
      </c>
      <c r="C57" s="406">
        <f t="shared" ref="C57:N57" si="6">AVERAGE(C44:C56)</f>
        <v>234626193.0176923</v>
      </c>
      <c r="D57" s="406">
        <f t="shared" si="6"/>
        <v>30131101.810000006</v>
      </c>
      <c r="E57" s="406">
        <f t="shared" si="6"/>
        <v>0</v>
      </c>
      <c r="F57" s="406">
        <f t="shared" si="6"/>
        <v>0</v>
      </c>
      <c r="G57" s="406">
        <f t="shared" si="6"/>
        <v>0</v>
      </c>
      <c r="H57" s="406">
        <f t="shared" si="6"/>
        <v>0</v>
      </c>
      <c r="I57" s="406">
        <f t="shared" si="6"/>
        <v>0</v>
      </c>
      <c r="J57" s="406">
        <f t="shared" si="6"/>
        <v>0</v>
      </c>
      <c r="K57" s="406">
        <f t="shared" si="6"/>
        <v>0</v>
      </c>
      <c r="L57" s="406">
        <f t="shared" si="6"/>
        <v>0</v>
      </c>
      <c r="M57" s="406">
        <f t="shared" si="6"/>
        <v>0</v>
      </c>
      <c r="N57" s="407">
        <f t="shared" si="6"/>
        <v>0</v>
      </c>
    </row>
    <row r="58" spans="1:14">
      <c r="A58" s="198"/>
      <c r="B58" s="432"/>
      <c r="C58" s="433"/>
      <c r="D58" s="433"/>
      <c r="E58" s="433"/>
      <c r="F58" s="433"/>
      <c r="G58" s="433"/>
      <c r="H58" s="201"/>
      <c r="I58" s="201"/>
      <c r="J58" s="201"/>
      <c r="K58" s="462"/>
    </row>
    <row r="59" spans="1:14">
      <c r="A59" s="198"/>
      <c r="B59" s="434"/>
      <c r="C59" s="435"/>
      <c r="D59" s="435"/>
      <c r="E59" s="435"/>
      <c r="F59" s="435"/>
      <c r="G59" s="435"/>
      <c r="H59" s="435"/>
      <c r="I59" s="435"/>
      <c r="J59" s="435"/>
      <c r="K59" s="470"/>
      <c r="L59" s="469"/>
      <c r="M59" s="469"/>
      <c r="N59" s="469"/>
    </row>
    <row r="60" spans="1:14">
      <c r="A60" s="437" t="s">
        <v>559</v>
      </c>
      <c r="B60" s="202" t="s">
        <v>464</v>
      </c>
      <c r="C60" s="410">
        <v>1637155.61</v>
      </c>
      <c r="D60" s="411">
        <v>726745.07999999973</v>
      </c>
      <c r="E60" s="410">
        <v>0</v>
      </c>
      <c r="F60" s="411">
        <v>0</v>
      </c>
      <c r="G60" s="410">
        <v>0</v>
      </c>
      <c r="H60" s="411">
        <v>0</v>
      </c>
      <c r="I60" s="410">
        <v>0</v>
      </c>
      <c r="J60" s="411">
        <v>0</v>
      </c>
      <c r="K60" s="410">
        <v>0</v>
      </c>
      <c r="L60" s="411">
        <v>0</v>
      </c>
      <c r="M60" s="410">
        <v>0</v>
      </c>
      <c r="N60" s="413">
        <v>0</v>
      </c>
    </row>
    <row r="61" spans="1:14">
      <c r="A61" s="197" t="s">
        <v>698</v>
      </c>
      <c r="B61" s="203" t="s">
        <v>561</v>
      </c>
      <c r="C61" s="398">
        <v>0</v>
      </c>
      <c r="D61" s="399">
        <v>0</v>
      </c>
      <c r="E61" s="398">
        <v>0</v>
      </c>
      <c r="F61" s="399">
        <v>0</v>
      </c>
      <c r="G61" s="398">
        <v>0</v>
      </c>
      <c r="H61" s="399">
        <v>0</v>
      </c>
      <c r="I61" s="398">
        <v>0</v>
      </c>
      <c r="J61" s="399">
        <v>0</v>
      </c>
      <c r="K61" s="398">
        <v>0</v>
      </c>
      <c r="L61" s="399">
        <v>0</v>
      </c>
      <c r="M61" s="398">
        <v>0</v>
      </c>
      <c r="N61" s="401">
        <v>0</v>
      </c>
    </row>
    <row r="62" spans="1:14">
      <c r="A62" s="189"/>
      <c r="B62" s="438" t="s">
        <v>562</v>
      </c>
      <c r="C62" s="439">
        <f t="shared" ref="C62:N62" si="7">SUM(C60:C61)</f>
        <v>1637155.61</v>
      </c>
      <c r="D62" s="439">
        <f t="shared" si="7"/>
        <v>726745.07999999973</v>
      </c>
      <c r="E62" s="439">
        <f t="shared" si="7"/>
        <v>0</v>
      </c>
      <c r="F62" s="439">
        <f t="shared" si="7"/>
        <v>0</v>
      </c>
      <c r="G62" s="439">
        <f t="shared" si="7"/>
        <v>0</v>
      </c>
      <c r="H62" s="439">
        <f t="shared" si="7"/>
        <v>0</v>
      </c>
      <c r="I62" s="439">
        <f t="shared" si="7"/>
        <v>0</v>
      </c>
      <c r="J62" s="439">
        <f t="shared" si="7"/>
        <v>0</v>
      </c>
      <c r="K62" s="439">
        <f t="shared" si="7"/>
        <v>0</v>
      </c>
      <c r="L62" s="439">
        <f t="shared" si="7"/>
        <v>0</v>
      </c>
      <c r="M62" s="439">
        <f t="shared" si="7"/>
        <v>0</v>
      </c>
      <c r="N62" s="440">
        <f t="shared" si="7"/>
        <v>0</v>
      </c>
    </row>
    <row r="63" spans="1:14">
      <c r="A63" s="198"/>
      <c r="B63" s="432"/>
      <c r="C63" s="433"/>
      <c r="D63" s="433"/>
      <c r="E63" s="433"/>
      <c r="F63" s="433"/>
      <c r="G63" s="433"/>
      <c r="H63" s="201"/>
      <c r="I63" s="201"/>
      <c r="J63" s="201"/>
      <c r="K63" s="462"/>
    </row>
    <row r="64" spans="1:14">
      <c r="A64" s="198"/>
      <c r="B64" s="434"/>
      <c r="C64" s="435"/>
      <c r="D64" s="435"/>
      <c r="E64" s="435"/>
      <c r="F64" s="435"/>
      <c r="G64" s="435"/>
      <c r="H64" s="435"/>
      <c r="I64" s="435"/>
      <c r="J64" s="435"/>
      <c r="K64" s="470"/>
      <c r="L64" s="469"/>
      <c r="M64" s="469"/>
      <c r="N64" s="469"/>
    </row>
    <row r="65" spans="1:14">
      <c r="A65" s="437" t="s">
        <v>563</v>
      </c>
      <c r="B65" s="202" t="s">
        <v>564</v>
      </c>
      <c r="C65" s="410">
        <v>3943895.9299999997</v>
      </c>
      <c r="D65" s="411">
        <v>0</v>
      </c>
      <c r="E65" s="410">
        <v>0</v>
      </c>
      <c r="F65" s="411">
        <v>0</v>
      </c>
      <c r="G65" s="410">
        <v>0</v>
      </c>
      <c r="H65" s="411">
        <v>0</v>
      </c>
      <c r="I65" s="410">
        <v>0</v>
      </c>
      <c r="J65" s="411">
        <v>0</v>
      </c>
      <c r="K65" s="410">
        <v>0</v>
      </c>
      <c r="L65" s="411">
        <v>0</v>
      </c>
      <c r="M65" s="410">
        <v>0</v>
      </c>
      <c r="N65" s="413">
        <v>0</v>
      </c>
    </row>
    <row r="66" spans="1:14">
      <c r="A66" s="197" t="s">
        <v>699</v>
      </c>
      <c r="B66" s="203"/>
      <c r="C66" s="398">
        <v>0</v>
      </c>
      <c r="D66" s="399">
        <v>0</v>
      </c>
      <c r="E66" s="398">
        <v>0</v>
      </c>
      <c r="F66" s="399">
        <v>0</v>
      </c>
      <c r="G66" s="398">
        <v>0</v>
      </c>
      <c r="H66" s="399">
        <v>0</v>
      </c>
      <c r="I66" s="398">
        <v>0</v>
      </c>
      <c r="J66" s="399">
        <v>0</v>
      </c>
      <c r="K66" s="398">
        <v>0</v>
      </c>
      <c r="L66" s="399">
        <v>0</v>
      </c>
      <c r="M66" s="398">
        <v>0</v>
      </c>
      <c r="N66" s="401">
        <v>0</v>
      </c>
    </row>
    <row r="67" spans="1:14">
      <c r="A67" s="189"/>
      <c r="B67" s="438" t="s">
        <v>566</v>
      </c>
      <c r="C67" s="439">
        <f t="shared" ref="C67:N67" si="8">SUM(C65:C66)</f>
        <v>3943895.9299999997</v>
      </c>
      <c r="D67" s="439">
        <f t="shared" si="8"/>
        <v>0</v>
      </c>
      <c r="E67" s="439">
        <f t="shared" si="8"/>
        <v>0</v>
      </c>
      <c r="F67" s="439">
        <f t="shared" si="8"/>
        <v>0</v>
      </c>
      <c r="G67" s="439">
        <f t="shared" si="8"/>
        <v>0</v>
      </c>
      <c r="H67" s="439">
        <f t="shared" si="8"/>
        <v>0</v>
      </c>
      <c r="I67" s="439">
        <f t="shared" si="8"/>
        <v>0</v>
      </c>
      <c r="J67" s="439">
        <f t="shared" si="8"/>
        <v>0</v>
      </c>
      <c r="K67" s="439">
        <f t="shared" si="8"/>
        <v>0</v>
      </c>
      <c r="L67" s="439">
        <f t="shared" si="8"/>
        <v>0</v>
      </c>
      <c r="M67" s="439">
        <f t="shared" si="8"/>
        <v>0</v>
      </c>
      <c r="N67" s="440">
        <f t="shared" si="8"/>
        <v>0</v>
      </c>
    </row>
  </sheetData>
  <pageMargins left="0.7" right="0.7" top="0.75" bottom="0.7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9"/>
  <sheetViews>
    <sheetView showGridLines="0" zoomScaleNormal="100" workbookViewId="0">
      <selection activeCell="G11" sqref="G11"/>
    </sheetView>
  </sheetViews>
  <sheetFormatPr defaultRowHeight="13.2"/>
  <cols>
    <col min="1" max="1" width="14" customWidth="1"/>
    <col min="3" max="3" width="11.33203125" bestFit="1" customWidth="1"/>
    <col min="4" max="4" width="112.44140625" customWidth="1"/>
    <col min="5" max="5" width="9.109375" style="656"/>
  </cols>
  <sheetData>
    <row r="1" spans="1:4">
      <c r="A1" s="204" t="s">
        <v>700</v>
      </c>
      <c r="B1" s="204"/>
    </row>
    <row r="3" spans="1:4" ht="27.6">
      <c r="A3" s="205" t="s">
        <v>538</v>
      </c>
      <c r="B3" s="205" t="s">
        <v>568</v>
      </c>
      <c r="C3" s="205" t="s">
        <v>569</v>
      </c>
      <c r="D3" s="206" t="s">
        <v>570</v>
      </c>
    </row>
    <row r="4" spans="1:4">
      <c r="A4" s="639" t="s">
        <v>660</v>
      </c>
      <c r="B4" s="650">
        <v>4998</v>
      </c>
      <c r="C4" s="641">
        <v>40915</v>
      </c>
      <c r="D4" s="642" t="s">
        <v>659</v>
      </c>
    </row>
    <row r="5" spans="1:4" ht="79.2">
      <c r="A5" s="643" t="s">
        <v>662</v>
      </c>
      <c r="B5" s="650" t="s">
        <v>701</v>
      </c>
      <c r="C5" s="641">
        <v>41480</v>
      </c>
      <c r="D5" s="642" t="s">
        <v>702</v>
      </c>
    </row>
    <row r="6" spans="1:4">
      <c r="A6" s="207"/>
      <c r="B6" s="207"/>
      <c r="C6" s="207"/>
      <c r="D6" s="207"/>
    </row>
    <row r="7" spans="1:4">
      <c r="A7" s="207"/>
      <c r="B7" s="207"/>
      <c r="C7" s="207"/>
      <c r="D7" s="207"/>
    </row>
    <row r="8" spans="1:4">
      <c r="A8" s="207"/>
      <c r="B8" s="207"/>
      <c r="C8" s="207"/>
      <c r="D8" s="207"/>
    </row>
    <row r="9" spans="1:4">
      <c r="A9" s="207"/>
      <c r="B9" s="207"/>
      <c r="C9" s="207"/>
      <c r="D9" s="207"/>
    </row>
    <row r="10" spans="1:4">
      <c r="A10" s="207"/>
      <c r="B10" s="207"/>
      <c r="C10" s="207"/>
      <c r="D10" s="207"/>
    </row>
    <row r="11" spans="1:4">
      <c r="A11" s="207"/>
      <c r="B11" s="207"/>
      <c r="C11" s="207"/>
      <c r="D11" s="207"/>
    </row>
    <row r="12" spans="1:4">
      <c r="A12" s="207"/>
      <c r="B12" s="207"/>
      <c r="C12" s="207"/>
      <c r="D12" s="207"/>
    </row>
    <row r="13" spans="1:4">
      <c r="A13" s="207"/>
      <c r="B13" s="207"/>
      <c r="C13" s="207"/>
      <c r="D13" s="207"/>
    </row>
    <row r="14" spans="1:4">
      <c r="A14" s="207"/>
      <c r="B14" s="207"/>
      <c r="C14" s="207"/>
      <c r="D14" s="207"/>
    </row>
    <row r="15" spans="1:4">
      <c r="A15" s="207"/>
      <c r="B15" s="207"/>
      <c r="C15" s="207"/>
      <c r="D15" s="207"/>
    </row>
    <row r="16" spans="1:4">
      <c r="A16" s="207"/>
      <c r="B16" s="207"/>
      <c r="C16" s="207"/>
      <c r="D16" s="207"/>
    </row>
    <row r="17" spans="1:4">
      <c r="A17" s="207"/>
      <c r="B17" s="207"/>
      <c r="C17" s="207"/>
      <c r="D17" s="207"/>
    </row>
    <row r="18" spans="1:4">
      <c r="A18" s="207"/>
      <c r="B18" s="207"/>
      <c r="C18" s="207"/>
      <c r="D18" s="207"/>
    </row>
    <row r="19" spans="1:4">
      <c r="A19" s="207"/>
      <c r="B19" s="207"/>
      <c r="C19" s="207"/>
      <c r="D19" s="207"/>
    </row>
    <row r="20" spans="1:4">
      <c r="A20" s="207"/>
      <c r="B20" s="207"/>
      <c r="C20" s="207"/>
      <c r="D20" s="207"/>
    </row>
    <row r="21" spans="1:4">
      <c r="A21" s="207"/>
      <c r="B21" s="207"/>
      <c r="C21" s="207"/>
      <c r="D21" s="207"/>
    </row>
    <row r="22" spans="1:4">
      <c r="A22" s="207"/>
      <c r="B22" s="207"/>
      <c r="C22" s="207"/>
      <c r="D22" s="207"/>
    </row>
    <row r="23" spans="1:4">
      <c r="A23" s="207"/>
      <c r="B23" s="207"/>
      <c r="C23" s="207"/>
      <c r="D23" s="207"/>
    </row>
    <row r="24" spans="1:4">
      <c r="A24" s="207"/>
      <c r="B24" s="207"/>
      <c r="C24" s="207"/>
      <c r="D24" s="207"/>
    </row>
    <row r="25" spans="1:4">
      <c r="A25" s="207"/>
      <c r="B25" s="207"/>
      <c r="C25" s="207"/>
      <c r="D25" s="207"/>
    </row>
    <row r="26" spans="1:4">
      <c r="A26" s="207"/>
      <c r="B26" s="207"/>
      <c r="C26" s="207"/>
      <c r="D26" s="207"/>
    </row>
    <row r="27" spans="1:4">
      <c r="A27" s="207"/>
      <c r="B27" s="207"/>
      <c r="C27" s="207"/>
      <c r="D27" s="207"/>
    </row>
    <row r="28" spans="1:4">
      <c r="A28" s="207"/>
      <c r="B28" s="207"/>
      <c r="C28" s="207"/>
      <c r="D28" s="207"/>
    </row>
    <row r="29" spans="1:4">
      <c r="A29" s="207"/>
      <c r="B29" s="207"/>
      <c r="C29" s="207"/>
      <c r="D29" s="207"/>
    </row>
    <row r="30" spans="1:4">
      <c r="A30" s="207"/>
      <c r="B30" s="207"/>
      <c r="C30" s="207"/>
      <c r="D30" s="207"/>
    </row>
    <row r="31" spans="1:4">
      <c r="A31" s="207"/>
      <c r="B31" s="207"/>
      <c r="C31" s="207"/>
      <c r="D31" s="207"/>
    </row>
    <row r="32" spans="1:4">
      <c r="A32" s="207"/>
      <c r="B32" s="207"/>
      <c r="C32" s="207"/>
      <c r="D32" s="207"/>
    </row>
    <row r="33" spans="1:4">
      <c r="A33" s="207"/>
      <c r="B33" s="207"/>
      <c r="C33" s="207"/>
      <c r="D33" s="207"/>
    </row>
    <row r="34" spans="1:4">
      <c r="A34" s="207"/>
      <c r="B34" s="207"/>
      <c r="C34" s="207"/>
      <c r="D34" s="207"/>
    </row>
    <row r="35" spans="1:4">
      <c r="A35" s="207"/>
      <c r="B35" s="207"/>
      <c r="C35" s="207"/>
      <c r="D35" s="207"/>
    </row>
    <row r="36" spans="1:4">
      <c r="A36" s="207"/>
      <c r="B36" s="207"/>
      <c r="C36" s="207"/>
      <c r="D36" s="207"/>
    </row>
    <row r="37" spans="1:4">
      <c r="A37" s="207"/>
      <c r="B37" s="207"/>
      <c r="C37" s="207"/>
      <c r="D37" s="207"/>
    </row>
    <row r="38" spans="1:4">
      <c r="A38" s="207"/>
      <c r="B38" s="207"/>
      <c r="C38" s="207"/>
      <c r="D38" s="207"/>
    </row>
    <row r="39" spans="1:4">
      <c r="A39" s="207"/>
      <c r="B39" s="207"/>
      <c r="C39" s="207"/>
      <c r="D39" s="207"/>
    </row>
  </sheetData>
  <pageMargins left="0.7" right="0.7" top="0.75" bottom="0.75" header="0.3" footer="0.3"/>
  <pageSetup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2:H36"/>
  <sheetViews>
    <sheetView zoomScale="90" zoomScaleNormal="90" workbookViewId="0">
      <selection activeCell="G26" sqref="G26"/>
    </sheetView>
  </sheetViews>
  <sheetFormatPr defaultColWidth="9.109375" defaultRowHeight="13.8"/>
  <cols>
    <col min="1" max="1" width="5.5546875" style="208" customWidth="1"/>
    <col min="2" max="2" width="19.109375" style="210" customWidth="1"/>
    <col min="3" max="3" width="16.44140625" style="210" customWidth="1"/>
    <col min="4" max="4" width="15.33203125" style="210" customWidth="1"/>
    <col min="5" max="5" width="37.44140625" style="210" bestFit="1" customWidth="1"/>
    <col min="6" max="6" width="4" style="210" customWidth="1"/>
    <col min="7" max="7" width="13.6640625" style="210" bestFit="1" customWidth="1"/>
    <col min="8" max="8" width="9.109375" style="211"/>
    <col min="9" max="16384" width="9.109375" style="210"/>
  </cols>
  <sheetData>
    <row r="2" spans="1:7" ht="17.399999999999999">
      <c r="B2" s="209" t="s">
        <v>703</v>
      </c>
    </row>
    <row r="4" spans="1:7">
      <c r="B4" s="210" t="s">
        <v>704</v>
      </c>
      <c r="C4" s="212" t="s">
        <v>705</v>
      </c>
      <c r="D4" s="213"/>
      <c r="E4" s="214"/>
    </row>
    <row r="6" spans="1:7">
      <c r="B6" s="210" t="s">
        <v>706</v>
      </c>
      <c r="C6" s="215">
        <v>2018</v>
      </c>
    </row>
    <row r="7" spans="1:7">
      <c r="B7" s="210" t="s">
        <v>707</v>
      </c>
      <c r="C7" s="215">
        <v>2016</v>
      </c>
      <c r="D7" s="210" t="s">
        <v>36</v>
      </c>
    </row>
    <row r="8" spans="1:7">
      <c r="C8" s="208"/>
    </row>
    <row r="9" spans="1:7">
      <c r="B9" s="210" t="s">
        <v>708</v>
      </c>
      <c r="C9" s="215" t="s">
        <v>709</v>
      </c>
    </row>
    <row r="11" spans="1:7">
      <c r="B11" s="216" t="s">
        <v>69</v>
      </c>
      <c r="C11" s="217"/>
      <c r="D11" s="217"/>
      <c r="E11" s="216" t="s">
        <v>70</v>
      </c>
      <c r="F11" s="217"/>
      <c r="G11" s="216" t="s">
        <v>71</v>
      </c>
    </row>
    <row r="12" spans="1:7">
      <c r="A12" s="210"/>
      <c r="E12" s="218" t="s">
        <v>74</v>
      </c>
      <c r="G12" s="218" t="s">
        <v>710</v>
      </c>
    </row>
    <row r="13" spans="1:7">
      <c r="A13" s="219" t="s">
        <v>15</v>
      </c>
      <c r="E13" s="218" t="s">
        <v>76</v>
      </c>
      <c r="G13" s="218" t="s">
        <v>22</v>
      </c>
    </row>
    <row r="14" spans="1:7">
      <c r="A14" s="220" t="s">
        <v>17</v>
      </c>
      <c r="E14" s="218"/>
      <c r="G14" s="218"/>
    </row>
    <row r="15" spans="1:7">
      <c r="A15" s="208">
        <v>1</v>
      </c>
      <c r="B15" s="210" t="s">
        <v>711</v>
      </c>
      <c r="E15" s="210" t="s">
        <v>712</v>
      </c>
      <c r="G15" s="221">
        <v>3484169.04</v>
      </c>
    </row>
    <row r="16" spans="1:7">
      <c r="A16" s="208">
        <v>2</v>
      </c>
      <c r="B16" s="210" t="s">
        <v>713</v>
      </c>
      <c r="E16" s="210" t="s">
        <v>714</v>
      </c>
      <c r="G16" s="221">
        <v>10848122.300000001</v>
      </c>
    </row>
    <row r="17" spans="1:7">
      <c r="A17" s="208">
        <v>3</v>
      </c>
      <c r="B17" s="210" t="s">
        <v>715</v>
      </c>
      <c r="E17" s="210" t="s">
        <v>716</v>
      </c>
      <c r="G17" s="221">
        <v>0</v>
      </c>
    </row>
    <row r="18" spans="1:7">
      <c r="A18" s="208">
        <v>4</v>
      </c>
      <c r="B18" s="210" t="s">
        <v>717</v>
      </c>
      <c r="E18" s="210" t="s">
        <v>718</v>
      </c>
      <c r="G18" s="222">
        <f>SUM(G15:G17)</f>
        <v>14332291.34</v>
      </c>
    </row>
    <row r="20" spans="1:7">
      <c r="A20" s="208">
        <v>5</v>
      </c>
      <c r="B20" s="210" t="s">
        <v>719</v>
      </c>
      <c r="E20" s="210" t="s">
        <v>720</v>
      </c>
      <c r="G20" s="221">
        <v>0</v>
      </c>
    </row>
    <row r="22" spans="1:7">
      <c r="A22" s="223">
        <v>6</v>
      </c>
      <c r="B22" s="214" t="s">
        <v>721</v>
      </c>
      <c r="C22" s="214"/>
      <c r="D22" s="214"/>
      <c r="G22" s="221">
        <v>0</v>
      </c>
    </row>
    <row r="24" spans="1:7">
      <c r="A24" s="208">
        <v>7</v>
      </c>
      <c r="B24" s="210" t="s">
        <v>722</v>
      </c>
      <c r="E24" s="210" t="str">
        <f>"(Line "&amp;A18&amp;" - Line "&amp;A20&amp;" - Line "&amp;A22&amp;")"</f>
        <v>(Line 4 - Line 5 - Line 6)</v>
      </c>
      <c r="G24" s="224">
        <f>+G18-G20-G22</f>
        <v>14332291.34</v>
      </c>
    </row>
    <row r="26" spans="1:7">
      <c r="A26" s="208">
        <v>8</v>
      </c>
      <c r="B26" s="210" t="s">
        <v>723</v>
      </c>
      <c r="G26" s="471">
        <f>'ATC Sch 1 True-up Int 2016'!D21</f>
        <v>-2554742.4742441573</v>
      </c>
    </row>
    <row r="28" spans="1:7">
      <c r="A28" s="208">
        <v>9</v>
      </c>
      <c r="B28" s="210" t="s">
        <v>724</v>
      </c>
      <c r="E28" s="210" t="str">
        <f>"(Line "&amp;A24&amp;" + Line "&amp;A26&amp;")"</f>
        <v>(Line 7 + Line 8)</v>
      </c>
      <c r="G28" s="224">
        <f>+G24+G26</f>
        <v>11777548.865755843</v>
      </c>
    </row>
    <row r="29" spans="1:7">
      <c r="G29" s="225"/>
    </row>
    <row r="31" spans="1:7">
      <c r="A31" s="226" t="s">
        <v>296</v>
      </c>
    </row>
    <row r="32" spans="1:7">
      <c r="A32" s="227" t="s">
        <v>297</v>
      </c>
    </row>
    <row r="33" spans="1:7" ht="15" customHeight="1">
      <c r="A33" s="228" t="s">
        <v>298</v>
      </c>
      <c r="B33" s="750" t="s">
        <v>725</v>
      </c>
      <c r="C33" s="750"/>
      <c r="D33" s="750"/>
      <c r="E33" s="750"/>
      <c r="F33" s="750"/>
      <c r="G33" s="750"/>
    </row>
    <row r="34" spans="1:7" ht="32.25" customHeight="1">
      <c r="A34" s="228" t="s">
        <v>300</v>
      </c>
      <c r="B34" s="750" t="s">
        <v>726</v>
      </c>
      <c r="C34" s="750"/>
      <c r="D34" s="750"/>
      <c r="E34" s="750"/>
      <c r="F34" s="750"/>
      <c r="G34" s="750"/>
    </row>
    <row r="35" spans="1:7" ht="62.25" customHeight="1">
      <c r="A35" s="228" t="s">
        <v>302</v>
      </c>
      <c r="B35" s="750" t="s">
        <v>727</v>
      </c>
      <c r="C35" s="750"/>
      <c r="D35" s="750"/>
      <c r="E35" s="750"/>
      <c r="F35" s="750"/>
      <c r="G35" s="750"/>
    </row>
    <row r="36" spans="1:7" ht="32.25" customHeight="1">
      <c r="A36" s="228" t="s">
        <v>304</v>
      </c>
      <c r="B36" s="750" t="s">
        <v>728</v>
      </c>
      <c r="C36" s="750"/>
      <c r="D36" s="750"/>
      <c r="E36" s="750"/>
      <c r="F36" s="750"/>
      <c r="G36" s="750"/>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38"/>
  <sheetViews>
    <sheetView zoomScale="90" zoomScaleNormal="90" workbookViewId="0">
      <selection activeCell="I33" sqref="I33"/>
    </sheetView>
  </sheetViews>
  <sheetFormatPr defaultColWidth="9.109375" defaultRowHeight="13.8"/>
  <cols>
    <col min="1" max="1" width="5.5546875" style="208" customWidth="1"/>
    <col min="2" max="2" width="19.109375" style="210" customWidth="1"/>
    <col min="3" max="3" width="20.33203125" style="210" customWidth="1"/>
    <col min="4" max="4" width="15.33203125" style="210" customWidth="1"/>
    <col min="5" max="5" width="37.44140625" style="210" bestFit="1" customWidth="1"/>
    <col min="6" max="6" width="4" style="210" customWidth="1"/>
    <col min="7" max="7" width="12.6640625" style="210" customWidth="1"/>
    <col min="8" max="8" width="9.109375" style="211"/>
    <col min="9" max="16384" width="9.109375" style="210"/>
  </cols>
  <sheetData>
    <row r="2" spans="1:7" ht="17.399999999999999">
      <c r="B2" s="209" t="s">
        <v>729</v>
      </c>
    </row>
    <row r="4" spans="1:7">
      <c r="B4" s="210" t="s">
        <v>704</v>
      </c>
      <c r="C4" s="212" t="s">
        <v>0</v>
      </c>
      <c r="D4" s="212"/>
    </row>
    <row r="6" spans="1:7">
      <c r="B6" s="210" t="s">
        <v>707</v>
      </c>
      <c r="C6" s="215">
        <v>2016</v>
      </c>
    </row>
    <row r="9" spans="1:7">
      <c r="B9" s="229" t="s">
        <v>69</v>
      </c>
      <c r="E9" s="229" t="s">
        <v>70</v>
      </c>
      <c r="G9" s="229" t="s">
        <v>71</v>
      </c>
    </row>
    <row r="10" spans="1:7">
      <c r="E10" s="218" t="s">
        <v>74</v>
      </c>
      <c r="G10" s="218" t="s">
        <v>710</v>
      </c>
    </row>
    <row r="11" spans="1:7">
      <c r="A11" s="208" t="s">
        <v>15</v>
      </c>
      <c r="E11" s="218" t="s">
        <v>76</v>
      </c>
      <c r="G11" s="218" t="s">
        <v>22</v>
      </c>
    </row>
    <row r="12" spans="1:7">
      <c r="A12" s="227" t="s">
        <v>17</v>
      </c>
    </row>
    <row r="13" spans="1:7">
      <c r="A13" s="208">
        <v>1</v>
      </c>
      <c r="B13" s="210" t="s">
        <v>730</v>
      </c>
      <c r="E13" s="210" t="s">
        <v>712</v>
      </c>
      <c r="G13" s="221">
        <v>3411633.75</v>
      </c>
    </row>
    <row r="14" spans="1:7">
      <c r="A14" s="208">
        <f>+A13+1</f>
        <v>2</v>
      </c>
      <c r="B14" s="210" t="s">
        <v>713</v>
      </c>
      <c r="E14" s="210" t="s">
        <v>714</v>
      </c>
      <c r="G14" s="221">
        <v>12633280</v>
      </c>
    </row>
    <row r="15" spans="1:7">
      <c r="A15" s="208">
        <f>+A14+1</f>
        <v>3</v>
      </c>
      <c r="B15" s="210" t="s">
        <v>715</v>
      </c>
      <c r="E15" s="210" t="s">
        <v>716</v>
      </c>
      <c r="G15" s="221">
        <v>0</v>
      </c>
    </row>
    <row r="16" spans="1:7">
      <c r="A16" s="208">
        <f>+A15+1</f>
        <v>4</v>
      </c>
      <c r="B16" s="210" t="s">
        <v>731</v>
      </c>
      <c r="G16" s="222">
        <f>SUM(G13:G15)</f>
        <v>16044913.75</v>
      </c>
    </row>
    <row r="18" spans="1:8">
      <c r="A18" s="208">
        <f>+A16+1</f>
        <v>5</v>
      </c>
      <c r="B18" s="210" t="s">
        <v>732</v>
      </c>
      <c r="E18" s="210" t="s">
        <v>733</v>
      </c>
      <c r="G18" s="221">
        <v>0</v>
      </c>
    </row>
    <row r="19" spans="1:8">
      <c r="H19" s="210"/>
    </row>
    <row r="20" spans="1:8">
      <c r="A20" s="208">
        <f>+A18+1</f>
        <v>6</v>
      </c>
      <c r="B20" s="214" t="s">
        <v>734</v>
      </c>
      <c r="C20" s="214"/>
      <c r="D20" s="214"/>
      <c r="E20" s="210" t="str">
        <f>"(Line "&amp;A16&amp;" - Line "&amp;A18&amp;")"</f>
        <v>(Line 4 - Line 5)</v>
      </c>
      <c r="G20" s="224">
        <f>+G16-G18</f>
        <v>16044913.75</v>
      </c>
    </row>
    <row r="21" spans="1:8">
      <c r="B21" s="208"/>
      <c r="C21" s="208"/>
      <c r="D21" s="208"/>
      <c r="G21" s="230"/>
    </row>
    <row r="22" spans="1:8">
      <c r="A22" s="208">
        <f>+A20+1</f>
        <v>7</v>
      </c>
      <c r="B22" s="210" t="s">
        <v>735</v>
      </c>
      <c r="E22" s="210" t="s">
        <v>736</v>
      </c>
      <c r="G22" s="221">
        <v>18425371.870000001</v>
      </c>
    </row>
    <row r="24" spans="1:8">
      <c r="A24" s="208">
        <f>A22+1</f>
        <v>8</v>
      </c>
      <c r="B24" s="210" t="s">
        <v>737</v>
      </c>
      <c r="E24" s="210" t="str">
        <f>"(Line "&amp;A20&amp;" - Line "&amp;A22&amp;")"</f>
        <v>(Line 6 - Line 7)</v>
      </c>
      <c r="G24" s="225">
        <f>+G20-G22</f>
        <v>-2380458.120000001</v>
      </c>
    </row>
    <row r="26" spans="1:8">
      <c r="A26" s="226"/>
      <c r="B26" s="231"/>
      <c r="C26" s="231"/>
      <c r="D26" s="231"/>
      <c r="E26" s="231"/>
      <c r="F26" s="231"/>
      <c r="G26" s="231"/>
    </row>
    <row r="27" spans="1:8">
      <c r="A27" s="208" t="s">
        <v>297</v>
      </c>
    </row>
    <row r="28" spans="1:8">
      <c r="A28" s="227" t="s">
        <v>296</v>
      </c>
    </row>
    <row r="29" spans="1:8">
      <c r="A29" s="228" t="s">
        <v>298</v>
      </c>
      <c r="B29" s="751" t="s">
        <v>738</v>
      </c>
      <c r="C29" s="751"/>
      <c r="D29" s="751"/>
      <c r="E29" s="751"/>
      <c r="F29" s="751"/>
      <c r="G29" s="751"/>
    </row>
    <row r="30" spans="1:8">
      <c r="A30" s="228" t="s">
        <v>300</v>
      </c>
      <c r="B30" s="751" t="s">
        <v>739</v>
      </c>
      <c r="C30" s="751"/>
      <c r="D30" s="751"/>
      <c r="E30" s="751"/>
      <c r="F30" s="751"/>
      <c r="G30" s="751"/>
    </row>
    <row r="31" spans="1:8">
      <c r="A31" s="228" t="s">
        <v>302</v>
      </c>
      <c r="B31" s="751" t="s">
        <v>740</v>
      </c>
      <c r="C31" s="751"/>
      <c r="D31" s="751"/>
      <c r="E31" s="751"/>
      <c r="F31" s="751"/>
      <c r="G31" s="751"/>
    </row>
    <row r="32" spans="1:8" ht="15" customHeight="1">
      <c r="A32" s="228" t="s">
        <v>304</v>
      </c>
      <c r="B32" s="751" t="s">
        <v>741</v>
      </c>
      <c r="C32" s="751"/>
      <c r="D32" s="751"/>
      <c r="E32" s="751"/>
      <c r="F32" s="751"/>
      <c r="G32" s="751"/>
    </row>
    <row r="33" spans="1:7" ht="30" customHeight="1">
      <c r="A33" s="228" t="s">
        <v>305</v>
      </c>
      <c r="B33" s="751" t="s">
        <v>742</v>
      </c>
      <c r="C33" s="751"/>
      <c r="D33" s="751"/>
      <c r="E33" s="751"/>
      <c r="F33" s="751"/>
      <c r="G33" s="751"/>
    </row>
    <row r="34" spans="1:7" ht="15" customHeight="1">
      <c r="A34" s="228"/>
      <c r="B34" s="751"/>
      <c r="C34" s="751"/>
      <c r="D34" s="751"/>
      <c r="E34" s="751"/>
      <c r="F34" s="751"/>
      <c r="G34" s="751"/>
    </row>
    <row r="35" spans="1:7">
      <c r="A35" s="228"/>
      <c r="B35" s="751"/>
      <c r="C35" s="751"/>
      <c r="D35" s="751"/>
      <c r="E35" s="751"/>
      <c r="F35" s="751"/>
      <c r="G35" s="751"/>
    </row>
    <row r="37" spans="1:7">
      <c r="G37" s="225"/>
    </row>
    <row r="38" spans="1:7">
      <c r="B38" s="20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A622-78A0-4F1C-9487-0438326A69EE}">
  <sheetPr>
    <pageSetUpPr fitToPage="1"/>
  </sheetPr>
  <dimension ref="A1:F38"/>
  <sheetViews>
    <sheetView showGridLines="0" zoomScaleNormal="100" zoomScaleSheetLayoutView="90" workbookViewId="0">
      <selection activeCell="I20" sqref="I20"/>
    </sheetView>
  </sheetViews>
  <sheetFormatPr defaultColWidth="9.109375" defaultRowHeight="14.4" outlineLevelRow="1"/>
  <cols>
    <col min="1" max="1" width="9.109375" style="668"/>
    <col min="2" max="2" width="32.88671875" style="668" customWidth="1"/>
    <col min="3" max="5" width="15.33203125" style="668" customWidth="1"/>
    <col min="6" max="16384" width="9.109375" style="668"/>
  </cols>
  <sheetData>
    <row r="1" spans="1:6" ht="15" thickTop="1">
      <c r="A1" s="665"/>
      <c r="B1" s="666"/>
      <c r="C1" s="666"/>
      <c r="D1" s="667"/>
      <c r="E1" s="667"/>
      <c r="F1" s="667"/>
    </row>
    <row r="2" spans="1:6" outlineLevel="1">
      <c r="B2" s="669" t="s">
        <v>743</v>
      </c>
      <c r="C2" s="670"/>
      <c r="D2" s="670"/>
      <c r="E2" s="671"/>
    </row>
    <row r="3" spans="1:6" outlineLevel="1">
      <c r="B3" s="672" t="s">
        <v>744</v>
      </c>
      <c r="C3" s="673"/>
      <c r="D3" s="673"/>
      <c r="E3" s="674"/>
    </row>
    <row r="4" spans="1:6" outlineLevel="1">
      <c r="B4" s="675"/>
      <c r="C4" s="673"/>
      <c r="D4" s="673"/>
      <c r="E4" s="674"/>
    </row>
    <row r="5" spans="1:6" outlineLevel="1">
      <c r="B5" s="676" t="s">
        <v>745</v>
      </c>
      <c r="C5" s="677" t="s">
        <v>746</v>
      </c>
      <c r="D5" s="677" t="s">
        <v>747</v>
      </c>
      <c r="E5" s="674"/>
    </row>
    <row r="6" spans="1:6" outlineLevel="1">
      <c r="B6" s="678" t="s">
        <v>748</v>
      </c>
      <c r="C6" s="679">
        <v>3.2500000000000001E-2</v>
      </c>
      <c r="D6" s="673">
        <v>2.6999999999999997E-3</v>
      </c>
      <c r="E6" s="674"/>
    </row>
    <row r="7" spans="1:6" outlineLevel="1">
      <c r="B7" s="678" t="s">
        <v>749</v>
      </c>
      <c r="C7" s="679">
        <v>3.4599999999999999E-2</v>
      </c>
      <c r="D7" s="673">
        <v>2.8999999999999998E-3</v>
      </c>
      <c r="E7" s="674"/>
    </row>
    <row r="8" spans="1:6" outlineLevel="1">
      <c r="B8" s="678" t="s">
        <v>750</v>
      </c>
      <c r="C8" s="679">
        <v>3.5000000000000003E-2</v>
      </c>
      <c r="D8" s="673">
        <v>2.8999999999999998E-3</v>
      </c>
      <c r="E8" s="674"/>
    </row>
    <row r="9" spans="1:6" outlineLevel="1">
      <c r="B9" s="678" t="s">
        <v>751</v>
      </c>
      <c r="C9" s="679">
        <v>3.5000000000000003E-2</v>
      </c>
      <c r="D9" s="673">
        <v>2.8999999999999998E-3</v>
      </c>
      <c r="E9" s="674"/>
    </row>
    <row r="10" spans="1:6" outlineLevel="1">
      <c r="B10" s="678" t="s">
        <v>752</v>
      </c>
      <c r="C10" s="679">
        <v>3.5000000000000003E-2</v>
      </c>
      <c r="D10" s="673">
        <v>2.8999999999999998E-3</v>
      </c>
      <c r="E10" s="674"/>
    </row>
    <row r="11" spans="1:6" outlineLevel="1">
      <c r="B11" s="678" t="s">
        <v>753</v>
      </c>
      <c r="C11" s="679">
        <v>3.7100000000000001E-2</v>
      </c>
      <c r="D11" s="673">
        <v>3.0999999999999999E-3</v>
      </c>
      <c r="E11" s="674"/>
    </row>
    <row r="12" spans="1:6" outlineLevel="1">
      <c r="B12" s="678" t="s">
        <v>754</v>
      </c>
      <c r="C12" s="679">
        <v>3.9600000000000003E-2</v>
      </c>
      <c r="D12" s="673">
        <v>3.3E-3</v>
      </c>
      <c r="E12" s="674"/>
    </row>
    <row r="13" spans="1:6" outlineLevel="1">
      <c r="B13" s="678"/>
      <c r="C13" s="673"/>
      <c r="D13" s="673"/>
      <c r="E13" s="674"/>
    </row>
    <row r="14" spans="1:6" outlineLevel="1">
      <c r="B14" s="675"/>
      <c r="C14" s="680" t="s">
        <v>755</v>
      </c>
      <c r="D14" s="681">
        <f>AVERAGE(D6:D12)</f>
        <v>2.957142857142857E-3</v>
      </c>
      <c r="E14" s="674"/>
    </row>
    <row r="15" spans="1:6" hidden="1">
      <c r="B15" s="675"/>
      <c r="C15" s="680"/>
      <c r="D15" s="673"/>
      <c r="E15" s="674"/>
    </row>
    <row r="16" spans="1:6" collapsed="1">
      <c r="B16" s="675"/>
      <c r="C16" s="680" t="s">
        <v>756</v>
      </c>
      <c r="D16" s="682">
        <f>'ATC Sch1 - True-Up Adj 2016'!G24</f>
        <v>-2380458.120000001</v>
      </c>
      <c r="E16" s="674"/>
    </row>
    <row r="17" spans="2:5" outlineLevel="1">
      <c r="B17" s="675"/>
      <c r="C17" s="680"/>
      <c r="D17" s="683"/>
      <c r="E17" s="674"/>
    </row>
    <row r="18" spans="2:5" outlineLevel="1">
      <c r="B18" s="675"/>
      <c r="C18" s="680" t="s">
        <v>757</v>
      </c>
      <c r="D18" s="673">
        <v>2</v>
      </c>
      <c r="E18" s="674"/>
    </row>
    <row r="19" spans="2:5" outlineLevel="1">
      <c r="B19" s="675"/>
      <c r="C19" s="680" t="s">
        <v>758</v>
      </c>
      <c r="D19" s="683">
        <f>-FV((D14*12/4),D18*4,0,D16)-D16</f>
        <v>-174284.35424415627</v>
      </c>
      <c r="E19" s="674"/>
    </row>
    <row r="20" spans="2:5" outlineLevel="1">
      <c r="B20" s="675"/>
      <c r="C20" s="680"/>
      <c r="D20" s="673"/>
      <c r="E20" s="674"/>
    </row>
    <row r="21" spans="2:5" ht="15" outlineLevel="1" thickBot="1">
      <c r="B21" s="675"/>
      <c r="C21" s="680" t="s">
        <v>759</v>
      </c>
      <c r="D21" s="684">
        <f>D16+D19</f>
        <v>-2554742.4742441573</v>
      </c>
      <c r="E21" s="674"/>
    </row>
    <row r="22" spans="2:5" outlineLevel="1">
      <c r="B22" s="685"/>
      <c r="C22" s="686"/>
      <c r="D22" s="686"/>
      <c r="E22" s="687"/>
    </row>
    <row r="23" spans="2:5" outlineLevel="1"/>
    <row r="24" spans="2:5" outlineLevel="1"/>
    <row r="25" spans="2:5" outlineLevel="1"/>
    <row r="26" spans="2:5" outlineLevel="1"/>
    <row r="27" spans="2:5" outlineLevel="1">
      <c r="C27" s="688"/>
    </row>
    <row r="28" spans="2:5" outlineLevel="1">
      <c r="B28" s="688"/>
    </row>
    <row r="29" spans="2:5" outlineLevel="1"/>
    <row r="30" spans="2:5" outlineLevel="1"/>
    <row r="31" spans="2:5" outlineLevel="1"/>
    <row r="32" spans="2:5" outlineLevel="1"/>
    <row r="33" outlineLevel="1"/>
    <row r="34" outlineLevel="1"/>
    <row r="35" outlineLevel="1"/>
    <row r="36" outlineLevel="1"/>
    <row r="37" outlineLevel="1"/>
    <row r="38" outlineLevel="1"/>
  </sheetData>
  <pageMargins left="0.7" right="0.7" top="0.75" bottom="0.75" header="0.3" footer="0.3"/>
  <pageSetup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38"/>
  <sheetViews>
    <sheetView zoomScale="90" zoomScaleNormal="90" workbookViewId="0">
      <selection activeCell="I28" sqref="I28"/>
    </sheetView>
  </sheetViews>
  <sheetFormatPr defaultColWidth="9.109375" defaultRowHeight="13.8"/>
  <cols>
    <col min="1" max="1" width="5.5546875" style="208" customWidth="1"/>
    <col min="2" max="2" width="19.109375" style="210" customWidth="1"/>
    <col min="3" max="3" width="20.33203125" style="210" customWidth="1"/>
    <col min="4" max="4" width="15.33203125" style="210" customWidth="1"/>
    <col min="5" max="5" width="37.44140625" style="210" bestFit="1" customWidth="1"/>
    <col min="6" max="6" width="4" style="210" customWidth="1"/>
    <col min="7" max="7" width="15.33203125" style="210" bestFit="1" customWidth="1"/>
    <col min="8" max="8" width="9.109375" style="211"/>
    <col min="9" max="16384" width="9.109375" style="210"/>
  </cols>
  <sheetData>
    <row r="2" spans="1:7" ht="17.399999999999999">
      <c r="B2" s="209" t="s">
        <v>729</v>
      </c>
    </row>
    <row r="4" spans="1:7">
      <c r="B4" s="210" t="s">
        <v>704</v>
      </c>
      <c r="C4" s="212" t="s">
        <v>760</v>
      </c>
      <c r="D4" s="212"/>
    </row>
    <row r="6" spans="1:7">
      <c r="B6" s="210" t="s">
        <v>707</v>
      </c>
      <c r="C6" s="215">
        <v>2018</v>
      </c>
    </row>
    <row r="9" spans="1:7">
      <c r="B9" s="229" t="s">
        <v>69</v>
      </c>
      <c r="E9" s="229" t="s">
        <v>70</v>
      </c>
      <c r="G9" s="229" t="s">
        <v>71</v>
      </c>
    </row>
    <row r="10" spans="1:7">
      <c r="E10" s="218" t="s">
        <v>74</v>
      </c>
      <c r="G10" s="218" t="s">
        <v>710</v>
      </c>
    </row>
    <row r="11" spans="1:7">
      <c r="A11" s="208" t="s">
        <v>15</v>
      </c>
      <c r="E11" s="218" t="s">
        <v>76</v>
      </c>
      <c r="G11" s="218" t="s">
        <v>22</v>
      </c>
    </row>
    <row r="12" spans="1:7">
      <c r="A12" s="227" t="s">
        <v>17</v>
      </c>
    </row>
    <row r="13" spans="1:7">
      <c r="A13" s="208">
        <v>1</v>
      </c>
      <c r="B13" s="210" t="s">
        <v>730</v>
      </c>
      <c r="E13" s="210" t="s">
        <v>712</v>
      </c>
      <c r="G13" s="221">
        <v>3484169</v>
      </c>
    </row>
    <row r="14" spans="1:7">
      <c r="A14" s="208">
        <f>+A13+1</f>
        <v>2</v>
      </c>
      <c r="B14" s="210" t="s">
        <v>713</v>
      </c>
      <c r="E14" s="210" t="s">
        <v>714</v>
      </c>
      <c r="G14" s="221">
        <v>10848122</v>
      </c>
    </row>
    <row r="15" spans="1:7">
      <c r="A15" s="208">
        <f>+A14+1</f>
        <v>3</v>
      </c>
      <c r="B15" s="210" t="s">
        <v>715</v>
      </c>
      <c r="E15" s="210" t="s">
        <v>716</v>
      </c>
      <c r="G15" s="221">
        <v>0</v>
      </c>
    </row>
    <row r="16" spans="1:7">
      <c r="A16" s="208">
        <f>+A15+1</f>
        <v>4</v>
      </c>
      <c r="B16" s="210" t="s">
        <v>731</v>
      </c>
      <c r="G16" s="222">
        <f>SUM(G13:G15)</f>
        <v>14332291</v>
      </c>
    </row>
    <row r="17" spans="1:8">
      <c r="G17" s="225"/>
    </row>
    <row r="18" spans="1:8">
      <c r="A18" s="208">
        <f>+A16+1</f>
        <v>5</v>
      </c>
      <c r="B18" s="210" t="s">
        <v>732</v>
      </c>
      <c r="E18" s="210" t="s">
        <v>733</v>
      </c>
      <c r="G18" s="221">
        <v>0</v>
      </c>
    </row>
    <row r="19" spans="1:8">
      <c r="G19" s="225"/>
      <c r="H19" s="210"/>
    </row>
    <row r="20" spans="1:8">
      <c r="A20" s="208">
        <f>+A18+1</f>
        <v>6</v>
      </c>
      <c r="B20" s="214" t="s">
        <v>734</v>
      </c>
      <c r="C20" s="214"/>
      <c r="D20" s="214"/>
      <c r="E20" s="210" t="str">
        <f>"(Line "&amp;A16&amp;" - Line "&amp;A18&amp;")"</f>
        <v>(Line 4 - Line 5)</v>
      </c>
      <c r="G20" s="224">
        <f>+G16-G18</f>
        <v>14332291</v>
      </c>
    </row>
    <row r="21" spans="1:8">
      <c r="B21" s="208"/>
      <c r="C21" s="208"/>
      <c r="D21" s="208"/>
      <c r="G21" s="230"/>
    </row>
    <row r="22" spans="1:8">
      <c r="A22" s="208">
        <f>+A20+1</f>
        <v>7</v>
      </c>
      <c r="B22" s="210" t="s">
        <v>735</v>
      </c>
      <c r="E22" s="210" t="s">
        <v>736</v>
      </c>
      <c r="G22" s="221">
        <v>18305448</v>
      </c>
    </row>
    <row r="23" spans="1:8">
      <c r="G23" s="225"/>
    </row>
    <row r="24" spans="1:8">
      <c r="A24" s="208">
        <f>A22+1</f>
        <v>8</v>
      </c>
      <c r="B24" s="210" t="s">
        <v>737</v>
      </c>
      <c r="E24" s="210" t="str">
        <f>"(Line "&amp;A20&amp;" - Line "&amp;A22&amp;")"</f>
        <v>(Line 6 - Line 7)</v>
      </c>
      <c r="G24" s="225">
        <f>+G20-G22</f>
        <v>-3973157</v>
      </c>
    </row>
    <row r="26" spans="1:8">
      <c r="A26" s="226"/>
      <c r="B26" s="231"/>
      <c r="C26" s="231"/>
      <c r="D26" s="231"/>
      <c r="E26" s="231"/>
      <c r="F26" s="231"/>
      <c r="G26" s="231"/>
    </row>
    <row r="27" spans="1:8">
      <c r="A27" s="208" t="s">
        <v>297</v>
      </c>
    </row>
    <row r="28" spans="1:8">
      <c r="A28" s="227" t="s">
        <v>296</v>
      </c>
    </row>
    <row r="29" spans="1:8">
      <c r="A29" s="228" t="s">
        <v>298</v>
      </c>
      <c r="B29" s="751" t="s">
        <v>738</v>
      </c>
      <c r="C29" s="751"/>
      <c r="D29" s="751"/>
      <c r="E29" s="751"/>
      <c r="F29" s="751"/>
      <c r="G29" s="751"/>
    </row>
    <row r="30" spans="1:8">
      <c r="A30" s="228" t="s">
        <v>300</v>
      </c>
      <c r="B30" s="751" t="s">
        <v>739</v>
      </c>
      <c r="C30" s="751"/>
      <c r="D30" s="751"/>
      <c r="E30" s="751"/>
      <c r="F30" s="751"/>
      <c r="G30" s="751"/>
    </row>
    <row r="31" spans="1:8">
      <c r="A31" s="228" t="s">
        <v>302</v>
      </c>
      <c r="B31" s="751" t="s">
        <v>740</v>
      </c>
      <c r="C31" s="751"/>
      <c r="D31" s="751"/>
      <c r="E31" s="751"/>
      <c r="F31" s="751"/>
      <c r="G31" s="751"/>
    </row>
    <row r="32" spans="1:8" ht="15" customHeight="1">
      <c r="A32" s="228" t="s">
        <v>304</v>
      </c>
      <c r="B32" s="751" t="s">
        <v>741</v>
      </c>
      <c r="C32" s="751"/>
      <c r="D32" s="751"/>
      <c r="E32" s="751"/>
      <c r="F32" s="751"/>
      <c r="G32" s="751"/>
    </row>
    <row r="33" spans="1:7" ht="30" customHeight="1">
      <c r="A33" s="228" t="s">
        <v>305</v>
      </c>
      <c r="B33" s="751" t="s">
        <v>742</v>
      </c>
      <c r="C33" s="751"/>
      <c r="D33" s="751"/>
      <c r="E33" s="751"/>
      <c r="F33" s="751"/>
      <c r="G33" s="751"/>
    </row>
    <row r="34" spans="1:7" ht="15" customHeight="1">
      <c r="A34" s="228"/>
      <c r="B34" s="751"/>
      <c r="C34" s="751"/>
      <c r="D34" s="751"/>
      <c r="E34" s="751"/>
      <c r="F34" s="751"/>
      <c r="G34" s="751"/>
    </row>
    <row r="35" spans="1:7">
      <c r="A35" s="228"/>
      <c r="B35" s="751"/>
      <c r="C35" s="751"/>
      <c r="D35" s="751"/>
      <c r="E35" s="751"/>
      <c r="F35" s="751"/>
      <c r="G35" s="751"/>
    </row>
    <row r="38" spans="1:7">
      <c r="B38" s="208"/>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9"/>
  <sheetViews>
    <sheetView zoomScale="90" zoomScaleNormal="90" workbookViewId="0">
      <selection activeCell="E22" sqref="E22"/>
    </sheetView>
  </sheetViews>
  <sheetFormatPr defaultColWidth="9.109375" defaultRowHeight="13.2"/>
  <cols>
    <col min="1" max="1" width="4.6640625" style="480" customWidth="1"/>
    <col min="2" max="2" width="63.5546875" style="480" customWidth="1"/>
    <col min="3" max="3" width="13.6640625" style="480" customWidth="1"/>
    <col min="4" max="4" width="13.5546875" style="480" customWidth="1"/>
    <col min="5" max="5" width="13.44140625" style="480" customWidth="1"/>
    <col min="6" max="15" width="14.109375" style="480" customWidth="1"/>
    <col min="16" max="16" width="14" style="480" bestFit="1" customWidth="1"/>
    <col min="17" max="16384" width="9.109375" style="480"/>
  </cols>
  <sheetData>
    <row r="1" spans="1:16">
      <c r="A1" s="520" t="s">
        <v>0</v>
      </c>
    </row>
    <row r="2" spans="1:16">
      <c r="A2" s="520" t="s">
        <v>761</v>
      </c>
    </row>
    <row r="3" spans="1:16">
      <c r="A3" s="521" t="s">
        <v>762</v>
      </c>
    </row>
    <row r="4" spans="1:16">
      <c r="A4" s="521"/>
    </row>
    <row r="6" spans="1:16">
      <c r="B6" s="522" t="s">
        <v>763</v>
      </c>
      <c r="C6" s="522"/>
      <c r="F6" s="523"/>
    </row>
    <row r="7" spans="1:16" ht="26.4">
      <c r="A7" s="524"/>
      <c r="B7" s="524"/>
      <c r="C7" s="525" t="s">
        <v>764</v>
      </c>
      <c r="D7" s="525" t="s">
        <v>765</v>
      </c>
      <c r="E7" s="526" t="s">
        <v>766</v>
      </c>
      <c r="F7" s="524"/>
      <c r="G7" s="524"/>
      <c r="H7" s="524"/>
      <c r="I7" s="524"/>
      <c r="J7" s="524"/>
      <c r="K7" s="524"/>
      <c r="L7" s="524"/>
      <c r="M7" s="524"/>
      <c r="N7" s="524"/>
      <c r="O7" s="524"/>
      <c r="P7" s="524"/>
    </row>
    <row r="8" spans="1:16">
      <c r="B8" s="625">
        <v>43100</v>
      </c>
      <c r="C8" s="527">
        <f>SUM(D8:E8)</f>
        <v>396111586</v>
      </c>
      <c r="D8" s="527">
        <v>8621966</v>
      </c>
      <c r="E8" s="527">
        <v>387489620</v>
      </c>
      <c r="F8" s="529"/>
      <c r="J8" s="529"/>
      <c r="K8" s="529"/>
    </row>
    <row r="9" spans="1:16">
      <c r="B9" s="625">
        <v>43131</v>
      </c>
      <c r="C9" s="527">
        <f t="shared" ref="C9:C20" si="0">SUM(D9:E9)</f>
        <v>423644882</v>
      </c>
      <c r="D9" s="527">
        <v>55886689</v>
      </c>
      <c r="E9" s="527">
        <v>367758193</v>
      </c>
      <c r="F9" s="529"/>
      <c r="G9" s="529"/>
      <c r="J9" s="529"/>
      <c r="K9" s="529"/>
    </row>
    <row r="10" spans="1:16">
      <c r="B10" s="625">
        <v>43159</v>
      </c>
      <c r="C10" s="527">
        <f t="shared" si="0"/>
        <v>429145837</v>
      </c>
      <c r="D10" s="527">
        <v>59816159</v>
      </c>
      <c r="E10" s="527">
        <v>369329678</v>
      </c>
      <c r="F10" s="529"/>
      <c r="G10" s="529"/>
      <c r="J10" s="529"/>
      <c r="K10" s="529"/>
    </row>
    <row r="11" spans="1:16">
      <c r="B11" s="625">
        <v>43190</v>
      </c>
      <c r="C11" s="527">
        <f t="shared" si="0"/>
        <v>454071596</v>
      </c>
      <c r="D11" s="527">
        <v>61965047</v>
      </c>
      <c r="E11" s="527">
        <v>392106549</v>
      </c>
      <c r="F11" s="529"/>
      <c r="G11" s="529"/>
      <c r="J11" s="529"/>
      <c r="K11" s="529"/>
    </row>
    <row r="12" spans="1:16">
      <c r="B12" s="625">
        <v>43220</v>
      </c>
      <c r="C12" s="527">
        <f t="shared" si="0"/>
        <v>452151068</v>
      </c>
      <c r="D12" s="527">
        <v>65649755</v>
      </c>
      <c r="E12" s="527">
        <v>386501313</v>
      </c>
      <c r="F12" s="529"/>
      <c r="G12" s="529"/>
      <c r="J12" s="529"/>
      <c r="K12" s="529"/>
    </row>
    <row r="13" spans="1:16">
      <c r="B13" s="625">
        <v>43251</v>
      </c>
      <c r="C13" s="527">
        <f t="shared" si="0"/>
        <v>466606412</v>
      </c>
      <c r="D13" s="527">
        <v>67918460</v>
      </c>
      <c r="E13" s="527">
        <v>398687952</v>
      </c>
      <c r="F13" s="529"/>
      <c r="G13" s="529"/>
      <c r="J13" s="529"/>
      <c r="K13" s="529"/>
    </row>
    <row r="14" spans="1:16">
      <c r="B14" s="625">
        <v>43281</v>
      </c>
      <c r="C14" s="527">
        <f t="shared" si="0"/>
        <v>457820239</v>
      </c>
      <c r="D14" s="527">
        <v>80225720</v>
      </c>
      <c r="E14" s="527">
        <v>377594519</v>
      </c>
      <c r="F14" s="529"/>
      <c r="G14" s="529"/>
      <c r="J14" s="529"/>
      <c r="K14" s="529"/>
    </row>
    <row r="15" spans="1:16">
      <c r="B15" s="625">
        <v>43312</v>
      </c>
      <c r="C15" s="527">
        <f t="shared" si="0"/>
        <v>475429437</v>
      </c>
      <c r="D15" s="527">
        <v>82954633</v>
      </c>
      <c r="E15" s="527">
        <v>392474804</v>
      </c>
      <c r="F15" s="529"/>
      <c r="G15" s="529"/>
      <c r="J15" s="529"/>
      <c r="K15" s="529"/>
    </row>
    <row r="16" spans="1:16">
      <c r="B16" s="625">
        <v>43343</v>
      </c>
      <c r="C16" s="527">
        <f t="shared" si="0"/>
        <v>515155532</v>
      </c>
      <c r="D16" s="527">
        <v>96735576</v>
      </c>
      <c r="E16" s="527">
        <v>418419956</v>
      </c>
      <c r="F16" s="529"/>
      <c r="G16" s="529"/>
      <c r="J16" s="529"/>
      <c r="K16" s="529"/>
    </row>
    <row r="17" spans="1:16">
      <c r="B17" s="625">
        <v>43373</v>
      </c>
      <c r="C17" s="527">
        <f t="shared" si="0"/>
        <v>391920565</v>
      </c>
      <c r="D17" s="527">
        <v>102482445</v>
      </c>
      <c r="E17" s="527">
        <v>289438120</v>
      </c>
      <c r="F17" s="529"/>
      <c r="G17" s="529"/>
      <c r="J17" s="529"/>
      <c r="K17" s="529"/>
    </row>
    <row r="18" spans="1:16">
      <c r="B18" s="625">
        <v>43404</v>
      </c>
      <c r="C18" s="527">
        <f t="shared" si="0"/>
        <v>422374212</v>
      </c>
      <c r="D18" s="527">
        <v>112265184</v>
      </c>
      <c r="E18" s="527">
        <v>310109028</v>
      </c>
      <c r="F18" s="529"/>
      <c r="G18" s="529"/>
      <c r="J18" s="529"/>
      <c r="K18" s="529"/>
    </row>
    <row r="19" spans="1:16">
      <c r="B19" s="625">
        <v>43434</v>
      </c>
      <c r="C19" s="527">
        <f t="shared" si="0"/>
        <v>439843001</v>
      </c>
      <c r="D19" s="527">
        <v>117659289</v>
      </c>
      <c r="E19" s="527">
        <v>322183712</v>
      </c>
      <c r="F19" s="529"/>
      <c r="G19" s="529"/>
      <c r="J19" s="529"/>
      <c r="K19" s="529"/>
    </row>
    <row r="20" spans="1:16">
      <c r="B20" s="625">
        <v>43465</v>
      </c>
      <c r="C20" s="527">
        <f t="shared" si="0"/>
        <v>261937982</v>
      </c>
      <c r="D20" s="527">
        <v>79631136</v>
      </c>
      <c r="E20" s="527">
        <v>182306846</v>
      </c>
      <c r="F20" s="529"/>
      <c r="J20" s="529"/>
      <c r="K20" s="529"/>
    </row>
    <row r="21" spans="1:16">
      <c r="C21" s="530"/>
      <c r="D21" s="530"/>
      <c r="E21" s="530"/>
    </row>
    <row r="22" spans="1:16">
      <c r="B22" s="531" t="s">
        <v>767</v>
      </c>
      <c r="C22" s="530"/>
      <c r="D22" s="530"/>
      <c r="E22" s="532">
        <f>ROUND(SUM(E8:E20)/13,0)</f>
        <v>353415407</v>
      </c>
    </row>
    <row r="25" spans="1:16">
      <c r="A25" s="522"/>
      <c r="B25" s="522" t="s">
        <v>768</v>
      </c>
    </row>
    <row r="26" spans="1:16" s="481" customFormat="1">
      <c r="A26" s="533"/>
      <c r="B26" s="533"/>
      <c r="C26" s="534">
        <v>43100</v>
      </c>
      <c r="D26" s="534">
        <v>43131</v>
      </c>
      <c r="E26" s="534">
        <v>43159</v>
      </c>
      <c r="F26" s="534">
        <v>43190</v>
      </c>
      <c r="G26" s="534">
        <v>43220</v>
      </c>
      <c r="H26" s="534">
        <v>43251</v>
      </c>
      <c r="I26" s="534">
        <v>43281</v>
      </c>
      <c r="J26" s="534">
        <v>43312</v>
      </c>
      <c r="K26" s="534">
        <v>43343</v>
      </c>
      <c r="L26" s="534">
        <v>43373</v>
      </c>
      <c r="M26" s="534">
        <v>43404</v>
      </c>
      <c r="N26" s="534">
        <v>43434</v>
      </c>
      <c r="O26" s="534">
        <v>43465</v>
      </c>
      <c r="P26" s="535" t="s">
        <v>769</v>
      </c>
    </row>
    <row r="27" spans="1:16" s="481" customFormat="1">
      <c r="B27" s="719" t="s">
        <v>770</v>
      </c>
      <c r="C27" s="527">
        <v>125040042</v>
      </c>
      <c r="D27" s="527">
        <v>134613599</v>
      </c>
      <c r="E27" s="527">
        <v>143886539</v>
      </c>
      <c r="F27" s="527">
        <v>153232461</v>
      </c>
      <c r="G27" s="527">
        <v>159359282</v>
      </c>
      <c r="H27" s="527">
        <v>166149159</v>
      </c>
      <c r="I27" s="527">
        <v>174659303</v>
      </c>
      <c r="J27" s="527">
        <v>181310958</v>
      </c>
      <c r="K27" s="527">
        <v>187112965</v>
      </c>
      <c r="L27" s="527">
        <v>190714558</v>
      </c>
      <c r="M27" s="527">
        <v>194319392</v>
      </c>
      <c r="N27" s="527">
        <v>190438104</v>
      </c>
      <c r="O27" s="527">
        <v>0</v>
      </c>
      <c r="P27" s="537">
        <f t="shared" ref="P27:P46" si="1">ROUND(SUM(C27:O27)/13,2)</f>
        <v>153910489.38</v>
      </c>
    </row>
    <row r="28" spans="1:16" s="481" customFormat="1">
      <c r="B28" s="719" t="s">
        <v>771</v>
      </c>
      <c r="C28" s="527">
        <v>140660996</v>
      </c>
      <c r="D28" s="527">
        <v>149587861</v>
      </c>
      <c r="E28" s="527">
        <v>154613846</v>
      </c>
      <c r="F28" s="527">
        <v>162213984</v>
      </c>
      <c r="G28" s="527">
        <v>166146950</v>
      </c>
      <c r="H28" s="527">
        <v>170787994</v>
      </c>
      <c r="I28" s="527">
        <v>135240147</v>
      </c>
      <c r="J28" s="527">
        <v>138793887</v>
      </c>
      <c r="K28" s="527">
        <v>142408795</v>
      </c>
      <c r="L28" s="527">
        <v>0</v>
      </c>
      <c r="M28" s="527">
        <v>0</v>
      </c>
      <c r="N28" s="527">
        <v>0</v>
      </c>
      <c r="O28" s="527">
        <v>0</v>
      </c>
      <c r="P28" s="537">
        <f t="shared" si="1"/>
        <v>104650343.08</v>
      </c>
    </row>
    <row r="29" spans="1:16" s="481" customFormat="1">
      <c r="B29" s="626" t="s">
        <v>772</v>
      </c>
      <c r="C29" s="527">
        <v>8631383</v>
      </c>
      <c r="D29" s="527">
        <v>9777447</v>
      </c>
      <c r="E29" s="527">
        <v>11501862</v>
      </c>
      <c r="F29" s="527">
        <v>13339228</v>
      </c>
      <c r="G29" s="527">
        <v>15280840</v>
      </c>
      <c r="H29" s="527">
        <v>15302971</v>
      </c>
      <c r="I29" s="527">
        <v>16740429</v>
      </c>
      <c r="J29" s="527">
        <v>20065125</v>
      </c>
      <c r="K29" s="527">
        <v>23253095</v>
      </c>
      <c r="L29" s="527">
        <v>19673370</v>
      </c>
      <c r="M29" s="527">
        <v>22194385</v>
      </c>
      <c r="N29" s="527">
        <v>24406000</v>
      </c>
      <c r="O29" s="527">
        <v>28758929</v>
      </c>
      <c r="P29" s="537">
        <f t="shared" si="1"/>
        <v>17609620.309999999</v>
      </c>
    </row>
    <row r="30" spans="1:16" s="481" customFormat="1">
      <c r="B30" s="626" t="s">
        <v>773</v>
      </c>
      <c r="C30" s="527">
        <v>3783170</v>
      </c>
      <c r="D30" s="527">
        <v>4145789</v>
      </c>
      <c r="E30" s="527">
        <v>4406687</v>
      </c>
      <c r="F30" s="527">
        <v>4763603</v>
      </c>
      <c r="G30" s="527">
        <v>5271880</v>
      </c>
      <c r="H30" s="527">
        <v>5822038</v>
      </c>
      <c r="I30" s="527">
        <v>6725686</v>
      </c>
      <c r="J30" s="527">
        <v>8652983</v>
      </c>
      <c r="K30" s="527">
        <v>11362116</v>
      </c>
      <c r="L30" s="527">
        <v>13515964</v>
      </c>
      <c r="M30" s="527">
        <v>14013581</v>
      </c>
      <c r="N30" s="527">
        <v>15776176</v>
      </c>
      <c r="O30" s="527">
        <v>18447544</v>
      </c>
      <c r="P30" s="537">
        <f t="shared" si="1"/>
        <v>8975939.7699999996</v>
      </c>
    </row>
    <row r="31" spans="1:16" s="481" customFormat="1">
      <c r="B31" s="626" t="s">
        <v>774</v>
      </c>
      <c r="C31" s="527">
        <v>1844076</v>
      </c>
      <c r="D31" s="527">
        <v>1819526</v>
      </c>
      <c r="E31" s="527">
        <v>1977513</v>
      </c>
      <c r="F31" s="527">
        <v>2035566</v>
      </c>
      <c r="G31" s="527">
        <v>2184943</v>
      </c>
      <c r="H31" s="527">
        <v>5644230</v>
      </c>
      <c r="I31" s="527">
        <v>7090851</v>
      </c>
      <c r="J31" s="527">
        <v>8480303</v>
      </c>
      <c r="K31" s="527">
        <v>9425979</v>
      </c>
      <c r="L31" s="527">
        <v>10375556</v>
      </c>
      <c r="M31" s="527">
        <v>11501874</v>
      </c>
      <c r="N31" s="527">
        <v>12274910</v>
      </c>
      <c r="O31" s="527">
        <v>13059196</v>
      </c>
      <c r="P31" s="537">
        <f t="shared" si="1"/>
        <v>6747271</v>
      </c>
    </row>
    <row r="32" spans="1:16" s="481" customFormat="1">
      <c r="B32" s="626" t="s">
        <v>775</v>
      </c>
      <c r="C32" s="527">
        <v>14288159</v>
      </c>
      <c r="D32" s="527">
        <v>16691293</v>
      </c>
      <c r="E32" s="527">
        <v>18004486</v>
      </c>
      <c r="F32" s="527">
        <v>19065807</v>
      </c>
      <c r="G32" s="527">
        <v>652569</v>
      </c>
      <c r="H32" s="527">
        <v>655875</v>
      </c>
      <c r="I32" s="527">
        <v>663310</v>
      </c>
      <c r="J32" s="527">
        <v>666046</v>
      </c>
      <c r="K32" s="527">
        <v>666466</v>
      </c>
      <c r="L32" s="527">
        <v>673360</v>
      </c>
      <c r="M32" s="527">
        <v>1242768</v>
      </c>
      <c r="N32" s="527">
        <v>1512277</v>
      </c>
      <c r="O32" s="527">
        <v>1867122</v>
      </c>
      <c r="P32" s="537">
        <f t="shared" si="1"/>
        <v>5896118.3099999996</v>
      </c>
    </row>
    <row r="33" spans="1:16" s="481" customFormat="1">
      <c r="B33" s="626" t="s">
        <v>776</v>
      </c>
      <c r="C33" s="527">
        <v>1737571</v>
      </c>
      <c r="D33" s="527">
        <v>1882151</v>
      </c>
      <c r="E33" s="527">
        <v>2108784</v>
      </c>
      <c r="F33" s="527">
        <v>2385150</v>
      </c>
      <c r="G33" s="527">
        <v>2541836</v>
      </c>
      <c r="H33" s="527">
        <v>2565516</v>
      </c>
      <c r="I33" s="527">
        <v>3633036</v>
      </c>
      <c r="J33" s="527">
        <v>5653408</v>
      </c>
      <c r="K33" s="527">
        <v>8478302</v>
      </c>
      <c r="L33" s="527">
        <v>9594545</v>
      </c>
      <c r="M33" s="527">
        <v>10713929</v>
      </c>
      <c r="N33" s="527">
        <v>11432119</v>
      </c>
      <c r="O33" s="527">
        <v>12266249</v>
      </c>
      <c r="P33" s="537">
        <f t="shared" si="1"/>
        <v>5768661.2300000004</v>
      </c>
    </row>
    <row r="34" spans="1:16" s="481" customFormat="1">
      <c r="B34" s="698" t="s">
        <v>777</v>
      </c>
      <c r="C34" s="527">
        <v>2019456</v>
      </c>
      <c r="D34" s="527">
        <v>2835024</v>
      </c>
      <c r="E34" s="527">
        <v>3516660</v>
      </c>
      <c r="F34" s="527">
        <v>3699071</v>
      </c>
      <c r="G34" s="527">
        <v>3813782</v>
      </c>
      <c r="H34" s="527">
        <v>3913091</v>
      </c>
      <c r="I34" s="527">
        <v>4030216</v>
      </c>
      <c r="J34" s="527">
        <v>4246686</v>
      </c>
      <c r="K34" s="527">
        <v>4815392</v>
      </c>
      <c r="L34" s="527">
        <v>5637181</v>
      </c>
      <c r="M34" s="527">
        <v>9631096</v>
      </c>
      <c r="N34" s="527">
        <v>12062888</v>
      </c>
      <c r="O34" s="527">
        <v>13201932</v>
      </c>
      <c r="P34" s="537">
        <f t="shared" si="1"/>
        <v>5647882.6900000004</v>
      </c>
    </row>
    <row r="35" spans="1:16" s="481" customFormat="1">
      <c r="B35" s="626" t="s">
        <v>778</v>
      </c>
      <c r="C35" s="527">
        <v>8637987</v>
      </c>
      <c r="D35" s="527">
        <v>8673015</v>
      </c>
      <c r="E35" s="527">
        <v>8706364</v>
      </c>
      <c r="F35" s="527">
        <v>8748777</v>
      </c>
      <c r="G35" s="527">
        <v>8927087</v>
      </c>
      <c r="H35" s="527">
        <v>9581847</v>
      </c>
      <c r="I35" s="527">
        <v>10198703</v>
      </c>
      <c r="J35" s="527">
        <v>0</v>
      </c>
      <c r="K35" s="527">
        <v>0</v>
      </c>
      <c r="L35" s="527">
        <v>0</v>
      </c>
      <c r="M35" s="527">
        <v>0</v>
      </c>
      <c r="N35" s="527">
        <v>0</v>
      </c>
      <c r="O35" s="527">
        <v>0</v>
      </c>
      <c r="P35" s="537">
        <f t="shared" si="1"/>
        <v>4882598.46</v>
      </c>
    </row>
    <row r="36" spans="1:16" s="481" customFormat="1">
      <c r="B36" s="721" t="s">
        <v>779</v>
      </c>
      <c r="C36" s="527">
        <v>0</v>
      </c>
      <c r="D36" s="527">
        <v>0</v>
      </c>
      <c r="E36" s="527">
        <v>0</v>
      </c>
      <c r="F36" s="527">
        <v>0</v>
      </c>
      <c r="G36" s="527">
        <v>0</v>
      </c>
      <c r="H36" s="527">
        <v>0</v>
      </c>
      <c r="I36" s="527">
        <v>0</v>
      </c>
      <c r="J36" s="527">
        <v>0</v>
      </c>
      <c r="K36" s="527">
        <v>5156503</v>
      </c>
      <c r="L36" s="527">
        <v>7969947</v>
      </c>
      <c r="M36" s="527">
        <v>9068789</v>
      </c>
      <c r="N36" s="527">
        <v>11521903</v>
      </c>
      <c r="O36" s="527">
        <v>15477619</v>
      </c>
      <c r="P36" s="537">
        <f t="shared" si="1"/>
        <v>3784212.38</v>
      </c>
    </row>
    <row r="37" spans="1:16" s="481" customFormat="1">
      <c r="A37" s="569"/>
      <c r="B37" s="721" t="s">
        <v>780</v>
      </c>
      <c r="C37" s="527">
        <v>1005293</v>
      </c>
      <c r="D37" s="527">
        <v>1081269</v>
      </c>
      <c r="E37" s="527">
        <v>1214079</v>
      </c>
      <c r="F37" s="527">
        <v>1365016</v>
      </c>
      <c r="G37" s="527">
        <v>1491721</v>
      </c>
      <c r="H37" s="527">
        <v>1690352</v>
      </c>
      <c r="I37" s="527">
        <v>2249414</v>
      </c>
      <c r="J37" s="527">
        <v>4545620</v>
      </c>
      <c r="K37" s="527">
        <v>5408657</v>
      </c>
      <c r="L37" s="527">
        <v>6194818</v>
      </c>
      <c r="M37" s="527">
        <v>6901441</v>
      </c>
      <c r="N37" s="527">
        <v>7422861</v>
      </c>
      <c r="O37" s="527">
        <v>7833109</v>
      </c>
      <c r="P37" s="537">
        <f t="shared" si="1"/>
        <v>3723357.69</v>
      </c>
    </row>
    <row r="38" spans="1:16" s="481" customFormat="1">
      <c r="B38" s="719" t="s">
        <v>781</v>
      </c>
      <c r="C38" s="527">
        <v>22671966</v>
      </c>
      <c r="D38" s="527">
        <v>19862744</v>
      </c>
      <c r="E38" s="527">
        <v>0</v>
      </c>
      <c r="F38" s="527">
        <v>0</v>
      </c>
      <c r="G38" s="527">
        <v>0</v>
      </c>
      <c r="H38" s="527">
        <v>0</v>
      </c>
      <c r="I38" s="527">
        <v>0</v>
      </c>
      <c r="J38" s="527">
        <v>0</v>
      </c>
      <c r="K38" s="527">
        <v>0</v>
      </c>
      <c r="L38" s="527">
        <v>0</v>
      </c>
      <c r="M38" s="527">
        <v>0</v>
      </c>
      <c r="N38" s="527">
        <v>0</v>
      </c>
      <c r="O38" s="527">
        <v>0</v>
      </c>
      <c r="P38" s="537">
        <f t="shared" si="1"/>
        <v>3271900.77</v>
      </c>
    </row>
    <row r="39" spans="1:16" s="481" customFormat="1">
      <c r="B39" s="698" t="s">
        <v>782</v>
      </c>
      <c r="C39" s="527">
        <v>1226858</v>
      </c>
      <c r="D39" s="527">
        <v>1449733</v>
      </c>
      <c r="E39" s="527">
        <v>1521063</v>
      </c>
      <c r="F39" s="527">
        <v>1667037</v>
      </c>
      <c r="G39" s="527">
        <v>1942732</v>
      </c>
      <c r="H39" s="527">
        <v>2051306</v>
      </c>
      <c r="I39" s="527">
        <v>2169929</v>
      </c>
      <c r="J39" s="527">
        <v>2330982</v>
      </c>
      <c r="K39" s="527">
        <v>2555239</v>
      </c>
      <c r="L39" s="527">
        <v>2795065</v>
      </c>
      <c r="M39" s="527">
        <v>3038555</v>
      </c>
      <c r="N39" s="527">
        <v>3134989</v>
      </c>
      <c r="O39" s="527">
        <v>3229656</v>
      </c>
      <c r="P39" s="537">
        <f t="shared" si="1"/>
        <v>2239472.62</v>
      </c>
    </row>
    <row r="40" spans="1:16" s="481" customFormat="1">
      <c r="B40" s="721" t="s">
        <v>783</v>
      </c>
      <c r="C40" s="527">
        <v>951986</v>
      </c>
      <c r="D40" s="527">
        <v>1042528</v>
      </c>
      <c r="E40" s="527">
        <v>1115806</v>
      </c>
      <c r="F40" s="527">
        <v>1143099</v>
      </c>
      <c r="G40" s="527">
        <v>1386926</v>
      </c>
      <c r="H40" s="527">
        <v>1649936</v>
      </c>
      <c r="I40" s="527">
        <v>1942529</v>
      </c>
      <c r="J40" s="527">
        <v>2755285</v>
      </c>
      <c r="K40" s="527">
        <v>2952366</v>
      </c>
      <c r="L40" s="527">
        <v>3319678</v>
      </c>
      <c r="M40" s="527">
        <v>3738302</v>
      </c>
      <c r="N40" s="527">
        <v>1477287</v>
      </c>
      <c r="O40" s="527">
        <v>0</v>
      </c>
      <c r="P40" s="537">
        <f t="shared" si="1"/>
        <v>1805825.23</v>
      </c>
    </row>
    <row r="41" spans="1:16" s="481" customFormat="1">
      <c r="B41" s="698" t="s">
        <v>784</v>
      </c>
      <c r="C41" s="527">
        <v>426367</v>
      </c>
      <c r="D41" s="527">
        <v>493881</v>
      </c>
      <c r="E41" s="527">
        <v>518715</v>
      </c>
      <c r="F41" s="527">
        <v>561117</v>
      </c>
      <c r="G41" s="527">
        <v>732853</v>
      </c>
      <c r="H41" s="527">
        <v>836876</v>
      </c>
      <c r="I41" s="527">
        <v>900504</v>
      </c>
      <c r="J41" s="527">
        <v>953573</v>
      </c>
      <c r="K41" s="527">
        <v>1061865</v>
      </c>
      <c r="L41" s="527">
        <v>1237170</v>
      </c>
      <c r="M41" s="527">
        <v>3201447</v>
      </c>
      <c r="N41" s="527">
        <v>3494712</v>
      </c>
      <c r="O41" s="527">
        <v>3711412</v>
      </c>
      <c r="P41" s="537">
        <f t="shared" si="1"/>
        <v>1394653.23</v>
      </c>
    </row>
    <row r="42" spans="1:16" s="481" customFormat="1">
      <c r="B42" s="698" t="s">
        <v>785</v>
      </c>
      <c r="C42" s="527">
        <v>647460</v>
      </c>
      <c r="D42" s="527">
        <v>680051</v>
      </c>
      <c r="E42" s="527">
        <v>824307</v>
      </c>
      <c r="F42" s="527">
        <v>929367</v>
      </c>
      <c r="G42" s="527">
        <v>997485</v>
      </c>
      <c r="H42" s="527">
        <v>1060323</v>
      </c>
      <c r="I42" s="527">
        <v>1109738</v>
      </c>
      <c r="J42" s="527">
        <v>1178030</v>
      </c>
      <c r="K42" s="527">
        <v>1396028</v>
      </c>
      <c r="L42" s="527">
        <v>1560234</v>
      </c>
      <c r="M42" s="527">
        <v>1725842</v>
      </c>
      <c r="N42" s="527">
        <v>1822664</v>
      </c>
      <c r="O42" s="527">
        <v>2896306</v>
      </c>
      <c r="P42" s="537">
        <f t="shared" si="1"/>
        <v>1294448.8500000001</v>
      </c>
    </row>
    <row r="43" spans="1:16" s="481" customFormat="1">
      <c r="B43" s="626" t="s">
        <v>786</v>
      </c>
      <c r="C43" s="527">
        <v>2972021</v>
      </c>
      <c r="D43" s="527">
        <v>2901776</v>
      </c>
      <c r="E43" s="527">
        <v>3094534</v>
      </c>
      <c r="F43" s="527">
        <v>3194402</v>
      </c>
      <c r="G43" s="527">
        <v>3408397</v>
      </c>
      <c r="H43" s="527">
        <v>49146</v>
      </c>
      <c r="I43" s="527">
        <v>55156</v>
      </c>
      <c r="J43" s="527">
        <v>58262</v>
      </c>
      <c r="K43" s="527">
        <v>59067</v>
      </c>
      <c r="L43" s="527">
        <v>59465</v>
      </c>
      <c r="M43" s="527">
        <v>63530</v>
      </c>
      <c r="N43" s="527">
        <v>69164</v>
      </c>
      <c r="O43" s="527">
        <v>0</v>
      </c>
      <c r="P43" s="537">
        <f t="shared" si="1"/>
        <v>1229609.23</v>
      </c>
    </row>
    <row r="44" spans="1:16" s="481" customFormat="1">
      <c r="B44" s="698" t="s">
        <v>787</v>
      </c>
      <c r="C44" s="527">
        <v>257038</v>
      </c>
      <c r="D44" s="527">
        <v>343889</v>
      </c>
      <c r="E44" s="527">
        <v>394160</v>
      </c>
      <c r="F44" s="527">
        <v>450479</v>
      </c>
      <c r="G44" s="527">
        <v>569026</v>
      </c>
      <c r="H44" s="527">
        <v>668247</v>
      </c>
      <c r="I44" s="527">
        <v>1115913</v>
      </c>
      <c r="J44" s="527">
        <v>1518317</v>
      </c>
      <c r="K44" s="527">
        <v>2024352</v>
      </c>
      <c r="L44" s="527">
        <v>2304464</v>
      </c>
      <c r="M44" s="527">
        <v>2648626</v>
      </c>
      <c r="N44" s="527">
        <v>2868224</v>
      </c>
      <c r="O44" s="527">
        <v>0</v>
      </c>
      <c r="P44" s="537">
        <f t="shared" si="1"/>
        <v>1166364.23</v>
      </c>
    </row>
    <row r="45" spans="1:16" s="481" customFormat="1">
      <c r="B45" s="721" t="s">
        <v>788</v>
      </c>
      <c r="C45" s="527">
        <v>0</v>
      </c>
      <c r="D45" s="527">
        <v>0</v>
      </c>
      <c r="E45" s="527">
        <v>0</v>
      </c>
      <c r="F45" s="527">
        <v>0</v>
      </c>
      <c r="G45" s="527">
        <v>0</v>
      </c>
      <c r="H45" s="527">
        <v>0</v>
      </c>
      <c r="I45" s="527">
        <v>0</v>
      </c>
      <c r="J45" s="527">
        <v>0</v>
      </c>
      <c r="K45" s="527">
        <v>1087669</v>
      </c>
      <c r="L45" s="527">
        <v>1497820</v>
      </c>
      <c r="M45" s="527">
        <v>2823211</v>
      </c>
      <c r="N45" s="527">
        <v>4293274</v>
      </c>
      <c r="O45" s="527">
        <v>5286029</v>
      </c>
      <c r="P45" s="537">
        <f t="shared" si="1"/>
        <v>1152923.31</v>
      </c>
    </row>
    <row r="46" spans="1:16" s="481" customFormat="1">
      <c r="B46" s="698" t="s">
        <v>789</v>
      </c>
      <c r="C46" s="527">
        <v>1407541</v>
      </c>
      <c r="D46" s="527">
        <v>2477925</v>
      </c>
      <c r="E46" s="527">
        <v>3284070</v>
      </c>
      <c r="F46" s="527">
        <v>2860088</v>
      </c>
      <c r="G46" s="527">
        <v>2064755</v>
      </c>
      <c r="H46" s="527">
        <v>2430595</v>
      </c>
      <c r="I46" s="527">
        <v>0</v>
      </c>
      <c r="J46" s="527">
        <v>0</v>
      </c>
      <c r="K46" s="527">
        <v>0</v>
      </c>
      <c r="L46" s="527">
        <v>0</v>
      </c>
      <c r="M46" s="527">
        <v>0</v>
      </c>
      <c r="N46" s="527">
        <v>0</v>
      </c>
      <c r="O46" s="527">
        <v>0</v>
      </c>
      <c r="P46" s="537">
        <f t="shared" si="1"/>
        <v>1117305.69</v>
      </c>
    </row>
    <row r="47" spans="1:16" s="481" customFormat="1">
      <c r="B47" s="720" t="s">
        <v>790</v>
      </c>
      <c r="C47" s="527">
        <v>49280250</v>
      </c>
      <c r="D47" s="527">
        <v>7398692</v>
      </c>
      <c r="E47" s="527">
        <v>8640203</v>
      </c>
      <c r="F47" s="527">
        <v>10452297</v>
      </c>
      <c r="G47" s="527">
        <v>9728249</v>
      </c>
      <c r="H47" s="527">
        <v>7828450</v>
      </c>
      <c r="I47" s="527">
        <v>9069655</v>
      </c>
      <c r="J47" s="527">
        <v>11265339</v>
      </c>
      <c r="K47" s="527">
        <v>9195100</v>
      </c>
      <c r="L47" s="527">
        <v>12314925</v>
      </c>
      <c r="M47" s="527">
        <v>13282260</v>
      </c>
      <c r="N47" s="527">
        <v>18176160</v>
      </c>
      <c r="O47" s="527">
        <v>56271743</v>
      </c>
      <c r="P47" s="537">
        <f t="shared" ref="P47" si="2">ROUND(SUM(C47:O47)/13,2)</f>
        <v>17146409.460000001</v>
      </c>
    </row>
    <row r="48" spans="1:16" s="481" customFormat="1">
      <c r="B48" s="480"/>
      <c r="C48" s="536"/>
      <c r="D48" s="536"/>
      <c r="E48" s="536"/>
      <c r="F48" s="536"/>
      <c r="G48" s="536"/>
      <c r="H48" s="536"/>
      <c r="I48" s="536"/>
      <c r="J48" s="536"/>
      <c r="K48" s="536"/>
      <c r="L48" s="536"/>
      <c r="M48" s="536"/>
      <c r="N48" s="536"/>
      <c r="O48" s="536"/>
      <c r="P48" s="480"/>
    </row>
    <row r="49" spans="2:16" s="481" customFormat="1">
      <c r="B49" s="480" t="s">
        <v>791</v>
      </c>
      <c r="C49" s="529">
        <f t="shared" ref="C49:O49" si="3">SUM(C27:C47)</f>
        <v>387489620</v>
      </c>
      <c r="D49" s="529">
        <f t="shared" si="3"/>
        <v>367758193</v>
      </c>
      <c r="E49" s="529">
        <f t="shared" si="3"/>
        <v>369329678</v>
      </c>
      <c r="F49" s="529">
        <f t="shared" si="3"/>
        <v>392106549</v>
      </c>
      <c r="G49" s="529">
        <f t="shared" si="3"/>
        <v>386501313</v>
      </c>
      <c r="H49" s="529">
        <f t="shared" si="3"/>
        <v>398687952</v>
      </c>
      <c r="I49" s="529">
        <f t="shared" si="3"/>
        <v>377594519</v>
      </c>
      <c r="J49" s="529">
        <f t="shared" si="3"/>
        <v>392474804</v>
      </c>
      <c r="K49" s="529">
        <f t="shared" si="3"/>
        <v>418419956</v>
      </c>
      <c r="L49" s="529">
        <f t="shared" si="3"/>
        <v>289438120</v>
      </c>
      <c r="M49" s="529">
        <f t="shared" si="3"/>
        <v>310109028</v>
      </c>
      <c r="N49" s="529">
        <f t="shared" si="3"/>
        <v>322183712</v>
      </c>
      <c r="O49" s="529">
        <f t="shared" si="3"/>
        <v>182306846</v>
      </c>
      <c r="P49" s="538">
        <f>ROUND(SUM(P27:P47),0)</f>
        <v>353415407</v>
      </c>
    </row>
    <row r="50" spans="2:16" s="481" customFormat="1">
      <c r="B50" s="480"/>
      <c r="C50" s="529">
        <f>C49-$E$8</f>
        <v>0</v>
      </c>
      <c r="D50" s="529">
        <f>D49-$E$9</f>
        <v>0</v>
      </c>
      <c r="E50" s="529">
        <f>E49-$E$10</f>
        <v>0</v>
      </c>
      <c r="F50" s="529">
        <f>F49-$E$11</f>
        <v>0</v>
      </c>
      <c r="G50" s="529">
        <f>G49-$E$12</f>
        <v>0</v>
      </c>
      <c r="H50" s="529">
        <f>H49-$E$13</f>
        <v>0</v>
      </c>
      <c r="I50" s="529">
        <f>I49-$E$14</f>
        <v>0</v>
      </c>
      <c r="J50" s="529">
        <f>J49-$E$15</f>
        <v>0</v>
      </c>
      <c r="K50" s="529">
        <f>K49-$E$16</f>
        <v>0</v>
      </c>
      <c r="L50" s="529">
        <f>L49-$E$17</f>
        <v>0</v>
      </c>
      <c r="M50" s="529">
        <f>M49-$E$18</f>
        <v>0</v>
      </c>
      <c r="N50" s="529">
        <f>N49-$E$19</f>
        <v>0</v>
      </c>
      <c r="O50" s="529">
        <f>O49-$E$20</f>
        <v>0</v>
      </c>
      <c r="P50" s="529">
        <f>P49-E22</f>
        <v>0</v>
      </c>
    </row>
    <row r="51" spans="2:16" s="481" customFormat="1">
      <c r="B51" s="480"/>
      <c r="C51" s="480"/>
      <c r="D51" s="528"/>
      <c r="E51" s="528"/>
      <c r="F51" s="528"/>
      <c r="G51" s="528"/>
      <c r="H51" s="528"/>
      <c r="I51" s="528"/>
      <c r="J51" s="528"/>
      <c r="K51" s="528"/>
      <c r="L51" s="528"/>
      <c r="M51" s="528"/>
      <c r="N51" s="528"/>
      <c r="O51" s="528"/>
      <c r="P51" s="528"/>
    </row>
    <row r="52" spans="2:16" s="481" customFormat="1">
      <c r="B52" s="480"/>
      <c r="C52" s="480"/>
      <c r="D52" s="480"/>
      <c r="E52" s="480"/>
      <c r="F52" s="480"/>
      <c r="G52" s="480"/>
      <c r="H52" s="480"/>
      <c r="I52" s="480"/>
      <c r="J52" s="480"/>
      <c r="K52" s="480"/>
      <c r="L52" s="480"/>
      <c r="M52" s="480"/>
      <c r="N52" s="480"/>
      <c r="O52" s="480"/>
      <c r="P52" s="480"/>
    </row>
    <row r="53" spans="2:16" s="481" customFormat="1">
      <c r="B53" s="480"/>
      <c r="C53" s="529"/>
      <c r="D53" s="529"/>
      <c r="E53" s="529"/>
      <c r="F53" s="529"/>
      <c r="G53" s="529"/>
      <c r="H53" s="529"/>
      <c r="I53" s="529"/>
      <c r="J53" s="529"/>
      <c r="K53" s="529"/>
      <c r="L53" s="529"/>
      <c r="M53" s="529"/>
      <c r="N53" s="529"/>
      <c r="O53" s="529"/>
      <c r="P53" s="480"/>
    </row>
    <row r="54" spans="2:16" s="481" customFormat="1">
      <c r="B54" s="480"/>
      <c r="C54" s="529"/>
      <c r="D54" s="529"/>
      <c r="E54" s="529"/>
      <c r="F54" s="529"/>
      <c r="G54" s="529"/>
      <c r="H54" s="529"/>
      <c r="I54" s="529"/>
      <c r="J54" s="529"/>
      <c r="K54" s="529"/>
      <c r="L54" s="529"/>
      <c r="M54" s="529"/>
      <c r="N54" s="529"/>
      <c r="O54" s="529"/>
      <c r="P54" s="480"/>
    </row>
    <row r="55" spans="2:16" s="481" customFormat="1">
      <c r="B55" s="480"/>
      <c r="C55" s="529"/>
      <c r="D55" s="529"/>
      <c r="E55" s="529"/>
      <c r="F55" s="529"/>
      <c r="G55" s="529"/>
      <c r="H55" s="529"/>
      <c r="I55" s="529"/>
      <c r="J55" s="529"/>
      <c r="K55" s="529"/>
      <c r="L55" s="529"/>
      <c r="M55" s="529"/>
      <c r="N55" s="529"/>
      <c r="O55" s="529"/>
      <c r="P55" s="480"/>
    </row>
    <row r="56" spans="2:16" s="481" customFormat="1">
      <c r="B56" s="480"/>
      <c r="C56" s="529"/>
      <c r="D56" s="529"/>
      <c r="E56" s="529"/>
      <c r="F56" s="529"/>
      <c r="G56" s="529"/>
      <c r="H56" s="529"/>
      <c r="I56" s="529"/>
      <c r="J56" s="529"/>
      <c r="K56" s="529"/>
      <c r="L56" s="529"/>
      <c r="M56" s="529"/>
      <c r="N56" s="529"/>
      <c r="O56" s="529"/>
      <c r="P56" s="480"/>
    </row>
    <row r="57" spans="2:16" s="481" customFormat="1">
      <c r="B57" s="480"/>
      <c r="C57" s="529"/>
      <c r="D57" s="529"/>
      <c r="E57" s="529"/>
      <c r="F57" s="529"/>
      <c r="G57" s="529"/>
      <c r="H57" s="529"/>
      <c r="I57" s="529"/>
      <c r="J57" s="529"/>
      <c r="K57" s="529"/>
      <c r="L57" s="529"/>
      <c r="M57" s="529"/>
      <c r="N57" s="529"/>
      <c r="O57" s="529"/>
      <c r="P57" s="480"/>
    </row>
    <row r="58" spans="2:16" s="481" customFormat="1">
      <c r="B58" s="480"/>
      <c r="C58" s="529"/>
      <c r="D58" s="529"/>
      <c r="E58" s="529"/>
      <c r="F58" s="529"/>
      <c r="G58" s="529"/>
      <c r="H58" s="529"/>
      <c r="I58" s="529"/>
      <c r="J58" s="529"/>
      <c r="K58" s="529"/>
      <c r="L58" s="529"/>
      <c r="M58" s="529"/>
      <c r="N58" s="529"/>
      <c r="O58" s="529"/>
      <c r="P58" s="480"/>
    </row>
    <row r="59" spans="2:16">
      <c r="C59" s="529"/>
      <c r="D59" s="529"/>
      <c r="E59" s="529"/>
      <c r="F59" s="529"/>
      <c r="G59" s="529"/>
      <c r="H59" s="529"/>
      <c r="I59" s="529"/>
      <c r="J59" s="529"/>
      <c r="K59" s="529"/>
      <c r="L59" s="529"/>
      <c r="M59" s="529"/>
      <c r="N59" s="529"/>
      <c r="O59" s="529"/>
    </row>
    <row r="60" spans="2:16">
      <c r="C60" s="529"/>
      <c r="D60" s="529"/>
      <c r="E60" s="529"/>
      <c r="F60" s="529"/>
      <c r="G60" s="529"/>
      <c r="H60" s="529"/>
      <c r="I60" s="529"/>
      <c r="J60" s="529"/>
      <c r="K60" s="529"/>
      <c r="L60" s="529"/>
      <c r="M60" s="529"/>
      <c r="N60" s="529"/>
      <c r="O60" s="529"/>
    </row>
    <row r="61" spans="2:16">
      <c r="C61" s="529"/>
      <c r="D61" s="529"/>
      <c r="E61" s="529"/>
      <c r="F61" s="529"/>
      <c r="G61" s="529"/>
      <c r="H61" s="529"/>
      <c r="I61" s="529"/>
      <c r="J61" s="529"/>
      <c r="K61" s="529"/>
      <c r="L61" s="529"/>
      <c r="M61" s="529"/>
      <c r="N61" s="529"/>
      <c r="O61" s="529"/>
    </row>
    <row r="62" spans="2:16">
      <c r="C62" s="529"/>
      <c r="D62" s="529"/>
      <c r="E62" s="529"/>
      <c r="F62" s="529"/>
      <c r="G62" s="529"/>
      <c r="H62" s="529"/>
      <c r="I62" s="529"/>
      <c r="J62" s="529"/>
      <c r="K62" s="529"/>
      <c r="L62" s="529"/>
      <c r="M62" s="529"/>
      <c r="N62" s="529"/>
      <c r="O62" s="529"/>
    </row>
    <row r="63" spans="2:16">
      <c r="C63" s="529"/>
      <c r="D63" s="529"/>
      <c r="E63" s="529"/>
      <c r="F63" s="529"/>
      <c r="G63" s="529"/>
      <c r="H63" s="529"/>
      <c r="I63" s="529"/>
      <c r="J63" s="529"/>
      <c r="K63" s="529"/>
      <c r="L63" s="529"/>
      <c r="M63" s="529"/>
      <c r="N63" s="529"/>
      <c r="O63" s="529"/>
    </row>
    <row r="64" spans="2:16">
      <c r="C64" s="529"/>
      <c r="D64" s="529"/>
      <c r="E64" s="529"/>
      <c r="F64" s="529"/>
      <c r="G64" s="529"/>
      <c r="H64" s="529"/>
      <c r="I64" s="529"/>
      <c r="J64" s="529"/>
      <c r="K64" s="529"/>
      <c r="L64" s="529"/>
      <c r="M64" s="529"/>
      <c r="N64" s="529"/>
      <c r="O64" s="529"/>
    </row>
    <row r="65" spans="3:15">
      <c r="C65" s="529"/>
      <c r="D65" s="529"/>
      <c r="E65" s="529"/>
      <c r="F65" s="529"/>
      <c r="G65" s="529"/>
      <c r="H65" s="529"/>
      <c r="I65" s="529"/>
      <c r="J65" s="529"/>
      <c r="K65" s="529"/>
      <c r="L65" s="529"/>
      <c r="M65" s="529"/>
      <c r="N65" s="529"/>
      <c r="O65" s="529"/>
    </row>
    <row r="66" spans="3:15">
      <c r="C66" s="529"/>
      <c r="D66" s="529"/>
      <c r="E66" s="529"/>
      <c r="F66" s="529"/>
      <c r="G66" s="529"/>
      <c r="H66" s="529"/>
      <c r="I66" s="529"/>
      <c r="J66" s="529"/>
      <c r="K66" s="529"/>
      <c r="L66" s="529"/>
      <c r="M66" s="529"/>
      <c r="N66" s="529"/>
      <c r="O66" s="529"/>
    </row>
    <row r="67" spans="3:15">
      <c r="C67" s="529"/>
      <c r="D67" s="529"/>
      <c r="E67" s="529"/>
      <c r="F67" s="529"/>
      <c r="G67" s="529"/>
      <c r="H67" s="529"/>
      <c r="I67" s="529"/>
      <c r="J67" s="529"/>
      <c r="K67" s="529"/>
      <c r="L67" s="529"/>
      <c r="M67" s="529"/>
      <c r="N67" s="529"/>
      <c r="O67" s="529"/>
    </row>
    <row r="68" spans="3:15">
      <c r="C68" s="529"/>
      <c r="D68" s="529"/>
      <c r="E68" s="529"/>
      <c r="F68" s="529"/>
      <c r="G68" s="529"/>
      <c r="H68" s="529"/>
      <c r="I68" s="529"/>
      <c r="J68" s="529"/>
      <c r="K68" s="529"/>
      <c r="L68" s="529"/>
      <c r="M68" s="529"/>
      <c r="N68" s="529"/>
      <c r="O68" s="529"/>
    </row>
    <row r="69" spans="3:15">
      <c r="C69" s="529"/>
      <c r="D69" s="529"/>
      <c r="E69" s="529"/>
      <c r="F69" s="529"/>
      <c r="G69" s="529"/>
      <c r="H69" s="529"/>
      <c r="I69" s="529"/>
      <c r="J69" s="529"/>
      <c r="K69" s="529"/>
      <c r="L69" s="529"/>
      <c r="M69" s="529"/>
      <c r="N69" s="529"/>
      <c r="O69" s="529"/>
    </row>
    <row r="70" spans="3:15">
      <c r="C70" s="529"/>
      <c r="D70" s="529"/>
      <c r="E70" s="529"/>
      <c r="F70" s="529"/>
      <c r="G70" s="529"/>
      <c r="H70" s="529"/>
      <c r="I70" s="529"/>
      <c r="J70" s="529"/>
      <c r="K70" s="529"/>
      <c r="L70" s="529"/>
      <c r="M70" s="529"/>
      <c r="N70" s="529"/>
      <c r="O70" s="529"/>
    </row>
    <row r="71" spans="3:15">
      <c r="C71" s="529"/>
      <c r="D71" s="529"/>
      <c r="E71" s="529"/>
      <c r="F71" s="529"/>
      <c r="G71" s="529"/>
      <c r="H71" s="529"/>
      <c r="I71" s="529"/>
      <c r="J71" s="529"/>
      <c r="K71" s="529"/>
      <c r="L71" s="529"/>
      <c r="M71" s="529"/>
      <c r="N71" s="529"/>
      <c r="O71" s="529"/>
    </row>
    <row r="72" spans="3:15">
      <c r="C72" s="529"/>
      <c r="D72" s="529"/>
      <c r="E72" s="529"/>
      <c r="F72" s="529"/>
      <c r="G72" s="529"/>
      <c r="H72" s="529"/>
      <c r="I72" s="529"/>
      <c r="J72" s="529"/>
      <c r="K72" s="529"/>
      <c r="L72" s="529"/>
      <c r="M72" s="529"/>
      <c r="N72" s="529"/>
      <c r="O72" s="529"/>
    </row>
    <row r="73" spans="3:15">
      <c r="C73" s="529"/>
      <c r="D73" s="529"/>
      <c r="E73" s="529"/>
      <c r="F73" s="529"/>
      <c r="G73" s="529"/>
      <c r="H73" s="529"/>
      <c r="I73" s="529"/>
      <c r="J73" s="529"/>
      <c r="K73" s="529"/>
      <c r="L73" s="529"/>
      <c r="M73" s="529"/>
      <c r="N73" s="529"/>
      <c r="O73" s="529"/>
    </row>
    <row r="74" spans="3:15">
      <c r="C74" s="529"/>
    </row>
    <row r="75" spans="3:15">
      <c r="C75" s="529"/>
    </row>
    <row r="76" spans="3:15">
      <c r="C76" s="529"/>
    </row>
    <row r="77" spans="3:15">
      <c r="C77" s="529"/>
    </row>
    <row r="78" spans="3:15">
      <c r="C78" s="529"/>
    </row>
    <row r="79" spans="3:15">
      <c r="C79" s="529"/>
    </row>
  </sheetData>
  <pageMargins left="0.7" right="0.7" top="0.75" bottom="0.75" header="0.3" footer="0.3"/>
  <pageSetup scale="46"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4"/>
  <sheetViews>
    <sheetView zoomScaleNormal="100" workbookViewId="0">
      <pane ySplit="5" topLeftCell="A6" activePane="bottomLeft" state="frozen"/>
      <selection pane="bottomLeft" activeCell="Q14" sqref="Q14"/>
    </sheetView>
  </sheetViews>
  <sheetFormatPr defaultColWidth="9.109375" defaultRowHeight="13.2"/>
  <cols>
    <col min="1" max="1" width="13" style="539" customWidth="1"/>
    <col min="2" max="2" width="4.109375" style="539" customWidth="1"/>
    <col min="3" max="4" width="13" style="539" customWidth="1"/>
    <col min="5" max="5" width="9.88671875" style="539" customWidth="1"/>
    <col min="6" max="7" width="13" style="539" customWidth="1"/>
    <col min="8" max="8" width="3.88671875" style="539" customWidth="1"/>
    <col min="9" max="9" width="13" style="539" customWidth="1"/>
    <col min="10" max="11" width="13.109375" style="539" customWidth="1"/>
    <col min="12" max="12" width="13.109375" style="691" customWidth="1"/>
    <col min="13" max="236" width="9.109375" style="539"/>
    <col min="237" max="237" width="13" style="539" customWidth="1"/>
    <col min="238" max="238" width="9.109375" style="539" customWidth="1"/>
    <col min="239" max="239" width="15.44140625" style="539" bestFit="1" customWidth="1"/>
    <col min="240" max="240" width="13" style="539" bestFit="1" customWidth="1"/>
    <col min="241" max="241" width="7.6640625" style="539" bestFit="1" customWidth="1"/>
    <col min="242" max="242" width="21" style="539" bestFit="1" customWidth="1"/>
    <col min="243" max="243" width="15.109375" style="539" bestFit="1" customWidth="1"/>
    <col min="244" max="244" width="17.109375" style="539" bestFit="1" customWidth="1"/>
    <col min="245" max="245" width="6" style="539" customWidth="1"/>
    <col min="246" max="246" width="14.6640625" style="539" bestFit="1" customWidth="1"/>
    <col min="247" max="247" width="16.5546875" style="539" bestFit="1" customWidth="1"/>
    <col min="248" max="248" width="15.33203125" style="539" bestFit="1" customWidth="1"/>
    <col min="249" max="249" width="18.44140625" style="539" customWidth="1"/>
    <col min="250" max="492" width="9.109375" style="539"/>
    <col min="493" max="493" width="13" style="539" customWidth="1"/>
    <col min="494" max="494" width="9.109375" style="539" customWidth="1"/>
    <col min="495" max="495" width="15.44140625" style="539" bestFit="1" customWidth="1"/>
    <col min="496" max="496" width="13" style="539" bestFit="1" customWidth="1"/>
    <col min="497" max="497" width="7.6640625" style="539" bestFit="1" customWidth="1"/>
    <col min="498" max="498" width="21" style="539" bestFit="1" customWidth="1"/>
    <col min="499" max="499" width="15.109375" style="539" bestFit="1" customWidth="1"/>
    <col min="500" max="500" width="17.109375" style="539" bestFit="1" customWidth="1"/>
    <col min="501" max="501" width="6" style="539" customWidth="1"/>
    <col min="502" max="502" width="14.6640625" style="539" bestFit="1" customWidth="1"/>
    <col min="503" max="503" width="16.5546875" style="539" bestFit="1" customWidth="1"/>
    <col min="504" max="504" width="15.33203125" style="539" bestFit="1" customWidth="1"/>
    <col min="505" max="505" width="18.44140625" style="539" customWidth="1"/>
    <col min="506" max="748" width="9.109375" style="539"/>
    <col min="749" max="749" width="13" style="539" customWidth="1"/>
    <col min="750" max="750" width="9.109375" style="539" customWidth="1"/>
    <col min="751" max="751" width="15.44140625" style="539" bestFit="1" customWidth="1"/>
    <col min="752" max="752" width="13" style="539" bestFit="1" customWidth="1"/>
    <col min="753" max="753" width="7.6640625" style="539" bestFit="1" customWidth="1"/>
    <col min="754" max="754" width="21" style="539" bestFit="1" customWidth="1"/>
    <col min="755" max="755" width="15.109375" style="539" bestFit="1" customWidth="1"/>
    <col min="756" max="756" width="17.109375" style="539" bestFit="1" customWidth="1"/>
    <col min="757" max="757" width="6" style="539" customWidth="1"/>
    <col min="758" max="758" width="14.6640625" style="539" bestFit="1" customWidth="1"/>
    <col min="759" max="759" width="16.5546875" style="539" bestFit="1" customWidth="1"/>
    <col min="760" max="760" width="15.33203125" style="539" bestFit="1" customWidth="1"/>
    <col min="761" max="761" width="18.44140625" style="539" customWidth="1"/>
    <col min="762" max="1004" width="9.109375" style="539"/>
    <col min="1005" max="1005" width="13" style="539" customWidth="1"/>
    <col min="1006" max="1006" width="9.109375" style="539" customWidth="1"/>
    <col min="1007" max="1007" width="15.44140625" style="539" bestFit="1" customWidth="1"/>
    <col min="1008" max="1008" width="13" style="539" bestFit="1" customWidth="1"/>
    <col min="1009" max="1009" width="7.6640625" style="539" bestFit="1" customWidth="1"/>
    <col min="1010" max="1010" width="21" style="539" bestFit="1" customWidth="1"/>
    <col min="1011" max="1011" width="15.109375" style="539" bestFit="1" customWidth="1"/>
    <col min="1012" max="1012" width="17.109375" style="539" bestFit="1" customWidth="1"/>
    <col min="1013" max="1013" width="6" style="539" customWidth="1"/>
    <col min="1014" max="1014" width="14.6640625" style="539" bestFit="1" customWidth="1"/>
    <col min="1015" max="1015" width="16.5546875" style="539" bestFit="1" customWidth="1"/>
    <col min="1016" max="1016" width="15.33203125" style="539" bestFit="1" customWidth="1"/>
    <col min="1017" max="1017" width="18.44140625" style="539" customWidth="1"/>
    <col min="1018" max="1260" width="9.109375" style="539"/>
    <col min="1261" max="1261" width="13" style="539" customWidth="1"/>
    <col min="1262" max="1262" width="9.109375" style="539" customWidth="1"/>
    <col min="1263" max="1263" width="15.44140625" style="539" bestFit="1" customWidth="1"/>
    <col min="1264" max="1264" width="13" style="539" bestFit="1" customWidth="1"/>
    <col min="1265" max="1265" width="7.6640625" style="539" bestFit="1" customWidth="1"/>
    <col min="1266" max="1266" width="21" style="539" bestFit="1" customWidth="1"/>
    <col min="1267" max="1267" width="15.109375" style="539" bestFit="1" customWidth="1"/>
    <col min="1268" max="1268" width="17.109375" style="539" bestFit="1" customWidth="1"/>
    <col min="1269" max="1269" width="6" style="539" customWidth="1"/>
    <col min="1270" max="1270" width="14.6640625" style="539" bestFit="1" customWidth="1"/>
    <col min="1271" max="1271" width="16.5546875" style="539" bestFit="1" customWidth="1"/>
    <col min="1272" max="1272" width="15.33203125" style="539" bestFit="1" customWidth="1"/>
    <col min="1273" max="1273" width="18.44140625" style="539" customWidth="1"/>
    <col min="1274" max="1516" width="9.109375" style="539"/>
    <col min="1517" max="1517" width="13" style="539" customWidth="1"/>
    <col min="1518" max="1518" width="9.109375" style="539" customWidth="1"/>
    <col min="1519" max="1519" width="15.44140625" style="539" bestFit="1" customWidth="1"/>
    <col min="1520" max="1520" width="13" style="539" bestFit="1" customWidth="1"/>
    <col min="1521" max="1521" width="7.6640625" style="539" bestFit="1" customWidth="1"/>
    <col min="1522" max="1522" width="21" style="539" bestFit="1" customWidth="1"/>
    <col min="1523" max="1523" width="15.109375" style="539" bestFit="1" customWidth="1"/>
    <col min="1524" max="1524" width="17.109375" style="539" bestFit="1" customWidth="1"/>
    <col min="1525" max="1525" width="6" style="539" customWidth="1"/>
    <col min="1526" max="1526" width="14.6640625" style="539" bestFit="1" customWidth="1"/>
    <col min="1527" max="1527" width="16.5546875" style="539" bestFit="1" customWidth="1"/>
    <col min="1528" max="1528" width="15.33203125" style="539" bestFit="1" customWidth="1"/>
    <col min="1529" max="1529" width="18.44140625" style="539" customWidth="1"/>
    <col min="1530" max="1772" width="9.109375" style="539"/>
    <col min="1773" max="1773" width="13" style="539" customWidth="1"/>
    <col min="1774" max="1774" width="9.109375" style="539" customWidth="1"/>
    <col min="1775" max="1775" width="15.44140625" style="539" bestFit="1" customWidth="1"/>
    <col min="1776" max="1776" width="13" style="539" bestFit="1" customWidth="1"/>
    <col min="1777" max="1777" width="7.6640625" style="539" bestFit="1" customWidth="1"/>
    <col min="1778" max="1778" width="21" style="539" bestFit="1" customWidth="1"/>
    <col min="1779" max="1779" width="15.109375" style="539" bestFit="1" customWidth="1"/>
    <col min="1780" max="1780" width="17.109375" style="539" bestFit="1" customWidth="1"/>
    <col min="1781" max="1781" width="6" style="539" customWidth="1"/>
    <col min="1782" max="1782" width="14.6640625" style="539" bestFit="1" customWidth="1"/>
    <col min="1783" max="1783" width="16.5546875" style="539" bestFit="1" customWidth="1"/>
    <col min="1784" max="1784" width="15.33203125" style="539" bestFit="1" customWidth="1"/>
    <col min="1785" max="1785" width="18.44140625" style="539" customWidth="1"/>
    <col min="1786" max="2028" width="9.109375" style="539"/>
    <col min="2029" max="2029" width="13" style="539" customWidth="1"/>
    <col min="2030" max="2030" width="9.109375" style="539" customWidth="1"/>
    <col min="2031" max="2031" width="15.44140625" style="539" bestFit="1" customWidth="1"/>
    <col min="2032" max="2032" width="13" style="539" bestFit="1" customWidth="1"/>
    <col min="2033" max="2033" width="7.6640625" style="539" bestFit="1" customWidth="1"/>
    <col min="2034" max="2034" width="21" style="539" bestFit="1" customWidth="1"/>
    <col min="2035" max="2035" width="15.109375" style="539" bestFit="1" customWidth="1"/>
    <col min="2036" max="2036" width="17.109375" style="539" bestFit="1" customWidth="1"/>
    <col min="2037" max="2037" width="6" style="539" customWidth="1"/>
    <col min="2038" max="2038" width="14.6640625" style="539" bestFit="1" customWidth="1"/>
    <col min="2039" max="2039" width="16.5546875" style="539" bestFit="1" customWidth="1"/>
    <col min="2040" max="2040" width="15.33203125" style="539" bestFit="1" customWidth="1"/>
    <col min="2041" max="2041" width="18.44140625" style="539" customWidth="1"/>
    <col min="2042" max="2284" width="9.109375" style="539"/>
    <col min="2285" max="2285" width="13" style="539" customWidth="1"/>
    <col min="2286" max="2286" width="9.109375" style="539" customWidth="1"/>
    <col min="2287" max="2287" width="15.44140625" style="539" bestFit="1" customWidth="1"/>
    <col min="2288" max="2288" width="13" style="539" bestFit="1" customWidth="1"/>
    <col min="2289" max="2289" width="7.6640625" style="539" bestFit="1" customWidth="1"/>
    <col min="2290" max="2290" width="21" style="539" bestFit="1" customWidth="1"/>
    <col min="2291" max="2291" width="15.109375" style="539" bestFit="1" customWidth="1"/>
    <col min="2292" max="2292" width="17.109375" style="539" bestFit="1" customWidth="1"/>
    <col min="2293" max="2293" width="6" style="539" customWidth="1"/>
    <col min="2294" max="2294" width="14.6640625" style="539" bestFit="1" customWidth="1"/>
    <col min="2295" max="2295" width="16.5546875" style="539" bestFit="1" customWidth="1"/>
    <col min="2296" max="2296" width="15.33203125" style="539" bestFit="1" customWidth="1"/>
    <col min="2297" max="2297" width="18.44140625" style="539" customWidth="1"/>
    <col min="2298" max="2540" width="9.109375" style="539"/>
    <col min="2541" max="2541" width="13" style="539" customWidth="1"/>
    <col min="2542" max="2542" width="9.109375" style="539" customWidth="1"/>
    <col min="2543" max="2543" width="15.44140625" style="539" bestFit="1" customWidth="1"/>
    <col min="2544" max="2544" width="13" style="539" bestFit="1" customWidth="1"/>
    <col min="2545" max="2545" width="7.6640625" style="539" bestFit="1" customWidth="1"/>
    <col min="2546" max="2546" width="21" style="539" bestFit="1" customWidth="1"/>
    <col min="2547" max="2547" width="15.109375" style="539" bestFit="1" customWidth="1"/>
    <col min="2548" max="2548" width="17.109375" style="539" bestFit="1" customWidth="1"/>
    <col min="2549" max="2549" width="6" style="539" customWidth="1"/>
    <col min="2550" max="2550" width="14.6640625" style="539" bestFit="1" customWidth="1"/>
    <col min="2551" max="2551" width="16.5546875" style="539" bestFit="1" customWidth="1"/>
    <col min="2552" max="2552" width="15.33203125" style="539" bestFit="1" customWidth="1"/>
    <col min="2553" max="2553" width="18.44140625" style="539" customWidth="1"/>
    <col min="2554" max="2796" width="9.109375" style="539"/>
    <col min="2797" max="2797" width="13" style="539" customWidth="1"/>
    <col min="2798" max="2798" width="9.109375" style="539" customWidth="1"/>
    <col min="2799" max="2799" width="15.44140625" style="539" bestFit="1" customWidth="1"/>
    <col min="2800" max="2800" width="13" style="539" bestFit="1" customWidth="1"/>
    <col min="2801" max="2801" width="7.6640625" style="539" bestFit="1" customWidth="1"/>
    <col min="2802" max="2802" width="21" style="539" bestFit="1" customWidth="1"/>
    <col min="2803" max="2803" width="15.109375" style="539" bestFit="1" customWidth="1"/>
    <col min="2804" max="2804" width="17.109375" style="539" bestFit="1" customWidth="1"/>
    <col min="2805" max="2805" width="6" style="539" customWidth="1"/>
    <col min="2806" max="2806" width="14.6640625" style="539" bestFit="1" customWidth="1"/>
    <col min="2807" max="2807" width="16.5546875" style="539" bestFit="1" customWidth="1"/>
    <col min="2808" max="2808" width="15.33203125" style="539" bestFit="1" customWidth="1"/>
    <col min="2809" max="2809" width="18.44140625" style="539" customWidth="1"/>
    <col min="2810" max="3052" width="9.109375" style="539"/>
    <col min="3053" max="3053" width="13" style="539" customWidth="1"/>
    <col min="3054" max="3054" width="9.109375" style="539" customWidth="1"/>
    <col min="3055" max="3055" width="15.44140625" style="539" bestFit="1" customWidth="1"/>
    <col min="3056" max="3056" width="13" style="539" bestFit="1" customWidth="1"/>
    <col min="3057" max="3057" width="7.6640625" style="539" bestFit="1" customWidth="1"/>
    <col min="3058" max="3058" width="21" style="539" bestFit="1" customWidth="1"/>
    <col min="3059" max="3059" width="15.109375" style="539" bestFit="1" customWidth="1"/>
    <col min="3060" max="3060" width="17.109375" style="539" bestFit="1" customWidth="1"/>
    <col min="3061" max="3061" width="6" style="539" customWidth="1"/>
    <col min="3062" max="3062" width="14.6640625" style="539" bestFit="1" customWidth="1"/>
    <col min="3063" max="3063" width="16.5546875" style="539" bestFit="1" customWidth="1"/>
    <col min="3064" max="3064" width="15.33203125" style="539" bestFit="1" customWidth="1"/>
    <col min="3065" max="3065" width="18.44140625" style="539" customWidth="1"/>
    <col min="3066" max="3308" width="9.109375" style="539"/>
    <col min="3309" max="3309" width="13" style="539" customWidth="1"/>
    <col min="3310" max="3310" width="9.109375" style="539" customWidth="1"/>
    <col min="3311" max="3311" width="15.44140625" style="539" bestFit="1" customWidth="1"/>
    <col min="3312" max="3312" width="13" style="539" bestFit="1" customWidth="1"/>
    <col min="3313" max="3313" width="7.6640625" style="539" bestFit="1" customWidth="1"/>
    <col min="3314" max="3314" width="21" style="539" bestFit="1" customWidth="1"/>
    <col min="3315" max="3315" width="15.109375" style="539" bestFit="1" customWidth="1"/>
    <col min="3316" max="3316" width="17.109375" style="539" bestFit="1" customWidth="1"/>
    <col min="3317" max="3317" width="6" style="539" customWidth="1"/>
    <col min="3318" max="3318" width="14.6640625" style="539" bestFit="1" customWidth="1"/>
    <col min="3319" max="3319" width="16.5546875" style="539" bestFit="1" customWidth="1"/>
    <col min="3320" max="3320" width="15.33203125" style="539" bestFit="1" customWidth="1"/>
    <col min="3321" max="3321" width="18.44140625" style="539" customWidth="1"/>
    <col min="3322" max="3564" width="9.109375" style="539"/>
    <col min="3565" max="3565" width="13" style="539" customWidth="1"/>
    <col min="3566" max="3566" width="9.109375" style="539" customWidth="1"/>
    <col min="3567" max="3567" width="15.44140625" style="539" bestFit="1" customWidth="1"/>
    <col min="3568" max="3568" width="13" style="539" bestFit="1" customWidth="1"/>
    <col min="3569" max="3569" width="7.6640625" style="539" bestFit="1" customWidth="1"/>
    <col min="3570" max="3570" width="21" style="539" bestFit="1" customWidth="1"/>
    <col min="3571" max="3571" width="15.109375" style="539" bestFit="1" customWidth="1"/>
    <col min="3572" max="3572" width="17.109375" style="539" bestFit="1" customWidth="1"/>
    <col min="3573" max="3573" width="6" style="539" customWidth="1"/>
    <col min="3574" max="3574" width="14.6640625" style="539" bestFit="1" customWidth="1"/>
    <col min="3575" max="3575" width="16.5546875" style="539" bestFit="1" customWidth="1"/>
    <col min="3576" max="3576" width="15.33203125" style="539" bestFit="1" customWidth="1"/>
    <col min="3577" max="3577" width="18.44140625" style="539" customWidth="1"/>
    <col min="3578" max="3820" width="9.109375" style="539"/>
    <col min="3821" max="3821" width="13" style="539" customWidth="1"/>
    <col min="3822" max="3822" width="9.109375" style="539" customWidth="1"/>
    <col min="3823" max="3823" width="15.44140625" style="539" bestFit="1" customWidth="1"/>
    <col min="3824" max="3824" width="13" style="539" bestFit="1" customWidth="1"/>
    <col min="3825" max="3825" width="7.6640625" style="539" bestFit="1" customWidth="1"/>
    <col min="3826" max="3826" width="21" style="539" bestFit="1" customWidth="1"/>
    <col min="3827" max="3827" width="15.109375" style="539" bestFit="1" customWidth="1"/>
    <col min="3828" max="3828" width="17.109375" style="539" bestFit="1" customWidth="1"/>
    <col min="3829" max="3829" width="6" style="539" customWidth="1"/>
    <col min="3830" max="3830" width="14.6640625" style="539" bestFit="1" customWidth="1"/>
    <col min="3831" max="3831" width="16.5546875" style="539" bestFit="1" customWidth="1"/>
    <col min="3832" max="3832" width="15.33203125" style="539" bestFit="1" customWidth="1"/>
    <col min="3833" max="3833" width="18.44140625" style="539" customWidth="1"/>
    <col min="3834" max="4076" width="9.109375" style="539"/>
    <col min="4077" max="4077" width="13" style="539" customWidth="1"/>
    <col min="4078" max="4078" width="9.109375" style="539" customWidth="1"/>
    <col min="4079" max="4079" width="15.44140625" style="539" bestFit="1" customWidth="1"/>
    <col min="4080" max="4080" width="13" style="539" bestFit="1" customWidth="1"/>
    <col min="4081" max="4081" width="7.6640625" style="539" bestFit="1" customWidth="1"/>
    <col min="4082" max="4082" width="21" style="539" bestFit="1" customWidth="1"/>
    <col min="4083" max="4083" width="15.109375" style="539" bestFit="1" customWidth="1"/>
    <col min="4084" max="4084" width="17.109375" style="539" bestFit="1" customWidth="1"/>
    <col min="4085" max="4085" width="6" style="539" customWidth="1"/>
    <col min="4086" max="4086" width="14.6640625" style="539" bestFit="1" customWidth="1"/>
    <col min="4087" max="4087" width="16.5546875" style="539" bestFit="1" customWidth="1"/>
    <col min="4088" max="4088" width="15.33203125" style="539" bestFit="1" customWidth="1"/>
    <col min="4089" max="4089" width="18.44140625" style="539" customWidth="1"/>
    <col min="4090" max="4332" width="9.109375" style="539"/>
    <col min="4333" max="4333" width="13" style="539" customWidth="1"/>
    <col min="4334" max="4334" width="9.109375" style="539" customWidth="1"/>
    <col min="4335" max="4335" width="15.44140625" style="539" bestFit="1" customWidth="1"/>
    <col min="4336" max="4336" width="13" style="539" bestFit="1" customWidth="1"/>
    <col min="4337" max="4337" width="7.6640625" style="539" bestFit="1" customWidth="1"/>
    <col min="4338" max="4338" width="21" style="539" bestFit="1" customWidth="1"/>
    <col min="4339" max="4339" width="15.109375" style="539" bestFit="1" customWidth="1"/>
    <col min="4340" max="4340" width="17.109375" style="539" bestFit="1" customWidth="1"/>
    <col min="4341" max="4341" width="6" style="539" customWidth="1"/>
    <col min="4342" max="4342" width="14.6640625" style="539" bestFit="1" customWidth="1"/>
    <col min="4343" max="4343" width="16.5546875" style="539" bestFit="1" customWidth="1"/>
    <col min="4344" max="4344" width="15.33203125" style="539" bestFit="1" customWidth="1"/>
    <col min="4345" max="4345" width="18.44140625" style="539" customWidth="1"/>
    <col min="4346" max="4588" width="9.109375" style="539"/>
    <col min="4589" max="4589" width="13" style="539" customWidth="1"/>
    <col min="4590" max="4590" width="9.109375" style="539" customWidth="1"/>
    <col min="4591" max="4591" width="15.44140625" style="539" bestFit="1" customWidth="1"/>
    <col min="4592" max="4592" width="13" style="539" bestFit="1" customWidth="1"/>
    <col min="4593" max="4593" width="7.6640625" style="539" bestFit="1" customWidth="1"/>
    <col min="4594" max="4594" width="21" style="539" bestFit="1" customWidth="1"/>
    <col min="4595" max="4595" width="15.109375" style="539" bestFit="1" customWidth="1"/>
    <col min="4596" max="4596" width="17.109375" style="539" bestFit="1" customWidth="1"/>
    <col min="4597" max="4597" width="6" style="539" customWidth="1"/>
    <col min="4598" max="4598" width="14.6640625" style="539" bestFit="1" customWidth="1"/>
    <col min="4599" max="4599" width="16.5546875" style="539" bestFit="1" customWidth="1"/>
    <col min="4600" max="4600" width="15.33203125" style="539" bestFit="1" customWidth="1"/>
    <col min="4601" max="4601" width="18.44140625" style="539" customWidth="1"/>
    <col min="4602" max="4844" width="9.109375" style="539"/>
    <col min="4845" max="4845" width="13" style="539" customWidth="1"/>
    <col min="4846" max="4846" width="9.109375" style="539" customWidth="1"/>
    <col min="4847" max="4847" width="15.44140625" style="539" bestFit="1" customWidth="1"/>
    <col min="4848" max="4848" width="13" style="539" bestFit="1" customWidth="1"/>
    <col min="4849" max="4849" width="7.6640625" style="539" bestFit="1" customWidth="1"/>
    <col min="4850" max="4850" width="21" style="539" bestFit="1" customWidth="1"/>
    <col min="4851" max="4851" width="15.109375" style="539" bestFit="1" customWidth="1"/>
    <col min="4852" max="4852" width="17.109375" style="539" bestFit="1" customWidth="1"/>
    <col min="4853" max="4853" width="6" style="539" customWidth="1"/>
    <col min="4854" max="4854" width="14.6640625" style="539" bestFit="1" customWidth="1"/>
    <col min="4855" max="4855" width="16.5546875" style="539" bestFit="1" customWidth="1"/>
    <col min="4856" max="4856" width="15.33203125" style="539" bestFit="1" customWidth="1"/>
    <col min="4857" max="4857" width="18.44140625" style="539" customWidth="1"/>
    <col min="4858" max="5100" width="9.109375" style="539"/>
    <col min="5101" max="5101" width="13" style="539" customWidth="1"/>
    <col min="5102" max="5102" width="9.109375" style="539" customWidth="1"/>
    <col min="5103" max="5103" width="15.44140625" style="539" bestFit="1" customWidth="1"/>
    <col min="5104" max="5104" width="13" style="539" bestFit="1" customWidth="1"/>
    <col min="5105" max="5105" width="7.6640625" style="539" bestFit="1" customWidth="1"/>
    <col min="5106" max="5106" width="21" style="539" bestFit="1" customWidth="1"/>
    <col min="5107" max="5107" width="15.109375" style="539" bestFit="1" customWidth="1"/>
    <col min="5108" max="5108" width="17.109375" style="539" bestFit="1" customWidth="1"/>
    <col min="5109" max="5109" width="6" style="539" customWidth="1"/>
    <col min="5110" max="5110" width="14.6640625" style="539" bestFit="1" customWidth="1"/>
    <col min="5111" max="5111" width="16.5546875" style="539" bestFit="1" customWidth="1"/>
    <col min="5112" max="5112" width="15.33203125" style="539" bestFit="1" customWidth="1"/>
    <col min="5113" max="5113" width="18.44140625" style="539" customWidth="1"/>
    <col min="5114" max="5356" width="9.109375" style="539"/>
    <col min="5357" max="5357" width="13" style="539" customWidth="1"/>
    <col min="5358" max="5358" width="9.109375" style="539" customWidth="1"/>
    <col min="5359" max="5359" width="15.44140625" style="539" bestFit="1" customWidth="1"/>
    <col min="5360" max="5360" width="13" style="539" bestFit="1" customWidth="1"/>
    <col min="5361" max="5361" width="7.6640625" style="539" bestFit="1" customWidth="1"/>
    <col min="5362" max="5362" width="21" style="539" bestFit="1" customWidth="1"/>
    <col min="5363" max="5363" width="15.109375" style="539" bestFit="1" customWidth="1"/>
    <col min="5364" max="5364" width="17.109375" style="539" bestFit="1" customWidth="1"/>
    <col min="5365" max="5365" width="6" style="539" customWidth="1"/>
    <col min="5366" max="5366" width="14.6640625" style="539" bestFit="1" customWidth="1"/>
    <col min="5367" max="5367" width="16.5546875" style="539" bestFit="1" customWidth="1"/>
    <col min="5368" max="5368" width="15.33203125" style="539" bestFit="1" customWidth="1"/>
    <col min="5369" max="5369" width="18.44140625" style="539" customWidth="1"/>
    <col min="5370" max="5612" width="9.109375" style="539"/>
    <col min="5613" max="5613" width="13" style="539" customWidth="1"/>
    <col min="5614" max="5614" width="9.109375" style="539" customWidth="1"/>
    <col min="5615" max="5615" width="15.44140625" style="539" bestFit="1" customWidth="1"/>
    <col min="5616" max="5616" width="13" style="539" bestFit="1" customWidth="1"/>
    <col min="5617" max="5617" width="7.6640625" style="539" bestFit="1" customWidth="1"/>
    <col min="5618" max="5618" width="21" style="539" bestFit="1" customWidth="1"/>
    <col min="5619" max="5619" width="15.109375" style="539" bestFit="1" customWidth="1"/>
    <col min="5620" max="5620" width="17.109375" style="539" bestFit="1" customWidth="1"/>
    <col min="5621" max="5621" width="6" style="539" customWidth="1"/>
    <col min="5622" max="5622" width="14.6640625" style="539" bestFit="1" customWidth="1"/>
    <col min="5623" max="5623" width="16.5546875" style="539" bestFit="1" customWidth="1"/>
    <col min="5624" max="5624" width="15.33203125" style="539" bestFit="1" customWidth="1"/>
    <col min="5625" max="5625" width="18.44140625" style="539" customWidth="1"/>
    <col min="5626" max="5868" width="9.109375" style="539"/>
    <col min="5869" max="5869" width="13" style="539" customWidth="1"/>
    <col min="5870" max="5870" width="9.109375" style="539" customWidth="1"/>
    <col min="5871" max="5871" width="15.44140625" style="539" bestFit="1" customWidth="1"/>
    <col min="5872" max="5872" width="13" style="539" bestFit="1" customWidth="1"/>
    <col min="5873" max="5873" width="7.6640625" style="539" bestFit="1" customWidth="1"/>
    <col min="5874" max="5874" width="21" style="539" bestFit="1" customWidth="1"/>
    <col min="5875" max="5875" width="15.109375" style="539" bestFit="1" customWidth="1"/>
    <col min="5876" max="5876" width="17.109375" style="539" bestFit="1" customWidth="1"/>
    <col min="5877" max="5877" width="6" style="539" customWidth="1"/>
    <col min="5878" max="5878" width="14.6640625" style="539" bestFit="1" customWidth="1"/>
    <col min="5879" max="5879" width="16.5546875" style="539" bestFit="1" customWidth="1"/>
    <col min="5880" max="5880" width="15.33203125" style="539" bestFit="1" customWidth="1"/>
    <col min="5881" max="5881" width="18.44140625" style="539" customWidth="1"/>
    <col min="5882" max="6124" width="9.109375" style="539"/>
    <col min="6125" max="6125" width="13" style="539" customWidth="1"/>
    <col min="6126" max="6126" width="9.109375" style="539" customWidth="1"/>
    <col min="6127" max="6127" width="15.44140625" style="539" bestFit="1" customWidth="1"/>
    <col min="6128" max="6128" width="13" style="539" bestFit="1" customWidth="1"/>
    <col min="6129" max="6129" width="7.6640625" style="539" bestFit="1" customWidth="1"/>
    <col min="6130" max="6130" width="21" style="539" bestFit="1" customWidth="1"/>
    <col min="6131" max="6131" width="15.109375" style="539" bestFit="1" customWidth="1"/>
    <col min="6132" max="6132" width="17.109375" style="539" bestFit="1" customWidth="1"/>
    <col min="6133" max="6133" width="6" style="539" customWidth="1"/>
    <col min="6134" max="6134" width="14.6640625" style="539" bestFit="1" customWidth="1"/>
    <col min="6135" max="6135" width="16.5546875" style="539" bestFit="1" customWidth="1"/>
    <col min="6136" max="6136" width="15.33203125" style="539" bestFit="1" customWidth="1"/>
    <col min="6137" max="6137" width="18.44140625" style="539" customWidth="1"/>
    <col min="6138" max="6380" width="9.109375" style="539"/>
    <col min="6381" max="6381" width="13" style="539" customWidth="1"/>
    <col min="6382" max="6382" width="9.109375" style="539" customWidth="1"/>
    <col min="6383" max="6383" width="15.44140625" style="539" bestFit="1" customWidth="1"/>
    <col min="6384" max="6384" width="13" style="539" bestFit="1" customWidth="1"/>
    <col min="6385" max="6385" width="7.6640625" style="539" bestFit="1" customWidth="1"/>
    <col min="6386" max="6386" width="21" style="539" bestFit="1" customWidth="1"/>
    <col min="6387" max="6387" width="15.109375" style="539" bestFit="1" customWidth="1"/>
    <col min="6388" max="6388" width="17.109375" style="539" bestFit="1" customWidth="1"/>
    <col min="6389" max="6389" width="6" style="539" customWidth="1"/>
    <col min="6390" max="6390" width="14.6640625" style="539" bestFit="1" customWidth="1"/>
    <col min="6391" max="6391" width="16.5546875" style="539" bestFit="1" customWidth="1"/>
    <col min="6392" max="6392" width="15.33203125" style="539" bestFit="1" customWidth="1"/>
    <col min="6393" max="6393" width="18.44140625" style="539" customWidth="1"/>
    <col min="6394" max="6636" width="9.109375" style="539"/>
    <col min="6637" max="6637" width="13" style="539" customWidth="1"/>
    <col min="6638" max="6638" width="9.109375" style="539" customWidth="1"/>
    <col min="6639" max="6639" width="15.44140625" style="539" bestFit="1" customWidth="1"/>
    <col min="6640" max="6640" width="13" style="539" bestFit="1" customWidth="1"/>
    <col min="6641" max="6641" width="7.6640625" style="539" bestFit="1" customWidth="1"/>
    <col min="6642" max="6642" width="21" style="539" bestFit="1" customWidth="1"/>
    <col min="6643" max="6643" width="15.109375" style="539" bestFit="1" customWidth="1"/>
    <col min="6644" max="6644" width="17.109375" style="539" bestFit="1" customWidth="1"/>
    <col min="6645" max="6645" width="6" style="539" customWidth="1"/>
    <col min="6646" max="6646" width="14.6640625" style="539" bestFit="1" customWidth="1"/>
    <col min="6647" max="6647" width="16.5546875" style="539" bestFit="1" customWidth="1"/>
    <col min="6648" max="6648" width="15.33203125" style="539" bestFit="1" customWidth="1"/>
    <col min="6649" max="6649" width="18.44140625" style="539" customWidth="1"/>
    <col min="6650" max="6892" width="9.109375" style="539"/>
    <col min="6893" max="6893" width="13" style="539" customWidth="1"/>
    <col min="6894" max="6894" width="9.109375" style="539" customWidth="1"/>
    <col min="6895" max="6895" width="15.44140625" style="539" bestFit="1" customWidth="1"/>
    <col min="6896" max="6896" width="13" style="539" bestFit="1" customWidth="1"/>
    <col min="6897" max="6897" width="7.6640625" style="539" bestFit="1" customWidth="1"/>
    <col min="6898" max="6898" width="21" style="539" bestFit="1" customWidth="1"/>
    <col min="6899" max="6899" width="15.109375" style="539" bestFit="1" customWidth="1"/>
    <col min="6900" max="6900" width="17.109375" style="539" bestFit="1" customWidth="1"/>
    <col min="6901" max="6901" width="6" style="539" customWidth="1"/>
    <col min="6902" max="6902" width="14.6640625" style="539" bestFit="1" customWidth="1"/>
    <col min="6903" max="6903" width="16.5546875" style="539" bestFit="1" customWidth="1"/>
    <col min="6904" max="6904" width="15.33203125" style="539" bestFit="1" customWidth="1"/>
    <col min="6905" max="6905" width="18.44140625" style="539" customWidth="1"/>
    <col min="6906" max="7148" width="9.109375" style="539"/>
    <col min="7149" max="7149" width="13" style="539" customWidth="1"/>
    <col min="7150" max="7150" width="9.109375" style="539" customWidth="1"/>
    <col min="7151" max="7151" width="15.44140625" style="539" bestFit="1" customWidth="1"/>
    <col min="7152" max="7152" width="13" style="539" bestFit="1" customWidth="1"/>
    <col min="7153" max="7153" width="7.6640625" style="539" bestFit="1" customWidth="1"/>
    <col min="7154" max="7154" width="21" style="539" bestFit="1" customWidth="1"/>
    <col min="7155" max="7155" width="15.109375" style="539" bestFit="1" customWidth="1"/>
    <col min="7156" max="7156" width="17.109375" style="539" bestFit="1" customWidth="1"/>
    <col min="7157" max="7157" width="6" style="539" customWidth="1"/>
    <col min="7158" max="7158" width="14.6640625" style="539" bestFit="1" customWidth="1"/>
    <col min="7159" max="7159" width="16.5546875" style="539" bestFit="1" customWidth="1"/>
    <col min="7160" max="7160" width="15.33203125" style="539" bestFit="1" customWidth="1"/>
    <col min="7161" max="7161" width="18.44140625" style="539" customWidth="1"/>
    <col min="7162" max="7404" width="9.109375" style="539"/>
    <col min="7405" max="7405" width="13" style="539" customWidth="1"/>
    <col min="7406" max="7406" width="9.109375" style="539" customWidth="1"/>
    <col min="7407" max="7407" width="15.44140625" style="539" bestFit="1" customWidth="1"/>
    <col min="7408" max="7408" width="13" style="539" bestFit="1" customWidth="1"/>
    <col min="7409" max="7409" width="7.6640625" style="539" bestFit="1" customWidth="1"/>
    <col min="7410" max="7410" width="21" style="539" bestFit="1" customWidth="1"/>
    <col min="7411" max="7411" width="15.109375" style="539" bestFit="1" customWidth="1"/>
    <col min="7412" max="7412" width="17.109375" style="539" bestFit="1" customWidth="1"/>
    <col min="7413" max="7413" width="6" style="539" customWidth="1"/>
    <col min="7414" max="7414" width="14.6640625" style="539" bestFit="1" customWidth="1"/>
    <col min="7415" max="7415" width="16.5546875" style="539" bestFit="1" customWidth="1"/>
    <col min="7416" max="7416" width="15.33203125" style="539" bestFit="1" customWidth="1"/>
    <col min="7417" max="7417" width="18.44140625" style="539" customWidth="1"/>
    <col min="7418" max="7660" width="9.109375" style="539"/>
    <col min="7661" max="7661" width="13" style="539" customWidth="1"/>
    <col min="7662" max="7662" width="9.109375" style="539" customWidth="1"/>
    <col min="7663" max="7663" width="15.44140625" style="539" bestFit="1" customWidth="1"/>
    <col min="7664" max="7664" width="13" style="539" bestFit="1" customWidth="1"/>
    <col min="7665" max="7665" width="7.6640625" style="539" bestFit="1" customWidth="1"/>
    <col min="7666" max="7666" width="21" style="539" bestFit="1" customWidth="1"/>
    <col min="7667" max="7667" width="15.109375" style="539" bestFit="1" customWidth="1"/>
    <col min="7668" max="7668" width="17.109375" style="539" bestFit="1" customWidth="1"/>
    <col min="7669" max="7669" width="6" style="539" customWidth="1"/>
    <col min="7670" max="7670" width="14.6640625" style="539" bestFit="1" customWidth="1"/>
    <col min="7671" max="7671" width="16.5546875" style="539" bestFit="1" customWidth="1"/>
    <col min="7672" max="7672" width="15.33203125" style="539" bestFit="1" customWidth="1"/>
    <col min="7673" max="7673" width="18.44140625" style="539" customWidth="1"/>
    <col min="7674" max="7916" width="9.109375" style="539"/>
    <col min="7917" max="7917" width="13" style="539" customWidth="1"/>
    <col min="7918" max="7918" width="9.109375" style="539" customWidth="1"/>
    <col min="7919" max="7919" width="15.44140625" style="539" bestFit="1" customWidth="1"/>
    <col min="7920" max="7920" width="13" style="539" bestFit="1" customWidth="1"/>
    <col min="7921" max="7921" width="7.6640625" style="539" bestFit="1" customWidth="1"/>
    <col min="7922" max="7922" width="21" style="539" bestFit="1" customWidth="1"/>
    <col min="7923" max="7923" width="15.109375" style="539" bestFit="1" customWidth="1"/>
    <col min="7924" max="7924" width="17.109375" style="539" bestFit="1" customWidth="1"/>
    <col min="7925" max="7925" width="6" style="539" customWidth="1"/>
    <col min="7926" max="7926" width="14.6640625" style="539" bestFit="1" customWidth="1"/>
    <col min="7927" max="7927" width="16.5546875" style="539" bestFit="1" customWidth="1"/>
    <col min="7928" max="7928" width="15.33203125" style="539" bestFit="1" customWidth="1"/>
    <col min="7929" max="7929" width="18.44140625" style="539" customWidth="1"/>
    <col min="7930" max="8172" width="9.109375" style="539"/>
    <col min="8173" max="8173" width="13" style="539" customWidth="1"/>
    <col min="8174" max="8174" width="9.109375" style="539" customWidth="1"/>
    <col min="8175" max="8175" width="15.44140625" style="539" bestFit="1" customWidth="1"/>
    <col min="8176" max="8176" width="13" style="539" bestFit="1" customWidth="1"/>
    <col min="8177" max="8177" width="7.6640625" style="539" bestFit="1" customWidth="1"/>
    <col min="8178" max="8178" width="21" style="539" bestFit="1" customWidth="1"/>
    <col min="8179" max="8179" width="15.109375" style="539" bestFit="1" customWidth="1"/>
    <col min="8180" max="8180" width="17.109375" style="539" bestFit="1" customWidth="1"/>
    <col min="8181" max="8181" width="6" style="539" customWidth="1"/>
    <col min="8182" max="8182" width="14.6640625" style="539" bestFit="1" customWidth="1"/>
    <col min="8183" max="8183" width="16.5546875" style="539" bestFit="1" customWidth="1"/>
    <col min="8184" max="8184" width="15.33203125" style="539" bestFit="1" customWidth="1"/>
    <col min="8185" max="8185" width="18.44140625" style="539" customWidth="1"/>
    <col min="8186" max="8428" width="9.109375" style="539"/>
    <col min="8429" max="8429" width="13" style="539" customWidth="1"/>
    <col min="8430" max="8430" width="9.109375" style="539" customWidth="1"/>
    <col min="8431" max="8431" width="15.44140625" style="539" bestFit="1" customWidth="1"/>
    <col min="8432" max="8432" width="13" style="539" bestFit="1" customWidth="1"/>
    <col min="8433" max="8433" width="7.6640625" style="539" bestFit="1" customWidth="1"/>
    <col min="8434" max="8434" width="21" style="539" bestFit="1" customWidth="1"/>
    <col min="8435" max="8435" width="15.109375" style="539" bestFit="1" customWidth="1"/>
    <col min="8436" max="8436" width="17.109375" style="539" bestFit="1" customWidth="1"/>
    <col min="8437" max="8437" width="6" style="539" customWidth="1"/>
    <col min="8438" max="8438" width="14.6640625" style="539" bestFit="1" customWidth="1"/>
    <col min="8439" max="8439" width="16.5546875" style="539" bestFit="1" customWidth="1"/>
    <col min="8440" max="8440" width="15.33203125" style="539" bestFit="1" customWidth="1"/>
    <col min="8441" max="8441" width="18.44140625" style="539" customWidth="1"/>
    <col min="8442" max="8684" width="9.109375" style="539"/>
    <col min="8685" max="8685" width="13" style="539" customWidth="1"/>
    <col min="8686" max="8686" width="9.109375" style="539" customWidth="1"/>
    <col min="8687" max="8687" width="15.44140625" style="539" bestFit="1" customWidth="1"/>
    <col min="8688" max="8688" width="13" style="539" bestFit="1" customWidth="1"/>
    <col min="8689" max="8689" width="7.6640625" style="539" bestFit="1" customWidth="1"/>
    <col min="8690" max="8690" width="21" style="539" bestFit="1" customWidth="1"/>
    <col min="8691" max="8691" width="15.109375" style="539" bestFit="1" customWidth="1"/>
    <col min="8692" max="8692" width="17.109375" style="539" bestFit="1" customWidth="1"/>
    <col min="8693" max="8693" width="6" style="539" customWidth="1"/>
    <col min="8694" max="8694" width="14.6640625" style="539" bestFit="1" customWidth="1"/>
    <col min="8695" max="8695" width="16.5546875" style="539" bestFit="1" customWidth="1"/>
    <col min="8696" max="8696" width="15.33203125" style="539" bestFit="1" customWidth="1"/>
    <col min="8697" max="8697" width="18.44140625" style="539" customWidth="1"/>
    <col min="8698" max="8940" width="9.109375" style="539"/>
    <col min="8941" max="8941" width="13" style="539" customWidth="1"/>
    <col min="8942" max="8942" width="9.109375" style="539" customWidth="1"/>
    <col min="8943" max="8943" width="15.44140625" style="539" bestFit="1" customWidth="1"/>
    <col min="8944" max="8944" width="13" style="539" bestFit="1" customWidth="1"/>
    <col min="8945" max="8945" width="7.6640625" style="539" bestFit="1" customWidth="1"/>
    <col min="8946" max="8946" width="21" style="539" bestFit="1" customWidth="1"/>
    <col min="8947" max="8947" width="15.109375" style="539" bestFit="1" customWidth="1"/>
    <col min="8948" max="8948" width="17.109375" style="539" bestFit="1" customWidth="1"/>
    <col min="8949" max="8949" width="6" style="539" customWidth="1"/>
    <col min="8950" max="8950" width="14.6640625" style="539" bestFit="1" customWidth="1"/>
    <col min="8951" max="8951" width="16.5546875" style="539" bestFit="1" customWidth="1"/>
    <col min="8952" max="8952" width="15.33203125" style="539" bestFit="1" customWidth="1"/>
    <col min="8953" max="8953" width="18.44140625" style="539" customWidth="1"/>
    <col min="8954" max="9196" width="9.109375" style="539"/>
    <col min="9197" max="9197" width="13" style="539" customWidth="1"/>
    <col min="9198" max="9198" width="9.109375" style="539" customWidth="1"/>
    <col min="9199" max="9199" width="15.44140625" style="539" bestFit="1" customWidth="1"/>
    <col min="9200" max="9200" width="13" style="539" bestFit="1" customWidth="1"/>
    <col min="9201" max="9201" width="7.6640625" style="539" bestFit="1" customWidth="1"/>
    <col min="9202" max="9202" width="21" style="539" bestFit="1" customWidth="1"/>
    <col min="9203" max="9203" width="15.109375" style="539" bestFit="1" customWidth="1"/>
    <col min="9204" max="9204" width="17.109375" style="539" bestFit="1" customWidth="1"/>
    <col min="9205" max="9205" width="6" style="539" customWidth="1"/>
    <col min="9206" max="9206" width="14.6640625" style="539" bestFit="1" customWidth="1"/>
    <col min="9207" max="9207" width="16.5546875" style="539" bestFit="1" customWidth="1"/>
    <col min="9208" max="9208" width="15.33203125" style="539" bestFit="1" customWidth="1"/>
    <col min="9209" max="9209" width="18.44140625" style="539" customWidth="1"/>
    <col min="9210" max="9452" width="9.109375" style="539"/>
    <col min="9453" max="9453" width="13" style="539" customWidth="1"/>
    <col min="9454" max="9454" width="9.109375" style="539" customWidth="1"/>
    <col min="9455" max="9455" width="15.44140625" style="539" bestFit="1" customWidth="1"/>
    <col min="9456" max="9456" width="13" style="539" bestFit="1" customWidth="1"/>
    <col min="9457" max="9457" width="7.6640625" style="539" bestFit="1" customWidth="1"/>
    <col min="9458" max="9458" width="21" style="539" bestFit="1" customWidth="1"/>
    <col min="9459" max="9459" width="15.109375" style="539" bestFit="1" customWidth="1"/>
    <col min="9460" max="9460" width="17.109375" style="539" bestFit="1" customWidth="1"/>
    <col min="9461" max="9461" width="6" style="539" customWidth="1"/>
    <col min="9462" max="9462" width="14.6640625" style="539" bestFit="1" customWidth="1"/>
    <col min="9463" max="9463" width="16.5546875" style="539" bestFit="1" customWidth="1"/>
    <col min="9464" max="9464" width="15.33203125" style="539" bestFit="1" customWidth="1"/>
    <col min="9465" max="9465" width="18.44140625" style="539" customWidth="1"/>
    <col min="9466" max="9708" width="9.109375" style="539"/>
    <col min="9709" max="9709" width="13" style="539" customWidth="1"/>
    <col min="9710" max="9710" width="9.109375" style="539" customWidth="1"/>
    <col min="9711" max="9711" width="15.44140625" style="539" bestFit="1" customWidth="1"/>
    <col min="9712" max="9712" width="13" style="539" bestFit="1" customWidth="1"/>
    <col min="9713" max="9713" width="7.6640625" style="539" bestFit="1" customWidth="1"/>
    <col min="9714" max="9714" width="21" style="539" bestFit="1" customWidth="1"/>
    <col min="9715" max="9715" width="15.109375" style="539" bestFit="1" customWidth="1"/>
    <col min="9716" max="9716" width="17.109375" style="539" bestFit="1" customWidth="1"/>
    <col min="9717" max="9717" width="6" style="539" customWidth="1"/>
    <col min="9718" max="9718" width="14.6640625" style="539" bestFit="1" customWidth="1"/>
    <col min="9719" max="9719" width="16.5546875" style="539" bestFit="1" customWidth="1"/>
    <col min="9720" max="9720" width="15.33203125" style="539" bestFit="1" customWidth="1"/>
    <col min="9721" max="9721" width="18.44140625" style="539" customWidth="1"/>
    <col min="9722" max="9964" width="9.109375" style="539"/>
    <col min="9965" max="9965" width="13" style="539" customWidth="1"/>
    <col min="9966" max="9966" width="9.109375" style="539" customWidth="1"/>
    <col min="9967" max="9967" width="15.44140625" style="539" bestFit="1" customWidth="1"/>
    <col min="9968" max="9968" width="13" style="539" bestFit="1" customWidth="1"/>
    <col min="9969" max="9969" width="7.6640625" style="539" bestFit="1" customWidth="1"/>
    <col min="9970" max="9970" width="21" style="539" bestFit="1" customWidth="1"/>
    <col min="9971" max="9971" width="15.109375" style="539" bestFit="1" customWidth="1"/>
    <col min="9972" max="9972" width="17.109375" style="539" bestFit="1" customWidth="1"/>
    <col min="9973" max="9973" width="6" style="539" customWidth="1"/>
    <col min="9974" max="9974" width="14.6640625" style="539" bestFit="1" customWidth="1"/>
    <col min="9975" max="9975" width="16.5546875" style="539" bestFit="1" customWidth="1"/>
    <col min="9976" max="9976" width="15.33203125" style="539" bestFit="1" customWidth="1"/>
    <col min="9977" max="9977" width="18.44140625" style="539" customWidth="1"/>
    <col min="9978" max="10220" width="9.109375" style="539"/>
    <col min="10221" max="10221" width="13" style="539" customWidth="1"/>
    <col min="10222" max="10222" width="9.109375" style="539" customWidth="1"/>
    <col min="10223" max="10223" width="15.44140625" style="539" bestFit="1" customWidth="1"/>
    <col min="10224" max="10224" width="13" style="539" bestFit="1" customWidth="1"/>
    <col min="10225" max="10225" width="7.6640625" style="539" bestFit="1" customWidth="1"/>
    <col min="10226" max="10226" width="21" style="539" bestFit="1" customWidth="1"/>
    <col min="10227" max="10227" width="15.109375" style="539" bestFit="1" customWidth="1"/>
    <col min="10228" max="10228" width="17.109375" style="539" bestFit="1" customWidth="1"/>
    <col min="10229" max="10229" width="6" style="539" customWidth="1"/>
    <col min="10230" max="10230" width="14.6640625" style="539" bestFit="1" customWidth="1"/>
    <col min="10231" max="10231" width="16.5546875" style="539" bestFit="1" customWidth="1"/>
    <col min="10232" max="10232" width="15.33203125" style="539" bestFit="1" customWidth="1"/>
    <col min="10233" max="10233" width="18.44140625" style="539" customWidth="1"/>
    <col min="10234" max="10476" width="9.109375" style="539"/>
    <col min="10477" max="10477" width="13" style="539" customWidth="1"/>
    <col min="10478" max="10478" width="9.109375" style="539" customWidth="1"/>
    <col min="10479" max="10479" width="15.44140625" style="539" bestFit="1" customWidth="1"/>
    <col min="10480" max="10480" width="13" style="539" bestFit="1" customWidth="1"/>
    <col min="10481" max="10481" width="7.6640625" style="539" bestFit="1" customWidth="1"/>
    <col min="10482" max="10482" width="21" style="539" bestFit="1" customWidth="1"/>
    <col min="10483" max="10483" width="15.109375" style="539" bestFit="1" customWidth="1"/>
    <col min="10484" max="10484" width="17.109375" style="539" bestFit="1" customWidth="1"/>
    <col min="10485" max="10485" width="6" style="539" customWidth="1"/>
    <col min="10486" max="10486" width="14.6640625" style="539" bestFit="1" customWidth="1"/>
    <col min="10487" max="10487" width="16.5546875" style="539" bestFit="1" customWidth="1"/>
    <col min="10488" max="10488" width="15.33203125" style="539" bestFit="1" customWidth="1"/>
    <col min="10489" max="10489" width="18.44140625" style="539" customWidth="1"/>
    <col min="10490" max="10732" width="9.109375" style="539"/>
    <col min="10733" max="10733" width="13" style="539" customWidth="1"/>
    <col min="10734" max="10734" width="9.109375" style="539" customWidth="1"/>
    <col min="10735" max="10735" width="15.44140625" style="539" bestFit="1" customWidth="1"/>
    <col min="10736" max="10736" width="13" style="539" bestFit="1" customWidth="1"/>
    <col min="10737" max="10737" width="7.6640625" style="539" bestFit="1" customWidth="1"/>
    <col min="10738" max="10738" width="21" style="539" bestFit="1" customWidth="1"/>
    <col min="10739" max="10739" width="15.109375" style="539" bestFit="1" customWidth="1"/>
    <col min="10740" max="10740" width="17.109375" style="539" bestFit="1" customWidth="1"/>
    <col min="10741" max="10741" width="6" style="539" customWidth="1"/>
    <col min="10742" max="10742" width="14.6640625" style="539" bestFit="1" customWidth="1"/>
    <col min="10743" max="10743" width="16.5546875" style="539" bestFit="1" customWidth="1"/>
    <col min="10744" max="10744" width="15.33203125" style="539" bestFit="1" customWidth="1"/>
    <col min="10745" max="10745" width="18.44140625" style="539" customWidth="1"/>
    <col min="10746" max="10988" width="9.109375" style="539"/>
    <col min="10989" max="10989" width="13" style="539" customWidth="1"/>
    <col min="10990" max="10990" width="9.109375" style="539" customWidth="1"/>
    <col min="10991" max="10991" width="15.44140625" style="539" bestFit="1" customWidth="1"/>
    <col min="10992" max="10992" width="13" style="539" bestFit="1" customWidth="1"/>
    <col min="10993" max="10993" width="7.6640625" style="539" bestFit="1" customWidth="1"/>
    <col min="10994" max="10994" width="21" style="539" bestFit="1" customWidth="1"/>
    <col min="10995" max="10995" width="15.109375" style="539" bestFit="1" customWidth="1"/>
    <col min="10996" max="10996" width="17.109375" style="539" bestFit="1" customWidth="1"/>
    <col min="10997" max="10997" width="6" style="539" customWidth="1"/>
    <col min="10998" max="10998" width="14.6640625" style="539" bestFit="1" customWidth="1"/>
    <col min="10999" max="10999" width="16.5546875" style="539" bestFit="1" customWidth="1"/>
    <col min="11000" max="11000" width="15.33203125" style="539" bestFit="1" customWidth="1"/>
    <col min="11001" max="11001" width="18.44140625" style="539" customWidth="1"/>
    <col min="11002" max="11244" width="9.109375" style="539"/>
    <col min="11245" max="11245" width="13" style="539" customWidth="1"/>
    <col min="11246" max="11246" width="9.109375" style="539" customWidth="1"/>
    <col min="11247" max="11247" width="15.44140625" style="539" bestFit="1" customWidth="1"/>
    <col min="11248" max="11248" width="13" style="539" bestFit="1" customWidth="1"/>
    <col min="11249" max="11249" width="7.6640625" style="539" bestFit="1" customWidth="1"/>
    <col min="11250" max="11250" width="21" style="539" bestFit="1" customWidth="1"/>
    <col min="11251" max="11251" width="15.109375" style="539" bestFit="1" customWidth="1"/>
    <col min="11252" max="11252" width="17.109375" style="539" bestFit="1" customWidth="1"/>
    <col min="11253" max="11253" width="6" style="539" customWidth="1"/>
    <col min="11254" max="11254" width="14.6640625" style="539" bestFit="1" customWidth="1"/>
    <col min="11255" max="11255" width="16.5546875" style="539" bestFit="1" customWidth="1"/>
    <col min="11256" max="11256" width="15.33203125" style="539" bestFit="1" customWidth="1"/>
    <col min="11257" max="11257" width="18.44140625" style="539" customWidth="1"/>
    <col min="11258" max="11500" width="9.109375" style="539"/>
    <col min="11501" max="11501" width="13" style="539" customWidth="1"/>
    <col min="11502" max="11502" width="9.109375" style="539" customWidth="1"/>
    <col min="11503" max="11503" width="15.44140625" style="539" bestFit="1" customWidth="1"/>
    <col min="11504" max="11504" width="13" style="539" bestFit="1" customWidth="1"/>
    <col min="11505" max="11505" width="7.6640625" style="539" bestFit="1" customWidth="1"/>
    <col min="11506" max="11506" width="21" style="539" bestFit="1" customWidth="1"/>
    <col min="11507" max="11507" width="15.109375" style="539" bestFit="1" customWidth="1"/>
    <col min="11508" max="11508" width="17.109375" style="539" bestFit="1" customWidth="1"/>
    <col min="11509" max="11509" width="6" style="539" customWidth="1"/>
    <col min="11510" max="11510" width="14.6640625" style="539" bestFit="1" customWidth="1"/>
    <col min="11511" max="11511" width="16.5546875" style="539" bestFit="1" customWidth="1"/>
    <col min="11512" max="11512" width="15.33203125" style="539" bestFit="1" customWidth="1"/>
    <col min="11513" max="11513" width="18.44140625" style="539" customWidth="1"/>
    <col min="11514" max="11756" width="9.109375" style="539"/>
    <col min="11757" max="11757" width="13" style="539" customWidth="1"/>
    <col min="11758" max="11758" width="9.109375" style="539" customWidth="1"/>
    <col min="11759" max="11759" width="15.44140625" style="539" bestFit="1" customWidth="1"/>
    <col min="11760" max="11760" width="13" style="539" bestFit="1" customWidth="1"/>
    <col min="11761" max="11761" width="7.6640625" style="539" bestFit="1" customWidth="1"/>
    <col min="11762" max="11762" width="21" style="539" bestFit="1" customWidth="1"/>
    <col min="11763" max="11763" width="15.109375" style="539" bestFit="1" customWidth="1"/>
    <col min="11764" max="11764" width="17.109375" style="539" bestFit="1" customWidth="1"/>
    <col min="11765" max="11765" width="6" style="539" customWidth="1"/>
    <col min="11766" max="11766" width="14.6640625" style="539" bestFit="1" customWidth="1"/>
    <col min="11767" max="11767" width="16.5546875" style="539" bestFit="1" customWidth="1"/>
    <col min="11768" max="11768" width="15.33203125" style="539" bestFit="1" customWidth="1"/>
    <col min="11769" max="11769" width="18.44140625" style="539" customWidth="1"/>
    <col min="11770" max="12012" width="9.109375" style="539"/>
    <col min="12013" max="12013" width="13" style="539" customWidth="1"/>
    <col min="12014" max="12014" width="9.109375" style="539" customWidth="1"/>
    <col min="12015" max="12015" width="15.44140625" style="539" bestFit="1" customWidth="1"/>
    <col min="12016" max="12016" width="13" style="539" bestFit="1" customWidth="1"/>
    <col min="12017" max="12017" width="7.6640625" style="539" bestFit="1" customWidth="1"/>
    <col min="12018" max="12018" width="21" style="539" bestFit="1" customWidth="1"/>
    <col min="12019" max="12019" width="15.109375" style="539" bestFit="1" customWidth="1"/>
    <col min="12020" max="12020" width="17.109375" style="539" bestFit="1" customWidth="1"/>
    <col min="12021" max="12021" width="6" style="539" customWidth="1"/>
    <col min="12022" max="12022" width="14.6640625" style="539" bestFit="1" customWidth="1"/>
    <col min="12023" max="12023" width="16.5546875" style="539" bestFit="1" customWidth="1"/>
    <col min="12024" max="12024" width="15.33203125" style="539" bestFit="1" customWidth="1"/>
    <col min="12025" max="12025" width="18.44140625" style="539" customWidth="1"/>
    <col min="12026" max="12268" width="9.109375" style="539"/>
    <col min="12269" max="12269" width="13" style="539" customWidth="1"/>
    <col min="12270" max="12270" width="9.109375" style="539" customWidth="1"/>
    <col min="12271" max="12271" width="15.44140625" style="539" bestFit="1" customWidth="1"/>
    <col min="12272" max="12272" width="13" style="539" bestFit="1" customWidth="1"/>
    <col min="12273" max="12273" width="7.6640625" style="539" bestFit="1" customWidth="1"/>
    <col min="12274" max="12274" width="21" style="539" bestFit="1" customWidth="1"/>
    <col min="12275" max="12275" width="15.109375" style="539" bestFit="1" customWidth="1"/>
    <col min="12276" max="12276" width="17.109375" style="539" bestFit="1" customWidth="1"/>
    <col min="12277" max="12277" width="6" style="539" customWidth="1"/>
    <col min="12278" max="12278" width="14.6640625" style="539" bestFit="1" customWidth="1"/>
    <col min="12279" max="12279" width="16.5546875" style="539" bestFit="1" customWidth="1"/>
    <col min="12280" max="12280" width="15.33203125" style="539" bestFit="1" customWidth="1"/>
    <col min="12281" max="12281" width="18.44140625" style="539" customWidth="1"/>
    <col min="12282" max="12524" width="9.109375" style="539"/>
    <col min="12525" max="12525" width="13" style="539" customWidth="1"/>
    <col min="12526" max="12526" width="9.109375" style="539" customWidth="1"/>
    <col min="12527" max="12527" width="15.44140625" style="539" bestFit="1" customWidth="1"/>
    <col min="12528" max="12528" width="13" style="539" bestFit="1" customWidth="1"/>
    <col min="12529" max="12529" width="7.6640625" style="539" bestFit="1" customWidth="1"/>
    <col min="12530" max="12530" width="21" style="539" bestFit="1" customWidth="1"/>
    <col min="12531" max="12531" width="15.109375" style="539" bestFit="1" customWidth="1"/>
    <col min="12532" max="12532" width="17.109375" style="539" bestFit="1" customWidth="1"/>
    <col min="12533" max="12533" width="6" style="539" customWidth="1"/>
    <col min="12534" max="12534" width="14.6640625" style="539" bestFit="1" customWidth="1"/>
    <col min="12535" max="12535" width="16.5546875" style="539" bestFit="1" customWidth="1"/>
    <col min="12536" max="12536" width="15.33203125" style="539" bestFit="1" customWidth="1"/>
    <col min="12537" max="12537" width="18.44140625" style="539" customWidth="1"/>
    <col min="12538" max="12780" width="9.109375" style="539"/>
    <col min="12781" max="12781" width="13" style="539" customWidth="1"/>
    <col min="12782" max="12782" width="9.109375" style="539" customWidth="1"/>
    <col min="12783" max="12783" width="15.44140625" style="539" bestFit="1" customWidth="1"/>
    <col min="12784" max="12784" width="13" style="539" bestFit="1" customWidth="1"/>
    <col min="12785" max="12785" width="7.6640625" style="539" bestFit="1" customWidth="1"/>
    <col min="12786" max="12786" width="21" style="539" bestFit="1" customWidth="1"/>
    <col min="12787" max="12787" width="15.109375" style="539" bestFit="1" customWidth="1"/>
    <col min="12788" max="12788" width="17.109375" style="539" bestFit="1" customWidth="1"/>
    <col min="12789" max="12789" width="6" style="539" customWidth="1"/>
    <col min="12790" max="12790" width="14.6640625" style="539" bestFit="1" customWidth="1"/>
    <col min="12791" max="12791" width="16.5546875" style="539" bestFit="1" customWidth="1"/>
    <col min="12792" max="12792" width="15.33203125" style="539" bestFit="1" customWidth="1"/>
    <col min="12793" max="12793" width="18.44140625" style="539" customWidth="1"/>
    <col min="12794" max="13036" width="9.109375" style="539"/>
    <col min="13037" max="13037" width="13" style="539" customWidth="1"/>
    <col min="13038" max="13038" width="9.109375" style="539" customWidth="1"/>
    <col min="13039" max="13039" width="15.44140625" style="539" bestFit="1" customWidth="1"/>
    <col min="13040" max="13040" width="13" style="539" bestFit="1" customWidth="1"/>
    <col min="13041" max="13041" width="7.6640625" style="539" bestFit="1" customWidth="1"/>
    <col min="13042" max="13042" width="21" style="539" bestFit="1" customWidth="1"/>
    <col min="13043" max="13043" width="15.109375" style="539" bestFit="1" customWidth="1"/>
    <col min="13044" max="13044" width="17.109375" style="539" bestFit="1" customWidth="1"/>
    <col min="13045" max="13045" width="6" style="539" customWidth="1"/>
    <col min="13046" max="13046" width="14.6640625" style="539" bestFit="1" customWidth="1"/>
    <col min="13047" max="13047" width="16.5546875" style="539" bestFit="1" customWidth="1"/>
    <col min="13048" max="13048" width="15.33203125" style="539" bestFit="1" customWidth="1"/>
    <col min="13049" max="13049" width="18.44140625" style="539" customWidth="1"/>
    <col min="13050" max="13292" width="9.109375" style="539"/>
    <col min="13293" max="13293" width="13" style="539" customWidth="1"/>
    <col min="13294" max="13294" width="9.109375" style="539" customWidth="1"/>
    <col min="13295" max="13295" width="15.44140625" style="539" bestFit="1" customWidth="1"/>
    <col min="13296" max="13296" width="13" style="539" bestFit="1" customWidth="1"/>
    <col min="13297" max="13297" width="7.6640625" style="539" bestFit="1" customWidth="1"/>
    <col min="13298" max="13298" width="21" style="539" bestFit="1" customWidth="1"/>
    <col min="13299" max="13299" width="15.109375" style="539" bestFit="1" customWidth="1"/>
    <col min="13300" max="13300" width="17.109375" style="539" bestFit="1" customWidth="1"/>
    <col min="13301" max="13301" width="6" style="539" customWidth="1"/>
    <col min="13302" max="13302" width="14.6640625" style="539" bestFit="1" customWidth="1"/>
    <col min="13303" max="13303" width="16.5546875" style="539" bestFit="1" customWidth="1"/>
    <col min="13304" max="13304" width="15.33203125" style="539" bestFit="1" customWidth="1"/>
    <col min="13305" max="13305" width="18.44140625" style="539" customWidth="1"/>
    <col min="13306" max="13548" width="9.109375" style="539"/>
    <col min="13549" max="13549" width="13" style="539" customWidth="1"/>
    <col min="13550" max="13550" width="9.109375" style="539" customWidth="1"/>
    <col min="13551" max="13551" width="15.44140625" style="539" bestFit="1" customWidth="1"/>
    <col min="13552" max="13552" width="13" style="539" bestFit="1" customWidth="1"/>
    <col min="13553" max="13553" width="7.6640625" style="539" bestFit="1" customWidth="1"/>
    <col min="13554" max="13554" width="21" style="539" bestFit="1" customWidth="1"/>
    <col min="13555" max="13555" width="15.109375" style="539" bestFit="1" customWidth="1"/>
    <col min="13556" max="13556" width="17.109375" style="539" bestFit="1" customWidth="1"/>
    <col min="13557" max="13557" width="6" style="539" customWidth="1"/>
    <col min="13558" max="13558" width="14.6640625" style="539" bestFit="1" customWidth="1"/>
    <col min="13559" max="13559" width="16.5546875" style="539" bestFit="1" customWidth="1"/>
    <col min="13560" max="13560" width="15.33203125" style="539" bestFit="1" customWidth="1"/>
    <col min="13561" max="13561" width="18.44140625" style="539" customWidth="1"/>
    <col min="13562" max="13804" width="9.109375" style="539"/>
    <col min="13805" max="13805" width="13" style="539" customWidth="1"/>
    <col min="13806" max="13806" width="9.109375" style="539" customWidth="1"/>
    <col min="13807" max="13807" width="15.44140625" style="539" bestFit="1" customWidth="1"/>
    <col min="13808" max="13808" width="13" style="539" bestFit="1" customWidth="1"/>
    <col min="13809" max="13809" width="7.6640625" style="539" bestFit="1" customWidth="1"/>
    <col min="13810" max="13810" width="21" style="539" bestFit="1" customWidth="1"/>
    <col min="13811" max="13811" width="15.109375" style="539" bestFit="1" customWidth="1"/>
    <col min="13812" max="13812" width="17.109375" style="539" bestFit="1" customWidth="1"/>
    <col min="13813" max="13813" width="6" style="539" customWidth="1"/>
    <col min="13814" max="13814" width="14.6640625" style="539" bestFit="1" customWidth="1"/>
    <col min="13815" max="13815" width="16.5546875" style="539" bestFit="1" customWidth="1"/>
    <col min="13816" max="13816" width="15.33203125" style="539" bestFit="1" customWidth="1"/>
    <col min="13817" max="13817" width="18.44140625" style="539" customWidth="1"/>
    <col min="13818" max="14060" width="9.109375" style="539"/>
    <col min="14061" max="14061" width="13" style="539" customWidth="1"/>
    <col min="14062" max="14062" width="9.109375" style="539" customWidth="1"/>
    <col min="14063" max="14063" width="15.44140625" style="539" bestFit="1" customWidth="1"/>
    <col min="14064" max="14064" width="13" style="539" bestFit="1" customWidth="1"/>
    <col min="14065" max="14065" width="7.6640625" style="539" bestFit="1" customWidth="1"/>
    <col min="14066" max="14066" width="21" style="539" bestFit="1" customWidth="1"/>
    <col min="14067" max="14067" width="15.109375" style="539" bestFit="1" customWidth="1"/>
    <col min="14068" max="14068" width="17.109375" style="539" bestFit="1" customWidth="1"/>
    <col min="14069" max="14069" width="6" style="539" customWidth="1"/>
    <col min="14070" max="14070" width="14.6640625" style="539" bestFit="1" customWidth="1"/>
    <col min="14071" max="14071" width="16.5546875" style="539" bestFit="1" customWidth="1"/>
    <col min="14072" max="14072" width="15.33203125" style="539" bestFit="1" customWidth="1"/>
    <col min="14073" max="14073" width="18.44140625" style="539" customWidth="1"/>
    <col min="14074" max="14316" width="9.109375" style="539"/>
    <col min="14317" max="14317" width="13" style="539" customWidth="1"/>
    <col min="14318" max="14318" width="9.109375" style="539" customWidth="1"/>
    <col min="14319" max="14319" width="15.44140625" style="539" bestFit="1" customWidth="1"/>
    <col min="14320" max="14320" width="13" style="539" bestFit="1" customWidth="1"/>
    <col min="14321" max="14321" width="7.6640625" style="539" bestFit="1" customWidth="1"/>
    <col min="14322" max="14322" width="21" style="539" bestFit="1" customWidth="1"/>
    <col min="14323" max="14323" width="15.109375" style="539" bestFit="1" customWidth="1"/>
    <col min="14324" max="14324" width="17.109375" style="539" bestFit="1" customWidth="1"/>
    <col min="14325" max="14325" width="6" style="539" customWidth="1"/>
    <col min="14326" max="14326" width="14.6640625" style="539" bestFit="1" customWidth="1"/>
    <col min="14327" max="14327" width="16.5546875" style="539" bestFit="1" customWidth="1"/>
    <col min="14328" max="14328" width="15.33203125" style="539" bestFit="1" customWidth="1"/>
    <col min="14329" max="14329" width="18.44140625" style="539" customWidth="1"/>
    <col min="14330" max="14572" width="9.109375" style="539"/>
    <col min="14573" max="14573" width="13" style="539" customWidth="1"/>
    <col min="14574" max="14574" width="9.109375" style="539" customWidth="1"/>
    <col min="14575" max="14575" width="15.44140625" style="539" bestFit="1" customWidth="1"/>
    <col min="14576" max="14576" width="13" style="539" bestFit="1" customWidth="1"/>
    <col min="14577" max="14577" width="7.6640625" style="539" bestFit="1" customWidth="1"/>
    <col min="14578" max="14578" width="21" style="539" bestFit="1" customWidth="1"/>
    <col min="14579" max="14579" width="15.109375" style="539" bestFit="1" customWidth="1"/>
    <col min="14580" max="14580" width="17.109375" style="539" bestFit="1" customWidth="1"/>
    <col min="14581" max="14581" width="6" style="539" customWidth="1"/>
    <col min="14582" max="14582" width="14.6640625" style="539" bestFit="1" customWidth="1"/>
    <col min="14583" max="14583" width="16.5546875" style="539" bestFit="1" customWidth="1"/>
    <col min="14584" max="14584" width="15.33203125" style="539" bestFit="1" customWidth="1"/>
    <col min="14585" max="14585" width="18.44140625" style="539" customWidth="1"/>
    <col min="14586" max="14828" width="9.109375" style="539"/>
    <col min="14829" max="14829" width="13" style="539" customWidth="1"/>
    <col min="14830" max="14830" width="9.109375" style="539" customWidth="1"/>
    <col min="14831" max="14831" width="15.44140625" style="539" bestFit="1" customWidth="1"/>
    <col min="14832" max="14832" width="13" style="539" bestFit="1" customWidth="1"/>
    <col min="14833" max="14833" width="7.6640625" style="539" bestFit="1" customWidth="1"/>
    <col min="14834" max="14834" width="21" style="539" bestFit="1" customWidth="1"/>
    <col min="14835" max="14835" width="15.109375" style="539" bestFit="1" customWidth="1"/>
    <col min="14836" max="14836" width="17.109375" style="539" bestFit="1" customWidth="1"/>
    <col min="14837" max="14837" width="6" style="539" customWidth="1"/>
    <col min="14838" max="14838" width="14.6640625" style="539" bestFit="1" customWidth="1"/>
    <col min="14839" max="14839" width="16.5546875" style="539" bestFit="1" customWidth="1"/>
    <col min="14840" max="14840" width="15.33203125" style="539" bestFit="1" customWidth="1"/>
    <col min="14841" max="14841" width="18.44140625" style="539" customWidth="1"/>
    <col min="14842" max="15084" width="9.109375" style="539"/>
    <col min="15085" max="15085" width="13" style="539" customWidth="1"/>
    <col min="15086" max="15086" width="9.109375" style="539" customWidth="1"/>
    <col min="15087" max="15087" width="15.44140625" style="539" bestFit="1" customWidth="1"/>
    <col min="15088" max="15088" width="13" style="539" bestFit="1" customWidth="1"/>
    <col min="15089" max="15089" width="7.6640625" style="539" bestFit="1" customWidth="1"/>
    <col min="15090" max="15090" width="21" style="539" bestFit="1" customWidth="1"/>
    <col min="15091" max="15091" width="15.109375" style="539" bestFit="1" customWidth="1"/>
    <col min="15092" max="15092" width="17.109375" style="539" bestFit="1" customWidth="1"/>
    <col min="15093" max="15093" width="6" style="539" customWidth="1"/>
    <col min="15094" max="15094" width="14.6640625" style="539" bestFit="1" customWidth="1"/>
    <col min="15095" max="15095" width="16.5546875" style="539" bestFit="1" customWidth="1"/>
    <col min="15096" max="15096" width="15.33203125" style="539" bestFit="1" customWidth="1"/>
    <col min="15097" max="15097" width="18.44140625" style="539" customWidth="1"/>
    <col min="15098" max="15340" width="9.109375" style="539"/>
    <col min="15341" max="15341" width="13" style="539" customWidth="1"/>
    <col min="15342" max="15342" width="9.109375" style="539" customWidth="1"/>
    <col min="15343" max="15343" width="15.44140625" style="539" bestFit="1" customWidth="1"/>
    <col min="15344" max="15344" width="13" style="539" bestFit="1" customWidth="1"/>
    <col min="15345" max="15345" width="7.6640625" style="539" bestFit="1" customWidth="1"/>
    <col min="15346" max="15346" width="21" style="539" bestFit="1" customWidth="1"/>
    <col min="15347" max="15347" width="15.109375" style="539" bestFit="1" customWidth="1"/>
    <col min="15348" max="15348" width="17.109375" style="539" bestFit="1" customWidth="1"/>
    <col min="15349" max="15349" width="6" style="539" customWidth="1"/>
    <col min="15350" max="15350" width="14.6640625" style="539" bestFit="1" customWidth="1"/>
    <col min="15351" max="15351" width="16.5546875" style="539" bestFit="1" customWidth="1"/>
    <col min="15352" max="15352" width="15.33203125" style="539" bestFit="1" customWidth="1"/>
    <col min="15353" max="15353" width="18.44140625" style="539" customWidth="1"/>
    <col min="15354" max="15596" width="9.109375" style="539"/>
    <col min="15597" max="15597" width="13" style="539" customWidth="1"/>
    <col min="15598" max="15598" width="9.109375" style="539" customWidth="1"/>
    <col min="15599" max="15599" width="15.44140625" style="539" bestFit="1" customWidth="1"/>
    <col min="15600" max="15600" width="13" style="539" bestFit="1" customWidth="1"/>
    <col min="15601" max="15601" width="7.6640625" style="539" bestFit="1" customWidth="1"/>
    <col min="15602" max="15602" width="21" style="539" bestFit="1" customWidth="1"/>
    <col min="15603" max="15603" width="15.109375" style="539" bestFit="1" customWidth="1"/>
    <col min="15604" max="15604" width="17.109375" style="539" bestFit="1" customWidth="1"/>
    <col min="15605" max="15605" width="6" style="539" customWidth="1"/>
    <col min="15606" max="15606" width="14.6640625" style="539" bestFit="1" customWidth="1"/>
    <col min="15607" max="15607" width="16.5546875" style="539" bestFit="1" customWidth="1"/>
    <col min="15608" max="15608" width="15.33203125" style="539" bestFit="1" customWidth="1"/>
    <col min="15609" max="15609" width="18.44140625" style="539" customWidth="1"/>
    <col min="15610" max="15852" width="9.109375" style="539"/>
    <col min="15853" max="15853" width="13" style="539" customWidth="1"/>
    <col min="15854" max="15854" width="9.109375" style="539" customWidth="1"/>
    <col min="15855" max="15855" width="15.44140625" style="539" bestFit="1" customWidth="1"/>
    <col min="15856" max="15856" width="13" style="539" bestFit="1" customWidth="1"/>
    <col min="15857" max="15857" width="7.6640625" style="539" bestFit="1" customWidth="1"/>
    <col min="15858" max="15858" width="21" style="539" bestFit="1" customWidth="1"/>
    <col min="15859" max="15859" width="15.109375" style="539" bestFit="1" customWidth="1"/>
    <col min="15860" max="15860" width="17.109375" style="539" bestFit="1" customWidth="1"/>
    <col min="15861" max="15861" width="6" style="539" customWidth="1"/>
    <col min="15862" max="15862" width="14.6640625" style="539" bestFit="1" customWidth="1"/>
    <col min="15863" max="15863" width="16.5546875" style="539" bestFit="1" customWidth="1"/>
    <col min="15864" max="15864" width="15.33203125" style="539" bestFit="1" customWidth="1"/>
    <col min="15865" max="15865" width="18.44140625" style="539" customWidth="1"/>
    <col min="15866" max="16108" width="9.109375" style="539"/>
    <col min="16109" max="16109" width="13" style="539" customWidth="1"/>
    <col min="16110" max="16110" width="9.109375" style="539" customWidth="1"/>
    <col min="16111" max="16111" width="15.44140625" style="539" bestFit="1" customWidth="1"/>
    <col min="16112" max="16112" width="13" style="539" bestFit="1" customWidth="1"/>
    <col min="16113" max="16113" width="7.6640625" style="539" bestFit="1" customWidth="1"/>
    <col min="16114" max="16114" width="21" style="539" bestFit="1" customWidth="1"/>
    <col min="16115" max="16115" width="15.109375" style="539" bestFit="1" customWidth="1"/>
    <col min="16116" max="16116" width="17.109375" style="539" bestFit="1" customWidth="1"/>
    <col min="16117" max="16117" width="6" style="539" customWidth="1"/>
    <col min="16118" max="16118" width="14.6640625" style="539" bestFit="1" customWidth="1"/>
    <col min="16119" max="16119" width="16.5546875" style="539" bestFit="1" customWidth="1"/>
    <col min="16120" max="16120" width="15.33203125" style="539" bestFit="1" customWidth="1"/>
    <col min="16121" max="16121" width="18.44140625" style="539" customWidth="1"/>
    <col min="16122" max="16384" width="9.109375" style="539"/>
  </cols>
  <sheetData>
    <row r="1" spans="1:12">
      <c r="A1" s="520" t="s">
        <v>0</v>
      </c>
      <c r="B1" s="520"/>
      <c r="C1" s="520"/>
      <c r="D1" s="520"/>
      <c r="E1" s="520"/>
      <c r="F1" s="520"/>
      <c r="G1" s="520"/>
      <c r="H1" s="520"/>
      <c r="I1" s="520"/>
    </row>
    <row r="2" spans="1:12">
      <c r="A2" s="520" t="s">
        <v>792</v>
      </c>
      <c r="B2" s="520"/>
      <c r="C2" s="520"/>
      <c r="D2" s="520"/>
      <c r="E2" s="520"/>
      <c r="F2" s="520"/>
      <c r="G2" s="520"/>
      <c r="H2" s="520"/>
      <c r="I2" s="520"/>
    </row>
    <row r="3" spans="1:12">
      <c r="A3" s="521" t="s">
        <v>762</v>
      </c>
      <c r="B3" s="521"/>
      <c r="C3" s="521"/>
      <c r="D3" s="521"/>
      <c r="E3" s="521"/>
      <c r="F3" s="521"/>
      <c r="G3" s="521"/>
      <c r="H3" s="521"/>
      <c r="I3" s="521"/>
    </row>
    <row r="5" spans="1:12" ht="39.6">
      <c r="A5" s="540" t="s">
        <v>793</v>
      </c>
      <c r="B5" s="540"/>
      <c r="C5" s="540" t="s">
        <v>794</v>
      </c>
      <c r="D5" s="540" t="s">
        <v>795</v>
      </c>
      <c r="E5" s="540" t="s">
        <v>796</v>
      </c>
      <c r="F5" s="540" t="s">
        <v>797</v>
      </c>
      <c r="G5" s="540" t="s">
        <v>798</v>
      </c>
      <c r="H5" s="540"/>
      <c r="I5" s="540" t="s">
        <v>799</v>
      </c>
      <c r="J5" s="540" t="s">
        <v>800</v>
      </c>
      <c r="K5" s="540" t="s">
        <v>801</v>
      </c>
      <c r="L5" s="525"/>
    </row>
    <row r="6" spans="1:12">
      <c r="A6" s="541" t="s">
        <v>802</v>
      </c>
      <c r="B6" s="541"/>
      <c r="C6" s="541"/>
      <c r="D6" s="541"/>
      <c r="E6" s="541"/>
      <c r="F6" s="541"/>
      <c r="G6" s="541"/>
      <c r="H6" s="541"/>
      <c r="I6" s="541"/>
    </row>
    <row r="7" spans="1:12">
      <c r="A7" s="542">
        <v>43100</v>
      </c>
      <c r="B7" s="542"/>
      <c r="C7" s="689">
        <v>15076321.915793082</v>
      </c>
      <c r="D7" s="689">
        <v>0</v>
      </c>
      <c r="E7" s="690">
        <v>365</v>
      </c>
      <c r="F7" s="690">
        <f>E7</f>
        <v>365</v>
      </c>
      <c r="G7" s="689">
        <f>C7</f>
        <v>15076321.915793082</v>
      </c>
      <c r="H7" s="542"/>
      <c r="I7" s="689"/>
      <c r="J7" s="689">
        <v>14983719</v>
      </c>
      <c r="K7" s="689">
        <f>J7-C7</f>
        <v>-92602.915793081746</v>
      </c>
      <c r="L7" s="692"/>
    </row>
    <row r="8" spans="1:12">
      <c r="A8" s="542">
        <v>43131</v>
      </c>
      <c r="B8" s="542"/>
      <c r="C8" s="689">
        <v>15099837.012680186</v>
      </c>
      <c r="D8" s="689">
        <f>C8-C7</f>
        <v>23515.096887104213</v>
      </c>
      <c r="E8" s="690">
        <f>E7-(A8-A7)+1</f>
        <v>335</v>
      </c>
      <c r="F8" s="690">
        <f>$F$7</f>
        <v>365</v>
      </c>
      <c r="G8" s="689">
        <f t="shared" ref="G8:G19" si="0">D8*E8/F8</f>
        <v>21582.349197753181</v>
      </c>
      <c r="H8" s="542"/>
      <c r="I8" s="689">
        <f>J8-J7</f>
        <v>-1031943</v>
      </c>
      <c r="J8" s="689">
        <v>13951776</v>
      </c>
      <c r="K8" s="689">
        <f t="shared" ref="K8:K19" si="1">J8-C8</f>
        <v>-1148061.012680186</v>
      </c>
      <c r="L8" s="692"/>
    </row>
    <row r="9" spans="1:12">
      <c r="A9" s="542">
        <v>43159</v>
      </c>
      <c r="B9" s="542"/>
      <c r="C9" s="689">
        <v>15143662.213283097</v>
      </c>
      <c r="D9" s="689">
        <f t="shared" ref="D9:D19" si="2">C9-C8</f>
        <v>43825.200602911413</v>
      </c>
      <c r="E9" s="690">
        <f>E8-(A9-A8)</f>
        <v>307</v>
      </c>
      <c r="F9" s="690">
        <f t="shared" ref="F9:F19" si="3">$F$7</f>
        <v>365</v>
      </c>
      <c r="G9" s="689">
        <f t="shared" si="0"/>
        <v>36861.196123544665</v>
      </c>
      <c r="H9" s="542"/>
      <c r="I9" s="689">
        <f t="shared" ref="I9:I19" si="4">J9-J8</f>
        <v>-76595</v>
      </c>
      <c r="J9" s="689">
        <v>13875181</v>
      </c>
      <c r="K9" s="689">
        <f t="shared" si="1"/>
        <v>-1268481.2132830974</v>
      </c>
      <c r="L9" s="692"/>
    </row>
    <row r="10" spans="1:12">
      <c r="A10" s="542">
        <v>43190</v>
      </c>
      <c r="B10" s="542"/>
      <c r="C10" s="689">
        <v>15247201.347294006</v>
      </c>
      <c r="D10" s="689">
        <f t="shared" si="2"/>
        <v>103539.13401090913</v>
      </c>
      <c r="E10" s="690">
        <f t="shared" ref="E10:E18" si="5">E9-(A10-A9)</f>
        <v>276</v>
      </c>
      <c r="F10" s="690">
        <f t="shared" si="3"/>
        <v>365</v>
      </c>
      <c r="G10" s="689">
        <f t="shared" si="0"/>
        <v>78292.605443865526</v>
      </c>
      <c r="H10" s="542"/>
      <c r="I10" s="689">
        <f t="shared" si="4"/>
        <v>-1870825</v>
      </c>
      <c r="J10" s="689">
        <v>12004356</v>
      </c>
      <c r="K10" s="689">
        <f t="shared" si="1"/>
        <v>-3242845.3472940065</v>
      </c>
      <c r="L10" s="692"/>
    </row>
    <row r="11" spans="1:12">
      <c r="A11" s="542">
        <v>43220</v>
      </c>
      <c r="B11" s="542"/>
      <c r="C11" s="689">
        <v>15287858.933265265</v>
      </c>
      <c r="D11" s="689">
        <f t="shared" si="2"/>
        <v>40657.585971258581</v>
      </c>
      <c r="E11" s="690">
        <f t="shared" si="5"/>
        <v>246</v>
      </c>
      <c r="F11" s="690">
        <f t="shared" si="3"/>
        <v>365</v>
      </c>
      <c r="G11" s="689">
        <f t="shared" si="0"/>
        <v>27402.099038163316</v>
      </c>
      <c r="H11" s="542"/>
      <c r="I11" s="689">
        <f t="shared" si="4"/>
        <v>949233</v>
      </c>
      <c r="J11" s="689">
        <v>12953589</v>
      </c>
      <c r="K11" s="689">
        <f t="shared" si="1"/>
        <v>-2334269.9332652651</v>
      </c>
      <c r="L11" s="692"/>
    </row>
    <row r="12" spans="1:12">
      <c r="A12" s="542">
        <v>43251</v>
      </c>
      <c r="B12" s="542"/>
      <c r="C12" s="689">
        <v>15333349.93746428</v>
      </c>
      <c r="D12" s="689">
        <f t="shared" si="2"/>
        <v>45491.004199014977</v>
      </c>
      <c r="E12" s="690">
        <f t="shared" si="5"/>
        <v>215</v>
      </c>
      <c r="F12" s="690">
        <f t="shared" si="3"/>
        <v>365</v>
      </c>
      <c r="G12" s="689">
        <f t="shared" si="0"/>
        <v>26796.07096654307</v>
      </c>
      <c r="H12" s="542"/>
      <c r="I12" s="689">
        <f t="shared" si="4"/>
        <v>961360</v>
      </c>
      <c r="J12" s="689">
        <v>13914949</v>
      </c>
      <c r="K12" s="689">
        <f t="shared" si="1"/>
        <v>-1418400.9374642801</v>
      </c>
      <c r="L12" s="692"/>
    </row>
    <row r="13" spans="1:12">
      <c r="A13" s="542">
        <v>43281</v>
      </c>
      <c r="B13" s="542"/>
      <c r="C13" s="689">
        <v>15416813.608550267</v>
      </c>
      <c r="D13" s="689">
        <f t="shared" si="2"/>
        <v>83463.67108598724</v>
      </c>
      <c r="E13" s="690">
        <f t="shared" si="5"/>
        <v>185</v>
      </c>
      <c r="F13" s="690">
        <f t="shared" si="3"/>
        <v>365</v>
      </c>
      <c r="G13" s="689">
        <f t="shared" si="0"/>
        <v>42303.50452303463</v>
      </c>
      <c r="H13" s="542"/>
      <c r="I13" s="689">
        <f t="shared" si="4"/>
        <v>466646</v>
      </c>
      <c r="J13" s="689">
        <v>14381595</v>
      </c>
      <c r="K13" s="689">
        <f t="shared" si="1"/>
        <v>-1035218.6085502673</v>
      </c>
      <c r="L13" s="692"/>
    </row>
    <row r="14" spans="1:12">
      <c r="A14" s="542">
        <v>43312</v>
      </c>
      <c r="B14" s="542"/>
      <c r="C14" s="689">
        <v>15482687.520986749</v>
      </c>
      <c r="D14" s="689">
        <f t="shared" si="2"/>
        <v>65873.912436481565</v>
      </c>
      <c r="E14" s="690">
        <f t="shared" si="5"/>
        <v>154</v>
      </c>
      <c r="F14" s="690">
        <f t="shared" si="3"/>
        <v>365</v>
      </c>
      <c r="G14" s="689">
        <f t="shared" si="0"/>
        <v>27793.37675402236</v>
      </c>
      <c r="H14" s="542"/>
      <c r="I14" s="689">
        <f t="shared" si="4"/>
        <v>829396</v>
      </c>
      <c r="J14" s="689">
        <v>15210991</v>
      </c>
      <c r="K14" s="689">
        <f t="shared" si="1"/>
        <v>-271696.52098674886</v>
      </c>
      <c r="L14" s="692"/>
    </row>
    <row r="15" spans="1:12">
      <c r="A15" s="542">
        <v>43343</v>
      </c>
      <c r="B15" s="542"/>
      <c r="C15" s="689">
        <v>15624778.369777594</v>
      </c>
      <c r="D15" s="689">
        <f t="shared" si="2"/>
        <v>142090.8487908449</v>
      </c>
      <c r="E15" s="690">
        <f t="shared" si="5"/>
        <v>123</v>
      </c>
      <c r="F15" s="690">
        <f t="shared" si="3"/>
        <v>365</v>
      </c>
      <c r="G15" s="689">
        <f t="shared" si="0"/>
        <v>47882.669592531289</v>
      </c>
      <c r="H15" s="542"/>
      <c r="I15" s="689">
        <f t="shared" si="4"/>
        <v>475367</v>
      </c>
      <c r="J15" s="689">
        <v>15686358</v>
      </c>
      <c r="K15" s="689">
        <f t="shared" si="1"/>
        <v>61579.630222406238</v>
      </c>
      <c r="L15" s="692"/>
    </row>
    <row r="16" spans="1:12">
      <c r="A16" s="542">
        <v>43373</v>
      </c>
      <c r="B16" s="542"/>
      <c r="C16" s="689">
        <v>15746923.6698476</v>
      </c>
      <c r="D16" s="689">
        <f t="shared" si="2"/>
        <v>122145.3000700064</v>
      </c>
      <c r="E16" s="690">
        <f t="shared" si="5"/>
        <v>93</v>
      </c>
      <c r="F16" s="690">
        <f t="shared" si="3"/>
        <v>365</v>
      </c>
      <c r="G16" s="689">
        <f t="shared" si="0"/>
        <v>31121.953168522177</v>
      </c>
      <c r="H16" s="542"/>
      <c r="I16" s="689">
        <f t="shared" si="4"/>
        <v>336475</v>
      </c>
      <c r="J16" s="689">
        <v>16022833</v>
      </c>
      <c r="K16" s="689">
        <f t="shared" si="1"/>
        <v>275909.33015239984</v>
      </c>
      <c r="L16" s="692"/>
    </row>
    <row r="17" spans="1:12">
      <c r="A17" s="542">
        <v>43404</v>
      </c>
      <c r="B17" s="542"/>
      <c r="C17" s="689">
        <v>15880875.74134749</v>
      </c>
      <c r="D17" s="689">
        <f t="shared" si="2"/>
        <v>133952.07149988972</v>
      </c>
      <c r="E17" s="690">
        <f t="shared" si="5"/>
        <v>62</v>
      </c>
      <c r="F17" s="690">
        <f t="shared" si="3"/>
        <v>365</v>
      </c>
      <c r="G17" s="689">
        <f t="shared" si="0"/>
        <v>22753.50255614565</v>
      </c>
      <c r="H17" s="542"/>
      <c r="I17" s="689">
        <f t="shared" si="4"/>
        <v>846130</v>
      </c>
      <c r="J17" s="689">
        <v>16868963</v>
      </c>
      <c r="K17" s="689">
        <f t="shared" si="1"/>
        <v>988087.25865251012</v>
      </c>
      <c r="L17" s="692"/>
    </row>
    <row r="18" spans="1:12">
      <c r="A18" s="542">
        <v>43434</v>
      </c>
      <c r="B18" s="542"/>
      <c r="C18" s="689">
        <v>16277489.654426249</v>
      </c>
      <c r="D18" s="689">
        <f t="shared" si="2"/>
        <v>396613.91307875887</v>
      </c>
      <c r="E18" s="690">
        <f t="shared" si="5"/>
        <v>32</v>
      </c>
      <c r="F18" s="690">
        <f t="shared" si="3"/>
        <v>365</v>
      </c>
      <c r="G18" s="689">
        <f t="shared" si="0"/>
        <v>34771.630735672014</v>
      </c>
      <c r="H18" s="542"/>
      <c r="I18" s="689">
        <f t="shared" si="4"/>
        <v>2554354</v>
      </c>
      <c r="J18" s="689">
        <v>19423317</v>
      </c>
      <c r="K18" s="689">
        <f t="shared" si="1"/>
        <v>3145827.3455737513</v>
      </c>
      <c r="L18" s="692"/>
    </row>
    <row r="19" spans="1:12">
      <c r="A19" s="542">
        <v>43465</v>
      </c>
      <c r="B19" s="542"/>
      <c r="C19" s="689">
        <v>16402332.078485897</v>
      </c>
      <c r="D19" s="689">
        <f t="shared" si="2"/>
        <v>124842.42405964807</v>
      </c>
      <c r="E19" s="690">
        <f>E18-(A19-A18)</f>
        <v>1</v>
      </c>
      <c r="F19" s="690">
        <f t="shared" si="3"/>
        <v>365</v>
      </c>
      <c r="G19" s="689">
        <f t="shared" si="0"/>
        <v>342.03403851958376</v>
      </c>
      <c r="H19" s="542"/>
      <c r="I19" s="689">
        <f t="shared" si="4"/>
        <v>16333583</v>
      </c>
      <c r="J19" s="689">
        <v>35756900</v>
      </c>
      <c r="K19" s="689">
        <f t="shared" si="1"/>
        <v>19354567.921514101</v>
      </c>
      <c r="L19" s="692"/>
    </row>
    <row r="20" spans="1:12" ht="13.8" thickBot="1">
      <c r="F20" s="694" t="s">
        <v>803</v>
      </c>
      <c r="G20" s="695">
        <f>SUM(G7:G19)</f>
        <v>15474224.907931399</v>
      </c>
      <c r="J20" s="694" t="s">
        <v>804</v>
      </c>
      <c r="K20" s="695">
        <f>SUM(K7:K19)/13</f>
        <v>1001107.3074460181</v>
      </c>
    </row>
    <row r="21" spans="1:12" ht="13.8" thickTop="1">
      <c r="F21" s="694"/>
      <c r="G21" s="692"/>
      <c r="J21" s="694"/>
      <c r="K21" s="692"/>
    </row>
    <row r="22" spans="1:12" ht="13.8" thickBot="1">
      <c r="F22" s="694"/>
      <c r="G22" s="692"/>
      <c r="J22" s="696" t="s">
        <v>805</v>
      </c>
      <c r="K22" s="697">
        <f>ROUND(SUM(G20,K20),0)</f>
        <v>16475332</v>
      </c>
    </row>
    <row r="23" spans="1:12" ht="13.8" thickTop="1"/>
    <row r="24" spans="1:12">
      <c r="A24" s="541" t="s">
        <v>806</v>
      </c>
      <c r="B24" s="541"/>
      <c r="C24" s="541"/>
      <c r="D24" s="541"/>
      <c r="E24" s="541"/>
      <c r="F24" s="541"/>
      <c r="G24" s="541"/>
      <c r="H24" s="541"/>
      <c r="I24" s="541"/>
    </row>
    <row r="25" spans="1:12">
      <c r="A25" s="542">
        <v>43100</v>
      </c>
      <c r="B25" s="542"/>
      <c r="C25" s="689">
        <v>-839831545.33844185</v>
      </c>
      <c r="D25" s="689">
        <v>0</v>
      </c>
      <c r="E25" s="690">
        <v>365</v>
      </c>
      <c r="F25" s="690">
        <f>E25</f>
        <v>365</v>
      </c>
      <c r="G25" s="689">
        <f>C25</f>
        <v>-839831545.33844185</v>
      </c>
      <c r="H25" s="542"/>
      <c r="I25" s="689"/>
      <c r="J25" s="689">
        <v>-834673069</v>
      </c>
      <c r="K25" s="689">
        <f>J25-C25</f>
        <v>5158476.3384418488</v>
      </c>
    </row>
    <row r="26" spans="1:12">
      <c r="A26" s="542">
        <v>43131</v>
      </c>
      <c r="B26" s="542"/>
      <c r="C26" s="689">
        <v>-841141461.66072416</v>
      </c>
      <c r="D26" s="689">
        <f>C26-C25</f>
        <v>-1309916.3222823143</v>
      </c>
      <c r="E26" s="690">
        <f>E25-(A26-A25)+1</f>
        <v>335</v>
      </c>
      <c r="F26" s="690">
        <f>$F$25</f>
        <v>365</v>
      </c>
      <c r="G26" s="689">
        <f t="shared" ref="G26:G37" si="6">D26*E26/F26</f>
        <v>-1202251.9670262337</v>
      </c>
      <c r="H26" s="542"/>
      <c r="I26" s="689">
        <f>J26-J25</f>
        <v>-911594</v>
      </c>
      <c r="J26" s="689">
        <v>-835584663</v>
      </c>
      <c r="K26" s="689">
        <f t="shared" ref="K26:K37" si="7">J26-C26</f>
        <v>5556798.6607241631</v>
      </c>
    </row>
    <row r="27" spans="1:12">
      <c r="A27" s="542">
        <v>43159</v>
      </c>
      <c r="B27" s="542"/>
      <c r="C27" s="689">
        <v>-843582759.09073949</v>
      </c>
      <c r="D27" s="689">
        <f t="shared" ref="D27:D37" si="8">C27-C26</f>
        <v>-2441297.4300153255</v>
      </c>
      <c r="E27" s="690">
        <f>E26-(A27-A26)</f>
        <v>307</v>
      </c>
      <c r="F27" s="690">
        <f t="shared" ref="F27:F37" si="9">$F$25</f>
        <v>365</v>
      </c>
      <c r="G27" s="689">
        <f t="shared" si="6"/>
        <v>-2053365.2356567259</v>
      </c>
      <c r="H27" s="542"/>
      <c r="I27" s="689">
        <f t="shared" ref="I27:I37" si="10">J27-J26</f>
        <v>-1295814</v>
      </c>
      <c r="J27" s="689">
        <v>-836880477</v>
      </c>
      <c r="K27" s="689">
        <f t="shared" si="7"/>
        <v>6702282.0907394886</v>
      </c>
    </row>
    <row r="28" spans="1:12">
      <c r="A28" s="542">
        <v>43190</v>
      </c>
      <c r="B28" s="542"/>
      <c r="C28" s="689">
        <v>-849350441.11590886</v>
      </c>
      <c r="D28" s="689">
        <f t="shared" si="8"/>
        <v>-5767682.0251693726</v>
      </c>
      <c r="E28" s="690">
        <f t="shared" ref="E28:E36" si="11">E27-(A28-A27)</f>
        <v>276</v>
      </c>
      <c r="F28" s="690">
        <f t="shared" si="9"/>
        <v>365</v>
      </c>
      <c r="G28" s="689">
        <f t="shared" si="6"/>
        <v>-4361315.7231417717</v>
      </c>
      <c r="H28" s="542"/>
      <c r="I28" s="689">
        <f t="shared" si="10"/>
        <v>-1065295</v>
      </c>
      <c r="J28" s="689">
        <v>-837945772</v>
      </c>
      <c r="K28" s="689">
        <f t="shared" si="7"/>
        <v>11404669.115908861</v>
      </c>
    </row>
    <row r="29" spans="1:12">
      <c r="A29" s="542">
        <v>43220</v>
      </c>
      <c r="B29" s="542"/>
      <c r="C29" s="689">
        <v>-851615285.51540422</v>
      </c>
      <c r="D29" s="689">
        <f t="shared" si="8"/>
        <v>-2264844.3994953632</v>
      </c>
      <c r="E29" s="690">
        <f t="shared" si="11"/>
        <v>246</v>
      </c>
      <c r="F29" s="690">
        <f t="shared" si="9"/>
        <v>365</v>
      </c>
      <c r="G29" s="689">
        <f t="shared" si="6"/>
        <v>-1526443.0747283818</v>
      </c>
      <c r="H29" s="542"/>
      <c r="I29" s="689">
        <f t="shared" si="10"/>
        <v>-2913100</v>
      </c>
      <c r="J29" s="689">
        <v>-840858872</v>
      </c>
      <c r="K29" s="689">
        <f t="shared" si="7"/>
        <v>10756413.515404224</v>
      </c>
    </row>
    <row r="30" spans="1:12">
      <c r="A30" s="542">
        <v>43251</v>
      </c>
      <c r="B30" s="542"/>
      <c r="C30" s="689">
        <v>-854149377.09084582</v>
      </c>
      <c r="D30" s="689">
        <f t="shared" si="8"/>
        <v>-2534091.5754415989</v>
      </c>
      <c r="E30" s="690">
        <f t="shared" si="11"/>
        <v>215</v>
      </c>
      <c r="F30" s="690">
        <f t="shared" si="9"/>
        <v>365</v>
      </c>
      <c r="G30" s="689">
        <f t="shared" si="6"/>
        <v>-1492684.0786847775</v>
      </c>
      <c r="H30" s="542"/>
      <c r="I30" s="689">
        <f t="shared" si="10"/>
        <v>-3024280</v>
      </c>
      <c r="J30" s="689">
        <v>-843883152</v>
      </c>
      <c r="K30" s="689">
        <f t="shared" si="7"/>
        <v>10266225.090845823</v>
      </c>
    </row>
    <row r="31" spans="1:12">
      <c r="A31" s="542">
        <v>43281</v>
      </c>
      <c r="B31" s="542"/>
      <c r="C31" s="689">
        <v>-858798748.7518698</v>
      </c>
      <c r="D31" s="689">
        <f t="shared" si="8"/>
        <v>-4649371.6610239744</v>
      </c>
      <c r="E31" s="690">
        <f t="shared" si="11"/>
        <v>185</v>
      </c>
      <c r="F31" s="690">
        <f t="shared" si="9"/>
        <v>365</v>
      </c>
      <c r="G31" s="689">
        <f t="shared" si="6"/>
        <v>-2356530.8418888636</v>
      </c>
      <c r="H31" s="542"/>
      <c r="I31" s="689">
        <f t="shared" si="10"/>
        <v>-273911</v>
      </c>
      <c r="J31" s="689">
        <v>-844157063</v>
      </c>
      <c r="K31" s="689">
        <f t="shared" si="7"/>
        <v>14641685.751869798</v>
      </c>
    </row>
    <row r="32" spans="1:12">
      <c r="A32" s="542">
        <v>43312</v>
      </c>
      <c r="B32" s="542"/>
      <c r="C32" s="689">
        <v>-862468277.03522825</v>
      </c>
      <c r="D32" s="689">
        <f t="shared" si="8"/>
        <v>-3669528.2833584547</v>
      </c>
      <c r="E32" s="690">
        <f t="shared" si="11"/>
        <v>154</v>
      </c>
      <c r="F32" s="690">
        <f t="shared" si="9"/>
        <v>365</v>
      </c>
      <c r="G32" s="689">
        <f t="shared" si="6"/>
        <v>-1548239.3305128822</v>
      </c>
      <c r="H32" s="542"/>
      <c r="I32" s="689">
        <f t="shared" si="10"/>
        <v>-2477367</v>
      </c>
      <c r="J32" s="689">
        <v>-846634430</v>
      </c>
      <c r="K32" s="689">
        <f t="shared" si="7"/>
        <v>15833847.035228252</v>
      </c>
    </row>
    <row r="33" spans="1:11">
      <c r="A33" s="542">
        <v>43343</v>
      </c>
      <c r="B33" s="542"/>
      <c r="C33" s="689">
        <v>-870383495.20216453</v>
      </c>
      <c r="D33" s="689">
        <f t="shared" si="8"/>
        <v>-7915218.1669362783</v>
      </c>
      <c r="E33" s="690">
        <f t="shared" si="11"/>
        <v>123</v>
      </c>
      <c r="F33" s="690">
        <f t="shared" si="9"/>
        <v>365</v>
      </c>
      <c r="G33" s="689">
        <f t="shared" si="6"/>
        <v>-2667320.0946114035</v>
      </c>
      <c r="H33" s="542"/>
      <c r="I33" s="689">
        <f t="shared" si="10"/>
        <v>-1994813</v>
      </c>
      <c r="J33" s="689">
        <v>-848629243</v>
      </c>
      <c r="K33" s="689">
        <f t="shared" si="7"/>
        <v>21754252.202164531</v>
      </c>
    </row>
    <row r="34" spans="1:11">
      <c r="A34" s="542">
        <v>43373</v>
      </c>
      <c r="B34" s="542"/>
      <c r="C34" s="689">
        <v>-877187639.91906416</v>
      </c>
      <c r="D34" s="689">
        <f t="shared" si="8"/>
        <v>-6804144.7168996334</v>
      </c>
      <c r="E34" s="690">
        <f t="shared" si="11"/>
        <v>93</v>
      </c>
      <c r="F34" s="690">
        <f t="shared" si="9"/>
        <v>365</v>
      </c>
      <c r="G34" s="689">
        <f t="shared" si="6"/>
        <v>-1733658.7908812764</v>
      </c>
      <c r="H34" s="542"/>
      <c r="I34" s="689">
        <f t="shared" si="10"/>
        <v>-2260901</v>
      </c>
      <c r="J34" s="689">
        <v>-850890144</v>
      </c>
      <c r="K34" s="689">
        <f t="shared" si="7"/>
        <v>26297495.919064164</v>
      </c>
    </row>
    <row r="35" spans="1:11">
      <c r="A35" s="542">
        <v>43404</v>
      </c>
      <c r="B35" s="542"/>
      <c r="C35" s="689">
        <v>-884649484.77999091</v>
      </c>
      <c r="D35" s="689">
        <f t="shared" si="8"/>
        <v>-7461844.8609267473</v>
      </c>
      <c r="E35" s="690">
        <f t="shared" si="11"/>
        <v>62</v>
      </c>
      <c r="F35" s="690">
        <f t="shared" si="9"/>
        <v>365</v>
      </c>
      <c r="G35" s="689">
        <f t="shared" si="6"/>
        <v>-1267491.455828653</v>
      </c>
      <c r="H35" s="542"/>
      <c r="I35" s="689">
        <f t="shared" si="10"/>
        <v>-9660566</v>
      </c>
      <c r="J35" s="689">
        <v>-860550710</v>
      </c>
      <c r="K35" s="689">
        <f t="shared" si="7"/>
        <v>24098774.779990911</v>
      </c>
    </row>
    <row r="36" spans="1:11">
      <c r="A36" s="542">
        <v>43434</v>
      </c>
      <c r="B36" s="542"/>
      <c r="C36" s="689">
        <v>-906742995.21205032</v>
      </c>
      <c r="D36" s="689">
        <f t="shared" si="8"/>
        <v>-22093510.432059407</v>
      </c>
      <c r="E36" s="690">
        <f t="shared" si="11"/>
        <v>32</v>
      </c>
      <c r="F36" s="690">
        <f t="shared" si="9"/>
        <v>365</v>
      </c>
      <c r="G36" s="689">
        <f t="shared" si="6"/>
        <v>-1936965.2981531536</v>
      </c>
      <c r="H36" s="542"/>
      <c r="I36" s="689">
        <f t="shared" si="10"/>
        <v>-14343952</v>
      </c>
      <c r="J36" s="689">
        <v>-874894662</v>
      </c>
      <c r="K36" s="689">
        <f t="shared" si="7"/>
        <v>31848333.212050319</v>
      </c>
    </row>
    <row r="37" spans="1:11">
      <c r="A37" s="542">
        <v>43465</v>
      </c>
      <c r="B37" s="542"/>
      <c r="C37" s="689">
        <v>-913697384.12119007</v>
      </c>
      <c r="D37" s="689">
        <f t="shared" si="8"/>
        <v>-6954388.9091397524</v>
      </c>
      <c r="E37" s="690">
        <f>E36-(A37-A36)</f>
        <v>1</v>
      </c>
      <c r="F37" s="690">
        <f t="shared" si="9"/>
        <v>365</v>
      </c>
      <c r="G37" s="689">
        <f t="shared" si="6"/>
        <v>-19053.120299013019</v>
      </c>
      <c r="H37" s="542"/>
      <c r="I37" s="689">
        <f t="shared" si="10"/>
        <v>-26654617</v>
      </c>
      <c r="J37" s="689">
        <v>-901549279</v>
      </c>
      <c r="K37" s="689">
        <f t="shared" si="7"/>
        <v>12148105.121190071</v>
      </c>
    </row>
    <row r="38" spans="1:11" ht="13.8" thickBot="1">
      <c r="A38" s="542"/>
      <c r="B38" s="542"/>
      <c r="C38" s="689"/>
      <c r="D38" s="689"/>
      <c r="E38" s="690"/>
      <c r="F38" s="694" t="s">
        <v>803</v>
      </c>
      <c r="G38" s="695">
        <f>SUM(G25:G37)</f>
        <v>-861996864.34985507</v>
      </c>
      <c r="J38" s="694" t="s">
        <v>804</v>
      </c>
      <c r="K38" s="695">
        <f>SUM(K25:K37)/13</f>
        <v>15112873.756432496</v>
      </c>
    </row>
    <row r="39" spans="1:11" ht="13.8" thickTop="1">
      <c r="A39" s="542"/>
      <c r="B39" s="542"/>
      <c r="C39" s="689"/>
      <c r="D39" s="689"/>
      <c r="E39" s="690"/>
      <c r="F39" s="694"/>
      <c r="G39" s="692"/>
      <c r="J39" s="694"/>
      <c r="K39" s="692"/>
    </row>
    <row r="40" spans="1:11" ht="13.8" thickBot="1">
      <c r="F40" s="694"/>
      <c r="G40" s="692"/>
      <c r="J40" s="696" t="s">
        <v>807</v>
      </c>
      <c r="K40" s="697">
        <f>ROUND(SUM(G38,K38),0)</f>
        <v>-846883991</v>
      </c>
    </row>
    <row r="41" spans="1:11" ht="13.8" thickTop="1"/>
    <row r="42" spans="1:11">
      <c r="A42" s="541" t="s">
        <v>808</v>
      </c>
      <c r="B42" s="541"/>
      <c r="C42" s="541"/>
      <c r="D42" s="541"/>
      <c r="E42" s="541"/>
      <c r="F42" s="541"/>
      <c r="G42" s="541"/>
      <c r="H42" s="541"/>
      <c r="I42" s="541"/>
    </row>
    <row r="43" spans="1:11">
      <c r="A43" s="542">
        <v>43100</v>
      </c>
      <c r="B43" s="542"/>
      <c r="C43" s="689">
        <v>-4219178.3538909303</v>
      </c>
      <c r="D43" s="689">
        <v>0</v>
      </c>
      <c r="E43" s="690">
        <v>365</v>
      </c>
      <c r="F43" s="690">
        <f>E43</f>
        <v>365</v>
      </c>
      <c r="G43" s="689">
        <f>C43</f>
        <v>-4219178.3538909303</v>
      </c>
      <c r="H43" s="542"/>
      <c r="I43" s="689"/>
      <c r="J43" s="689">
        <v>-4193263</v>
      </c>
      <c r="K43" s="689">
        <f>J43-C43</f>
        <v>25915.353890930302</v>
      </c>
    </row>
    <row r="44" spans="1:11">
      <c r="A44" s="542">
        <v>43131</v>
      </c>
      <c r="B44" s="542"/>
      <c r="C44" s="689">
        <v>-4225759.1624150435</v>
      </c>
      <c r="D44" s="689">
        <f>C44-C43</f>
        <v>-6580.8085241131485</v>
      </c>
      <c r="E44" s="690">
        <f>E43-(A44-A43)+1</f>
        <v>335</v>
      </c>
      <c r="F44" s="690">
        <f>$F$43</f>
        <v>365</v>
      </c>
      <c r="G44" s="689">
        <f t="shared" ref="G44:G55" si="12">D44*E44/F44</f>
        <v>-6039.9201522682324</v>
      </c>
      <c r="H44" s="542"/>
      <c r="I44" s="689">
        <f>J44-J43</f>
        <v>24855</v>
      </c>
      <c r="J44" s="689">
        <v>-4168408</v>
      </c>
      <c r="K44" s="689">
        <f t="shared" ref="K44:K55" si="13">J44-C44</f>
        <v>57351.162415043451</v>
      </c>
    </row>
    <row r="45" spans="1:11">
      <c r="A45" s="542">
        <v>43159</v>
      </c>
      <c r="B45" s="542"/>
      <c r="C45" s="689">
        <v>-4238023.8473144164</v>
      </c>
      <c r="D45" s="689">
        <f t="shared" ref="D45:D55" si="14">C45-C44</f>
        <v>-12264.68489937298</v>
      </c>
      <c r="E45" s="690">
        <f>E44-(A45-A44)</f>
        <v>307</v>
      </c>
      <c r="F45" s="690">
        <f t="shared" ref="F45:F55" si="15">$F$43</f>
        <v>365</v>
      </c>
      <c r="G45" s="689">
        <f t="shared" si="12"/>
        <v>-10315.776066047958</v>
      </c>
      <c r="H45" s="542"/>
      <c r="I45" s="689">
        <f t="shared" ref="I45:I55" si="16">J45-J44</f>
        <v>24859</v>
      </c>
      <c r="J45" s="689">
        <v>-4143549</v>
      </c>
      <c r="K45" s="689">
        <f t="shared" si="13"/>
        <v>94474.847314416431</v>
      </c>
    </row>
    <row r="46" spans="1:11">
      <c r="A46" s="542">
        <v>43190</v>
      </c>
      <c r="B46" s="542"/>
      <c r="C46" s="689">
        <v>-4266999.7524084719</v>
      </c>
      <c r="D46" s="689">
        <f t="shared" si="14"/>
        <v>-28975.905094055459</v>
      </c>
      <c r="E46" s="690">
        <f t="shared" ref="E46:E54" si="17">E45-(A46-A45)</f>
        <v>276</v>
      </c>
      <c r="F46" s="690">
        <f t="shared" si="15"/>
        <v>365</v>
      </c>
      <c r="G46" s="689">
        <f t="shared" si="12"/>
        <v>-21910.547413587141</v>
      </c>
      <c r="H46" s="542"/>
      <c r="I46" s="689">
        <f t="shared" si="16"/>
        <v>-3704</v>
      </c>
      <c r="J46" s="689">
        <v>-4147253</v>
      </c>
      <c r="K46" s="689">
        <f t="shared" si="13"/>
        <v>119746.75240847189</v>
      </c>
    </row>
    <row r="47" spans="1:11">
      <c r="A47" s="542">
        <v>43220</v>
      </c>
      <c r="B47" s="542"/>
      <c r="C47" s="689">
        <v>-4278377.965716036</v>
      </c>
      <c r="D47" s="689">
        <f t="shared" si="14"/>
        <v>-11378.213307564147</v>
      </c>
      <c r="E47" s="690">
        <f t="shared" si="17"/>
        <v>246</v>
      </c>
      <c r="F47" s="690">
        <f t="shared" si="15"/>
        <v>365</v>
      </c>
      <c r="G47" s="689">
        <f t="shared" si="12"/>
        <v>-7668.604037426795</v>
      </c>
      <c r="H47" s="542"/>
      <c r="I47" s="689">
        <f t="shared" si="16"/>
        <v>23498</v>
      </c>
      <c r="J47" s="689">
        <v>-4123755</v>
      </c>
      <c r="K47" s="689">
        <f t="shared" si="13"/>
        <v>154622.96571603604</v>
      </c>
    </row>
    <row r="48" spans="1:11">
      <c r="A48" s="542">
        <v>43251</v>
      </c>
      <c r="B48" s="542"/>
      <c r="C48" s="689">
        <v>-4291108.8334492454</v>
      </c>
      <c r="D48" s="689">
        <f t="shared" si="14"/>
        <v>-12730.867733209394</v>
      </c>
      <c r="E48" s="690">
        <f t="shared" si="17"/>
        <v>215</v>
      </c>
      <c r="F48" s="690">
        <f t="shared" si="15"/>
        <v>365</v>
      </c>
      <c r="G48" s="689">
        <f t="shared" si="12"/>
        <v>-7499.0042812055335</v>
      </c>
      <c r="H48" s="542"/>
      <c r="I48" s="689">
        <f t="shared" si="16"/>
        <v>24857</v>
      </c>
      <c r="J48" s="689">
        <v>-4098898</v>
      </c>
      <c r="K48" s="689">
        <f t="shared" si="13"/>
        <v>192210.83344924543</v>
      </c>
    </row>
    <row r="49" spans="1:12">
      <c r="A49" s="542">
        <v>43281</v>
      </c>
      <c r="B49" s="542"/>
      <c r="C49" s="689">
        <v>-4314466.5274776127</v>
      </c>
      <c r="D49" s="689">
        <f t="shared" si="14"/>
        <v>-23357.694028367288</v>
      </c>
      <c r="E49" s="690">
        <f t="shared" si="17"/>
        <v>185</v>
      </c>
      <c r="F49" s="690">
        <f t="shared" si="15"/>
        <v>365</v>
      </c>
      <c r="G49" s="689">
        <f t="shared" si="12"/>
        <v>-11838.831219857393</v>
      </c>
      <c r="H49" s="542"/>
      <c r="I49" s="689">
        <f t="shared" si="16"/>
        <v>-242967</v>
      </c>
      <c r="J49" s="689">
        <v>-4341865</v>
      </c>
      <c r="K49" s="689">
        <f t="shared" si="13"/>
        <v>-27398.472522387281</v>
      </c>
    </row>
    <row r="50" spans="1:12">
      <c r="A50" s="542">
        <v>43312</v>
      </c>
      <c r="B50" s="542"/>
      <c r="C50" s="689">
        <v>-4332901.64626789</v>
      </c>
      <c r="D50" s="689">
        <f t="shared" si="14"/>
        <v>-18435.11879027728</v>
      </c>
      <c r="E50" s="690">
        <f t="shared" si="17"/>
        <v>154</v>
      </c>
      <c r="F50" s="690">
        <f t="shared" si="15"/>
        <v>365</v>
      </c>
      <c r="G50" s="689">
        <f t="shared" si="12"/>
        <v>-7778.1049142539759</v>
      </c>
      <c r="H50" s="542"/>
      <c r="I50" s="689">
        <f t="shared" si="16"/>
        <v>24141</v>
      </c>
      <c r="J50" s="689">
        <v>-4317724</v>
      </c>
      <c r="K50" s="689">
        <f t="shared" si="13"/>
        <v>15177.646267889999</v>
      </c>
    </row>
    <row r="51" spans="1:12">
      <c r="A51" s="542">
        <v>43343</v>
      </c>
      <c r="B51" s="542"/>
      <c r="C51" s="689">
        <v>-4372666.4268856551</v>
      </c>
      <c r="D51" s="689">
        <f t="shared" si="14"/>
        <v>-39764.780617765151</v>
      </c>
      <c r="E51" s="690">
        <f t="shared" si="17"/>
        <v>123</v>
      </c>
      <c r="F51" s="690">
        <f t="shared" si="15"/>
        <v>365</v>
      </c>
      <c r="G51" s="689">
        <f t="shared" si="12"/>
        <v>-13400.186345164695</v>
      </c>
      <c r="H51" s="542"/>
      <c r="I51" s="689">
        <f t="shared" si="16"/>
        <v>24140</v>
      </c>
      <c r="J51" s="689">
        <v>-4293584</v>
      </c>
      <c r="K51" s="689">
        <f t="shared" si="13"/>
        <v>79082.42688565515</v>
      </c>
    </row>
    <row r="52" spans="1:12">
      <c r="A52" s="542">
        <v>43373</v>
      </c>
      <c r="B52" s="542"/>
      <c r="C52" s="689">
        <v>-4406849.3535280637</v>
      </c>
      <c r="D52" s="689">
        <f t="shared" si="14"/>
        <v>-34182.926642408594</v>
      </c>
      <c r="E52" s="690">
        <f t="shared" si="17"/>
        <v>93</v>
      </c>
      <c r="F52" s="690">
        <f t="shared" si="15"/>
        <v>365</v>
      </c>
      <c r="G52" s="689">
        <f t="shared" si="12"/>
        <v>-8709.6224047780797</v>
      </c>
      <c r="H52" s="542"/>
      <c r="I52" s="689">
        <f t="shared" si="16"/>
        <v>24140</v>
      </c>
      <c r="J52" s="689">
        <v>-4269444</v>
      </c>
      <c r="K52" s="689">
        <f t="shared" si="13"/>
        <v>137405.35352806374</v>
      </c>
    </row>
    <row r="53" spans="1:12">
      <c r="A53" s="542">
        <v>43404</v>
      </c>
      <c r="B53" s="542"/>
      <c r="C53" s="689">
        <v>-4444336.4597127056</v>
      </c>
      <c r="D53" s="689">
        <f t="shared" si="14"/>
        <v>-37487.106184641831</v>
      </c>
      <c r="E53" s="690">
        <f t="shared" si="17"/>
        <v>62</v>
      </c>
      <c r="F53" s="690">
        <f t="shared" si="15"/>
        <v>365</v>
      </c>
      <c r="G53" s="689">
        <f t="shared" si="12"/>
        <v>-6367.6728313638177</v>
      </c>
      <c r="H53" s="542"/>
      <c r="I53" s="689">
        <f t="shared" si="16"/>
        <v>1128819</v>
      </c>
      <c r="J53" s="689">
        <v>-3140625</v>
      </c>
      <c r="K53" s="689">
        <f t="shared" si="13"/>
        <v>1303711.4597127056</v>
      </c>
    </row>
    <row r="54" spans="1:12">
      <c r="A54" s="542">
        <v>43434</v>
      </c>
      <c r="B54" s="542"/>
      <c r="C54" s="689">
        <v>-4555330.6959899869</v>
      </c>
      <c r="D54" s="689">
        <f t="shared" si="14"/>
        <v>-110994.23627728131</v>
      </c>
      <c r="E54" s="690">
        <f t="shared" si="17"/>
        <v>32</v>
      </c>
      <c r="F54" s="690">
        <f t="shared" si="15"/>
        <v>365</v>
      </c>
      <c r="G54" s="689">
        <f t="shared" si="12"/>
        <v>-9731.0015366383614</v>
      </c>
      <c r="H54" s="542"/>
      <c r="I54" s="689">
        <f t="shared" si="16"/>
        <v>134136</v>
      </c>
      <c r="J54" s="689">
        <v>-3006489</v>
      </c>
      <c r="K54" s="689">
        <f t="shared" si="13"/>
        <v>1548841.6959899869</v>
      </c>
    </row>
    <row r="55" spans="1:12">
      <c r="A55" s="542">
        <v>43465</v>
      </c>
      <c r="B55" s="542"/>
      <c r="C55" s="689">
        <v>-4590268.4252439607</v>
      </c>
      <c r="D55" s="689">
        <f t="shared" si="14"/>
        <v>-34937.729253973812</v>
      </c>
      <c r="E55" s="690">
        <f>E54-(A55-A54)</f>
        <v>1</v>
      </c>
      <c r="F55" s="690">
        <f t="shared" si="15"/>
        <v>365</v>
      </c>
      <c r="G55" s="689">
        <f t="shared" si="12"/>
        <v>-95.719806175270719</v>
      </c>
      <c r="H55" s="542"/>
      <c r="I55" s="689">
        <f t="shared" si="16"/>
        <v>134408</v>
      </c>
      <c r="J55" s="689">
        <v>-2872081</v>
      </c>
      <c r="K55" s="689">
        <f t="shared" si="13"/>
        <v>1718187.4252439607</v>
      </c>
    </row>
    <row r="56" spans="1:12" ht="13.8" thickBot="1">
      <c r="F56" s="694" t="s">
        <v>803</v>
      </c>
      <c r="G56" s="695">
        <f>SUM(G43:G55)</f>
        <v>-4330533.3448996982</v>
      </c>
      <c r="J56" s="694" t="s">
        <v>804</v>
      </c>
      <c r="K56" s="695">
        <f>SUM(K43:K55)/13</f>
        <v>416871.4961769245</v>
      </c>
    </row>
    <row r="57" spans="1:12" ht="13.8" thickTop="1">
      <c r="F57" s="694"/>
      <c r="G57" s="692"/>
      <c r="J57" s="694"/>
      <c r="K57" s="692"/>
    </row>
    <row r="58" spans="1:12" ht="13.8" thickBot="1">
      <c r="F58" s="694"/>
      <c r="G58" s="692"/>
      <c r="J58" s="696" t="s">
        <v>809</v>
      </c>
      <c r="K58" s="697">
        <f>ROUND(SUM(G56,K56),0)</f>
        <v>-3913662</v>
      </c>
    </row>
    <row r="59" spans="1:12" ht="13.8" thickTop="1"/>
    <row r="60" spans="1:12" s="520" customFormat="1">
      <c r="L60" s="693"/>
    </row>
    <row r="64" spans="1:12">
      <c r="K64" s="689"/>
    </row>
  </sheetData>
  <pageMargins left="0.75" right="0.75" top="1" bottom="1" header="0.5" footer="0.5"/>
  <pageSetup scale="74"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6"/>
  <sheetViews>
    <sheetView zoomScale="90" zoomScaleNormal="90" workbookViewId="0">
      <selection activeCell="L70" sqref="L70"/>
    </sheetView>
  </sheetViews>
  <sheetFormatPr defaultRowHeight="13.2"/>
  <cols>
    <col min="1" max="1" width="53.33203125" style="480" bestFit="1" customWidth="1"/>
    <col min="2" max="2" width="15.6640625" style="480" bestFit="1" customWidth="1"/>
    <col min="3" max="3" width="9.6640625" style="480" customWidth="1"/>
    <col min="4" max="4" width="17.33203125" style="480" bestFit="1" customWidth="1"/>
    <col min="5" max="5" width="14" style="480" customWidth="1"/>
    <col min="6" max="6" width="3.33203125" style="480" customWidth="1"/>
    <col min="7" max="7" width="11.109375" style="543" bestFit="1" customWidth="1"/>
    <col min="8" max="8" width="16.33203125" style="480" customWidth="1"/>
    <col min="9" max="256" width="9.109375" style="480"/>
    <col min="257" max="257" width="40.6640625" style="480" customWidth="1"/>
    <col min="258" max="258" width="15.6640625" style="480" bestFit="1" customWidth="1"/>
    <col min="259" max="259" width="9.6640625" style="480" customWidth="1"/>
    <col min="260" max="260" width="17.33203125" style="480" bestFit="1" customWidth="1"/>
    <col min="261" max="261" width="14" style="480" customWidth="1"/>
    <col min="262" max="262" width="3.33203125" style="480" customWidth="1"/>
    <col min="263" max="263" width="11.109375" style="480" bestFit="1" customWidth="1"/>
    <col min="264" max="264" width="16.33203125" style="480" customWidth="1"/>
    <col min="265" max="512" width="9.109375" style="480"/>
    <col min="513" max="513" width="40.6640625" style="480" customWidth="1"/>
    <col min="514" max="514" width="15.6640625" style="480" bestFit="1" customWidth="1"/>
    <col min="515" max="515" width="9.6640625" style="480" customWidth="1"/>
    <col min="516" max="516" width="17.33203125" style="480" bestFit="1" customWidth="1"/>
    <col min="517" max="517" width="14" style="480" customWidth="1"/>
    <col min="518" max="518" width="3.33203125" style="480" customWidth="1"/>
    <col min="519" max="519" width="11.109375" style="480" bestFit="1" customWidth="1"/>
    <col min="520" max="520" width="16.33203125" style="480" customWidth="1"/>
    <col min="521" max="768" width="9.109375" style="480"/>
    <col min="769" max="769" width="40.6640625" style="480" customWidth="1"/>
    <col min="770" max="770" width="15.6640625" style="480" bestFit="1" customWidth="1"/>
    <col min="771" max="771" width="9.6640625" style="480" customWidth="1"/>
    <col min="772" max="772" width="17.33203125" style="480" bestFit="1" customWidth="1"/>
    <col min="773" max="773" width="14" style="480" customWidth="1"/>
    <col min="774" max="774" width="3.33203125" style="480" customWidth="1"/>
    <col min="775" max="775" width="11.109375" style="480" bestFit="1" customWidth="1"/>
    <col min="776" max="776" width="16.33203125" style="480" customWidth="1"/>
    <col min="777" max="1024" width="9.109375" style="480"/>
    <col min="1025" max="1025" width="40.6640625" style="480" customWidth="1"/>
    <col min="1026" max="1026" width="15.6640625" style="480" bestFit="1" customWidth="1"/>
    <col min="1027" max="1027" width="9.6640625" style="480" customWidth="1"/>
    <col min="1028" max="1028" width="17.33203125" style="480" bestFit="1" customWidth="1"/>
    <col min="1029" max="1029" width="14" style="480" customWidth="1"/>
    <col min="1030" max="1030" width="3.33203125" style="480" customWidth="1"/>
    <col min="1031" max="1031" width="11.109375" style="480" bestFit="1" customWidth="1"/>
    <col min="1032" max="1032" width="16.33203125" style="480" customWidth="1"/>
    <col min="1033" max="1280" width="9.109375" style="480"/>
    <col min="1281" max="1281" width="40.6640625" style="480" customWidth="1"/>
    <col min="1282" max="1282" width="15.6640625" style="480" bestFit="1" customWidth="1"/>
    <col min="1283" max="1283" width="9.6640625" style="480" customWidth="1"/>
    <col min="1284" max="1284" width="17.33203125" style="480" bestFit="1" customWidth="1"/>
    <col min="1285" max="1285" width="14" style="480" customWidth="1"/>
    <col min="1286" max="1286" width="3.33203125" style="480" customWidth="1"/>
    <col min="1287" max="1287" width="11.109375" style="480" bestFit="1" customWidth="1"/>
    <col min="1288" max="1288" width="16.33203125" style="480" customWidth="1"/>
    <col min="1289" max="1536" width="9.109375" style="480"/>
    <col min="1537" max="1537" width="40.6640625" style="480" customWidth="1"/>
    <col min="1538" max="1538" width="15.6640625" style="480" bestFit="1" customWidth="1"/>
    <col min="1539" max="1539" width="9.6640625" style="480" customWidth="1"/>
    <col min="1540" max="1540" width="17.33203125" style="480" bestFit="1" customWidth="1"/>
    <col min="1541" max="1541" width="14" style="480" customWidth="1"/>
    <col min="1542" max="1542" width="3.33203125" style="480" customWidth="1"/>
    <col min="1543" max="1543" width="11.109375" style="480" bestFit="1" customWidth="1"/>
    <col min="1544" max="1544" width="16.33203125" style="480" customWidth="1"/>
    <col min="1545" max="1792" width="9.109375" style="480"/>
    <col min="1793" max="1793" width="40.6640625" style="480" customWidth="1"/>
    <col min="1794" max="1794" width="15.6640625" style="480" bestFit="1" customWidth="1"/>
    <col min="1795" max="1795" width="9.6640625" style="480" customWidth="1"/>
    <col min="1796" max="1796" width="17.33203125" style="480" bestFit="1" customWidth="1"/>
    <col min="1797" max="1797" width="14" style="480" customWidth="1"/>
    <col min="1798" max="1798" width="3.33203125" style="480" customWidth="1"/>
    <col min="1799" max="1799" width="11.109375" style="480" bestFit="1" customWidth="1"/>
    <col min="1800" max="1800" width="16.33203125" style="480" customWidth="1"/>
    <col min="1801" max="2048" width="9.109375" style="480"/>
    <col min="2049" max="2049" width="40.6640625" style="480" customWidth="1"/>
    <col min="2050" max="2050" width="15.6640625" style="480" bestFit="1" customWidth="1"/>
    <col min="2051" max="2051" width="9.6640625" style="480" customWidth="1"/>
    <col min="2052" max="2052" width="17.33203125" style="480" bestFit="1" customWidth="1"/>
    <col min="2053" max="2053" width="14" style="480" customWidth="1"/>
    <col min="2054" max="2054" width="3.33203125" style="480" customWidth="1"/>
    <col min="2055" max="2055" width="11.109375" style="480" bestFit="1" customWidth="1"/>
    <col min="2056" max="2056" width="16.33203125" style="480" customWidth="1"/>
    <col min="2057" max="2304" width="9.109375" style="480"/>
    <col min="2305" max="2305" width="40.6640625" style="480" customWidth="1"/>
    <col min="2306" max="2306" width="15.6640625" style="480" bestFit="1" customWidth="1"/>
    <col min="2307" max="2307" width="9.6640625" style="480" customWidth="1"/>
    <col min="2308" max="2308" width="17.33203125" style="480" bestFit="1" customWidth="1"/>
    <col min="2309" max="2309" width="14" style="480" customWidth="1"/>
    <col min="2310" max="2310" width="3.33203125" style="480" customWidth="1"/>
    <col min="2311" max="2311" width="11.109375" style="480" bestFit="1" customWidth="1"/>
    <col min="2312" max="2312" width="16.33203125" style="480" customWidth="1"/>
    <col min="2313" max="2560" width="9.109375" style="480"/>
    <col min="2561" max="2561" width="40.6640625" style="480" customWidth="1"/>
    <col min="2562" max="2562" width="15.6640625" style="480" bestFit="1" customWidth="1"/>
    <col min="2563" max="2563" width="9.6640625" style="480" customWidth="1"/>
    <col min="2564" max="2564" width="17.33203125" style="480" bestFit="1" customWidth="1"/>
    <col min="2565" max="2565" width="14" style="480" customWidth="1"/>
    <col min="2566" max="2566" width="3.33203125" style="480" customWidth="1"/>
    <col min="2567" max="2567" width="11.109375" style="480" bestFit="1" customWidth="1"/>
    <col min="2568" max="2568" width="16.33203125" style="480" customWidth="1"/>
    <col min="2569" max="2816" width="9.109375" style="480"/>
    <col min="2817" max="2817" width="40.6640625" style="480" customWidth="1"/>
    <col min="2818" max="2818" width="15.6640625" style="480" bestFit="1" customWidth="1"/>
    <col min="2819" max="2819" width="9.6640625" style="480" customWidth="1"/>
    <col min="2820" max="2820" width="17.33203125" style="480" bestFit="1" customWidth="1"/>
    <col min="2821" max="2821" width="14" style="480" customWidth="1"/>
    <col min="2822" max="2822" width="3.33203125" style="480" customWidth="1"/>
    <col min="2823" max="2823" width="11.109375" style="480" bestFit="1" customWidth="1"/>
    <col min="2824" max="2824" width="16.33203125" style="480" customWidth="1"/>
    <col min="2825" max="3072" width="9.109375" style="480"/>
    <col min="3073" max="3073" width="40.6640625" style="480" customWidth="1"/>
    <col min="3074" max="3074" width="15.6640625" style="480" bestFit="1" customWidth="1"/>
    <col min="3075" max="3075" width="9.6640625" style="480" customWidth="1"/>
    <col min="3076" max="3076" width="17.33203125" style="480" bestFit="1" customWidth="1"/>
    <col min="3077" max="3077" width="14" style="480" customWidth="1"/>
    <col min="3078" max="3078" width="3.33203125" style="480" customWidth="1"/>
    <col min="3079" max="3079" width="11.109375" style="480" bestFit="1" customWidth="1"/>
    <col min="3080" max="3080" width="16.33203125" style="480" customWidth="1"/>
    <col min="3081" max="3328" width="9.109375" style="480"/>
    <col min="3329" max="3329" width="40.6640625" style="480" customWidth="1"/>
    <col min="3330" max="3330" width="15.6640625" style="480" bestFit="1" customWidth="1"/>
    <col min="3331" max="3331" width="9.6640625" style="480" customWidth="1"/>
    <col min="3332" max="3332" width="17.33203125" style="480" bestFit="1" customWidth="1"/>
    <col min="3333" max="3333" width="14" style="480" customWidth="1"/>
    <col min="3334" max="3334" width="3.33203125" style="480" customWidth="1"/>
    <col min="3335" max="3335" width="11.109375" style="480" bestFit="1" customWidth="1"/>
    <col min="3336" max="3336" width="16.33203125" style="480" customWidth="1"/>
    <col min="3337" max="3584" width="9.109375" style="480"/>
    <col min="3585" max="3585" width="40.6640625" style="480" customWidth="1"/>
    <col min="3586" max="3586" width="15.6640625" style="480" bestFit="1" customWidth="1"/>
    <col min="3587" max="3587" width="9.6640625" style="480" customWidth="1"/>
    <col min="3588" max="3588" width="17.33203125" style="480" bestFit="1" customWidth="1"/>
    <col min="3589" max="3589" width="14" style="480" customWidth="1"/>
    <col min="3590" max="3590" width="3.33203125" style="480" customWidth="1"/>
    <col min="3591" max="3591" width="11.109375" style="480" bestFit="1" customWidth="1"/>
    <col min="3592" max="3592" width="16.33203125" style="480" customWidth="1"/>
    <col min="3593" max="3840" width="9.109375" style="480"/>
    <col min="3841" max="3841" width="40.6640625" style="480" customWidth="1"/>
    <col min="3842" max="3842" width="15.6640625" style="480" bestFit="1" customWidth="1"/>
    <col min="3843" max="3843" width="9.6640625" style="480" customWidth="1"/>
    <col min="3844" max="3844" width="17.33203125" style="480" bestFit="1" customWidth="1"/>
    <col min="3845" max="3845" width="14" style="480" customWidth="1"/>
    <col min="3846" max="3846" width="3.33203125" style="480" customWidth="1"/>
    <col min="3847" max="3847" width="11.109375" style="480" bestFit="1" customWidth="1"/>
    <col min="3848" max="3848" width="16.33203125" style="480" customWidth="1"/>
    <col min="3849" max="4096" width="9.109375" style="480"/>
    <col min="4097" max="4097" width="40.6640625" style="480" customWidth="1"/>
    <col min="4098" max="4098" width="15.6640625" style="480" bestFit="1" customWidth="1"/>
    <col min="4099" max="4099" width="9.6640625" style="480" customWidth="1"/>
    <col min="4100" max="4100" width="17.33203125" style="480" bestFit="1" customWidth="1"/>
    <col min="4101" max="4101" width="14" style="480" customWidth="1"/>
    <col min="4102" max="4102" width="3.33203125" style="480" customWidth="1"/>
    <col min="4103" max="4103" width="11.109375" style="480" bestFit="1" customWidth="1"/>
    <col min="4104" max="4104" width="16.33203125" style="480" customWidth="1"/>
    <col min="4105" max="4352" width="9.109375" style="480"/>
    <col min="4353" max="4353" width="40.6640625" style="480" customWidth="1"/>
    <col min="4354" max="4354" width="15.6640625" style="480" bestFit="1" customWidth="1"/>
    <col min="4355" max="4355" width="9.6640625" style="480" customWidth="1"/>
    <col min="4356" max="4356" width="17.33203125" style="480" bestFit="1" customWidth="1"/>
    <col min="4357" max="4357" width="14" style="480" customWidth="1"/>
    <col min="4358" max="4358" width="3.33203125" style="480" customWidth="1"/>
    <col min="4359" max="4359" width="11.109375" style="480" bestFit="1" customWidth="1"/>
    <col min="4360" max="4360" width="16.33203125" style="480" customWidth="1"/>
    <col min="4361" max="4608" width="9.109375" style="480"/>
    <col min="4609" max="4609" width="40.6640625" style="480" customWidth="1"/>
    <col min="4610" max="4610" width="15.6640625" style="480" bestFit="1" customWidth="1"/>
    <col min="4611" max="4611" width="9.6640625" style="480" customWidth="1"/>
    <col min="4612" max="4612" width="17.33203125" style="480" bestFit="1" customWidth="1"/>
    <col min="4613" max="4613" width="14" style="480" customWidth="1"/>
    <col min="4614" max="4614" width="3.33203125" style="480" customWidth="1"/>
    <col min="4615" max="4615" width="11.109375" style="480" bestFit="1" customWidth="1"/>
    <col min="4616" max="4616" width="16.33203125" style="480" customWidth="1"/>
    <col min="4617" max="4864" width="9.109375" style="480"/>
    <col min="4865" max="4865" width="40.6640625" style="480" customWidth="1"/>
    <col min="4866" max="4866" width="15.6640625" style="480" bestFit="1" customWidth="1"/>
    <col min="4867" max="4867" width="9.6640625" style="480" customWidth="1"/>
    <col min="4868" max="4868" width="17.33203125" style="480" bestFit="1" customWidth="1"/>
    <col min="4869" max="4869" width="14" style="480" customWidth="1"/>
    <col min="4870" max="4870" width="3.33203125" style="480" customWidth="1"/>
    <col min="4871" max="4871" width="11.109375" style="480" bestFit="1" customWidth="1"/>
    <col min="4872" max="4872" width="16.33203125" style="480" customWidth="1"/>
    <col min="4873" max="5120" width="9.109375" style="480"/>
    <col min="5121" max="5121" width="40.6640625" style="480" customWidth="1"/>
    <col min="5122" max="5122" width="15.6640625" style="480" bestFit="1" customWidth="1"/>
    <col min="5123" max="5123" width="9.6640625" style="480" customWidth="1"/>
    <col min="5124" max="5124" width="17.33203125" style="480" bestFit="1" customWidth="1"/>
    <col min="5125" max="5125" width="14" style="480" customWidth="1"/>
    <col min="5126" max="5126" width="3.33203125" style="480" customWidth="1"/>
    <col min="5127" max="5127" width="11.109375" style="480" bestFit="1" customWidth="1"/>
    <col min="5128" max="5128" width="16.33203125" style="480" customWidth="1"/>
    <col min="5129" max="5376" width="9.109375" style="480"/>
    <col min="5377" max="5377" width="40.6640625" style="480" customWidth="1"/>
    <col min="5378" max="5378" width="15.6640625" style="480" bestFit="1" customWidth="1"/>
    <col min="5379" max="5379" width="9.6640625" style="480" customWidth="1"/>
    <col min="5380" max="5380" width="17.33203125" style="480" bestFit="1" customWidth="1"/>
    <col min="5381" max="5381" width="14" style="480" customWidth="1"/>
    <col min="5382" max="5382" width="3.33203125" style="480" customWidth="1"/>
    <col min="5383" max="5383" width="11.109375" style="480" bestFit="1" customWidth="1"/>
    <col min="5384" max="5384" width="16.33203125" style="480" customWidth="1"/>
    <col min="5385" max="5632" width="9.109375" style="480"/>
    <col min="5633" max="5633" width="40.6640625" style="480" customWidth="1"/>
    <col min="5634" max="5634" width="15.6640625" style="480" bestFit="1" customWidth="1"/>
    <col min="5635" max="5635" width="9.6640625" style="480" customWidth="1"/>
    <col min="5636" max="5636" width="17.33203125" style="480" bestFit="1" customWidth="1"/>
    <col min="5637" max="5637" width="14" style="480" customWidth="1"/>
    <col min="5638" max="5638" width="3.33203125" style="480" customWidth="1"/>
    <col min="5639" max="5639" width="11.109375" style="480" bestFit="1" customWidth="1"/>
    <col min="5640" max="5640" width="16.33203125" style="480" customWidth="1"/>
    <col min="5641" max="5888" width="9.109375" style="480"/>
    <col min="5889" max="5889" width="40.6640625" style="480" customWidth="1"/>
    <col min="5890" max="5890" width="15.6640625" style="480" bestFit="1" customWidth="1"/>
    <col min="5891" max="5891" width="9.6640625" style="480" customWidth="1"/>
    <col min="5892" max="5892" width="17.33203125" style="480" bestFit="1" customWidth="1"/>
    <col min="5893" max="5893" width="14" style="480" customWidth="1"/>
    <col min="5894" max="5894" width="3.33203125" style="480" customWidth="1"/>
    <col min="5895" max="5895" width="11.109375" style="480" bestFit="1" customWidth="1"/>
    <col min="5896" max="5896" width="16.33203125" style="480" customWidth="1"/>
    <col min="5897" max="6144" width="9.109375" style="480"/>
    <col min="6145" max="6145" width="40.6640625" style="480" customWidth="1"/>
    <col min="6146" max="6146" width="15.6640625" style="480" bestFit="1" customWidth="1"/>
    <col min="6147" max="6147" width="9.6640625" style="480" customWidth="1"/>
    <col min="6148" max="6148" width="17.33203125" style="480" bestFit="1" customWidth="1"/>
    <col min="6149" max="6149" width="14" style="480" customWidth="1"/>
    <col min="6150" max="6150" width="3.33203125" style="480" customWidth="1"/>
    <col min="6151" max="6151" width="11.109375" style="480" bestFit="1" customWidth="1"/>
    <col min="6152" max="6152" width="16.33203125" style="480" customWidth="1"/>
    <col min="6153" max="6400" width="9.109375" style="480"/>
    <col min="6401" max="6401" width="40.6640625" style="480" customWidth="1"/>
    <col min="6402" max="6402" width="15.6640625" style="480" bestFit="1" customWidth="1"/>
    <col min="6403" max="6403" width="9.6640625" style="480" customWidth="1"/>
    <col min="6404" max="6404" width="17.33203125" style="480" bestFit="1" customWidth="1"/>
    <col min="6405" max="6405" width="14" style="480" customWidth="1"/>
    <col min="6406" max="6406" width="3.33203125" style="480" customWidth="1"/>
    <col min="6407" max="6407" width="11.109375" style="480" bestFit="1" customWidth="1"/>
    <col min="6408" max="6408" width="16.33203125" style="480" customWidth="1"/>
    <col min="6409" max="6656" width="9.109375" style="480"/>
    <col min="6657" max="6657" width="40.6640625" style="480" customWidth="1"/>
    <col min="6658" max="6658" width="15.6640625" style="480" bestFit="1" customWidth="1"/>
    <col min="6659" max="6659" width="9.6640625" style="480" customWidth="1"/>
    <col min="6660" max="6660" width="17.33203125" style="480" bestFit="1" customWidth="1"/>
    <col min="6661" max="6661" width="14" style="480" customWidth="1"/>
    <col min="6662" max="6662" width="3.33203125" style="480" customWidth="1"/>
    <col min="6663" max="6663" width="11.109375" style="480" bestFit="1" customWidth="1"/>
    <col min="6664" max="6664" width="16.33203125" style="480" customWidth="1"/>
    <col min="6665" max="6912" width="9.109375" style="480"/>
    <col min="6913" max="6913" width="40.6640625" style="480" customWidth="1"/>
    <col min="6914" max="6914" width="15.6640625" style="480" bestFit="1" customWidth="1"/>
    <col min="6915" max="6915" width="9.6640625" style="480" customWidth="1"/>
    <col min="6916" max="6916" width="17.33203125" style="480" bestFit="1" customWidth="1"/>
    <col min="6917" max="6917" width="14" style="480" customWidth="1"/>
    <col min="6918" max="6918" width="3.33203125" style="480" customWidth="1"/>
    <col min="6919" max="6919" width="11.109375" style="480" bestFit="1" customWidth="1"/>
    <col min="6920" max="6920" width="16.33203125" style="480" customWidth="1"/>
    <col min="6921" max="7168" width="9.109375" style="480"/>
    <col min="7169" max="7169" width="40.6640625" style="480" customWidth="1"/>
    <col min="7170" max="7170" width="15.6640625" style="480" bestFit="1" customWidth="1"/>
    <col min="7171" max="7171" width="9.6640625" style="480" customWidth="1"/>
    <col min="7172" max="7172" width="17.33203125" style="480" bestFit="1" customWidth="1"/>
    <col min="7173" max="7173" width="14" style="480" customWidth="1"/>
    <col min="7174" max="7174" width="3.33203125" style="480" customWidth="1"/>
    <col min="7175" max="7175" width="11.109375" style="480" bestFit="1" customWidth="1"/>
    <col min="7176" max="7176" width="16.33203125" style="480" customWidth="1"/>
    <col min="7177" max="7424" width="9.109375" style="480"/>
    <col min="7425" max="7425" width="40.6640625" style="480" customWidth="1"/>
    <col min="7426" max="7426" width="15.6640625" style="480" bestFit="1" customWidth="1"/>
    <col min="7427" max="7427" width="9.6640625" style="480" customWidth="1"/>
    <col min="7428" max="7428" width="17.33203125" style="480" bestFit="1" customWidth="1"/>
    <col min="7429" max="7429" width="14" style="480" customWidth="1"/>
    <col min="7430" max="7430" width="3.33203125" style="480" customWidth="1"/>
    <col min="7431" max="7431" width="11.109375" style="480" bestFit="1" customWidth="1"/>
    <col min="7432" max="7432" width="16.33203125" style="480" customWidth="1"/>
    <col min="7433" max="7680" width="9.109375" style="480"/>
    <col min="7681" max="7681" width="40.6640625" style="480" customWidth="1"/>
    <col min="7682" max="7682" width="15.6640625" style="480" bestFit="1" customWidth="1"/>
    <col min="7683" max="7683" width="9.6640625" style="480" customWidth="1"/>
    <col min="7684" max="7684" width="17.33203125" style="480" bestFit="1" customWidth="1"/>
    <col min="7685" max="7685" width="14" style="480" customWidth="1"/>
    <col min="7686" max="7686" width="3.33203125" style="480" customWidth="1"/>
    <col min="7687" max="7687" width="11.109375" style="480" bestFit="1" customWidth="1"/>
    <col min="7688" max="7688" width="16.33203125" style="480" customWidth="1"/>
    <col min="7689" max="7936" width="9.109375" style="480"/>
    <col min="7937" max="7937" width="40.6640625" style="480" customWidth="1"/>
    <col min="7938" max="7938" width="15.6640625" style="480" bestFit="1" customWidth="1"/>
    <col min="7939" max="7939" width="9.6640625" style="480" customWidth="1"/>
    <col min="7940" max="7940" width="17.33203125" style="480" bestFit="1" customWidth="1"/>
    <col min="7941" max="7941" width="14" style="480" customWidth="1"/>
    <col min="7942" max="7942" width="3.33203125" style="480" customWidth="1"/>
    <col min="7943" max="7943" width="11.109375" style="480" bestFit="1" customWidth="1"/>
    <col min="7944" max="7944" width="16.33203125" style="480" customWidth="1"/>
    <col min="7945" max="8192" width="9.109375" style="480"/>
    <col min="8193" max="8193" width="40.6640625" style="480" customWidth="1"/>
    <col min="8194" max="8194" width="15.6640625" style="480" bestFit="1" customWidth="1"/>
    <col min="8195" max="8195" width="9.6640625" style="480" customWidth="1"/>
    <col min="8196" max="8196" width="17.33203125" style="480" bestFit="1" customWidth="1"/>
    <col min="8197" max="8197" width="14" style="480" customWidth="1"/>
    <col min="8198" max="8198" width="3.33203125" style="480" customWidth="1"/>
    <col min="8199" max="8199" width="11.109375" style="480" bestFit="1" customWidth="1"/>
    <col min="8200" max="8200" width="16.33203125" style="480" customWidth="1"/>
    <col min="8201" max="8448" width="9.109375" style="480"/>
    <col min="8449" max="8449" width="40.6640625" style="480" customWidth="1"/>
    <col min="8450" max="8450" width="15.6640625" style="480" bestFit="1" customWidth="1"/>
    <col min="8451" max="8451" width="9.6640625" style="480" customWidth="1"/>
    <col min="8452" max="8452" width="17.33203125" style="480" bestFit="1" customWidth="1"/>
    <col min="8453" max="8453" width="14" style="480" customWidth="1"/>
    <col min="8454" max="8454" width="3.33203125" style="480" customWidth="1"/>
    <col min="8455" max="8455" width="11.109375" style="480" bestFit="1" customWidth="1"/>
    <col min="8456" max="8456" width="16.33203125" style="480" customWidth="1"/>
    <col min="8457" max="8704" width="9.109375" style="480"/>
    <col min="8705" max="8705" width="40.6640625" style="480" customWidth="1"/>
    <col min="8706" max="8706" width="15.6640625" style="480" bestFit="1" customWidth="1"/>
    <col min="8707" max="8707" width="9.6640625" style="480" customWidth="1"/>
    <col min="8708" max="8708" width="17.33203125" style="480" bestFit="1" customWidth="1"/>
    <col min="8709" max="8709" width="14" style="480" customWidth="1"/>
    <col min="8710" max="8710" width="3.33203125" style="480" customWidth="1"/>
    <col min="8711" max="8711" width="11.109375" style="480" bestFit="1" customWidth="1"/>
    <col min="8712" max="8712" width="16.33203125" style="480" customWidth="1"/>
    <col min="8713" max="8960" width="9.109375" style="480"/>
    <col min="8961" max="8961" width="40.6640625" style="480" customWidth="1"/>
    <col min="8962" max="8962" width="15.6640625" style="480" bestFit="1" customWidth="1"/>
    <col min="8963" max="8963" width="9.6640625" style="480" customWidth="1"/>
    <col min="8964" max="8964" width="17.33203125" style="480" bestFit="1" customWidth="1"/>
    <col min="8965" max="8965" width="14" style="480" customWidth="1"/>
    <col min="8966" max="8966" width="3.33203125" style="480" customWidth="1"/>
    <col min="8967" max="8967" width="11.109375" style="480" bestFit="1" customWidth="1"/>
    <col min="8968" max="8968" width="16.33203125" style="480" customWidth="1"/>
    <col min="8969" max="9216" width="9.109375" style="480"/>
    <col min="9217" max="9217" width="40.6640625" style="480" customWidth="1"/>
    <col min="9218" max="9218" width="15.6640625" style="480" bestFit="1" customWidth="1"/>
    <col min="9219" max="9219" width="9.6640625" style="480" customWidth="1"/>
    <col min="9220" max="9220" width="17.33203125" style="480" bestFit="1" customWidth="1"/>
    <col min="9221" max="9221" width="14" style="480" customWidth="1"/>
    <col min="9222" max="9222" width="3.33203125" style="480" customWidth="1"/>
    <col min="9223" max="9223" width="11.109375" style="480" bestFit="1" customWidth="1"/>
    <col min="9224" max="9224" width="16.33203125" style="480" customWidth="1"/>
    <col min="9225" max="9472" width="9.109375" style="480"/>
    <col min="9473" max="9473" width="40.6640625" style="480" customWidth="1"/>
    <col min="9474" max="9474" width="15.6640625" style="480" bestFit="1" customWidth="1"/>
    <col min="9475" max="9475" width="9.6640625" style="480" customWidth="1"/>
    <col min="9476" max="9476" width="17.33203125" style="480" bestFit="1" customWidth="1"/>
    <col min="9477" max="9477" width="14" style="480" customWidth="1"/>
    <col min="9478" max="9478" width="3.33203125" style="480" customWidth="1"/>
    <col min="9479" max="9479" width="11.109375" style="480" bestFit="1" customWidth="1"/>
    <col min="9480" max="9480" width="16.33203125" style="480" customWidth="1"/>
    <col min="9481" max="9728" width="9.109375" style="480"/>
    <col min="9729" max="9729" width="40.6640625" style="480" customWidth="1"/>
    <col min="9730" max="9730" width="15.6640625" style="480" bestFit="1" customWidth="1"/>
    <col min="9731" max="9731" width="9.6640625" style="480" customWidth="1"/>
    <col min="9732" max="9732" width="17.33203125" style="480" bestFit="1" customWidth="1"/>
    <col min="9733" max="9733" width="14" style="480" customWidth="1"/>
    <col min="9734" max="9734" width="3.33203125" style="480" customWidth="1"/>
    <col min="9735" max="9735" width="11.109375" style="480" bestFit="1" customWidth="1"/>
    <col min="9736" max="9736" width="16.33203125" style="480" customWidth="1"/>
    <col min="9737" max="9984" width="9.109375" style="480"/>
    <col min="9985" max="9985" width="40.6640625" style="480" customWidth="1"/>
    <col min="9986" max="9986" width="15.6640625" style="480" bestFit="1" customWidth="1"/>
    <col min="9987" max="9987" width="9.6640625" style="480" customWidth="1"/>
    <col min="9988" max="9988" width="17.33203125" style="480" bestFit="1" customWidth="1"/>
    <col min="9989" max="9989" width="14" style="480" customWidth="1"/>
    <col min="9990" max="9990" width="3.33203125" style="480" customWidth="1"/>
    <col min="9991" max="9991" width="11.109375" style="480" bestFit="1" customWidth="1"/>
    <col min="9992" max="9992" width="16.33203125" style="480" customWidth="1"/>
    <col min="9993" max="10240" width="9.109375" style="480"/>
    <col min="10241" max="10241" width="40.6640625" style="480" customWidth="1"/>
    <col min="10242" max="10242" width="15.6640625" style="480" bestFit="1" customWidth="1"/>
    <col min="10243" max="10243" width="9.6640625" style="480" customWidth="1"/>
    <col min="10244" max="10244" width="17.33203125" style="480" bestFit="1" customWidth="1"/>
    <col min="10245" max="10245" width="14" style="480" customWidth="1"/>
    <col min="10246" max="10246" width="3.33203125" style="480" customWidth="1"/>
    <col min="10247" max="10247" width="11.109375" style="480" bestFit="1" customWidth="1"/>
    <col min="10248" max="10248" width="16.33203125" style="480" customWidth="1"/>
    <col min="10249" max="10496" width="9.109375" style="480"/>
    <col min="10497" max="10497" width="40.6640625" style="480" customWidth="1"/>
    <col min="10498" max="10498" width="15.6640625" style="480" bestFit="1" customWidth="1"/>
    <col min="10499" max="10499" width="9.6640625" style="480" customWidth="1"/>
    <col min="10500" max="10500" width="17.33203125" style="480" bestFit="1" customWidth="1"/>
    <col min="10501" max="10501" width="14" style="480" customWidth="1"/>
    <col min="10502" max="10502" width="3.33203125" style="480" customWidth="1"/>
    <col min="10503" max="10503" width="11.109375" style="480" bestFit="1" customWidth="1"/>
    <col min="10504" max="10504" width="16.33203125" style="480" customWidth="1"/>
    <col min="10505" max="10752" width="9.109375" style="480"/>
    <col min="10753" max="10753" width="40.6640625" style="480" customWidth="1"/>
    <col min="10754" max="10754" width="15.6640625" style="480" bestFit="1" customWidth="1"/>
    <col min="10755" max="10755" width="9.6640625" style="480" customWidth="1"/>
    <col min="10756" max="10756" width="17.33203125" style="480" bestFit="1" customWidth="1"/>
    <col min="10757" max="10757" width="14" style="480" customWidth="1"/>
    <col min="10758" max="10758" width="3.33203125" style="480" customWidth="1"/>
    <col min="10759" max="10759" width="11.109375" style="480" bestFit="1" customWidth="1"/>
    <col min="10760" max="10760" width="16.33203125" style="480" customWidth="1"/>
    <col min="10761" max="11008" width="9.109375" style="480"/>
    <col min="11009" max="11009" width="40.6640625" style="480" customWidth="1"/>
    <col min="11010" max="11010" width="15.6640625" style="480" bestFit="1" customWidth="1"/>
    <col min="11011" max="11011" width="9.6640625" style="480" customWidth="1"/>
    <col min="11012" max="11012" width="17.33203125" style="480" bestFit="1" customWidth="1"/>
    <col min="11013" max="11013" width="14" style="480" customWidth="1"/>
    <col min="11014" max="11014" width="3.33203125" style="480" customWidth="1"/>
    <col min="11015" max="11015" width="11.109375" style="480" bestFit="1" customWidth="1"/>
    <col min="11016" max="11016" width="16.33203125" style="480" customWidth="1"/>
    <col min="11017" max="11264" width="9.109375" style="480"/>
    <col min="11265" max="11265" width="40.6640625" style="480" customWidth="1"/>
    <col min="11266" max="11266" width="15.6640625" style="480" bestFit="1" customWidth="1"/>
    <col min="11267" max="11267" width="9.6640625" style="480" customWidth="1"/>
    <col min="11268" max="11268" width="17.33203125" style="480" bestFit="1" customWidth="1"/>
    <col min="11269" max="11269" width="14" style="480" customWidth="1"/>
    <col min="11270" max="11270" width="3.33203125" style="480" customWidth="1"/>
    <col min="11271" max="11271" width="11.109375" style="480" bestFit="1" customWidth="1"/>
    <col min="11272" max="11272" width="16.33203125" style="480" customWidth="1"/>
    <col min="11273" max="11520" width="9.109375" style="480"/>
    <col min="11521" max="11521" width="40.6640625" style="480" customWidth="1"/>
    <col min="11522" max="11522" width="15.6640625" style="480" bestFit="1" customWidth="1"/>
    <col min="11523" max="11523" width="9.6640625" style="480" customWidth="1"/>
    <col min="11524" max="11524" width="17.33203125" style="480" bestFit="1" customWidth="1"/>
    <col min="11525" max="11525" width="14" style="480" customWidth="1"/>
    <col min="11526" max="11526" width="3.33203125" style="480" customWidth="1"/>
    <col min="11527" max="11527" width="11.109375" style="480" bestFit="1" customWidth="1"/>
    <col min="11528" max="11528" width="16.33203125" style="480" customWidth="1"/>
    <col min="11529" max="11776" width="9.109375" style="480"/>
    <col min="11777" max="11777" width="40.6640625" style="480" customWidth="1"/>
    <col min="11778" max="11778" width="15.6640625" style="480" bestFit="1" customWidth="1"/>
    <col min="11779" max="11779" width="9.6640625" style="480" customWidth="1"/>
    <col min="11780" max="11780" width="17.33203125" style="480" bestFit="1" customWidth="1"/>
    <col min="11781" max="11781" width="14" style="480" customWidth="1"/>
    <col min="11782" max="11782" width="3.33203125" style="480" customWidth="1"/>
    <col min="11783" max="11783" width="11.109375" style="480" bestFit="1" customWidth="1"/>
    <col min="11784" max="11784" width="16.33203125" style="480" customWidth="1"/>
    <col min="11785" max="12032" width="9.109375" style="480"/>
    <col min="12033" max="12033" width="40.6640625" style="480" customWidth="1"/>
    <col min="12034" max="12034" width="15.6640625" style="480" bestFit="1" customWidth="1"/>
    <col min="12035" max="12035" width="9.6640625" style="480" customWidth="1"/>
    <col min="12036" max="12036" width="17.33203125" style="480" bestFit="1" customWidth="1"/>
    <col min="12037" max="12037" width="14" style="480" customWidth="1"/>
    <col min="12038" max="12038" width="3.33203125" style="480" customWidth="1"/>
    <col min="12039" max="12039" width="11.109375" style="480" bestFit="1" customWidth="1"/>
    <col min="12040" max="12040" width="16.33203125" style="480" customWidth="1"/>
    <col min="12041" max="12288" width="9.109375" style="480"/>
    <col min="12289" max="12289" width="40.6640625" style="480" customWidth="1"/>
    <col min="12290" max="12290" width="15.6640625" style="480" bestFit="1" customWidth="1"/>
    <col min="12291" max="12291" width="9.6640625" style="480" customWidth="1"/>
    <col min="12292" max="12292" width="17.33203125" style="480" bestFit="1" customWidth="1"/>
    <col min="12293" max="12293" width="14" style="480" customWidth="1"/>
    <col min="12294" max="12294" width="3.33203125" style="480" customWidth="1"/>
    <col min="12295" max="12295" width="11.109375" style="480" bestFit="1" customWidth="1"/>
    <col min="12296" max="12296" width="16.33203125" style="480" customWidth="1"/>
    <col min="12297" max="12544" width="9.109375" style="480"/>
    <col min="12545" max="12545" width="40.6640625" style="480" customWidth="1"/>
    <col min="12546" max="12546" width="15.6640625" style="480" bestFit="1" customWidth="1"/>
    <col min="12547" max="12547" width="9.6640625" style="480" customWidth="1"/>
    <col min="12548" max="12548" width="17.33203125" style="480" bestFit="1" customWidth="1"/>
    <col min="12549" max="12549" width="14" style="480" customWidth="1"/>
    <col min="12550" max="12550" width="3.33203125" style="480" customWidth="1"/>
    <col min="12551" max="12551" width="11.109375" style="480" bestFit="1" customWidth="1"/>
    <col min="12552" max="12552" width="16.33203125" style="480" customWidth="1"/>
    <col min="12553" max="12800" width="9.109375" style="480"/>
    <col min="12801" max="12801" width="40.6640625" style="480" customWidth="1"/>
    <col min="12802" max="12802" width="15.6640625" style="480" bestFit="1" customWidth="1"/>
    <col min="12803" max="12803" width="9.6640625" style="480" customWidth="1"/>
    <col min="12804" max="12804" width="17.33203125" style="480" bestFit="1" customWidth="1"/>
    <col min="12805" max="12805" width="14" style="480" customWidth="1"/>
    <col min="12806" max="12806" width="3.33203125" style="480" customWidth="1"/>
    <col min="12807" max="12807" width="11.109375" style="480" bestFit="1" customWidth="1"/>
    <col min="12808" max="12808" width="16.33203125" style="480" customWidth="1"/>
    <col min="12809" max="13056" width="9.109375" style="480"/>
    <col min="13057" max="13057" width="40.6640625" style="480" customWidth="1"/>
    <col min="13058" max="13058" width="15.6640625" style="480" bestFit="1" customWidth="1"/>
    <col min="13059" max="13059" width="9.6640625" style="480" customWidth="1"/>
    <col min="13060" max="13060" width="17.33203125" style="480" bestFit="1" customWidth="1"/>
    <col min="13061" max="13061" width="14" style="480" customWidth="1"/>
    <col min="13062" max="13062" width="3.33203125" style="480" customWidth="1"/>
    <col min="13063" max="13063" width="11.109375" style="480" bestFit="1" customWidth="1"/>
    <col min="13064" max="13064" width="16.33203125" style="480" customWidth="1"/>
    <col min="13065" max="13312" width="9.109375" style="480"/>
    <col min="13313" max="13313" width="40.6640625" style="480" customWidth="1"/>
    <col min="13314" max="13314" width="15.6640625" style="480" bestFit="1" customWidth="1"/>
    <col min="13315" max="13315" width="9.6640625" style="480" customWidth="1"/>
    <col min="13316" max="13316" width="17.33203125" style="480" bestFit="1" customWidth="1"/>
    <col min="13317" max="13317" width="14" style="480" customWidth="1"/>
    <col min="13318" max="13318" width="3.33203125" style="480" customWidth="1"/>
    <col min="13319" max="13319" width="11.109375" style="480" bestFit="1" customWidth="1"/>
    <col min="13320" max="13320" width="16.33203125" style="480" customWidth="1"/>
    <col min="13321" max="13568" width="9.109375" style="480"/>
    <col min="13569" max="13569" width="40.6640625" style="480" customWidth="1"/>
    <col min="13570" max="13570" width="15.6640625" style="480" bestFit="1" customWidth="1"/>
    <col min="13571" max="13571" width="9.6640625" style="480" customWidth="1"/>
    <col min="13572" max="13572" width="17.33203125" style="480" bestFit="1" customWidth="1"/>
    <col min="13573" max="13573" width="14" style="480" customWidth="1"/>
    <col min="13574" max="13574" width="3.33203125" style="480" customWidth="1"/>
    <col min="13575" max="13575" width="11.109375" style="480" bestFit="1" customWidth="1"/>
    <col min="13576" max="13576" width="16.33203125" style="480" customWidth="1"/>
    <col min="13577" max="13824" width="9.109375" style="480"/>
    <col min="13825" max="13825" width="40.6640625" style="480" customWidth="1"/>
    <col min="13826" max="13826" width="15.6640625" style="480" bestFit="1" customWidth="1"/>
    <col min="13827" max="13827" width="9.6640625" style="480" customWidth="1"/>
    <col min="13828" max="13828" width="17.33203125" style="480" bestFit="1" customWidth="1"/>
    <col min="13829" max="13829" width="14" style="480" customWidth="1"/>
    <col min="13830" max="13830" width="3.33203125" style="480" customWidth="1"/>
    <col min="13831" max="13831" width="11.109375" style="480" bestFit="1" customWidth="1"/>
    <col min="13832" max="13832" width="16.33203125" style="480" customWidth="1"/>
    <col min="13833" max="14080" width="9.109375" style="480"/>
    <col min="14081" max="14081" width="40.6640625" style="480" customWidth="1"/>
    <col min="14082" max="14082" width="15.6640625" style="480" bestFit="1" customWidth="1"/>
    <col min="14083" max="14083" width="9.6640625" style="480" customWidth="1"/>
    <col min="14084" max="14084" width="17.33203125" style="480" bestFit="1" customWidth="1"/>
    <col min="14085" max="14085" width="14" style="480" customWidth="1"/>
    <col min="14086" max="14086" width="3.33203125" style="480" customWidth="1"/>
    <col min="14087" max="14087" width="11.109375" style="480" bestFit="1" customWidth="1"/>
    <col min="14088" max="14088" width="16.33203125" style="480" customWidth="1"/>
    <col min="14089" max="14336" width="9.109375" style="480"/>
    <col min="14337" max="14337" width="40.6640625" style="480" customWidth="1"/>
    <col min="14338" max="14338" width="15.6640625" style="480" bestFit="1" customWidth="1"/>
    <col min="14339" max="14339" width="9.6640625" style="480" customWidth="1"/>
    <col min="14340" max="14340" width="17.33203125" style="480" bestFit="1" customWidth="1"/>
    <col min="14341" max="14341" width="14" style="480" customWidth="1"/>
    <col min="14342" max="14342" width="3.33203125" style="480" customWidth="1"/>
    <col min="14343" max="14343" width="11.109375" style="480" bestFit="1" customWidth="1"/>
    <col min="14344" max="14344" width="16.33203125" style="480" customWidth="1"/>
    <col min="14345" max="14592" width="9.109375" style="480"/>
    <col min="14593" max="14593" width="40.6640625" style="480" customWidth="1"/>
    <col min="14594" max="14594" width="15.6640625" style="480" bestFit="1" customWidth="1"/>
    <col min="14595" max="14595" width="9.6640625" style="480" customWidth="1"/>
    <col min="14596" max="14596" width="17.33203125" style="480" bestFit="1" customWidth="1"/>
    <col min="14597" max="14597" width="14" style="480" customWidth="1"/>
    <col min="14598" max="14598" width="3.33203125" style="480" customWidth="1"/>
    <col min="14599" max="14599" width="11.109375" style="480" bestFit="1" customWidth="1"/>
    <col min="14600" max="14600" width="16.33203125" style="480" customWidth="1"/>
    <col min="14601" max="14848" width="9.109375" style="480"/>
    <col min="14849" max="14849" width="40.6640625" style="480" customWidth="1"/>
    <col min="14850" max="14850" width="15.6640625" style="480" bestFit="1" customWidth="1"/>
    <col min="14851" max="14851" width="9.6640625" style="480" customWidth="1"/>
    <col min="14852" max="14852" width="17.33203125" style="480" bestFit="1" customWidth="1"/>
    <col min="14853" max="14853" width="14" style="480" customWidth="1"/>
    <col min="14854" max="14854" width="3.33203125" style="480" customWidth="1"/>
    <col min="14855" max="14855" width="11.109375" style="480" bestFit="1" customWidth="1"/>
    <col min="14856" max="14856" width="16.33203125" style="480" customWidth="1"/>
    <col min="14857" max="15104" width="9.109375" style="480"/>
    <col min="15105" max="15105" width="40.6640625" style="480" customWidth="1"/>
    <col min="15106" max="15106" width="15.6640625" style="480" bestFit="1" customWidth="1"/>
    <col min="15107" max="15107" width="9.6640625" style="480" customWidth="1"/>
    <col min="15108" max="15108" width="17.33203125" style="480" bestFit="1" customWidth="1"/>
    <col min="15109" max="15109" width="14" style="480" customWidth="1"/>
    <col min="15110" max="15110" width="3.33203125" style="480" customWidth="1"/>
    <col min="15111" max="15111" width="11.109375" style="480" bestFit="1" customWidth="1"/>
    <col min="15112" max="15112" width="16.33203125" style="480" customWidth="1"/>
    <col min="15113" max="15360" width="9.109375" style="480"/>
    <col min="15361" max="15361" width="40.6640625" style="480" customWidth="1"/>
    <col min="15362" max="15362" width="15.6640625" style="480" bestFit="1" customWidth="1"/>
    <col min="15363" max="15363" width="9.6640625" style="480" customWidth="1"/>
    <col min="15364" max="15364" width="17.33203125" style="480" bestFit="1" customWidth="1"/>
    <col min="15365" max="15365" width="14" style="480" customWidth="1"/>
    <col min="15366" max="15366" width="3.33203125" style="480" customWidth="1"/>
    <col min="15367" max="15367" width="11.109375" style="480" bestFit="1" customWidth="1"/>
    <col min="15368" max="15368" width="16.33203125" style="480" customWidth="1"/>
    <col min="15369" max="15616" width="9.109375" style="480"/>
    <col min="15617" max="15617" width="40.6640625" style="480" customWidth="1"/>
    <col min="15618" max="15618" width="15.6640625" style="480" bestFit="1" customWidth="1"/>
    <col min="15619" max="15619" width="9.6640625" style="480" customWidth="1"/>
    <col min="15620" max="15620" width="17.33203125" style="480" bestFit="1" customWidth="1"/>
    <col min="15621" max="15621" width="14" style="480" customWidth="1"/>
    <col min="15622" max="15622" width="3.33203125" style="480" customWidth="1"/>
    <col min="15623" max="15623" width="11.109375" style="480" bestFit="1" customWidth="1"/>
    <col min="15624" max="15624" width="16.33203125" style="480" customWidth="1"/>
    <col min="15625" max="15872" width="9.109375" style="480"/>
    <col min="15873" max="15873" width="40.6640625" style="480" customWidth="1"/>
    <col min="15874" max="15874" width="15.6640625" style="480" bestFit="1" customWidth="1"/>
    <col min="15875" max="15875" width="9.6640625" style="480" customWidth="1"/>
    <col min="15876" max="15876" width="17.33203125" style="480" bestFit="1" customWidth="1"/>
    <col min="15877" max="15877" width="14" style="480" customWidth="1"/>
    <col min="15878" max="15878" width="3.33203125" style="480" customWidth="1"/>
    <col min="15879" max="15879" width="11.109375" style="480" bestFit="1" customWidth="1"/>
    <col min="15880" max="15880" width="16.33203125" style="480" customWidth="1"/>
    <col min="15881" max="16128" width="9.109375" style="480"/>
    <col min="16129" max="16129" width="40.6640625" style="480" customWidth="1"/>
    <col min="16130" max="16130" width="15.6640625" style="480" bestFit="1" customWidth="1"/>
    <col min="16131" max="16131" width="9.6640625" style="480" customWidth="1"/>
    <col min="16132" max="16132" width="17.33203125" style="480" bestFit="1" customWidth="1"/>
    <col min="16133" max="16133" width="14" style="480" customWidth="1"/>
    <col min="16134" max="16134" width="3.33203125" style="480" customWidth="1"/>
    <col min="16135" max="16135" width="11.109375" style="480" bestFit="1" customWidth="1"/>
    <col min="16136" max="16136" width="16.33203125" style="480" customWidth="1"/>
    <col min="16137" max="16384" width="9.109375" style="480"/>
  </cols>
  <sheetData>
    <row r="1" spans="1:13">
      <c r="A1" s="520" t="s">
        <v>0</v>
      </c>
    </row>
    <row r="2" spans="1:13">
      <c r="A2" s="544" t="s">
        <v>810</v>
      </c>
    </row>
    <row r="3" spans="1:13">
      <c r="A3" s="545" t="s">
        <v>2</v>
      </c>
    </row>
    <row r="5" spans="1:13" ht="52.8">
      <c r="A5" s="546" t="s">
        <v>811</v>
      </c>
      <c r="B5" s="546" t="s">
        <v>812</v>
      </c>
      <c r="C5" s="547" t="s">
        <v>813</v>
      </c>
      <c r="D5" s="548" t="s">
        <v>814</v>
      </c>
      <c r="E5" s="548"/>
      <c r="F5" s="548"/>
      <c r="G5" s="549" t="s">
        <v>815</v>
      </c>
      <c r="H5" s="548" t="s">
        <v>816</v>
      </c>
    </row>
    <row r="6" spans="1:13">
      <c r="B6" s="536"/>
      <c r="D6" s="536"/>
      <c r="E6" s="550"/>
      <c r="F6" s="536"/>
      <c r="G6" s="551"/>
      <c r="H6" s="552"/>
    </row>
    <row r="7" spans="1:13" ht="15" customHeight="1">
      <c r="A7" s="553" t="s">
        <v>817</v>
      </c>
      <c r="L7" s="554"/>
    </row>
    <row r="8" spans="1:13">
      <c r="A8" s="480" t="s">
        <v>818</v>
      </c>
      <c r="B8" s="555">
        <v>50000000</v>
      </c>
      <c r="C8" s="556">
        <v>12</v>
      </c>
      <c r="D8" s="555">
        <f>B8*C8</f>
        <v>600000000</v>
      </c>
      <c r="E8" s="557">
        <f t="shared" ref="E8:E50" si="0">D8/D$51</f>
        <v>2.1573500123273599E-2</v>
      </c>
      <c r="F8" s="555"/>
      <c r="G8" s="558">
        <v>7.1199999999999999E-2</v>
      </c>
      <c r="H8" s="559">
        <f t="shared" ref="H8:H38" si="1">E8*G8</f>
        <v>1.5360332087770803E-3</v>
      </c>
      <c r="I8" s="560"/>
      <c r="J8" s="558"/>
      <c r="K8" s="561"/>
      <c r="L8" s="562"/>
      <c r="M8" s="561"/>
    </row>
    <row r="9" spans="1:13">
      <c r="A9" s="480" t="s">
        <v>819</v>
      </c>
      <c r="B9" s="555">
        <v>100000000</v>
      </c>
      <c r="C9" s="563">
        <f>C$8</f>
        <v>12</v>
      </c>
      <c r="D9" s="555">
        <f t="shared" ref="D9:D50" si="2">B9*C9</f>
        <v>1200000000</v>
      </c>
      <c r="E9" s="557">
        <f t="shared" si="0"/>
        <v>4.3147000246547197E-2</v>
      </c>
      <c r="F9" s="555"/>
      <c r="G9" s="558">
        <v>6.8513000000000004E-2</v>
      </c>
      <c r="H9" s="559">
        <f t="shared" si="1"/>
        <v>2.9561304278916882E-3</v>
      </c>
      <c r="I9" s="560"/>
      <c r="J9" s="558"/>
      <c r="K9" s="561"/>
      <c r="L9" s="562"/>
      <c r="M9" s="561"/>
    </row>
    <row r="10" spans="1:13">
      <c r="A10" s="480" t="s">
        <v>820</v>
      </c>
      <c r="B10" s="555">
        <v>100000000</v>
      </c>
      <c r="C10" s="563">
        <f t="shared" ref="C10:C31" si="3">C$8</f>
        <v>12</v>
      </c>
      <c r="D10" s="555">
        <f t="shared" si="2"/>
        <v>1200000000</v>
      </c>
      <c r="E10" s="557">
        <f t="shared" si="0"/>
        <v>4.3147000246547197E-2</v>
      </c>
      <c r="F10" s="555"/>
      <c r="G10" s="558">
        <v>5.6383999999999997E-2</v>
      </c>
      <c r="H10" s="559">
        <f t="shared" si="1"/>
        <v>2.4328004619013168E-3</v>
      </c>
      <c r="I10" s="560"/>
      <c r="J10" s="558"/>
      <c r="K10" s="561"/>
      <c r="L10" s="562"/>
      <c r="M10" s="561"/>
    </row>
    <row r="11" spans="1:13">
      <c r="A11" s="480" t="s">
        <v>821</v>
      </c>
      <c r="B11" s="555">
        <v>250000000</v>
      </c>
      <c r="C11" s="563">
        <f t="shared" si="3"/>
        <v>12</v>
      </c>
      <c r="D11" s="555">
        <f t="shared" si="2"/>
        <v>3000000000</v>
      </c>
      <c r="E11" s="557">
        <f t="shared" si="0"/>
        <v>0.10786750061636799</v>
      </c>
      <c r="F11" s="555"/>
      <c r="G11" s="558">
        <v>5.9595000000000002E-2</v>
      </c>
      <c r="H11" s="559">
        <f t="shared" si="1"/>
        <v>6.4283636992324509E-3</v>
      </c>
      <c r="I11" s="560"/>
      <c r="J11" s="558"/>
      <c r="K11" s="561"/>
      <c r="L11" s="562"/>
      <c r="M11" s="561"/>
    </row>
    <row r="12" spans="1:13">
      <c r="A12" s="480" t="s">
        <v>822</v>
      </c>
      <c r="B12" s="555">
        <v>200000000</v>
      </c>
      <c r="C12" s="699">
        <f>3+(29/30)</f>
        <v>3.9666666666666668</v>
      </c>
      <c r="D12" s="555">
        <f t="shared" si="2"/>
        <v>793333333.33333337</v>
      </c>
      <c r="E12" s="557">
        <f t="shared" si="0"/>
        <v>2.8524961274106204E-2</v>
      </c>
      <c r="F12" s="555"/>
      <c r="G12" s="558">
        <v>5.6633999999999997E-2</v>
      </c>
      <c r="H12" s="559">
        <f t="shared" si="1"/>
        <v>1.6154826567977307E-3</v>
      </c>
      <c r="I12" s="560"/>
      <c r="J12" s="558"/>
      <c r="K12" s="561"/>
      <c r="L12" s="562"/>
      <c r="M12" s="561"/>
    </row>
    <row r="13" spans="1:13">
      <c r="A13" s="480" t="s">
        <v>823</v>
      </c>
      <c r="B13" s="555">
        <v>115000000</v>
      </c>
      <c r="C13" s="563">
        <f t="shared" si="3"/>
        <v>12</v>
      </c>
      <c r="D13" s="555">
        <f t="shared" si="2"/>
        <v>1380000000</v>
      </c>
      <c r="E13" s="557">
        <f t="shared" si="0"/>
        <v>4.9619050283529274E-2</v>
      </c>
      <c r="F13" s="555"/>
      <c r="G13" s="558">
        <v>5.4828000000000002E-2</v>
      </c>
      <c r="H13" s="559">
        <f t="shared" si="1"/>
        <v>2.7205132889453433E-3</v>
      </c>
      <c r="I13" s="560"/>
      <c r="J13" s="558"/>
      <c r="K13" s="561"/>
      <c r="L13" s="562"/>
      <c r="M13" s="561"/>
    </row>
    <row r="14" spans="1:13">
      <c r="A14" s="531" t="s">
        <v>824</v>
      </c>
      <c r="B14" s="555">
        <v>35000000</v>
      </c>
      <c r="C14" s="563">
        <f t="shared" si="3"/>
        <v>12</v>
      </c>
      <c r="D14" s="555">
        <f t="shared" si="2"/>
        <v>420000000</v>
      </c>
      <c r="E14" s="557">
        <f t="shared" si="0"/>
        <v>1.5101450086291518E-2</v>
      </c>
      <c r="F14" s="555"/>
      <c r="G14" s="558">
        <v>5.4828000000000002E-2</v>
      </c>
      <c r="H14" s="559">
        <f t="shared" si="1"/>
        <v>8.2798230533119132E-4</v>
      </c>
      <c r="I14" s="560"/>
      <c r="J14" s="558"/>
      <c r="K14" s="561"/>
      <c r="L14" s="562"/>
      <c r="M14" s="561"/>
    </row>
    <row r="15" spans="1:13">
      <c r="A15" s="531" t="s">
        <v>825</v>
      </c>
      <c r="B15" s="555">
        <v>100000000</v>
      </c>
      <c r="C15" s="563">
        <f t="shared" si="3"/>
        <v>12</v>
      </c>
      <c r="D15" s="555">
        <f t="shared" si="2"/>
        <v>1200000000</v>
      </c>
      <c r="E15" s="557">
        <f t="shared" si="0"/>
        <v>4.3147000246547197E-2</v>
      </c>
      <c r="F15" s="555"/>
      <c r="G15" s="564">
        <v>4.6550000000000001E-2</v>
      </c>
      <c r="H15" s="559">
        <f t="shared" si="1"/>
        <v>2.008492861476772E-3</v>
      </c>
      <c r="I15" s="560"/>
      <c r="J15" s="564"/>
      <c r="K15" s="561"/>
      <c r="L15" s="562"/>
      <c r="M15" s="561"/>
    </row>
    <row r="16" spans="1:13">
      <c r="A16" s="531" t="s">
        <v>826</v>
      </c>
      <c r="B16" s="555">
        <v>50000000</v>
      </c>
      <c r="C16" s="563">
        <f t="shared" si="3"/>
        <v>12</v>
      </c>
      <c r="D16" s="555">
        <f t="shared" si="2"/>
        <v>600000000</v>
      </c>
      <c r="E16" s="557">
        <f t="shared" si="0"/>
        <v>2.1573500123273599E-2</v>
      </c>
      <c r="F16" s="555"/>
      <c r="G16" s="564">
        <v>5.7703999999999998E-2</v>
      </c>
      <c r="H16" s="559">
        <f t="shared" si="1"/>
        <v>1.2448772511133798E-3</v>
      </c>
      <c r="I16" s="560"/>
      <c r="J16" s="564"/>
      <c r="K16" s="561"/>
      <c r="L16" s="562"/>
      <c r="M16" s="561"/>
    </row>
    <row r="17" spans="1:13">
      <c r="A17" s="531" t="s">
        <v>827</v>
      </c>
      <c r="B17" s="565">
        <v>75000000</v>
      </c>
      <c r="C17" s="563">
        <f t="shared" si="3"/>
        <v>12</v>
      </c>
      <c r="D17" s="555">
        <f t="shared" si="2"/>
        <v>900000000</v>
      </c>
      <c r="E17" s="557">
        <f t="shared" si="0"/>
        <v>3.23602501849104E-2</v>
      </c>
      <c r="F17" s="555"/>
      <c r="G17" s="564">
        <v>4.2229999999999997E-2</v>
      </c>
      <c r="H17" s="559">
        <f t="shared" si="1"/>
        <v>1.3665733653087661E-3</v>
      </c>
      <c r="I17" s="560"/>
      <c r="J17" s="564"/>
      <c r="K17" s="561"/>
      <c r="L17" s="562"/>
      <c r="M17" s="561"/>
    </row>
    <row r="18" spans="1:13">
      <c r="A18" s="566" t="s">
        <v>828</v>
      </c>
      <c r="B18" s="565">
        <v>75000000</v>
      </c>
      <c r="C18" s="563">
        <f t="shared" si="3"/>
        <v>12</v>
      </c>
      <c r="D18" s="555">
        <f t="shared" si="2"/>
        <v>900000000</v>
      </c>
      <c r="E18" s="557">
        <f t="shared" si="0"/>
        <v>3.23602501849104E-2</v>
      </c>
      <c r="F18" s="555"/>
      <c r="G18" s="564">
        <v>4.3235999999999997E-2</v>
      </c>
      <c r="H18" s="559">
        <f t="shared" si="1"/>
        <v>1.399127776994786E-3</v>
      </c>
      <c r="I18" s="560"/>
      <c r="J18" s="564"/>
      <c r="K18" s="561"/>
      <c r="L18" s="562"/>
      <c r="M18" s="561"/>
    </row>
    <row r="19" spans="1:13">
      <c r="A19" s="567" t="s">
        <v>829</v>
      </c>
      <c r="B19" s="565">
        <v>150000000</v>
      </c>
      <c r="C19" s="563">
        <f t="shared" si="3"/>
        <v>12</v>
      </c>
      <c r="D19" s="555">
        <f t="shared" si="2"/>
        <v>1800000000</v>
      </c>
      <c r="E19" s="557">
        <f t="shared" si="0"/>
        <v>6.4720500369820799E-2</v>
      </c>
      <c r="F19" s="555"/>
      <c r="G19" s="564">
        <v>5.2138999999999998E-2</v>
      </c>
      <c r="H19" s="559">
        <f t="shared" si="1"/>
        <v>3.3744621687820863E-3</v>
      </c>
      <c r="I19" s="560"/>
      <c r="J19" s="564"/>
      <c r="K19" s="561"/>
      <c r="L19" s="562"/>
      <c r="M19" s="561"/>
    </row>
    <row r="20" spans="1:13">
      <c r="A20" s="568" t="s">
        <v>830</v>
      </c>
      <c r="B20" s="565">
        <v>150000000</v>
      </c>
      <c r="C20" s="563">
        <f t="shared" si="3"/>
        <v>12</v>
      </c>
      <c r="D20" s="555">
        <f t="shared" si="2"/>
        <v>1800000000</v>
      </c>
      <c r="E20" s="557">
        <f t="shared" si="0"/>
        <v>6.4720500369820799E-2</v>
      </c>
      <c r="F20" s="555"/>
      <c r="G20" s="558">
        <v>4.4116000000000002E-2</v>
      </c>
      <c r="H20" s="559">
        <f t="shared" si="1"/>
        <v>2.8552095943150143E-3</v>
      </c>
      <c r="I20" s="560"/>
      <c r="J20" s="558"/>
      <c r="K20" s="561"/>
      <c r="L20" s="562"/>
      <c r="M20" s="561"/>
    </row>
    <row r="21" spans="1:13">
      <c r="A21" s="480" t="s">
        <v>831</v>
      </c>
      <c r="B21" s="565">
        <v>50000000</v>
      </c>
      <c r="C21" s="563">
        <f t="shared" si="3"/>
        <v>12</v>
      </c>
      <c r="D21" s="555">
        <f t="shared" si="2"/>
        <v>600000000</v>
      </c>
      <c r="E21" s="557">
        <f t="shared" si="0"/>
        <v>2.1573500123273599E-2</v>
      </c>
      <c r="F21" s="555"/>
      <c r="G21" s="558">
        <v>3.7962000000000003E-2</v>
      </c>
      <c r="H21" s="559">
        <f t="shared" si="1"/>
        <v>8.1897321167971235E-4</v>
      </c>
      <c r="I21" s="560"/>
      <c r="J21" s="558"/>
      <c r="K21" s="561"/>
      <c r="L21" s="562"/>
      <c r="M21" s="561"/>
    </row>
    <row r="22" spans="1:13">
      <c r="A22" s="481" t="s">
        <v>832</v>
      </c>
      <c r="B22" s="565">
        <v>50000000</v>
      </c>
      <c r="C22" s="563">
        <f t="shared" si="3"/>
        <v>12</v>
      </c>
      <c r="D22" s="555">
        <f t="shared" si="2"/>
        <v>600000000</v>
      </c>
      <c r="E22" s="557">
        <f t="shared" si="0"/>
        <v>2.1573500123273599E-2</v>
      </c>
      <c r="F22" s="555"/>
      <c r="G22" s="564">
        <v>4.7147000000000001E-2</v>
      </c>
      <c r="H22" s="559">
        <f t="shared" si="1"/>
        <v>1.0171258103119803E-3</v>
      </c>
      <c r="I22" s="560"/>
      <c r="J22" s="564"/>
      <c r="K22" s="561"/>
      <c r="L22" s="562"/>
      <c r="M22" s="561"/>
    </row>
    <row r="23" spans="1:13" s="563" customFormat="1">
      <c r="A23" s="569" t="s">
        <v>833</v>
      </c>
      <c r="B23" s="570">
        <v>75000000</v>
      </c>
      <c r="C23" s="563">
        <f t="shared" si="3"/>
        <v>12</v>
      </c>
      <c r="D23" s="565">
        <f t="shared" si="2"/>
        <v>900000000</v>
      </c>
      <c r="E23" s="559">
        <f t="shared" si="0"/>
        <v>3.23602501849104E-2</v>
      </c>
      <c r="F23" s="565"/>
      <c r="G23" s="564">
        <v>3.4189999999999998E-2</v>
      </c>
      <c r="H23" s="559">
        <f t="shared" si="1"/>
        <v>1.1063969538220866E-3</v>
      </c>
      <c r="I23" s="571"/>
      <c r="J23" s="558"/>
      <c r="K23" s="561"/>
      <c r="L23" s="562"/>
      <c r="M23" s="561"/>
    </row>
    <row r="24" spans="1:13" s="563" customFormat="1">
      <c r="A24" s="569" t="s">
        <v>834</v>
      </c>
      <c r="B24" s="570">
        <v>29000000</v>
      </c>
      <c r="C24" s="563">
        <f t="shared" si="3"/>
        <v>12</v>
      </c>
      <c r="D24" s="565">
        <f t="shared" si="2"/>
        <v>348000000</v>
      </c>
      <c r="E24" s="559">
        <f t="shared" si="0"/>
        <v>1.2512630071498687E-2</v>
      </c>
      <c r="F24" s="565"/>
      <c r="G24" s="564">
        <v>3.6534999999999998E-2</v>
      </c>
      <c r="H24" s="559">
        <f t="shared" si="1"/>
        <v>4.5714893966220454E-4</v>
      </c>
      <c r="I24" s="571"/>
      <c r="J24" s="558"/>
      <c r="K24" s="561"/>
      <c r="L24" s="562"/>
      <c r="M24" s="561"/>
    </row>
    <row r="25" spans="1:13" s="563" customFormat="1">
      <c r="A25" s="569" t="s">
        <v>835</v>
      </c>
      <c r="B25" s="570">
        <v>47000000</v>
      </c>
      <c r="C25" s="563">
        <f t="shared" si="3"/>
        <v>12</v>
      </c>
      <c r="D25" s="565">
        <f t="shared" si="2"/>
        <v>564000000</v>
      </c>
      <c r="E25" s="559">
        <f t="shared" si="0"/>
        <v>2.0279090115877182E-2</v>
      </c>
      <c r="F25" s="565"/>
      <c r="G25" s="564">
        <v>4.3498000000000002E-2</v>
      </c>
      <c r="H25" s="559">
        <f t="shared" si="1"/>
        <v>8.820998618604257E-4</v>
      </c>
      <c r="I25" s="571"/>
      <c r="J25" s="558"/>
      <c r="K25" s="561"/>
      <c r="L25" s="562"/>
      <c r="M25" s="561"/>
    </row>
    <row r="26" spans="1:13" s="563" customFormat="1">
      <c r="A26" s="569" t="s">
        <v>836</v>
      </c>
      <c r="B26" s="570">
        <v>50000000</v>
      </c>
      <c r="C26" s="563">
        <f t="shared" si="3"/>
        <v>12</v>
      </c>
      <c r="D26" s="565">
        <f t="shared" si="2"/>
        <v>600000000</v>
      </c>
      <c r="E26" s="559">
        <f t="shared" si="0"/>
        <v>2.1573500123273599E-2</v>
      </c>
      <c r="F26" s="565"/>
      <c r="G26" s="564">
        <v>3.5195999999999998E-2</v>
      </c>
      <c r="H26" s="559">
        <f t="shared" si="1"/>
        <v>7.5930091033873752E-4</v>
      </c>
      <c r="I26" s="571"/>
      <c r="J26" s="558"/>
      <c r="K26" s="561"/>
      <c r="L26" s="562"/>
      <c r="M26" s="561"/>
    </row>
    <row r="27" spans="1:13">
      <c r="A27" s="569" t="s">
        <v>837</v>
      </c>
      <c r="B27" s="570">
        <v>21000000</v>
      </c>
      <c r="C27" s="563">
        <f t="shared" si="3"/>
        <v>12</v>
      </c>
      <c r="D27" s="565">
        <f t="shared" si="2"/>
        <v>252000000</v>
      </c>
      <c r="E27" s="559">
        <f t="shared" si="0"/>
        <v>9.0608700517749111E-3</v>
      </c>
      <c r="F27" s="565"/>
      <c r="G27" s="564">
        <v>3.7555999999999999E-2</v>
      </c>
      <c r="H27" s="559">
        <f t="shared" si="1"/>
        <v>3.4029003566445857E-4</v>
      </c>
      <c r="I27" s="560"/>
    </row>
    <row r="28" spans="1:13">
      <c r="A28" s="569" t="s">
        <v>838</v>
      </c>
      <c r="B28" s="570">
        <v>28000000</v>
      </c>
      <c r="C28" s="563">
        <f t="shared" si="3"/>
        <v>12</v>
      </c>
      <c r="D28" s="565">
        <f>B28*C28</f>
        <v>336000000</v>
      </c>
      <c r="E28" s="559">
        <f>D28/D$51</f>
        <v>1.2081160069033215E-2</v>
      </c>
      <c r="F28" s="565"/>
      <c r="G28" s="564">
        <v>4.4517000000000001E-2</v>
      </c>
      <c r="H28" s="559">
        <f t="shared" si="1"/>
        <v>5.3781700279315167E-4</v>
      </c>
      <c r="I28" s="560"/>
    </row>
    <row r="29" spans="1:13">
      <c r="A29" s="569" t="s">
        <v>839</v>
      </c>
      <c r="B29" s="570">
        <v>75000000</v>
      </c>
      <c r="C29" s="563">
        <f t="shared" si="3"/>
        <v>12</v>
      </c>
      <c r="D29" s="565">
        <f>B29*C29</f>
        <v>900000000</v>
      </c>
      <c r="E29" s="559">
        <f>D29/D$51</f>
        <v>3.23602501849104E-2</v>
      </c>
      <c r="F29" s="565"/>
      <c r="G29" s="564">
        <v>4.0099000000000003E-2</v>
      </c>
      <c r="H29" s="559">
        <f t="shared" si="1"/>
        <v>1.2976136721647223E-3</v>
      </c>
      <c r="I29" s="560"/>
    </row>
    <row r="30" spans="1:13">
      <c r="A30" s="569" t="s">
        <v>840</v>
      </c>
      <c r="B30" s="570">
        <v>75000000</v>
      </c>
      <c r="C30" s="563">
        <f t="shared" si="3"/>
        <v>12</v>
      </c>
      <c r="D30" s="565">
        <f t="shared" ref="D30:D38" si="4">B30*C30</f>
        <v>900000000</v>
      </c>
      <c r="E30" s="559">
        <f t="shared" ref="E30:E38" si="5">D30/D$51</f>
        <v>3.23602501849104E-2</v>
      </c>
      <c r="F30" s="565"/>
      <c r="G30" s="564">
        <v>4.0099000000000003E-2</v>
      </c>
      <c r="H30" s="559">
        <f t="shared" si="1"/>
        <v>1.2976136721647223E-3</v>
      </c>
      <c r="I30" s="560"/>
    </row>
    <row r="31" spans="1:13">
      <c r="A31" s="569" t="s">
        <v>841</v>
      </c>
      <c r="B31" s="570">
        <v>50000000</v>
      </c>
      <c r="C31" s="563">
        <f t="shared" si="3"/>
        <v>12</v>
      </c>
      <c r="D31" s="565">
        <f t="shared" si="4"/>
        <v>600000000</v>
      </c>
      <c r="E31" s="559">
        <f t="shared" si="5"/>
        <v>2.1573500123273599E-2</v>
      </c>
      <c r="F31" s="565"/>
      <c r="G31" s="564">
        <v>3.2666000000000001E-2</v>
      </c>
      <c r="H31" s="559">
        <f t="shared" si="1"/>
        <v>7.0471995502685537E-4</v>
      </c>
      <c r="I31" s="560"/>
    </row>
    <row r="32" spans="1:13">
      <c r="A32" s="698" t="s">
        <v>842</v>
      </c>
      <c r="B32" s="570">
        <v>75000000</v>
      </c>
      <c r="C32" s="699">
        <f>$C$8-1+(16/30)</f>
        <v>11.533333333333333</v>
      </c>
      <c r="D32" s="565">
        <f t="shared" si="4"/>
        <v>865000000</v>
      </c>
      <c r="E32" s="559">
        <f t="shared" si="5"/>
        <v>3.1101796011052771E-2</v>
      </c>
      <c r="F32" s="565"/>
      <c r="G32" s="564">
        <v>3.9695000000000001E-2</v>
      </c>
      <c r="H32" s="559">
        <f t="shared" si="1"/>
        <v>1.2345857926587397E-3</v>
      </c>
      <c r="I32" s="560"/>
    </row>
    <row r="33" spans="1:9">
      <c r="A33" s="698" t="s">
        <v>843</v>
      </c>
      <c r="B33" s="570">
        <v>66000000</v>
      </c>
      <c r="C33" s="699">
        <f>$C$8-4+(4/30)</f>
        <v>8.1333333333333329</v>
      </c>
      <c r="D33" s="565">
        <f t="shared" si="4"/>
        <v>536799999.99999994</v>
      </c>
      <c r="E33" s="559">
        <f t="shared" si="5"/>
        <v>1.9301091443622111E-2</v>
      </c>
      <c r="F33" s="565"/>
      <c r="G33" s="564">
        <v>3.7697000000000001E-2</v>
      </c>
      <c r="H33" s="559">
        <f t="shared" si="1"/>
        <v>7.2759324415022273E-4</v>
      </c>
      <c r="I33" s="560"/>
    </row>
    <row r="34" spans="1:9">
      <c r="A34" s="698" t="s">
        <v>844</v>
      </c>
      <c r="B34" s="570">
        <v>67000000</v>
      </c>
      <c r="C34" s="699">
        <f>$C$8-4+(4/30)</f>
        <v>8.1333333333333329</v>
      </c>
      <c r="D34" s="565">
        <f t="shared" si="4"/>
        <v>544933333.33333325</v>
      </c>
      <c r="E34" s="559">
        <f t="shared" si="5"/>
        <v>1.959353222307093E-2</v>
      </c>
      <c r="F34" s="565"/>
      <c r="G34" s="564">
        <v>4.0017999999999998E-2</v>
      </c>
      <c r="H34" s="559">
        <f t="shared" si="1"/>
        <v>7.8409397250285247E-4</v>
      </c>
      <c r="I34" s="560"/>
    </row>
    <row r="35" spans="1:9">
      <c r="A35" s="698" t="s">
        <v>845</v>
      </c>
      <c r="B35" s="570">
        <v>67000000</v>
      </c>
      <c r="C35" s="699">
        <f>$C$8-4+(4/30)</f>
        <v>8.1333333333333329</v>
      </c>
      <c r="D35" s="565">
        <f t="shared" si="4"/>
        <v>544933333.33333325</v>
      </c>
      <c r="E35" s="559">
        <f t="shared" si="5"/>
        <v>1.959353222307093E-2</v>
      </c>
      <c r="F35" s="565"/>
      <c r="G35" s="564">
        <v>4.1586999999999999E-2</v>
      </c>
      <c r="H35" s="559">
        <f t="shared" si="1"/>
        <v>8.148362245608507E-4</v>
      </c>
      <c r="I35" s="560"/>
    </row>
    <row r="36" spans="1:9">
      <c r="A36" s="698" t="s">
        <v>846</v>
      </c>
      <c r="B36" s="570">
        <v>34000000</v>
      </c>
      <c r="C36" s="699">
        <f>$C$8-7+(14/30)</f>
        <v>5.4666666666666668</v>
      </c>
      <c r="D36" s="565">
        <f t="shared" si="4"/>
        <v>185866666.66666666</v>
      </c>
      <c r="E36" s="559">
        <f t="shared" si="5"/>
        <v>6.6829909270763096E-3</v>
      </c>
      <c r="F36" s="565"/>
      <c r="G36" s="564">
        <v>3.7697000000000001E-2</v>
      </c>
      <c r="H36" s="559">
        <f t="shared" si="1"/>
        <v>2.5192870897799567E-4</v>
      </c>
      <c r="I36" s="560"/>
    </row>
    <row r="37" spans="1:9">
      <c r="A37" s="698" t="s">
        <v>847</v>
      </c>
      <c r="B37" s="570">
        <v>33000000</v>
      </c>
      <c r="C37" s="699">
        <f>$C$8-7+(14/30)</f>
        <v>5.4666666666666668</v>
      </c>
      <c r="D37" s="565">
        <f t="shared" si="4"/>
        <v>180400000</v>
      </c>
      <c r="E37" s="559">
        <f t="shared" si="5"/>
        <v>6.4864323703975948E-3</v>
      </c>
      <c r="F37" s="565"/>
      <c r="G37" s="564">
        <v>4.0017999999999998E-2</v>
      </c>
      <c r="H37" s="559">
        <f t="shared" si="1"/>
        <v>2.5957405059857095E-4</v>
      </c>
      <c r="I37" s="560"/>
    </row>
    <row r="38" spans="1:9">
      <c r="A38" s="698" t="s">
        <v>848</v>
      </c>
      <c r="B38" s="570">
        <v>33000000</v>
      </c>
      <c r="C38" s="699">
        <f>$C$8-7+(14/30)</f>
        <v>5.4666666666666668</v>
      </c>
      <c r="D38" s="565">
        <f t="shared" si="4"/>
        <v>180400000</v>
      </c>
      <c r="E38" s="559">
        <f t="shared" si="5"/>
        <v>6.4864323703975948E-3</v>
      </c>
      <c r="F38" s="565"/>
      <c r="G38" s="564">
        <v>4.1586999999999999E-2</v>
      </c>
      <c r="H38" s="559">
        <f t="shared" si="1"/>
        <v>2.6975126298772479E-4</v>
      </c>
      <c r="I38" s="560"/>
    </row>
    <row r="39" spans="1:9">
      <c r="A39" s="531" t="s">
        <v>849</v>
      </c>
      <c r="B39" s="572">
        <v>193712902.09677419</v>
      </c>
      <c r="C39" s="573">
        <v>1</v>
      </c>
      <c r="D39" s="555">
        <f t="shared" si="2"/>
        <v>193712902.09677419</v>
      </c>
      <c r="E39" s="557">
        <f t="shared" si="0"/>
        <v>6.9651088621074074E-3</v>
      </c>
      <c r="F39" s="555"/>
      <c r="G39" s="574">
        <v>1.5940272164784851E-2</v>
      </c>
      <c r="H39" s="559">
        <f>E39*G39</f>
        <v>1.1102573091934699E-4</v>
      </c>
      <c r="I39" s="560"/>
    </row>
    <row r="40" spans="1:9">
      <c r="A40" s="480" t="s">
        <v>850</v>
      </c>
      <c r="B40" s="575">
        <v>194981236</v>
      </c>
      <c r="C40" s="573">
        <v>1</v>
      </c>
      <c r="D40" s="555">
        <f t="shared" si="2"/>
        <v>194981236</v>
      </c>
      <c r="E40" s="557">
        <f t="shared" si="0"/>
        <v>7.0107128648033978E-3</v>
      </c>
      <c r="F40" s="555"/>
      <c r="G40" s="576">
        <v>1.6173124977151145E-2</v>
      </c>
      <c r="H40" s="559">
        <f t="shared" ref="H40:H50" si="6">E40*G40</f>
        <v>1.133851353413867E-4</v>
      </c>
      <c r="I40" s="560"/>
    </row>
    <row r="41" spans="1:9">
      <c r="A41" s="480" t="s">
        <v>851</v>
      </c>
      <c r="B41" s="575">
        <v>210801617.89661294</v>
      </c>
      <c r="C41" s="573">
        <v>1</v>
      </c>
      <c r="D41" s="555">
        <f t="shared" si="2"/>
        <v>210801617.89661294</v>
      </c>
      <c r="E41" s="557">
        <f t="shared" si="0"/>
        <v>7.5795478827980888E-3</v>
      </c>
      <c r="F41" s="555"/>
      <c r="G41" s="576">
        <v>1.7917376850557904E-2</v>
      </c>
      <c r="H41" s="559">
        <f t="shared" si="6"/>
        <v>1.3580561577294166E-4</v>
      </c>
      <c r="I41" s="560"/>
    </row>
    <row r="42" spans="1:9">
      <c r="A42" s="480" t="s">
        <v>852</v>
      </c>
      <c r="B42" s="575">
        <v>211776796.96000004</v>
      </c>
      <c r="C42" s="573">
        <v>1</v>
      </c>
      <c r="D42" s="555">
        <f t="shared" si="2"/>
        <v>211776796.96000004</v>
      </c>
      <c r="E42" s="557">
        <f t="shared" si="0"/>
        <v>7.6146112588717481E-3</v>
      </c>
      <c r="F42" s="555"/>
      <c r="G42" s="576">
        <v>1.9700027198327964E-2</v>
      </c>
      <c r="H42" s="559">
        <f t="shared" si="6"/>
        <v>1.5000804890446777E-4</v>
      </c>
      <c r="I42" s="560"/>
    </row>
    <row r="43" spans="1:9">
      <c r="A43" s="480" t="s">
        <v>853</v>
      </c>
      <c r="B43" s="575">
        <v>236468222.41935486</v>
      </c>
      <c r="C43" s="573">
        <v>1</v>
      </c>
      <c r="D43" s="555">
        <f t="shared" si="2"/>
        <v>236468222.41935486</v>
      </c>
      <c r="E43" s="557">
        <f t="shared" si="0"/>
        <v>8.5024120425237337E-3</v>
      </c>
      <c r="F43" s="555"/>
      <c r="G43" s="576">
        <v>1.9663207728457918E-2</v>
      </c>
      <c r="H43" s="559">
        <f t="shared" si="6"/>
        <v>1.6718469418508636E-4</v>
      </c>
      <c r="I43" s="560"/>
    </row>
    <row r="44" spans="1:9">
      <c r="A44" s="480" t="s">
        <v>854</v>
      </c>
      <c r="B44" s="575">
        <v>225020554.26666665</v>
      </c>
      <c r="C44" s="573">
        <v>1</v>
      </c>
      <c r="D44" s="555">
        <f t="shared" si="2"/>
        <v>225020554.26666665</v>
      </c>
      <c r="E44" s="557">
        <f t="shared" si="0"/>
        <v>8.0908015920183769E-3</v>
      </c>
      <c r="F44" s="555"/>
      <c r="G44" s="576">
        <v>2.0179762092500064E-2</v>
      </c>
      <c r="H44" s="559">
        <f t="shared" si="6"/>
        <v>1.6327045126455161E-4</v>
      </c>
      <c r="I44" s="560"/>
    </row>
    <row r="45" spans="1:9">
      <c r="A45" s="480" t="s">
        <v>855</v>
      </c>
      <c r="B45" s="575">
        <v>197450408.52741942</v>
      </c>
      <c r="C45" s="573">
        <v>1</v>
      </c>
      <c r="D45" s="555">
        <f t="shared" si="2"/>
        <v>197450408.52741942</v>
      </c>
      <c r="E45" s="557">
        <f t="shared" si="0"/>
        <v>7.0994940211778421E-3</v>
      </c>
      <c r="F45" s="555"/>
      <c r="G45" s="576">
        <v>2.0928807061902963E-2</v>
      </c>
      <c r="H45" s="559">
        <f t="shared" si="6"/>
        <v>1.4858394060636467E-4</v>
      </c>
      <c r="I45" s="577"/>
    </row>
    <row r="46" spans="1:9">
      <c r="A46" s="531" t="s">
        <v>856</v>
      </c>
      <c r="B46" s="575">
        <v>175986970.4667742</v>
      </c>
      <c r="C46" s="573">
        <v>1</v>
      </c>
      <c r="D46" s="555">
        <f t="shared" si="2"/>
        <v>175986970.4667742</v>
      </c>
      <c r="E46" s="557">
        <f t="shared" si="0"/>
        <v>6.3277582150991669E-3</v>
      </c>
      <c r="F46" s="555"/>
      <c r="G46" s="576">
        <v>2.105763967091686E-2</v>
      </c>
      <c r="H46" s="559">
        <f t="shared" si="6"/>
        <v>1.3324765241824228E-4</v>
      </c>
      <c r="I46" s="560"/>
    </row>
    <row r="47" spans="1:9">
      <c r="A47" s="531" t="s">
        <v>857</v>
      </c>
      <c r="B47" s="575">
        <v>180400073.41999996</v>
      </c>
      <c r="C47" s="573">
        <v>1</v>
      </c>
      <c r="D47" s="555">
        <f t="shared" si="2"/>
        <v>180400073.41999996</v>
      </c>
      <c r="E47" s="557">
        <f t="shared" si="0"/>
        <v>6.4864350102748925E-3</v>
      </c>
      <c r="F47" s="555"/>
      <c r="G47" s="576">
        <v>2.1366920242151921E-2</v>
      </c>
      <c r="H47" s="559">
        <f t="shared" si="6"/>
        <v>1.385951395204455E-4</v>
      </c>
      <c r="I47" s="560"/>
    </row>
    <row r="48" spans="1:9">
      <c r="A48" s="531" t="s">
        <v>858</v>
      </c>
      <c r="B48" s="575">
        <v>165798776.85483867</v>
      </c>
      <c r="C48" s="573">
        <v>1</v>
      </c>
      <c r="D48" s="555">
        <f t="shared" si="2"/>
        <v>165798776.85483867</v>
      </c>
      <c r="E48" s="557">
        <f t="shared" si="0"/>
        <v>5.9614332215274565E-3</v>
      </c>
      <c r="F48" s="555"/>
      <c r="G48" s="576">
        <v>2.3319939714660377E-2</v>
      </c>
      <c r="H48" s="559">
        <f t="shared" si="6"/>
        <v>1.3902026333899387E-4</v>
      </c>
      <c r="I48" s="560"/>
    </row>
    <row r="49" spans="1:9">
      <c r="A49" s="531" t="s">
        <v>859</v>
      </c>
      <c r="B49" s="575">
        <v>185114109.63333338</v>
      </c>
      <c r="C49" s="573">
        <v>1</v>
      </c>
      <c r="D49" s="555">
        <f t="shared" si="2"/>
        <v>185114109.63333338</v>
      </c>
      <c r="E49" s="557">
        <f t="shared" si="0"/>
        <v>6.6559321116573334E-3</v>
      </c>
      <c r="F49" s="555"/>
      <c r="G49" s="576">
        <v>2.4109706196170675E-2</v>
      </c>
      <c r="H49" s="559">
        <f t="shared" si="6"/>
        <v>1.6047256767371618E-4</v>
      </c>
      <c r="I49" s="560"/>
    </row>
    <row r="50" spans="1:9">
      <c r="A50" s="531" t="s">
        <v>860</v>
      </c>
      <c r="B50" s="578">
        <v>202720363.26548389</v>
      </c>
      <c r="C50" s="573">
        <v>1</v>
      </c>
      <c r="D50" s="579">
        <f t="shared" si="2"/>
        <v>202720363.26548389</v>
      </c>
      <c r="E50" s="580">
        <f t="shared" si="0"/>
        <v>7.288979636496642E-3</v>
      </c>
      <c r="F50" s="555"/>
      <c r="G50" s="576">
        <v>2.5584641857703656E-2</v>
      </c>
      <c r="H50" s="559">
        <f t="shared" si="6"/>
        <v>1.8648593350786157E-4</v>
      </c>
      <c r="I50" s="560"/>
    </row>
    <row r="51" spans="1:9" ht="13.8" thickBot="1">
      <c r="B51" s="529">
        <f>SUM(B8:B50)</f>
        <v>4755232031.8072586</v>
      </c>
      <c r="D51" s="529">
        <f>SUM(D8:D50)</f>
        <v>27811898698.473923</v>
      </c>
      <c r="E51" s="557">
        <f>SUM(E8:E50)</f>
        <v>1.0000000000000002</v>
      </c>
      <c r="F51" s="581"/>
      <c r="G51" s="582"/>
      <c r="H51" s="583">
        <f>SUM(H8:H50)</f>
        <v>4.6074597522247018E-2</v>
      </c>
    </row>
    <row r="52" spans="1:9" ht="13.8" thickTop="1">
      <c r="G52" s="584"/>
      <c r="H52" s="563"/>
    </row>
    <row r="53" spans="1:9">
      <c r="G53" s="584"/>
      <c r="H53" s="585"/>
    </row>
    <row r="56" spans="1:9">
      <c r="H56" s="586"/>
    </row>
  </sheetData>
  <sheetProtection formatCells="0" formatColumns="0" formatRows="0" insertRows="0"/>
  <pageMargins left="0.75" right="0.75" top="1" bottom="1" header="0.5" footer="0.5"/>
  <pageSetup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9"/>
  <sheetViews>
    <sheetView zoomScaleNormal="100" workbookViewId="0">
      <selection activeCell="B17" sqref="B17"/>
    </sheetView>
  </sheetViews>
  <sheetFormatPr defaultRowHeight="13.2"/>
  <cols>
    <col min="1" max="1" width="23.33203125" style="480" customWidth="1"/>
    <col min="2" max="2" width="11.109375" style="480" customWidth="1"/>
    <col min="3" max="3" width="12.109375" style="480" customWidth="1"/>
    <col min="4" max="4" width="14.5546875" style="480" customWidth="1"/>
    <col min="5" max="254" width="9.109375" style="480"/>
    <col min="255" max="255" width="23.33203125" style="480" customWidth="1"/>
    <col min="256" max="256" width="11.109375" style="480" customWidth="1"/>
    <col min="257" max="257" width="12.109375" style="480" customWidth="1"/>
    <col min="258" max="258" width="14.5546875" style="480" customWidth="1"/>
    <col min="259" max="259" width="9.109375" style="480"/>
    <col min="260" max="260" width="9.6640625" style="480" bestFit="1" customWidth="1"/>
    <col min="261" max="510" width="9.109375" style="480"/>
    <col min="511" max="511" width="23.33203125" style="480" customWidth="1"/>
    <col min="512" max="512" width="11.109375" style="480" customWidth="1"/>
    <col min="513" max="513" width="12.109375" style="480" customWidth="1"/>
    <col min="514" max="514" width="14.5546875" style="480" customWidth="1"/>
    <col min="515" max="515" width="9.109375" style="480"/>
    <col min="516" max="516" width="9.6640625" style="480" bestFit="1" customWidth="1"/>
    <col min="517" max="766" width="9.109375" style="480"/>
    <col min="767" max="767" width="23.33203125" style="480" customWidth="1"/>
    <col min="768" max="768" width="11.109375" style="480" customWidth="1"/>
    <col min="769" max="769" width="12.109375" style="480" customWidth="1"/>
    <col min="770" max="770" width="14.5546875" style="480" customWidth="1"/>
    <col min="771" max="771" width="9.109375" style="480"/>
    <col min="772" max="772" width="9.6640625" style="480" bestFit="1" customWidth="1"/>
    <col min="773" max="1022" width="9.109375" style="480"/>
    <col min="1023" max="1023" width="23.33203125" style="480" customWidth="1"/>
    <col min="1024" max="1024" width="11.109375" style="480" customWidth="1"/>
    <col min="1025" max="1025" width="12.109375" style="480" customWidth="1"/>
    <col min="1026" max="1026" width="14.5546875" style="480" customWidth="1"/>
    <col min="1027" max="1027" width="9.109375" style="480"/>
    <col min="1028" max="1028" width="9.6640625" style="480" bestFit="1" customWidth="1"/>
    <col min="1029" max="1278" width="9.109375" style="480"/>
    <col min="1279" max="1279" width="23.33203125" style="480" customWidth="1"/>
    <col min="1280" max="1280" width="11.109375" style="480" customWidth="1"/>
    <col min="1281" max="1281" width="12.109375" style="480" customWidth="1"/>
    <col min="1282" max="1282" width="14.5546875" style="480" customWidth="1"/>
    <col min="1283" max="1283" width="9.109375" style="480"/>
    <col min="1284" max="1284" width="9.6640625" style="480" bestFit="1" customWidth="1"/>
    <col min="1285" max="1534" width="9.109375" style="480"/>
    <col min="1535" max="1535" width="23.33203125" style="480" customWidth="1"/>
    <col min="1536" max="1536" width="11.109375" style="480" customWidth="1"/>
    <col min="1537" max="1537" width="12.109375" style="480" customWidth="1"/>
    <col min="1538" max="1538" width="14.5546875" style="480" customWidth="1"/>
    <col min="1539" max="1539" width="9.109375" style="480"/>
    <col min="1540" max="1540" width="9.6640625" style="480" bestFit="1" customWidth="1"/>
    <col min="1541" max="1790" width="9.109375" style="480"/>
    <col min="1791" max="1791" width="23.33203125" style="480" customWidth="1"/>
    <col min="1792" max="1792" width="11.109375" style="480" customWidth="1"/>
    <col min="1793" max="1793" width="12.109375" style="480" customWidth="1"/>
    <col min="1794" max="1794" width="14.5546875" style="480" customWidth="1"/>
    <col min="1795" max="1795" width="9.109375" style="480"/>
    <col min="1796" max="1796" width="9.6640625" style="480" bestFit="1" customWidth="1"/>
    <col min="1797" max="2046" width="9.109375" style="480"/>
    <col min="2047" max="2047" width="23.33203125" style="480" customWidth="1"/>
    <col min="2048" max="2048" width="11.109375" style="480" customWidth="1"/>
    <col min="2049" max="2049" width="12.109375" style="480" customWidth="1"/>
    <col min="2050" max="2050" width="14.5546875" style="480" customWidth="1"/>
    <col min="2051" max="2051" width="9.109375" style="480"/>
    <col min="2052" max="2052" width="9.6640625" style="480" bestFit="1" customWidth="1"/>
    <col min="2053" max="2302" width="9.109375" style="480"/>
    <col min="2303" max="2303" width="23.33203125" style="480" customWidth="1"/>
    <col min="2304" max="2304" width="11.109375" style="480" customWidth="1"/>
    <col min="2305" max="2305" width="12.109375" style="480" customWidth="1"/>
    <col min="2306" max="2306" width="14.5546875" style="480" customWidth="1"/>
    <col min="2307" max="2307" width="9.109375" style="480"/>
    <col min="2308" max="2308" width="9.6640625" style="480" bestFit="1" customWidth="1"/>
    <col min="2309" max="2558" width="9.109375" style="480"/>
    <col min="2559" max="2559" width="23.33203125" style="480" customWidth="1"/>
    <col min="2560" max="2560" width="11.109375" style="480" customWidth="1"/>
    <col min="2561" max="2561" width="12.109375" style="480" customWidth="1"/>
    <col min="2562" max="2562" width="14.5546875" style="480" customWidth="1"/>
    <col min="2563" max="2563" width="9.109375" style="480"/>
    <col min="2564" max="2564" width="9.6640625" style="480" bestFit="1" customWidth="1"/>
    <col min="2565" max="2814" width="9.109375" style="480"/>
    <col min="2815" max="2815" width="23.33203125" style="480" customWidth="1"/>
    <col min="2816" max="2816" width="11.109375" style="480" customWidth="1"/>
    <col min="2817" max="2817" width="12.109375" style="480" customWidth="1"/>
    <col min="2818" max="2818" width="14.5546875" style="480" customWidth="1"/>
    <col min="2819" max="2819" width="9.109375" style="480"/>
    <col min="2820" max="2820" width="9.6640625" style="480" bestFit="1" customWidth="1"/>
    <col min="2821" max="3070" width="9.109375" style="480"/>
    <col min="3071" max="3071" width="23.33203125" style="480" customWidth="1"/>
    <col min="3072" max="3072" width="11.109375" style="480" customWidth="1"/>
    <col min="3073" max="3073" width="12.109375" style="480" customWidth="1"/>
    <col min="3074" max="3074" width="14.5546875" style="480" customWidth="1"/>
    <col min="3075" max="3075" width="9.109375" style="480"/>
    <col min="3076" max="3076" width="9.6640625" style="480" bestFit="1" customWidth="1"/>
    <col min="3077" max="3326" width="9.109375" style="480"/>
    <col min="3327" max="3327" width="23.33203125" style="480" customWidth="1"/>
    <col min="3328" max="3328" width="11.109375" style="480" customWidth="1"/>
    <col min="3329" max="3329" width="12.109375" style="480" customWidth="1"/>
    <col min="3330" max="3330" width="14.5546875" style="480" customWidth="1"/>
    <col min="3331" max="3331" width="9.109375" style="480"/>
    <col min="3332" max="3332" width="9.6640625" style="480" bestFit="1" customWidth="1"/>
    <col min="3333" max="3582" width="9.109375" style="480"/>
    <col min="3583" max="3583" width="23.33203125" style="480" customWidth="1"/>
    <col min="3584" max="3584" width="11.109375" style="480" customWidth="1"/>
    <col min="3585" max="3585" width="12.109375" style="480" customWidth="1"/>
    <col min="3586" max="3586" width="14.5546875" style="480" customWidth="1"/>
    <col min="3587" max="3587" width="9.109375" style="480"/>
    <col min="3588" max="3588" width="9.6640625" style="480" bestFit="1" customWidth="1"/>
    <col min="3589" max="3838" width="9.109375" style="480"/>
    <col min="3839" max="3839" width="23.33203125" style="480" customWidth="1"/>
    <col min="3840" max="3840" width="11.109375" style="480" customWidth="1"/>
    <col min="3841" max="3841" width="12.109375" style="480" customWidth="1"/>
    <col min="3842" max="3842" width="14.5546875" style="480" customWidth="1"/>
    <col min="3843" max="3843" width="9.109375" style="480"/>
    <col min="3844" max="3844" width="9.6640625" style="480" bestFit="1" customWidth="1"/>
    <col min="3845" max="4094" width="9.109375" style="480"/>
    <col min="4095" max="4095" width="23.33203125" style="480" customWidth="1"/>
    <col min="4096" max="4096" width="11.109375" style="480" customWidth="1"/>
    <col min="4097" max="4097" width="12.109375" style="480" customWidth="1"/>
    <col min="4098" max="4098" width="14.5546875" style="480" customWidth="1"/>
    <col min="4099" max="4099" width="9.109375" style="480"/>
    <col min="4100" max="4100" width="9.6640625" style="480" bestFit="1" customWidth="1"/>
    <col min="4101" max="4350" width="9.109375" style="480"/>
    <col min="4351" max="4351" width="23.33203125" style="480" customWidth="1"/>
    <col min="4352" max="4352" width="11.109375" style="480" customWidth="1"/>
    <col min="4353" max="4353" width="12.109375" style="480" customWidth="1"/>
    <col min="4354" max="4354" width="14.5546875" style="480" customWidth="1"/>
    <col min="4355" max="4355" width="9.109375" style="480"/>
    <col min="4356" max="4356" width="9.6640625" style="480" bestFit="1" customWidth="1"/>
    <col min="4357" max="4606" width="9.109375" style="480"/>
    <col min="4607" max="4607" width="23.33203125" style="480" customWidth="1"/>
    <col min="4608" max="4608" width="11.109375" style="480" customWidth="1"/>
    <col min="4609" max="4609" width="12.109375" style="480" customWidth="1"/>
    <col min="4610" max="4610" width="14.5546875" style="480" customWidth="1"/>
    <col min="4611" max="4611" width="9.109375" style="480"/>
    <col min="4612" max="4612" width="9.6640625" style="480" bestFit="1" customWidth="1"/>
    <col min="4613" max="4862" width="9.109375" style="480"/>
    <col min="4863" max="4863" width="23.33203125" style="480" customWidth="1"/>
    <col min="4864" max="4864" width="11.109375" style="480" customWidth="1"/>
    <col min="4865" max="4865" width="12.109375" style="480" customWidth="1"/>
    <col min="4866" max="4866" width="14.5546875" style="480" customWidth="1"/>
    <col min="4867" max="4867" width="9.109375" style="480"/>
    <col min="4868" max="4868" width="9.6640625" style="480" bestFit="1" customWidth="1"/>
    <col min="4869" max="5118" width="9.109375" style="480"/>
    <col min="5119" max="5119" width="23.33203125" style="480" customWidth="1"/>
    <col min="5120" max="5120" width="11.109375" style="480" customWidth="1"/>
    <col min="5121" max="5121" width="12.109375" style="480" customWidth="1"/>
    <col min="5122" max="5122" width="14.5546875" style="480" customWidth="1"/>
    <col min="5123" max="5123" width="9.109375" style="480"/>
    <col min="5124" max="5124" width="9.6640625" style="480" bestFit="1" customWidth="1"/>
    <col min="5125" max="5374" width="9.109375" style="480"/>
    <col min="5375" max="5375" width="23.33203125" style="480" customWidth="1"/>
    <col min="5376" max="5376" width="11.109375" style="480" customWidth="1"/>
    <col min="5377" max="5377" width="12.109375" style="480" customWidth="1"/>
    <col min="5378" max="5378" width="14.5546875" style="480" customWidth="1"/>
    <col min="5379" max="5379" width="9.109375" style="480"/>
    <col min="5380" max="5380" width="9.6640625" style="480" bestFit="1" customWidth="1"/>
    <col min="5381" max="5630" width="9.109375" style="480"/>
    <col min="5631" max="5631" width="23.33203125" style="480" customWidth="1"/>
    <col min="5632" max="5632" width="11.109375" style="480" customWidth="1"/>
    <col min="5633" max="5633" width="12.109375" style="480" customWidth="1"/>
    <col min="5634" max="5634" width="14.5546875" style="480" customWidth="1"/>
    <col min="5635" max="5635" width="9.109375" style="480"/>
    <col min="5636" max="5636" width="9.6640625" style="480" bestFit="1" customWidth="1"/>
    <col min="5637" max="5886" width="9.109375" style="480"/>
    <col min="5887" max="5887" width="23.33203125" style="480" customWidth="1"/>
    <col min="5888" max="5888" width="11.109375" style="480" customWidth="1"/>
    <col min="5889" max="5889" width="12.109375" style="480" customWidth="1"/>
    <col min="5890" max="5890" width="14.5546875" style="480" customWidth="1"/>
    <col min="5891" max="5891" width="9.109375" style="480"/>
    <col min="5892" max="5892" width="9.6640625" style="480" bestFit="1" customWidth="1"/>
    <col min="5893" max="6142" width="9.109375" style="480"/>
    <col min="6143" max="6143" width="23.33203125" style="480" customWidth="1"/>
    <col min="6144" max="6144" width="11.109375" style="480" customWidth="1"/>
    <col min="6145" max="6145" width="12.109375" style="480" customWidth="1"/>
    <col min="6146" max="6146" width="14.5546875" style="480" customWidth="1"/>
    <col min="6147" max="6147" width="9.109375" style="480"/>
    <col min="6148" max="6148" width="9.6640625" style="480" bestFit="1" customWidth="1"/>
    <col min="6149" max="6398" width="9.109375" style="480"/>
    <col min="6399" max="6399" width="23.33203125" style="480" customWidth="1"/>
    <col min="6400" max="6400" width="11.109375" style="480" customWidth="1"/>
    <col min="6401" max="6401" width="12.109375" style="480" customWidth="1"/>
    <col min="6402" max="6402" width="14.5546875" style="480" customWidth="1"/>
    <col min="6403" max="6403" width="9.109375" style="480"/>
    <col min="6404" max="6404" width="9.6640625" style="480" bestFit="1" customWidth="1"/>
    <col min="6405" max="6654" width="9.109375" style="480"/>
    <col min="6655" max="6655" width="23.33203125" style="480" customWidth="1"/>
    <col min="6656" max="6656" width="11.109375" style="480" customWidth="1"/>
    <col min="6657" max="6657" width="12.109375" style="480" customWidth="1"/>
    <col min="6658" max="6658" width="14.5546875" style="480" customWidth="1"/>
    <col min="6659" max="6659" width="9.109375" style="480"/>
    <col min="6660" max="6660" width="9.6640625" style="480" bestFit="1" customWidth="1"/>
    <col min="6661" max="6910" width="9.109375" style="480"/>
    <col min="6911" max="6911" width="23.33203125" style="480" customWidth="1"/>
    <col min="6912" max="6912" width="11.109375" style="480" customWidth="1"/>
    <col min="6913" max="6913" width="12.109375" style="480" customWidth="1"/>
    <col min="6914" max="6914" width="14.5546875" style="480" customWidth="1"/>
    <col min="6915" max="6915" width="9.109375" style="480"/>
    <col min="6916" max="6916" width="9.6640625" style="480" bestFit="1" customWidth="1"/>
    <col min="6917" max="7166" width="9.109375" style="480"/>
    <col min="7167" max="7167" width="23.33203125" style="480" customWidth="1"/>
    <col min="7168" max="7168" width="11.109375" style="480" customWidth="1"/>
    <col min="7169" max="7169" width="12.109375" style="480" customWidth="1"/>
    <col min="7170" max="7170" width="14.5546875" style="480" customWidth="1"/>
    <col min="7171" max="7171" width="9.109375" style="480"/>
    <col min="7172" max="7172" width="9.6640625" style="480" bestFit="1" customWidth="1"/>
    <col min="7173" max="7422" width="9.109375" style="480"/>
    <col min="7423" max="7423" width="23.33203125" style="480" customWidth="1"/>
    <col min="7424" max="7424" width="11.109375" style="480" customWidth="1"/>
    <col min="7425" max="7425" width="12.109375" style="480" customWidth="1"/>
    <col min="7426" max="7426" width="14.5546875" style="480" customWidth="1"/>
    <col min="7427" max="7427" width="9.109375" style="480"/>
    <col min="7428" max="7428" width="9.6640625" style="480" bestFit="1" customWidth="1"/>
    <col min="7429" max="7678" width="9.109375" style="480"/>
    <col min="7679" max="7679" width="23.33203125" style="480" customWidth="1"/>
    <col min="7680" max="7680" width="11.109375" style="480" customWidth="1"/>
    <col min="7681" max="7681" width="12.109375" style="480" customWidth="1"/>
    <col min="7682" max="7682" width="14.5546875" style="480" customWidth="1"/>
    <col min="7683" max="7683" width="9.109375" style="480"/>
    <col min="7684" max="7684" width="9.6640625" style="480" bestFit="1" customWidth="1"/>
    <col min="7685" max="7934" width="9.109375" style="480"/>
    <col min="7935" max="7935" width="23.33203125" style="480" customWidth="1"/>
    <col min="7936" max="7936" width="11.109375" style="480" customWidth="1"/>
    <col min="7937" max="7937" width="12.109375" style="480" customWidth="1"/>
    <col min="7938" max="7938" width="14.5546875" style="480" customWidth="1"/>
    <col min="7939" max="7939" width="9.109375" style="480"/>
    <col min="7940" max="7940" width="9.6640625" style="480" bestFit="1" customWidth="1"/>
    <col min="7941" max="8190" width="9.109375" style="480"/>
    <col min="8191" max="8191" width="23.33203125" style="480" customWidth="1"/>
    <col min="8192" max="8192" width="11.109375" style="480" customWidth="1"/>
    <col min="8193" max="8193" width="12.109375" style="480" customWidth="1"/>
    <col min="8194" max="8194" width="14.5546875" style="480" customWidth="1"/>
    <col min="8195" max="8195" width="9.109375" style="480"/>
    <col min="8196" max="8196" width="9.6640625" style="480" bestFit="1" customWidth="1"/>
    <col min="8197" max="8446" width="9.109375" style="480"/>
    <col min="8447" max="8447" width="23.33203125" style="480" customWidth="1"/>
    <col min="8448" max="8448" width="11.109375" style="480" customWidth="1"/>
    <col min="8449" max="8449" width="12.109375" style="480" customWidth="1"/>
    <col min="8450" max="8450" width="14.5546875" style="480" customWidth="1"/>
    <col min="8451" max="8451" width="9.109375" style="480"/>
    <col min="8452" max="8452" width="9.6640625" style="480" bestFit="1" customWidth="1"/>
    <col min="8453" max="8702" width="9.109375" style="480"/>
    <col min="8703" max="8703" width="23.33203125" style="480" customWidth="1"/>
    <col min="8704" max="8704" width="11.109375" style="480" customWidth="1"/>
    <col min="8705" max="8705" width="12.109375" style="480" customWidth="1"/>
    <col min="8706" max="8706" width="14.5546875" style="480" customWidth="1"/>
    <col min="8707" max="8707" width="9.109375" style="480"/>
    <col min="8708" max="8708" width="9.6640625" style="480" bestFit="1" customWidth="1"/>
    <col min="8709" max="8958" width="9.109375" style="480"/>
    <col min="8959" max="8959" width="23.33203125" style="480" customWidth="1"/>
    <col min="8960" max="8960" width="11.109375" style="480" customWidth="1"/>
    <col min="8961" max="8961" width="12.109375" style="480" customWidth="1"/>
    <col min="8962" max="8962" width="14.5546875" style="480" customWidth="1"/>
    <col min="8963" max="8963" width="9.109375" style="480"/>
    <col min="8964" max="8964" width="9.6640625" style="480" bestFit="1" customWidth="1"/>
    <col min="8965" max="9214" width="9.109375" style="480"/>
    <col min="9215" max="9215" width="23.33203125" style="480" customWidth="1"/>
    <col min="9216" max="9216" width="11.109375" style="480" customWidth="1"/>
    <col min="9217" max="9217" width="12.109375" style="480" customWidth="1"/>
    <col min="9218" max="9218" width="14.5546875" style="480" customWidth="1"/>
    <col min="9219" max="9219" width="9.109375" style="480"/>
    <col min="9220" max="9220" width="9.6640625" style="480" bestFit="1" customWidth="1"/>
    <col min="9221" max="9470" width="9.109375" style="480"/>
    <col min="9471" max="9471" width="23.33203125" style="480" customWidth="1"/>
    <col min="9472" max="9472" width="11.109375" style="480" customWidth="1"/>
    <col min="9473" max="9473" width="12.109375" style="480" customWidth="1"/>
    <col min="9474" max="9474" width="14.5546875" style="480" customWidth="1"/>
    <col min="9475" max="9475" width="9.109375" style="480"/>
    <col min="9476" max="9476" width="9.6640625" style="480" bestFit="1" customWidth="1"/>
    <col min="9477" max="9726" width="9.109375" style="480"/>
    <col min="9727" max="9727" width="23.33203125" style="480" customWidth="1"/>
    <col min="9728" max="9728" width="11.109375" style="480" customWidth="1"/>
    <col min="9729" max="9729" width="12.109375" style="480" customWidth="1"/>
    <col min="9730" max="9730" width="14.5546875" style="480" customWidth="1"/>
    <col min="9731" max="9731" width="9.109375" style="480"/>
    <col min="9732" max="9732" width="9.6640625" style="480" bestFit="1" customWidth="1"/>
    <col min="9733" max="9982" width="9.109375" style="480"/>
    <col min="9983" max="9983" width="23.33203125" style="480" customWidth="1"/>
    <col min="9984" max="9984" width="11.109375" style="480" customWidth="1"/>
    <col min="9985" max="9985" width="12.109375" style="480" customWidth="1"/>
    <col min="9986" max="9986" width="14.5546875" style="480" customWidth="1"/>
    <col min="9987" max="9987" width="9.109375" style="480"/>
    <col min="9988" max="9988" width="9.6640625" style="480" bestFit="1" customWidth="1"/>
    <col min="9989" max="10238" width="9.109375" style="480"/>
    <col min="10239" max="10239" width="23.33203125" style="480" customWidth="1"/>
    <col min="10240" max="10240" width="11.109375" style="480" customWidth="1"/>
    <col min="10241" max="10241" width="12.109375" style="480" customWidth="1"/>
    <col min="10242" max="10242" width="14.5546875" style="480" customWidth="1"/>
    <col min="10243" max="10243" width="9.109375" style="480"/>
    <col min="10244" max="10244" width="9.6640625" style="480" bestFit="1" customWidth="1"/>
    <col min="10245" max="10494" width="9.109375" style="480"/>
    <col min="10495" max="10495" width="23.33203125" style="480" customWidth="1"/>
    <col min="10496" max="10496" width="11.109375" style="480" customWidth="1"/>
    <col min="10497" max="10497" width="12.109375" style="480" customWidth="1"/>
    <col min="10498" max="10498" width="14.5546875" style="480" customWidth="1"/>
    <col min="10499" max="10499" width="9.109375" style="480"/>
    <col min="10500" max="10500" width="9.6640625" style="480" bestFit="1" customWidth="1"/>
    <col min="10501" max="10750" width="9.109375" style="480"/>
    <col min="10751" max="10751" width="23.33203125" style="480" customWidth="1"/>
    <col min="10752" max="10752" width="11.109375" style="480" customWidth="1"/>
    <col min="10753" max="10753" width="12.109375" style="480" customWidth="1"/>
    <col min="10754" max="10754" width="14.5546875" style="480" customWidth="1"/>
    <col min="10755" max="10755" width="9.109375" style="480"/>
    <col min="10756" max="10756" width="9.6640625" style="480" bestFit="1" customWidth="1"/>
    <col min="10757" max="11006" width="9.109375" style="480"/>
    <col min="11007" max="11007" width="23.33203125" style="480" customWidth="1"/>
    <col min="11008" max="11008" width="11.109375" style="480" customWidth="1"/>
    <col min="11009" max="11009" width="12.109375" style="480" customWidth="1"/>
    <col min="11010" max="11010" width="14.5546875" style="480" customWidth="1"/>
    <col min="11011" max="11011" width="9.109375" style="480"/>
    <col min="11012" max="11012" width="9.6640625" style="480" bestFit="1" customWidth="1"/>
    <col min="11013" max="11262" width="9.109375" style="480"/>
    <col min="11263" max="11263" width="23.33203125" style="480" customWidth="1"/>
    <col min="11264" max="11264" width="11.109375" style="480" customWidth="1"/>
    <col min="11265" max="11265" width="12.109375" style="480" customWidth="1"/>
    <col min="11266" max="11266" width="14.5546875" style="480" customWidth="1"/>
    <col min="11267" max="11267" width="9.109375" style="480"/>
    <col min="11268" max="11268" width="9.6640625" style="480" bestFit="1" customWidth="1"/>
    <col min="11269" max="11518" width="9.109375" style="480"/>
    <col min="11519" max="11519" width="23.33203125" style="480" customWidth="1"/>
    <col min="11520" max="11520" width="11.109375" style="480" customWidth="1"/>
    <col min="11521" max="11521" width="12.109375" style="480" customWidth="1"/>
    <col min="11522" max="11522" width="14.5546875" style="480" customWidth="1"/>
    <col min="11523" max="11523" width="9.109375" style="480"/>
    <col min="11524" max="11524" width="9.6640625" style="480" bestFit="1" customWidth="1"/>
    <col min="11525" max="11774" width="9.109375" style="480"/>
    <col min="11775" max="11775" width="23.33203125" style="480" customWidth="1"/>
    <col min="11776" max="11776" width="11.109375" style="480" customWidth="1"/>
    <col min="11777" max="11777" width="12.109375" style="480" customWidth="1"/>
    <col min="11778" max="11778" width="14.5546875" style="480" customWidth="1"/>
    <col min="11779" max="11779" width="9.109375" style="480"/>
    <col min="11780" max="11780" width="9.6640625" style="480" bestFit="1" customWidth="1"/>
    <col min="11781" max="12030" width="9.109375" style="480"/>
    <col min="12031" max="12031" width="23.33203125" style="480" customWidth="1"/>
    <col min="12032" max="12032" width="11.109375" style="480" customWidth="1"/>
    <col min="12033" max="12033" width="12.109375" style="480" customWidth="1"/>
    <col min="12034" max="12034" width="14.5546875" style="480" customWidth="1"/>
    <col min="12035" max="12035" width="9.109375" style="480"/>
    <col min="12036" max="12036" width="9.6640625" style="480" bestFit="1" customWidth="1"/>
    <col min="12037" max="12286" width="9.109375" style="480"/>
    <col min="12287" max="12287" width="23.33203125" style="480" customWidth="1"/>
    <col min="12288" max="12288" width="11.109375" style="480" customWidth="1"/>
    <col min="12289" max="12289" width="12.109375" style="480" customWidth="1"/>
    <col min="12290" max="12290" width="14.5546875" style="480" customWidth="1"/>
    <col min="12291" max="12291" width="9.109375" style="480"/>
    <col min="12292" max="12292" width="9.6640625" style="480" bestFit="1" customWidth="1"/>
    <col min="12293" max="12542" width="9.109375" style="480"/>
    <col min="12543" max="12543" width="23.33203125" style="480" customWidth="1"/>
    <col min="12544" max="12544" width="11.109375" style="480" customWidth="1"/>
    <col min="12545" max="12545" width="12.109375" style="480" customWidth="1"/>
    <col min="12546" max="12546" width="14.5546875" style="480" customWidth="1"/>
    <col min="12547" max="12547" width="9.109375" style="480"/>
    <col min="12548" max="12548" width="9.6640625" style="480" bestFit="1" customWidth="1"/>
    <col min="12549" max="12798" width="9.109375" style="480"/>
    <col min="12799" max="12799" width="23.33203125" style="480" customWidth="1"/>
    <col min="12800" max="12800" width="11.109375" style="480" customWidth="1"/>
    <col min="12801" max="12801" width="12.109375" style="480" customWidth="1"/>
    <col min="12802" max="12802" width="14.5546875" style="480" customWidth="1"/>
    <col min="12803" max="12803" width="9.109375" style="480"/>
    <col min="12804" max="12804" width="9.6640625" style="480" bestFit="1" customWidth="1"/>
    <col min="12805" max="13054" width="9.109375" style="480"/>
    <col min="13055" max="13055" width="23.33203125" style="480" customWidth="1"/>
    <col min="13056" max="13056" width="11.109375" style="480" customWidth="1"/>
    <col min="13057" max="13057" width="12.109375" style="480" customWidth="1"/>
    <col min="13058" max="13058" width="14.5546875" style="480" customWidth="1"/>
    <col min="13059" max="13059" width="9.109375" style="480"/>
    <col min="13060" max="13060" width="9.6640625" style="480" bestFit="1" customWidth="1"/>
    <col min="13061" max="13310" width="9.109375" style="480"/>
    <col min="13311" max="13311" width="23.33203125" style="480" customWidth="1"/>
    <col min="13312" max="13312" width="11.109375" style="480" customWidth="1"/>
    <col min="13313" max="13313" width="12.109375" style="480" customWidth="1"/>
    <col min="13314" max="13314" width="14.5546875" style="480" customWidth="1"/>
    <col min="13315" max="13315" width="9.109375" style="480"/>
    <col min="13316" max="13316" width="9.6640625" style="480" bestFit="1" customWidth="1"/>
    <col min="13317" max="13566" width="9.109375" style="480"/>
    <col min="13567" max="13567" width="23.33203125" style="480" customWidth="1"/>
    <col min="13568" max="13568" width="11.109375" style="480" customWidth="1"/>
    <col min="13569" max="13569" width="12.109375" style="480" customWidth="1"/>
    <col min="13570" max="13570" width="14.5546875" style="480" customWidth="1"/>
    <col min="13571" max="13571" width="9.109375" style="480"/>
    <col min="13572" max="13572" width="9.6640625" style="480" bestFit="1" customWidth="1"/>
    <col min="13573" max="13822" width="9.109375" style="480"/>
    <col min="13823" max="13823" width="23.33203125" style="480" customWidth="1"/>
    <col min="13824" max="13824" width="11.109375" style="480" customWidth="1"/>
    <col min="13825" max="13825" width="12.109375" style="480" customWidth="1"/>
    <col min="13826" max="13826" width="14.5546875" style="480" customWidth="1"/>
    <col min="13827" max="13827" width="9.109375" style="480"/>
    <col min="13828" max="13828" width="9.6640625" style="480" bestFit="1" customWidth="1"/>
    <col min="13829" max="14078" width="9.109375" style="480"/>
    <col min="14079" max="14079" width="23.33203125" style="480" customWidth="1"/>
    <col min="14080" max="14080" width="11.109375" style="480" customWidth="1"/>
    <col min="14081" max="14081" width="12.109375" style="480" customWidth="1"/>
    <col min="14082" max="14082" width="14.5546875" style="480" customWidth="1"/>
    <col min="14083" max="14083" width="9.109375" style="480"/>
    <col min="14084" max="14084" width="9.6640625" style="480" bestFit="1" customWidth="1"/>
    <col min="14085" max="14334" width="9.109375" style="480"/>
    <col min="14335" max="14335" width="23.33203125" style="480" customWidth="1"/>
    <col min="14336" max="14336" width="11.109375" style="480" customWidth="1"/>
    <col min="14337" max="14337" width="12.109375" style="480" customWidth="1"/>
    <col min="14338" max="14338" width="14.5546875" style="480" customWidth="1"/>
    <col min="14339" max="14339" width="9.109375" style="480"/>
    <col min="14340" max="14340" width="9.6640625" style="480" bestFit="1" customWidth="1"/>
    <col min="14341" max="14590" width="9.109375" style="480"/>
    <col min="14591" max="14591" width="23.33203125" style="480" customWidth="1"/>
    <col min="14592" max="14592" width="11.109375" style="480" customWidth="1"/>
    <col min="14593" max="14593" width="12.109375" style="480" customWidth="1"/>
    <col min="14594" max="14594" width="14.5546875" style="480" customWidth="1"/>
    <col min="14595" max="14595" width="9.109375" style="480"/>
    <col min="14596" max="14596" width="9.6640625" style="480" bestFit="1" customWidth="1"/>
    <col min="14597" max="14846" width="9.109375" style="480"/>
    <col min="14847" max="14847" width="23.33203125" style="480" customWidth="1"/>
    <col min="14848" max="14848" width="11.109375" style="480" customWidth="1"/>
    <col min="14849" max="14849" width="12.109375" style="480" customWidth="1"/>
    <col min="14850" max="14850" width="14.5546875" style="480" customWidth="1"/>
    <col min="14851" max="14851" width="9.109375" style="480"/>
    <col min="14852" max="14852" width="9.6640625" style="480" bestFit="1" customWidth="1"/>
    <col min="14853" max="15102" width="9.109375" style="480"/>
    <col min="15103" max="15103" width="23.33203125" style="480" customWidth="1"/>
    <col min="15104" max="15104" width="11.109375" style="480" customWidth="1"/>
    <col min="15105" max="15105" width="12.109375" style="480" customWidth="1"/>
    <col min="15106" max="15106" width="14.5546875" style="480" customWidth="1"/>
    <col min="15107" max="15107" width="9.109375" style="480"/>
    <col min="15108" max="15108" width="9.6640625" style="480" bestFit="1" customWidth="1"/>
    <col min="15109" max="15358" width="9.109375" style="480"/>
    <col min="15359" max="15359" width="23.33203125" style="480" customWidth="1"/>
    <col min="15360" max="15360" width="11.109375" style="480" customWidth="1"/>
    <col min="15361" max="15361" width="12.109375" style="480" customWidth="1"/>
    <col min="15362" max="15362" width="14.5546875" style="480" customWidth="1"/>
    <col min="15363" max="15363" width="9.109375" style="480"/>
    <col min="15364" max="15364" width="9.6640625" style="480" bestFit="1" customWidth="1"/>
    <col min="15365" max="15614" width="9.109375" style="480"/>
    <col min="15615" max="15615" width="23.33203125" style="480" customWidth="1"/>
    <col min="15616" max="15616" width="11.109375" style="480" customWidth="1"/>
    <col min="15617" max="15617" width="12.109375" style="480" customWidth="1"/>
    <col min="15618" max="15618" width="14.5546875" style="480" customWidth="1"/>
    <col min="15619" max="15619" width="9.109375" style="480"/>
    <col min="15620" max="15620" width="9.6640625" style="480" bestFit="1" customWidth="1"/>
    <col min="15621" max="15870" width="9.109375" style="480"/>
    <col min="15871" max="15871" width="23.33203125" style="480" customWidth="1"/>
    <col min="15872" max="15872" width="11.109375" style="480" customWidth="1"/>
    <col min="15873" max="15873" width="12.109375" style="480" customWidth="1"/>
    <col min="15874" max="15874" width="14.5546875" style="480" customWidth="1"/>
    <col min="15875" max="15875" width="9.109375" style="480"/>
    <col min="15876" max="15876" width="9.6640625" style="480" bestFit="1" customWidth="1"/>
    <col min="15877" max="16126" width="9.109375" style="480"/>
    <col min="16127" max="16127" width="23.33203125" style="480" customWidth="1"/>
    <col min="16128" max="16128" width="11.109375" style="480" customWidth="1"/>
    <col min="16129" max="16129" width="12.109375" style="480" customWidth="1"/>
    <col min="16130" max="16130" width="14.5546875" style="480" customWidth="1"/>
    <col min="16131" max="16131" width="9.109375" style="480"/>
    <col min="16132" max="16132" width="9.6640625" style="480" bestFit="1" customWidth="1"/>
    <col min="16133" max="16382" width="9.109375" style="480"/>
    <col min="16383" max="16384" width="9.109375" style="480" customWidth="1"/>
  </cols>
  <sheetData>
    <row r="1" spans="1:6">
      <c r="A1" s="520" t="s">
        <v>0</v>
      </c>
    </row>
    <row r="2" spans="1:6">
      <c r="A2" s="544" t="s">
        <v>861</v>
      </c>
    </row>
    <row r="3" spans="1:6">
      <c r="A3" s="587" t="s">
        <v>2</v>
      </c>
      <c r="F3" s="588"/>
    </row>
    <row r="4" spans="1:6">
      <c r="F4" s="588"/>
    </row>
    <row r="5" spans="1:6">
      <c r="F5" s="588"/>
    </row>
    <row r="6" spans="1:6">
      <c r="F6" s="588"/>
    </row>
    <row r="7" spans="1:6">
      <c r="B7" s="589" t="s">
        <v>22</v>
      </c>
      <c r="C7" s="589" t="s">
        <v>862</v>
      </c>
      <c r="D7" s="589" t="s">
        <v>863</v>
      </c>
      <c r="F7" s="588"/>
    </row>
    <row r="8" spans="1:6">
      <c r="A8" s="480" t="s">
        <v>864</v>
      </c>
    </row>
    <row r="10" spans="1:6">
      <c r="A10" s="480" t="s">
        <v>865</v>
      </c>
      <c r="C10" s="627">
        <v>800526</v>
      </c>
    </row>
    <row r="12" spans="1:6">
      <c r="A12" s="481" t="s">
        <v>866</v>
      </c>
      <c r="D12" s="628">
        <v>9850</v>
      </c>
    </row>
    <row r="14" spans="1:6">
      <c r="C14" s="590">
        <f>SUM(C10:C13)</f>
        <v>800526</v>
      </c>
      <c r="D14" s="590">
        <f>SUM(D10:D13)</f>
        <v>9850</v>
      </c>
    </row>
    <row r="15" spans="1:6">
      <c r="A15" s="480" t="s">
        <v>867</v>
      </c>
      <c r="C15" s="629">
        <f>'ATC Attach O ER19-838'!D185</f>
        <v>0.24431730016980788</v>
      </c>
      <c r="D15" s="629">
        <f>+C15-('ATC Attach O ER19-838'!D312*(1-'ATC Attach O ER19-838'!D315))</f>
        <v>5.3753054728537364E-2</v>
      </c>
    </row>
    <row r="17" spans="1:4">
      <c r="A17" s="480" t="s">
        <v>22</v>
      </c>
      <c r="B17" s="591">
        <f>SUM(C17:D17)</f>
        <v>196111</v>
      </c>
      <c r="C17" s="590">
        <f>ROUND(C15*C14,0)</f>
        <v>195582</v>
      </c>
      <c r="D17" s="590">
        <f>ROUND(D15*D14,0)</f>
        <v>529</v>
      </c>
    </row>
    <row r="19" spans="1:4">
      <c r="B19" s="592"/>
    </row>
  </sheetData>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8B53-D1AF-443D-B7A3-341E2EB74D06}">
  <sheetPr>
    <pageSetUpPr fitToPage="1"/>
  </sheetPr>
  <dimension ref="A1:X42"/>
  <sheetViews>
    <sheetView zoomScale="80" zoomScaleNormal="80" workbookViewId="0">
      <selection activeCell="F42" sqref="F42"/>
    </sheetView>
  </sheetViews>
  <sheetFormatPr defaultColWidth="9.109375" defaultRowHeight="14.4"/>
  <cols>
    <col min="1" max="1" width="26" style="705" customWidth="1"/>
    <col min="2" max="2" width="2.6640625" style="705" customWidth="1"/>
    <col min="3" max="4" width="20.33203125" style="705" customWidth="1"/>
    <col min="5" max="5" width="2.6640625" style="705" customWidth="1"/>
    <col min="6" max="6" width="20.33203125" style="705" customWidth="1"/>
    <col min="7" max="7" width="2.6640625" style="705" customWidth="1"/>
    <col min="8" max="8" width="19" style="705" customWidth="1"/>
    <col min="9" max="9" width="2.44140625" style="705" customWidth="1"/>
    <col min="10" max="10" width="19" style="705" customWidth="1"/>
    <col min="11" max="11" width="2.5546875" style="705" customWidth="1"/>
    <col min="12" max="12" width="19.33203125" style="705" customWidth="1"/>
    <col min="13" max="13" width="2.33203125" style="705" customWidth="1"/>
    <col min="14" max="14" width="19.33203125" style="705" customWidth="1"/>
    <col min="15" max="15" width="2.33203125" style="705" customWidth="1"/>
    <col min="16" max="16" width="25.44140625" style="705" customWidth="1"/>
    <col min="17" max="17" width="2.33203125" style="705" customWidth="1"/>
    <col min="18" max="18" width="19.33203125" style="705" customWidth="1"/>
    <col min="19" max="19" width="2.33203125" style="705" customWidth="1"/>
    <col min="20" max="20" width="25.44140625" style="705" customWidth="1"/>
    <col min="21" max="21" width="2.33203125" style="705" customWidth="1"/>
    <col min="22" max="22" width="19.33203125" style="705" customWidth="1"/>
    <col min="23" max="23" width="2.33203125" style="705" customWidth="1"/>
    <col min="24" max="24" width="25.44140625" style="705" customWidth="1"/>
    <col min="25" max="16384" width="9.109375" style="705"/>
  </cols>
  <sheetData>
    <row r="1" spans="1:24">
      <c r="A1" s="520" t="s">
        <v>0</v>
      </c>
    </row>
    <row r="2" spans="1:24">
      <c r="A2" s="544" t="s">
        <v>868</v>
      </c>
      <c r="F2" s="722"/>
      <c r="G2" s="722"/>
      <c r="H2" s="722"/>
      <c r="I2" s="722"/>
      <c r="J2" s="722"/>
    </row>
    <row r="3" spans="1:24">
      <c r="A3" s="587" t="s">
        <v>2</v>
      </c>
    </row>
    <row r="6" spans="1:24">
      <c r="F6" s="706"/>
      <c r="J6" s="706" t="s">
        <v>869</v>
      </c>
      <c r="L6" s="706"/>
      <c r="M6" s="706"/>
      <c r="P6" s="706" t="s">
        <v>870</v>
      </c>
      <c r="T6" s="706" t="s">
        <v>870</v>
      </c>
      <c r="X6" s="706" t="s">
        <v>870</v>
      </c>
    </row>
    <row r="7" spans="1:24">
      <c r="A7" s="707"/>
      <c r="C7" s="706" t="s">
        <v>871</v>
      </c>
      <c r="F7" s="706" t="s">
        <v>872</v>
      </c>
      <c r="J7" s="706" t="s">
        <v>873</v>
      </c>
      <c r="K7" s="706"/>
      <c r="N7" s="706" t="s">
        <v>874</v>
      </c>
      <c r="P7" s="706" t="s">
        <v>875</v>
      </c>
      <c r="R7" s="706" t="s">
        <v>876</v>
      </c>
      <c r="T7" s="706" t="s">
        <v>875</v>
      </c>
      <c r="V7" s="708" t="s">
        <v>877</v>
      </c>
      <c r="X7" s="706" t="s">
        <v>875</v>
      </c>
    </row>
    <row r="8" spans="1:24">
      <c r="A8" s="707" t="s">
        <v>878</v>
      </c>
      <c r="B8" s="707"/>
      <c r="C8" s="709">
        <v>4259130</v>
      </c>
      <c r="D8" s="709"/>
      <c r="F8" s="709">
        <v>7301297</v>
      </c>
      <c r="J8" s="710">
        <f>SUM(C8:F8)</f>
        <v>11560427</v>
      </c>
      <c r="K8" s="710"/>
      <c r="N8" s="709">
        <f>-464391-695</f>
        <v>-465086</v>
      </c>
      <c r="P8" s="706" t="s">
        <v>879</v>
      </c>
      <c r="R8" s="709">
        <v>-250117</v>
      </c>
      <c r="T8" s="706" t="s">
        <v>880</v>
      </c>
      <c r="V8" s="709">
        <v>117176</v>
      </c>
      <c r="X8" s="708" t="s">
        <v>881</v>
      </c>
    </row>
    <row r="9" spans="1:24">
      <c r="A9" s="707"/>
      <c r="B9" s="707"/>
      <c r="C9" s="709"/>
      <c r="D9" s="709"/>
      <c r="F9" s="709"/>
      <c r="L9" s="710"/>
      <c r="M9" s="710"/>
    </row>
    <row r="10" spans="1:24">
      <c r="B10" s="707"/>
      <c r="C10" s="711" t="s">
        <v>882</v>
      </c>
      <c r="D10" s="712" t="s">
        <v>883</v>
      </c>
      <c r="F10" s="713" t="s">
        <v>882</v>
      </c>
      <c r="H10" s="713" t="s">
        <v>883</v>
      </c>
      <c r="I10" s="714"/>
      <c r="J10" s="713" t="s">
        <v>882</v>
      </c>
      <c r="K10" s="714"/>
      <c r="L10" s="713" t="s">
        <v>883</v>
      </c>
      <c r="M10" s="714"/>
    </row>
    <row r="11" spans="1:24">
      <c r="A11" s="707" t="s">
        <v>884</v>
      </c>
      <c r="B11" s="707"/>
      <c r="C11" s="709">
        <f t="shared" ref="C11:C20" si="0">ROUND($C$8/10,0)</f>
        <v>425913</v>
      </c>
      <c r="D11" s="709">
        <f>C8-C11</f>
        <v>3833217</v>
      </c>
      <c r="F11" s="710">
        <f>ROUND(F8/22,0)</f>
        <v>331877</v>
      </c>
      <c r="H11" s="710">
        <f>F8-F11</f>
        <v>6969420</v>
      </c>
      <c r="I11" s="710"/>
      <c r="J11" s="710">
        <f t="shared" ref="J11:J32" si="1">C11+F11</f>
        <v>757790</v>
      </c>
      <c r="K11" s="710"/>
      <c r="L11" s="710">
        <f>J8-J11</f>
        <v>10802637</v>
      </c>
      <c r="M11" s="710"/>
      <c r="N11" s="709"/>
    </row>
    <row r="12" spans="1:24">
      <c r="A12" s="707" t="s">
        <v>885</v>
      </c>
      <c r="B12" s="707"/>
      <c r="C12" s="709">
        <f t="shared" si="0"/>
        <v>425913</v>
      </c>
      <c r="D12" s="709">
        <f t="shared" ref="D12:D20" si="2">D11-C12</f>
        <v>3407304</v>
      </c>
      <c r="F12" s="710">
        <f>F11</f>
        <v>331877</v>
      </c>
      <c r="H12" s="710">
        <f t="shared" ref="H12:H32" si="3">H11-F12</f>
        <v>6637543</v>
      </c>
      <c r="I12" s="710"/>
      <c r="J12" s="710">
        <f t="shared" si="1"/>
        <v>757790</v>
      </c>
      <c r="K12" s="710"/>
      <c r="L12" s="710">
        <f t="shared" ref="L12:L32" si="4">L11-J12</f>
        <v>10044847</v>
      </c>
      <c r="M12" s="710"/>
      <c r="N12" s="709">
        <f>ROUND($N$8/22,0)</f>
        <v>-21140</v>
      </c>
      <c r="P12" s="715">
        <f>J12+N12</f>
        <v>736650</v>
      </c>
    </row>
    <row r="13" spans="1:24">
      <c r="A13" s="707" t="s">
        <v>886</v>
      </c>
      <c r="B13" s="707"/>
      <c r="C13" s="709">
        <f t="shared" si="0"/>
        <v>425913</v>
      </c>
      <c r="D13" s="709">
        <f t="shared" si="2"/>
        <v>2981391</v>
      </c>
      <c r="F13" s="710">
        <f>F12</f>
        <v>331877</v>
      </c>
      <c r="H13" s="710">
        <f t="shared" si="3"/>
        <v>6305666</v>
      </c>
      <c r="I13" s="710"/>
      <c r="J13" s="710">
        <f t="shared" si="1"/>
        <v>757790</v>
      </c>
      <c r="K13" s="710"/>
      <c r="L13" s="710">
        <f t="shared" si="4"/>
        <v>9287057</v>
      </c>
      <c r="M13" s="710"/>
      <c r="N13" s="709">
        <f t="shared" ref="N13:N32" si="5">ROUND($N$8/22,0)</f>
        <v>-21140</v>
      </c>
      <c r="P13" s="710">
        <f t="shared" ref="P13:P33" si="6">J13+N13</f>
        <v>736650</v>
      </c>
      <c r="R13" s="709">
        <f>ROUND($R$8/22,0)</f>
        <v>-11369</v>
      </c>
      <c r="T13" s="715">
        <f>R13+P13</f>
        <v>725281</v>
      </c>
      <c r="V13" s="709"/>
      <c r="X13" s="715"/>
    </row>
    <row r="14" spans="1:24">
      <c r="A14" s="707" t="s">
        <v>887</v>
      </c>
      <c r="B14" s="707"/>
      <c r="C14" s="709">
        <f t="shared" si="0"/>
        <v>425913</v>
      </c>
      <c r="D14" s="709">
        <f t="shared" si="2"/>
        <v>2555478</v>
      </c>
      <c r="F14" s="710">
        <f t="shared" ref="F14:F31" si="7">F13</f>
        <v>331877</v>
      </c>
      <c r="H14" s="710">
        <f t="shared" si="3"/>
        <v>5973789</v>
      </c>
      <c r="I14" s="710"/>
      <c r="J14" s="710">
        <f t="shared" si="1"/>
        <v>757790</v>
      </c>
      <c r="K14" s="710"/>
      <c r="L14" s="710">
        <f t="shared" si="4"/>
        <v>8529267</v>
      </c>
      <c r="M14" s="710"/>
      <c r="N14" s="709">
        <f t="shared" si="5"/>
        <v>-21140</v>
      </c>
      <c r="P14" s="710">
        <f t="shared" si="6"/>
        <v>736650</v>
      </c>
      <c r="R14" s="709">
        <f t="shared" ref="R14:R33" si="8">ROUND($R$8/22,0)</f>
        <v>-11369</v>
      </c>
      <c r="T14" s="710">
        <f>R14+P14</f>
        <v>725281</v>
      </c>
      <c r="V14" s="709">
        <f>ROUND($V$8/22,0)</f>
        <v>5326</v>
      </c>
      <c r="X14" s="715">
        <f>V14+T14</f>
        <v>730607</v>
      </c>
    </row>
    <row r="15" spans="1:24">
      <c r="A15" s="707" t="s">
        <v>888</v>
      </c>
      <c r="B15" s="707"/>
      <c r="C15" s="709">
        <f t="shared" si="0"/>
        <v>425913</v>
      </c>
      <c r="D15" s="709">
        <f t="shared" si="2"/>
        <v>2129565</v>
      </c>
      <c r="F15" s="710">
        <f t="shared" si="7"/>
        <v>331877</v>
      </c>
      <c r="H15" s="710">
        <f t="shared" si="3"/>
        <v>5641912</v>
      </c>
      <c r="I15" s="710"/>
      <c r="J15" s="710">
        <f t="shared" si="1"/>
        <v>757790</v>
      </c>
      <c r="K15" s="710"/>
      <c r="L15" s="710">
        <f t="shared" si="4"/>
        <v>7771477</v>
      </c>
      <c r="M15" s="710"/>
      <c r="N15" s="709">
        <f>ROUND($N$8/22,0)-1</f>
        <v>-21141</v>
      </c>
      <c r="P15" s="710">
        <f t="shared" si="6"/>
        <v>736649</v>
      </c>
      <c r="R15" s="709">
        <f t="shared" si="8"/>
        <v>-11369</v>
      </c>
      <c r="T15" s="710">
        <f t="shared" ref="T15:T34" si="9">R15+P15</f>
        <v>725280</v>
      </c>
      <c r="V15" s="709">
        <f t="shared" ref="V15:V34" si="10">ROUND($V$8/22,0)</f>
        <v>5326</v>
      </c>
      <c r="X15" s="710">
        <f t="shared" ref="X15:X34" si="11">V15+T15</f>
        <v>730606</v>
      </c>
    </row>
    <row r="16" spans="1:24">
      <c r="A16" s="707" t="s">
        <v>889</v>
      </c>
      <c r="B16" s="707"/>
      <c r="C16" s="709">
        <f t="shared" si="0"/>
        <v>425913</v>
      </c>
      <c r="D16" s="709">
        <f t="shared" si="2"/>
        <v>1703652</v>
      </c>
      <c r="F16" s="710">
        <f t="shared" si="7"/>
        <v>331877</v>
      </c>
      <c r="H16" s="710">
        <f t="shared" si="3"/>
        <v>5310035</v>
      </c>
      <c r="I16" s="710"/>
      <c r="J16" s="710">
        <f t="shared" si="1"/>
        <v>757790</v>
      </c>
      <c r="K16" s="710"/>
      <c r="L16" s="710">
        <f t="shared" si="4"/>
        <v>7013687</v>
      </c>
      <c r="M16" s="710"/>
      <c r="N16" s="709">
        <f t="shared" si="5"/>
        <v>-21140</v>
      </c>
      <c r="P16" s="710">
        <f t="shared" si="6"/>
        <v>736650</v>
      </c>
      <c r="R16" s="709">
        <f t="shared" si="8"/>
        <v>-11369</v>
      </c>
      <c r="T16" s="710">
        <f t="shared" si="9"/>
        <v>725281</v>
      </c>
      <c r="V16" s="709">
        <f t="shared" si="10"/>
        <v>5326</v>
      </c>
      <c r="X16" s="710">
        <f t="shared" si="11"/>
        <v>730607</v>
      </c>
    </row>
    <row r="17" spans="1:24">
      <c r="A17" s="707" t="s">
        <v>890</v>
      </c>
      <c r="B17" s="707"/>
      <c r="C17" s="709">
        <f t="shared" si="0"/>
        <v>425913</v>
      </c>
      <c r="D17" s="709">
        <f t="shared" si="2"/>
        <v>1277739</v>
      </c>
      <c r="F17" s="710">
        <f t="shared" si="7"/>
        <v>331877</v>
      </c>
      <c r="H17" s="710">
        <f t="shared" si="3"/>
        <v>4978158</v>
      </c>
      <c r="I17" s="710"/>
      <c r="J17" s="710">
        <f t="shared" si="1"/>
        <v>757790</v>
      </c>
      <c r="K17" s="710"/>
      <c r="L17" s="710">
        <f t="shared" si="4"/>
        <v>6255897</v>
      </c>
      <c r="M17" s="710"/>
      <c r="N17" s="709">
        <f t="shared" si="5"/>
        <v>-21140</v>
      </c>
      <c r="P17" s="710">
        <f t="shared" si="6"/>
        <v>736650</v>
      </c>
      <c r="R17" s="709">
        <f t="shared" si="8"/>
        <v>-11369</v>
      </c>
      <c r="T17" s="710">
        <f t="shared" si="9"/>
        <v>725281</v>
      </c>
      <c r="V17" s="709">
        <f t="shared" si="10"/>
        <v>5326</v>
      </c>
      <c r="X17" s="710">
        <f t="shared" si="11"/>
        <v>730607</v>
      </c>
    </row>
    <row r="18" spans="1:24">
      <c r="A18" s="707" t="s">
        <v>891</v>
      </c>
      <c r="B18" s="707"/>
      <c r="C18" s="709">
        <f t="shared" si="0"/>
        <v>425913</v>
      </c>
      <c r="D18" s="709">
        <f t="shared" si="2"/>
        <v>851826</v>
      </c>
      <c r="F18" s="710">
        <f t="shared" si="7"/>
        <v>331877</v>
      </c>
      <c r="H18" s="710">
        <f t="shared" si="3"/>
        <v>4646281</v>
      </c>
      <c r="I18" s="710"/>
      <c r="J18" s="710">
        <f t="shared" si="1"/>
        <v>757790</v>
      </c>
      <c r="K18" s="710"/>
      <c r="L18" s="710">
        <f t="shared" si="4"/>
        <v>5498107</v>
      </c>
      <c r="M18" s="710"/>
      <c r="N18" s="709">
        <f t="shared" si="5"/>
        <v>-21140</v>
      </c>
      <c r="P18" s="710">
        <f t="shared" si="6"/>
        <v>736650</v>
      </c>
      <c r="R18" s="709">
        <f t="shared" si="8"/>
        <v>-11369</v>
      </c>
      <c r="T18" s="710">
        <f t="shared" si="9"/>
        <v>725281</v>
      </c>
      <c r="V18" s="709">
        <f t="shared" si="10"/>
        <v>5326</v>
      </c>
      <c r="X18" s="710">
        <f t="shared" si="11"/>
        <v>730607</v>
      </c>
    </row>
    <row r="19" spans="1:24">
      <c r="A19" s="707" t="s">
        <v>892</v>
      </c>
      <c r="B19" s="707"/>
      <c r="C19" s="709">
        <f t="shared" si="0"/>
        <v>425913</v>
      </c>
      <c r="D19" s="709">
        <f t="shared" si="2"/>
        <v>425913</v>
      </c>
      <c r="F19" s="710">
        <f t="shared" si="7"/>
        <v>331877</v>
      </c>
      <c r="H19" s="710">
        <f t="shared" si="3"/>
        <v>4314404</v>
      </c>
      <c r="I19" s="710"/>
      <c r="J19" s="710">
        <f t="shared" si="1"/>
        <v>757790</v>
      </c>
      <c r="K19" s="710"/>
      <c r="L19" s="710">
        <f t="shared" si="4"/>
        <v>4740317</v>
      </c>
      <c r="M19" s="710"/>
      <c r="N19" s="709">
        <f>ROUND($N$8/22,0)-1</f>
        <v>-21141</v>
      </c>
      <c r="P19" s="710">
        <f t="shared" si="6"/>
        <v>736649</v>
      </c>
      <c r="R19" s="709">
        <f t="shared" si="8"/>
        <v>-11369</v>
      </c>
      <c r="T19" s="710">
        <f t="shared" si="9"/>
        <v>725280</v>
      </c>
      <c r="V19" s="709">
        <f t="shared" si="10"/>
        <v>5326</v>
      </c>
      <c r="X19" s="710">
        <f t="shared" si="11"/>
        <v>730606</v>
      </c>
    </row>
    <row r="20" spans="1:24">
      <c r="A20" s="707" t="s">
        <v>893</v>
      </c>
      <c r="B20" s="707"/>
      <c r="C20" s="709">
        <f t="shared" si="0"/>
        <v>425913</v>
      </c>
      <c r="D20" s="709">
        <f t="shared" si="2"/>
        <v>0</v>
      </c>
      <c r="F20" s="710">
        <f t="shared" si="7"/>
        <v>331877</v>
      </c>
      <c r="H20" s="710">
        <f t="shared" si="3"/>
        <v>3982527</v>
      </c>
      <c r="I20" s="710"/>
      <c r="J20" s="710">
        <f t="shared" si="1"/>
        <v>757790</v>
      </c>
      <c r="K20" s="710"/>
      <c r="L20" s="710">
        <f t="shared" si="4"/>
        <v>3982527</v>
      </c>
      <c r="M20" s="710"/>
      <c r="N20" s="709">
        <f t="shared" si="5"/>
        <v>-21140</v>
      </c>
      <c r="P20" s="710">
        <f t="shared" si="6"/>
        <v>736650</v>
      </c>
      <c r="R20" s="709">
        <f t="shared" si="8"/>
        <v>-11369</v>
      </c>
      <c r="T20" s="710">
        <f t="shared" si="9"/>
        <v>725281</v>
      </c>
      <c r="V20" s="709">
        <f t="shared" si="10"/>
        <v>5326</v>
      </c>
      <c r="X20" s="710">
        <f t="shared" si="11"/>
        <v>730607</v>
      </c>
    </row>
    <row r="21" spans="1:24">
      <c r="A21" s="707" t="s">
        <v>894</v>
      </c>
      <c r="B21" s="707"/>
      <c r="C21" s="716"/>
      <c r="D21" s="716"/>
      <c r="F21" s="710">
        <f t="shared" si="7"/>
        <v>331877</v>
      </c>
      <c r="H21" s="710">
        <f t="shared" si="3"/>
        <v>3650650</v>
      </c>
      <c r="I21" s="710"/>
      <c r="J21" s="710">
        <f t="shared" si="1"/>
        <v>331877</v>
      </c>
      <c r="K21" s="710"/>
      <c r="L21" s="710">
        <f t="shared" si="4"/>
        <v>3650650</v>
      </c>
      <c r="M21" s="710"/>
      <c r="N21" s="709">
        <f t="shared" si="5"/>
        <v>-21140</v>
      </c>
      <c r="P21" s="710">
        <f t="shared" si="6"/>
        <v>310737</v>
      </c>
      <c r="R21" s="709">
        <f t="shared" si="8"/>
        <v>-11369</v>
      </c>
      <c r="T21" s="710">
        <f t="shared" si="9"/>
        <v>299368</v>
      </c>
      <c r="V21" s="709">
        <f t="shared" si="10"/>
        <v>5326</v>
      </c>
      <c r="X21" s="710">
        <f t="shared" si="11"/>
        <v>304694</v>
      </c>
    </row>
    <row r="22" spans="1:24">
      <c r="A22" s="707" t="s">
        <v>895</v>
      </c>
      <c r="F22" s="710">
        <f t="shared" si="7"/>
        <v>331877</v>
      </c>
      <c r="H22" s="710">
        <f t="shared" si="3"/>
        <v>3318773</v>
      </c>
      <c r="I22" s="710"/>
      <c r="J22" s="710">
        <f t="shared" si="1"/>
        <v>331877</v>
      </c>
      <c r="K22" s="710"/>
      <c r="L22" s="710">
        <f t="shared" si="4"/>
        <v>3318773</v>
      </c>
      <c r="M22" s="710"/>
      <c r="N22" s="709">
        <f t="shared" si="5"/>
        <v>-21140</v>
      </c>
      <c r="P22" s="710">
        <f t="shared" si="6"/>
        <v>310737</v>
      </c>
      <c r="R22" s="709">
        <f t="shared" si="8"/>
        <v>-11369</v>
      </c>
      <c r="T22" s="710">
        <f t="shared" si="9"/>
        <v>299368</v>
      </c>
      <c r="V22" s="709">
        <f t="shared" si="10"/>
        <v>5326</v>
      </c>
      <c r="X22" s="710">
        <f t="shared" si="11"/>
        <v>304694</v>
      </c>
    </row>
    <row r="23" spans="1:24">
      <c r="A23" s="707" t="s">
        <v>896</v>
      </c>
      <c r="F23" s="710">
        <f t="shared" si="7"/>
        <v>331877</v>
      </c>
      <c r="H23" s="710">
        <f t="shared" si="3"/>
        <v>2986896</v>
      </c>
      <c r="I23" s="710"/>
      <c r="J23" s="710">
        <f t="shared" si="1"/>
        <v>331877</v>
      </c>
      <c r="K23" s="710"/>
      <c r="L23" s="710">
        <f t="shared" si="4"/>
        <v>2986896</v>
      </c>
      <c r="M23" s="710"/>
      <c r="N23" s="709">
        <f>ROUND($N$8/22,0)-1</f>
        <v>-21141</v>
      </c>
      <c r="P23" s="710">
        <f t="shared" si="6"/>
        <v>310736</v>
      </c>
      <c r="R23" s="709">
        <f t="shared" si="8"/>
        <v>-11369</v>
      </c>
      <c r="T23" s="710">
        <f t="shared" si="9"/>
        <v>299367</v>
      </c>
      <c r="V23" s="709">
        <f t="shared" si="10"/>
        <v>5326</v>
      </c>
      <c r="X23" s="710">
        <f t="shared" si="11"/>
        <v>304693</v>
      </c>
    </row>
    <row r="24" spans="1:24">
      <c r="A24" s="707" t="s">
        <v>897</v>
      </c>
      <c r="F24" s="710">
        <f t="shared" si="7"/>
        <v>331877</v>
      </c>
      <c r="H24" s="710">
        <f t="shared" si="3"/>
        <v>2655019</v>
      </c>
      <c r="I24" s="710"/>
      <c r="J24" s="710">
        <f t="shared" si="1"/>
        <v>331877</v>
      </c>
      <c r="K24" s="710"/>
      <c r="L24" s="710">
        <f t="shared" si="4"/>
        <v>2655019</v>
      </c>
      <c r="M24" s="710"/>
      <c r="N24" s="709">
        <f t="shared" si="5"/>
        <v>-21140</v>
      </c>
      <c r="P24" s="710">
        <f t="shared" si="6"/>
        <v>310737</v>
      </c>
      <c r="R24" s="709">
        <f t="shared" si="8"/>
        <v>-11369</v>
      </c>
      <c r="T24" s="710">
        <f t="shared" si="9"/>
        <v>299368</v>
      </c>
      <c r="V24" s="709">
        <f t="shared" si="10"/>
        <v>5326</v>
      </c>
      <c r="X24" s="710">
        <f t="shared" si="11"/>
        <v>304694</v>
      </c>
    </row>
    <row r="25" spans="1:24">
      <c r="A25" s="707" t="s">
        <v>898</v>
      </c>
      <c r="F25" s="710">
        <f t="shared" si="7"/>
        <v>331877</v>
      </c>
      <c r="H25" s="710">
        <f t="shared" si="3"/>
        <v>2323142</v>
      </c>
      <c r="I25" s="710"/>
      <c r="J25" s="710">
        <f t="shared" si="1"/>
        <v>331877</v>
      </c>
      <c r="K25" s="710"/>
      <c r="L25" s="710">
        <f t="shared" si="4"/>
        <v>2323142</v>
      </c>
      <c r="M25" s="710"/>
      <c r="N25" s="709">
        <f t="shared" si="5"/>
        <v>-21140</v>
      </c>
      <c r="P25" s="710">
        <f t="shared" si="6"/>
        <v>310737</v>
      </c>
      <c r="R25" s="709">
        <f t="shared" si="8"/>
        <v>-11369</v>
      </c>
      <c r="T25" s="710">
        <f t="shared" si="9"/>
        <v>299368</v>
      </c>
      <c r="V25" s="709">
        <f t="shared" si="10"/>
        <v>5326</v>
      </c>
      <c r="X25" s="710">
        <f t="shared" si="11"/>
        <v>304694</v>
      </c>
    </row>
    <row r="26" spans="1:24">
      <c r="A26" s="707" t="s">
        <v>899</v>
      </c>
      <c r="F26" s="710">
        <f t="shared" si="7"/>
        <v>331877</v>
      </c>
      <c r="H26" s="710">
        <f t="shared" si="3"/>
        <v>1991265</v>
      </c>
      <c r="I26" s="710"/>
      <c r="J26" s="710">
        <f t="shared" si="1"/>
        <v>331877</v>
      </c>
      <c r="K26" s="710"/>
      <c r="L26" s="710">
        <f t="shared" si="4"/>
        <v>1991265</v>
      </c>
      <c r="M26" s="710"/>
      <c r="N26" s="709">
        <f t="shared" si="5"/>
        <v>-21140</v>
      </c>
      <c r="P26" s="710">
        <f t="shared" si="6"/>
        <v>310737</v>
      </c>
      <c r="R26" s="709">
        <f t="shared" si="8"/>
        <v>-11369</v>
      </c>
      <c r="T26" s="710">
        <f t="shared" si="9"/>
        <v>299368</v>
      </c>
      <c r="V26" s="709">
        <f t="shared" si="10"/>
        <v>5326</v>
      </c>
      <c r="X26" s="710">
        <f t="shared" si="11"/>
        <v>304694</v>
      </c>
    </row>
    <row r="27" spans="1:24">
      <c r="A27" s="707" t="s">
        <v>900</v>
      </c>
      <c r="F27" s="710">
        <f t="shared" si="7"/>
        <v>331877</v>
      </c>
      <c r="H27" s="710">
        <f t="shared" si="3"/>
        <v>1659388</v>
      </c>
      <c r="I27" s="710"/>
      <c r="J27" s="710">
        <f t="shared" si="1"/>
        <v>331877</v>
      </c>
      <c r="K27" s="710"/>
      <c r="L27" s="710">
        <f t="shared" si="4"/>
        <v>1659388</v>
      </c>
      <c r="M27" s="710"/>
      <c r="N27" s="709">
        <f>ROUND($N$8/22,0)-1</f>
        <v>-21141</v>
      </c>
      <c r="P27" s="710">
        <f t="shared" si="6"/>
        <v>310736</v>
      </c>
      <c r="R27" s="709">
        <f t="shared" si="8"/>
        <v>-11369</v>
      </c>
      <c r="T27" s="710">
        <f t="shared" si="9"/>
        <v>299367</v>
      </c>
      <c r="V27" s="709">
        <f t="shared" si="10"/>
        <v>5326</v>
      </c>
      <c r="X27" s="710">
        <f t="shared" si="11"/>
        <v>304693</v>
      </c>
    </row>
    <row r="28" spans="1:24">
      <c r="A28" s="707" t="s">
        <v>901</v>
      </c>
      <c r="F28" s="710">
        <f t="shared" si="7"/>
        <v>331877</v>
      </c>
      <c r="H28" s="710">
        <f t="shared" si="3"/>
        <v>1327511</v>
      </c>
      <c r="I28" s="710"/>
      <c r="J28" s="710">
        <f t="shared" si="1"/>
        <v>331877</v>
      </c>
      <c r="K28" s="710"/>
      <c r="L28" s="710">
        <f t="shared" si="4"/>
        <v>1327511</v>
      </c>
      <c r="M28" s="710"/>
      <c r="N28" s="709">
        <f>ROUND($N$8/22,0)</f>
        <v>-21140</v>
      </c>
      <c r="P28" s="710">
        <f t="shared" si="6"/>
        <v>310737</v>
      </c>
      <c r="R28" s="709">
        <f t="shared" si="8"/>
        <v>-11369</v>
      </c>
      <c r="T28" s="710">
        <f t="shared" si="9"/>
        <v>299368</v>
      </c>
      <c r="V28" s="709">
        <f t="shared" si="10"/>
        <v>5326</v>
      </c>
      <c r="X28" s="710">
        <f t="shared" si="11"/>
        <v>304694</v>
      </c>
    </row>
    <row r="29" spans="1:24">
      <c r="A29" s="707" t="s">
        <v>902</v>
      </c>
      <c r="F29" s="710">
        <f t="shared" si="7"/>
        <v>331877</v>
      </c>
      <c r="H29" s="710">
        <f t="shared" si="3"/>
        <v>995634</v>
      </c>
      <c r="I29" s="710"/>
      <c r="J29" s="710">
        <f t="shared" si="1"/>
        <v>331877</v>
      </c>
      <c r="K29" s="710"/>
      <c r="L29" s="710">
        <f t="shared" si="4"/>
        <v>995634</v>
      </c>
      <c r="M29" s="710"/>
      <c r="N29" s="709">
        <f t="shared" si="5"/>
        <v>-21140</v>
      </c>
      <c r="P29" s="710">
        <f t="shared" si="6"/>
        <v>310737</v>
      </c>
      <c r="R29" s="709">
        <f t="shared" si="8"/>
        <v>-11369</v>
      </c>
      <c r="T29" s="710">
        <f t="shared" si="9"/>
        <v>299368</v>
      </c>
      <c r="V29" s="709">
        <f t="shared" si="10"/>
        <v>5326</v>
      </c>
      <c r="X29" s="710">
        <f t="shared" si="11"/>
        <v>304694</v>
      </c>
    </row>
    <row r="30" spans="1:24">
      <c r="A30" s="707" t="s">
        <v>903</v>
      </c>
      <c r="F30" s="710">
        <f t="shared" si="7"/>
        <v>331877</v>
      </c>
      <c r="H30" s="710">
        <f t="shared" si="3"/>
        <v>663757</v>
      </c>
      <c r="I30" s="710"/>
      <c r="J30" s="710">
        <f t="shared" si="1"/>
        <v>331877</v>
      </c>
      <c r="K30" s="710"/>
      <c r="L30" s="710">
        <f t="shared" si="4"/>
        <v>663757</v>
      </c>
      <c r="M30" s="710"/>
      <c r="N30" s="709">
        <f>ROUND($N$8/22,0)-1</f>
        <v>-21141</v>
      </c>
      <c r="P30" s="710">
        <f t="shared" si="6"/>
        <v>310736</v>
      </c>
      <c r="R30" s="709">
        <f t="shared" si="8"/>
        <v>-11369</v>
      </c>
      <c r="T30" s="710">
        <f t="shared" si="9"/>
        <v>299367</v>
      </c>
      <c r="V30" s="709">
        <f t="shared" si="10"/>
        <v>5326</v>
      </c>
      <c r="X30" s="710">
        <f t="shared" si="11"/>
        <v>304693</v>
      </c>
    </row>
    <row r="31" spans="1:24">
      <c r="A31" s="707" t="s">
        <v>904</v>
      </c>
      <c r="F31" s="710">
        <f t="shared" si="7"/>
        <v>331877</v>
      </c>
      <c r="H31" s="710">
        <f t="shared" si="3"/>
        <v>331880</v>
      </c>
      <c r="I31" s="710"/>
      <c r="J31" s="710">
        <f t="shared" si="1"/>
        <v>331877</v>
      </c>
      <c r="K31" s="710"/>
      <c r="L31" s="710">
        <f t="shared" si="4"/>
        <v>331880</v>
      </c>
      <c r="M31" s="710"/>
      <c r="N31" s="709">
        <f t="shared" si="5"/>
        <v>-21140</v>
      </c>
      <c r="P31" s="710">
        <f t="shared" si="6"/>
        <v>310737</v>
      </c>
      <c r="R31" s="709">
        <f t="shared" si="8"/>
        <v>-11369</v>
      </c>
      <c r="T31" s="710">
        <f t="shared" si="9"/>
        <v>299368</v>
      </c>
      <c r="V31" s="709">
        <f t="shared" si="10"/>
        <v>5326</v>
      </c>
      <c r="X31" s="710">
        <f t="shared" si="11"/>
        <v>304694</v>
      </c>
    </row>
    <row r="32" spans="1:24">
      <c r="A32" s="707" t="s">
        <v>905</v>
      </c>
      <c r="F32" s="710">
        <f>F31+3</f>
        <v>331880</v>
      </c>
      <c r="H32" s="710">
        <f t="shared" si="3"/>
        <v>0</v>
      </c>
      <c r="I32" s="710"/>
      <c r="J32" s="710">
        <f t="shared" si="1"/>
        <v>331880</v>
      </c>
      <c r="K32" s="710"/>
      <c r="L32" s="710">
        <f t="shared" si="4"/>
        <v>0</v>
      </c>
      <c r="M32" s="710"/>
      <c r="N32" s="709">
        <f t="shared" si="5"/>
        <v>-21140</v>
      </c>
      <c r="P32" s="710">
        <f t="shared" si="6"/>
        <v>310740</v>
      </c>
      <c r="R32" s="709">
        <f t="shared" si="8"/>
        <v>-11369</v>
      </c>
      <c r="T32" s="710">
        <f t="shared" si="9"/>
        <v>299371</v>
      </c>
      <c r="V32" s="709">
        <f t="shared" si="10"/>
        <v>5326</v>
      </c>
      <c r="X32" s="710">
        <f t="shared" si="11"/>
        <v>304697</v>
      </c>
    </row>
    <row r="33" spans="1:24">
      <c r="A33" s="707" t="s">
        <v>906</v>
      </c>
      <c r="E33" s="710"/>
      <c r="N33" s="709">
        <f>ROUND($N$8/22,0)-1</f>
        <v>-21141</v>
      </c>
      <c r="P33" s="710">
        <f t="shared" si="6"/>
        <v>-21141</v>
      </c>
      <c r="R33" s="709">
        <f t="shared" si="8"/>
        <v>-11369</v>
      </c>
      <c r="T33" s="710">
        <f t="shared" si="9"/>
        <v>-32510</v>
      </c>
      <c r="V33" s="709">
        <f t="shared" si="10"/>
        <v>5326</v>
      </c>
      <c r="X33" s="710">
        <f t="shared" si="11"/>
        <v>-27184</v>
      </c>
    </row>
    <row r="34" spans="1:24">
      <c r="A34" s="707" t="s">
        <v>907</v>
      </c>
      <c r="E34" s="710"/>
      <c r="R34" s="709">
        <f>ROUND($R$8/22,0)+1</f>
        <v>-11368</v>
      </c>
      <c r="T34" s="710">
        <f t="shared" si="9"/>
        <v>-11368</v>
      </c>
      <c r="V34" s="709">
        <f t="shared" si="10"/>
        <v>5326</v>
      </c>
      <c r="X34" s="710">
        <f t="shared" si="11"/>
        <v>-6042</v>
      </c>
    </row>
    <row r="35" spans="1:24">
      <c r="E35" s="710"/>
      <c r="V35" s="709">
        <f>ROUND($V$8/22,0)+4</f>
        <v>5330</v>
      </c>
      <c r="X35" s="715">
        <f>V35+T35</f>
        <v>5330</v>
      </c>
    </row>
    <row r="38" spans="1:24">
      <c r="A38" s="717" t="s">
        <v>908</v>
      </c>
      <c r="F38" s="710">
        <f>X14</f>
        <v>730607</v>
      </c>
    </row>
    <row r="40" spans="1:24">
      <c r="A40" s="717" t="s">
        <v>909</v>
      </c>
      <c r="F40" s="709">
        <v>3619027</v>
      </c>
    </row>
    <row r="42" spans="1:24">
      <c r="A42" s="705" t="s">
        <v>910</v>
      </c>
      <c r="F42" s="718">
        <f>F38+F40</f>
        <v>4349634</v>
      </c>
    </row>
  </sheetData>
  <pageMargins left="0.7" right="0.7" top="0.75" bottom="0.75" header="0.3" footer="0.3"/>
  <pageSetup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2"/>
  <sheetViews>
    <sheetView workbookViewId="0">
      <selection activeCell="D17" sqref="D17"/>
    </sheetView>
  </sheetViews>
  <sheetFormatPr defaultColWidth="9.109375" defaultRowHeight="13.2"/>
  <cols>
    <col min="1" max="1" width="46" style="594" customWidth="1"/>
    <col min="2" max="4" width="13.109375" style="594" customWidth="1"/>
    <col min="5" max="16384" width="9.109375" style="594"/>
  </cols>
  <sheetData>
    <row r="1" spans="1:4">
      <c r="A1" s="593" t="s">
        <v>0</v>
      </c>
    </row>
    <row r="2" spans="1:4">
      <c r="A2" s="593" t="s">
        <v>911</v>
      </c>
      <c r="B2" s="595"/>
      <c r="C2" s="596"/>
    </row>
    <row r="3" spans="1:4">
      <c r="A3" s="597" t="s">
        <v>912</v>
      </c>
    </row>
    <row r="4" spans="1:4">
      <c r="A4" s="598"/>
    </row>
    <row r="5" spans="1:4">
      <c r="A5" s="599"/>
      <c r="B5" s="600"/>
      <c r="C5" s="601"/>
      <c r="D5" s="601"/>
    </row>
    <row r="6" spans="1:4" ht="13.8" thickBot="1">
      <c r="A6" s="601" t="s">
        <v>913</v>
      </c>
      <c r="C6" s="601"/>
      <c r="D6" s="602">
        <v>0.21</v>
      </c>
    </row>
    <row r="7" spans="1:4" ht="13.8" thickTop="1">
      <c r="A7" s="601"/>
      <c r="B7" s="601"/>
      <c r="C7" s="601"/>
      <c r="D7" s="601"/>
    </row>
    <row r="8" spans="1:4">
      <c r="A8" s="601"/>
      <c r="B8" s="601"/>
      <c r="C8" s="601"/>
      <c r="D8" s="601"/>
    </row>
    <row r="9" spans="1:4" ht="39.6">
      <c r="A9" s="601" t="s">
        <v>914</v>
      </c>
      <c r="B9" s="603" t="s">
        <v>915</v>
      </c>
      <c r="C9" s="603" t="s">
        <v>916</v>
      </c>
      <c r="D9" s="604" t="s">
        <v>917</v>
      </c>
    </row>
    <row r="10" spans="1:4">
      <c r="A10" s="601"/>
      <c r="B10" s="601"/>
      <c r="C10" s="601"/>
      <c r="D10" s="605"/>
    </row>
    <row r="11" spans="1:4">
      <c r="A11" s="601" t="s">
        <v>918</v>
      </c>
      <c r="B11" s="630">
        <v>7.9000000000000001E-2</v>
      </c>
      <c r="C11" s="631">
        <v>0.79601010000000005</v>
      </c>
      <c r="D11" s="605">
        <f t="shared" ref="D11:D15" si="0">B11*C11</f>
        <v>6.2884797900000011E-2</v>
      </c>
    </row>
    <row r="12" spans="1:4">
      <c r="A12" s="601" t="s">
        <v>919</v>
      </c>
      <c r="B12" s="630">
        <v>9.8000000000000004E-2</v>
      </c>
      <c r="C12" s="632">
        <v>5.8606400000000003E-2</v>
      </c>
      <c r="D12" s="605">
        <f t="shared" si="0"/>
        <v>5.7434272000000007E-3</v>
      </c>
    </row>
    <row r="13" spans="1:4">
      <c r="A13" s="601" t="s">
        <v>920</v>
      </c>
      <c r="B13" s="630">
        <v>9.5000000000000001E-2</v>
      </c>
      <c r="C13" s="633">
        <v>5.9347999999999996E-3</v>
      </c>
      <c r="D13" s="605">
        <f t="shared" si="0"/>
        <v>5.6380599999999992E-4</v>
      </c>
    </row>
    <row r="14" spans="1:4">
      <c r="A14" s="606" t="s">
        <v>921</v>
      </c>
      <c r="B14" s="634">
        <v>0.06</v>
      </c>
      <c r="C14" s="632">
        <v>9.6490599999999996E-2</v>
      </c>
      <c r="D14" s="605">
        <f t="shared" si="0"/>
        <v>5.7894359999999994E-3</v>
      </c>
    </row>
    <row r="15" spans="1:4">
      <c r="A15" s="607" t="s">
        <v>922</v>
      </c>
      <c r="B15" s="634">
        <v>0.03</v>
      </c>
      <c r="C15" s="632">
        <v>0</v>
      </c>
      <c r="D15" s="605">
        <f t="shared" si="0"/>
        <v>0</v>
      </c>
    </row>
    <row r="16" spans="1:4">
      <c r="A16" s="608"/>
      <c r="B16" s="600"/>
      <c r="C16" s="600"/>
      <c r="D16" s="601"/>
    </row>
    <row r="17" spans="1:4" ht="13.8" thickBot="1">
      <c r="A17" s="608"/>
      <c r="B17" s="600"/>
      <c r="C17" s="609">
        <f>SUM(C11:C16)</f>
        <v>0.95704190000000011</v>
      </c>
      <c r="D17" s="610">
        <f>SUM(D11:D16)</f>
        <v>7.4981467100000004E-2</v>
      </c>
    </row>
    <row r="18" spans="1:4" ht="13.8" thickTop="1">
      <c r="A18" s="608"/>
      <c r="B18" s="600"/>
      <c r="C18" s="600"/>
      <c r="D18" s="601"/>
    </row>
    <row r="19" spans="1:4">
      <c r="A19" s="601"/>
      <c r="B19" s="601"/>
      <c r="C19" s="601"/>
      <c r="D19" s="601"/>
    </row>
    <row r="20" spans="1:4">
      <c r="A20" s="611" t="s">
        <v>923</v>
      </c>
      <c r="B20" s="612"/>
      <c r="C20" s="612"/>
      <c r="D20" s="601"/>
    </row>
    <row r="21" spans="1:4">
      <c r="A21" s="601"/>
      <c r="B21" s="601"/>
      <c r="C21" s="601"/>
      <c r="D21" s="601"/>
    </row>
    <row r="22" spans="1:4">
      <c r="A22" s="601" t="s">
        <v>924</v>
      </c>
      <c r="B22" s="601"/>
      <c r="C22" s="601"/>
      <c r="D22" s="601"/>
    </row>
  </sheetData>
  <pageMargins left="0.7" right="0.7" top="0.75" bottom="0.75" header="0.3" footer="0.3"/>
  <pageSetup scale="96" fitToHeight="0"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5"/>
  <sheetViews>
    <sheetView zoomScaleNormal="100" workbookViewId="0">
      <selection activeCell="C20" sqref="C20"/>
    </sheetView>
  </sheetViews>
  <sheetFormatPr defaultColWidth="9.109375" defaultRowHeight="13.2"/>
  <cols>
    <col min="1" max="1" width="52.5546875" style="614" customWidth="1"/>
    <col min="2" max="2" width="13.44140625" style="614" customWidth="1"/>
    <col min="3" max="3" width="15.44140625" style="614" bestFit="1" customWidth="1"/>
    <col min="4" max="4" width="9.109375" style="614"/>
    <col min="5" max="5" width="11.88671875" style="614" bestFit="1" customWidth="1"/>
    <col min="6" max="16384" width="9.109375" style="614"/>
  </cols>
  <sheetData>
    <row r="1" spans="1:5">
      <c r="A1" s="613" t="s">
        <v>0</v>
      </c>
      <c r="B1" s="613"/>
    </row>
    <row r="2" spans="1:5">
      <c r="A2" s="613" t="s">
        <v>925</v>
      </c>
      <c r="B2" s="613"/>
    </row>
    <row r="3" spans="1:5">
      <c r="A3" s="615" t="s">
        <v>912</v>
      </c>
      <c r="B3" s="613"/>
    </row>
    <row r="6" spans="1:5">
      <c r="A6" s="616" t="s">
        <v>926</v>
      </c>
      <c r="B6" s="617"/>
      <c r="C6" s="635">
        <v>282163280.5221566</v>
      </c>
      <c r="E6" s="523">
        <f>ROUND(C6-'ATC Attach O ER19-838'!I199,2)</f>
        <v>0</v>
      </c>
    </row>
    <row r="8" spans="1:5">
      <c r="A8" s="614" t="s">
        <v>927</v>
      </c>
      <c r="B8" s="636">
        <v>5.4100000000000002E-2</v>
      </c>
      <c r="E8" s="523">
        <f>ROUND(B8-'ATC Attach O ER19-838'!I270,10)</f>
        <v>0</v>
      </c>
    </row>
    <row r="9" spans="1:5">
      <c r="A9" s="614" t="s">
        <v>928</v>
      </c>
      <c r="B9" s="636">
        <v>7.7137298761123518E-2</v>
      </c>
      <c r="E9" s="523">
        <f>ROUND(B9-'ATC Attach O ER19-838'!I271,10)</f>
        <v>0</v>
      </c>
    </row>
    <row r="10" spans="1:5">
      <c r="A10" s="614" t="s">
        <v>929</v>
      </c>
      <c r="C10" s="620">
        <f>B8/B9</f>
        <v>0.70134683050718782</v>
      </c>
    </row>
    <row r="12" spans="1:5">
      <c r="A12" s="614" t="s">
        <v>930</v>
      </c>
      <c r="C12" s="618">
        <f>C6*C10</f>
        <v>197894322.47972506</v>
      </c>
    </row>
    <row r="14" spans="1:5">
      <c r="A14" s="614" t="s">
        <v>931</v>
      </c>
      <c r="C14" s="637">
        <v>58326262.592863396</v>
      </c>
      <c r="E14" s="523">
        <f>ROUND(C14-'ATC Attach O ER19-838'!I197,0)</f>
        <v>0</v>
      </c>
    </row>
    <row r="16" spans="1:5">
      <c r="A16" s="614" t="s">
        <v>932</v>
      </c>
      <c r="C16" s="618">
        <f>SUM(C12:C15)</f>
        <v>256220585.07258844</v>
      </c>
      <c r="E16" s="592"/>
    </row>
    <row r="18" spans="1:5">
      <c r="A18" s="614" t="s">
        <v>933</v>
      </c>
      <c r="C18" s="635">
        <v>23713525.735070918</v>
      </c>
      <c r="E18" s="621"/>
    </row>
    <row r="20" spans="1:5" ht="13.8" thickBot="1">
      <c r="A20" s="622" t="s">
        <v>934</v>
      </c>
      <c r="C20" s="623">
        <f>C18/C16</f>
        <v>9.2551212184426052E-2</v>
      </c>
      <c r="E20" s="619">
        <f>ROUND(C20-'ATC Attach O ER19-838'!D315,10)</f>
        <v>0</v>
      </c>
    </row>
    <row r="21" spans="1:5" ht="13.8" thickTop="1"/>
    <row r="22" spans="1:5">
      <c r="C22" s="624"/>
    </row>
    <row r="24" spans="1:5">
      <c r="C24" s="703"/>
    </row>
    <row r="25" spans="1:5">
      <c r="C25" s="704"/>
    </row>
  </sheetData>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8"/>
  <sheetViews>
    <sheetView showGridLines="0" zoomScale="90" zoomScaleNormal="90" workbookViewId="0">
      <selection activeCell="A7" sqref="A7"/>
    </sheetView>
  </sheetViews>
  <sheetFormatPr defaultRowHeight="13.2"/>
  <cols>
    <col min="1" max="1" width="171.109375" customWidth="1"/>
  </cols>
  <sheetData>
    <row r="1" spans="1:1" ht="15.6">
      <c r="A1" s="657" t="s">
        <v>935</v>
      </c>
    </row>
    <row r="2" spans="1:1" ht="15.6">
      <c r="A2" s="657"/>
    </row>
    <row r="3" spans="1:1" s="658" customFormat="1" ht="147.75" customHeight="1">
      <c r="A3" s="723" t="s">
        <v>936</v>
      </c>
    </row>
    <row r="4" spans="1:1" ht="21.75" customHeight="1">
      <c r="A4" s="659" t="s">
        <v>937</v>
      </c>
    </row>
    <row r="8" spans="1:1">
      <c r="A8" s="660"/>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Document" ma:contentTypeID="0x010100675FC73E6384B44594102417D67C3D8B00615EA3290EE02C419A3A0B0C9A07004D" ma:contentTypeVersion="13" ma:contentTypeDescription="" ma:contentTypeScope="" ma:versionID="96dcaa238955d0c8808fa42d59f6032c">
  <xsd:schema xmlns:xsd="http://www.w3.org/2001/XMLSchema" xmlns:xs="http://www.w3.org/2001/XMLSchema" xmlns:p="http://schemas.microsoft.com/office/2006/metadata/properties" xmlns:ns2="84fdcd09-a16a-4103-a6fe-1829789e53c6" xmlns:ns3="39eae0d6-f536-406f-b8fe-dca1cb6a5bd7" targetNamespace="http://schemas.microsoft.com/office/2006/metadata/properties" ma:root="true" ma:fieldsID="4deaa3e5d18cd5ec3a1e1fd97fd07281" ns2:_="" ns3:_="">
    <xsd:import namespace="84fdcd09-a16a-4103-a6fe-1829789e53c6"/>
    <xsd:import namespace="39eae0d6-f536-406f-b8fe-dca1cb6a5bd7"/>
    <xsd:element name="properties">
      <xsd:complexType>
        <xsd:sequence>
          <xsd:element name="documentManagement">
            <xsd:complexType>
              <xsd:all>
                <xsd:element ref="ns2:FileType1" minOccurs="0"/>
                <xsd:element ref="ns2:DocketNo" minOccurs="0"/>
                <xsd:element ref="ns2:Counterparty" minOccurs="0"/>
                <xsd:element ref="ns2:AssetPerson" minOccurs="0"/>
                <xsd:element ref="ns2:Year" minOccurs="0"/>
                <xsd:element ref="ns2:FilingStatus"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dcd09-a16a-4103-a6fe-1829789e53c6" elementFormDefault="qualified">
    <xsd:import namespace="http://schemas.microsoft.com/office/2006/documentManagement/types"/>
    <xsd:import namespace="http://schemas.microsoft.com/office/infopath/2007/PartnerControls"/>
    <xsd:element name="FileType1" ma:index="2" nillable="true" ma:displayName="FileType" ma:format="Dropdown" ma:internalName="FileType1">
      <xsd:simpleType>
        <xsd:restriction base="dms:Choice">
          <xsd:enumeration value="Agreement"/>
          <xsd:enumeration value="Application"/>
          <xsd:enumeration value="Data Request"/>
          <xsd:enumeration value="Exhibit"/>
          <xsd:enumeration value="Notice"/>
          <xsd:enumeration value="Order"/>
          <xsd:enumeration value="Program Document"/>
        </xsd:restriction>
      </xsd:simpleType>
    </xsd:element>
    <xsd:element name="DocketNo" ma:index="3" nillable="true" ma:displayName="DocketNo" ma:indexed="true" ma:internalName="DocketNo">
      <xsd:simpleType>
        <xsd:restriction base="dms:Text">
          <xsd:maxLength value="255"/>
        </xsd:restriction>
      </xsd:simpleType>
    </xsd:element>
    <xsd:element name="Counterparty" ma:index="4" nillable="true" ma:displayName="Counterparty" ma:indexed="true" ma:internalName="Counterparty">
      <xsd:simpleType>
        <xsd:restriction base="dms:Text">
          <xsd:maxLength value="255"/>
        </xsd:restriction>
      </xsd:simpleType>
    </xsd:element>
    <xsd:element name="AssetPerson" ma:index="5" nillable="true" ma:displayName="Asset/Person" ma:indexed="true" ma:internalName="AssetPerson">
      <xsd:simpleType>
        <xsd:restriction base="dms:Text">
          <xsd:maxLength value="255"/>
        </xsd:restriction>
      </xsd:simpleType>
    </xsd:element>
    <xsd:element name="Year" ma:index="6" nillable="true" ma:displayName="Year" ma:indexed="true" ma:internalName="Year">
      <xsd:simpleType>
        <xsd:restriction base="dms:Text">
          <xsd:maxLength value="255"/>
        </xsd:restriction>
      </xsd:simpleType>
    </xsd:element>
    <xsd:element name="FilingStatus" ma:index="7" nillable="true" ma:displayName="FilingStatus" ma:default="Draft" ma:format="Dropdown" ma:indexed="true" ma:internalName="FilingStatus">
      <xsd:simpleType>
        <xsd:restriction base="dms:Choice">
          <xsd:enumeration value="Draft"/>
          <xsd:enumeration value="Final"/>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eae0d6-f536-406f-b8fe-dca1cb6a5bd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etPerson xmlns="84fdcd09-a16a-4103-a6fe-1829789e53c6" xsi:nil="true"/>
    <FileType1 xmlns="84fdcd09-a16a-4103-a6fe-1829789e53c6" xsi:nil="true"/>
    <DocketNo xmlns="84fdcd09-a16a-4103-a6fe-1829789e53c6" xsi:nil="true"/>
    <Year xmlns="84fdcd09-a16a-4103-a6fe-1829789e53c6" xsi:nil="true"/>
    <Counterparty xmlns="84fdcd09-a16a-4103-a6fe-1829789e53c6" xsi:nil="true"/>
    <FilingStatus xmlns="84fdcd09-a16a-4103-a6fe-1829789e53c6">Draft</FilingStatus>
    <SharedWithUsers xmlns="84fdcd09-a16a-4103-a6fe-1829789e53c6">
      <UserInfo>
        <DisplayName>Louden, Marcia</DisplayName>
        <AccountId>95</AccountId>
        <AccountType/>
      </UserInfo>
    </SharedWithUsers>
  </documentManagement>
</p:properties>
</file>

<file path=customXml/itemProps1.xml><?xml version="1.0" encoding="utf-8"?>
<ds:datastoreItem xmlns:ds="http://schemas.openxmlformats.org/officeDocument/2006/customXml" ds:itemID="{F2592CBD-931B-4EE7-B513-B0E3AEDF6FE5}">
  <ds:schemaRefs>
    <ds:schemaRef ds:uri="http://schemas.microsoft.com/sharepoint/v3/contenttype/forms"/>
  </ds:schemaRefs>
</ds:datastoreItem>
</file>

<file path=customXml/itemProps2.xml><?xml version="1.0" encoding="utf-8"?>
<ds:datastoreItem xmlns:ds="http://schemas.openxmlformats.org/officeDocument/2006/customXml" ds:itemID="{7985F772-1D50-4333-BE06-265432F92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dcd09-a16a-4103-a6fe-1829789e53c6"/>
    <ds:schemaRef ds:uri="39eae0d6-f536-406f-b8fe-dca1cb6a5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7EC56-ACE1-4229-B7DF-A7CFD9FFB0A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9eae0d6-f536-406f-b8fe-dca1cb6a5bd7"/>
    <ds:schemaRef ds:uri="84fdcd09-a16a-4103-a6fe-1829789e53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Network True-up</vt:lpstr>
      <vt:lpstr>ATC Attach O ER19-838</vt:lpstr>
      <vt:lpstr>Revenue Breakout</vt:lpstr>
      <vt:lpstr>ATC Attach GG ER15-123</vt:lpstr>
      <vt:lpstr>GG Support Data</vt:lpstr>
      <vt:lpstr>Project Descriptions - GG</vt:lpstr>
      <vt:lpstr>Attach MM ER15-123</vt:lpstr>
      <vt:lpstr>MM Support Data</vt:lpstr>
      <vt:lpstr>Project Descriptions - MM</vt:lpstr>
      <vt:lpstr>ATC Sch 1 - Recoverable Exp</vt:lpstr>
      <vt:lpstr>ATC Sch1 - True-Up Adj 2016</vt:lpstr>
      <vt:lpstr>ATC Sch 1 True-up Int 2016</vt:lpstr>
      <vt:lpstr>ATC Sch1 - True-Up Adj 2018</vt:lpstr>
      <vt:lpstr>CWIP</vt:lpstr>
      <vt:lpstr>Def. Tax Avg Calc</vt:lpstr>
      <vt:lpstr>Calc. of Wgt. Avg. Debt Rate</vt:lpstr>
      <vt:lpstr>Permanent</vt:lpstr>
      <vt:lpstr>Excess Deferreds</vt:lpstr>
      <vt:lpstr>SIT</vt:lpstr>
      <vt:lpstr>TEP</vt:lpstr>
      <vt:lpstr>List of Accounting Changes</vt:lpstr>
      <vt:lpstr>'ATC Attach GG ER15-123'!Print_Area</vt:lpstr>
      <vt:lpstr>'ATC Attach O ER19-838'!Print_Area</vt:lpstr>
      <vt:lpstr>'ATC Sch 1 - Recoverable Exp'!Print_Area</vt:lpstr>
      <vt:lpstr>'ATC Sch 1 True-up Int 2016'!Print_Area</vt:lpstr>
      <vt:lpstr>'ATC Sch1 - True-Up Adj 2016'!Print_Area</vt:lpstr>
      <vt:lpstr>'ATC Sch1 - True-Up Adj 2018'!Print_Area</vt:lpstr>
      <vt:lpstr>'Attach MM ER15-123'!Print_Area</vt:lpstr>
      <vt:lpstr>'Calc. of Wgt. Avg. Debt Rate'!Print_Area</vt:lpstr>
      <vt:lpstr>'GG Support Data'!Print_Area</vt:lpstr>
      <vt:lpstr>'MM Support Data'!Print_Area</vt:lpstr>
      <vt:lpstr>'Network True-up'!Print_Area</vt:lpstr>
      <vt:lpstr>TEP!Print_Area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Figliuzzi, Tiffany</dc:creator>
  <cp:keywords/>
  <dc:description/>
  <cp:lastModifiedBy>Louden, Marcia</cp:lastModifiedBy>
  <cp:revision/>
  <dcterms:created xsi:type="dcterms:W3CDTF">2008-04-02T18:54:14Z</dcterms:created>
  <dcterms:modified xsi:type="dcterms:W3CDTF">2019-06-10T14:16:56Z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0x010100675FC73E6384B44594102417D67C3D8B00615EA3290EE02C419A3A0B0C9A07004D</vt:lpwstr>
  </property>
</Properties>
</file>