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T:\Financial Planning and Capital Allocation\2022 Budget Planning\2022 OASIS Posting\"/>
    </mc:Choice>
  </mc:AlternateContent>
  <xr:revisionPtr revIDLastSave="0" documentId="13_ncr:1_{82182458-2F60-4CFF-A022-51E6B0F7E6B9}" xr6:coauthVersionLast="46" xr6:coauthVersionMax="47" xr10:uidLastSave="{00000000-0000-0000-0000-000000000000}"/>
  <bookViews>
    <workbookView xWindow="28680" yWindow="-120" windowWidth="29040" windowHeight="15990" tabRatio="883" xr2:uid="{00000000-000D-0000-FFFF-FFFF00000000}"/>
  </bookViews>
  <sheets>
    <sheet name="ATC Att O" sheetId="53" r:id="rId1"/>
    <sheet name="Plant Balances (pg. 2) " sheetId="3" r:id="rId2"/>
    <sheet name="Deferred Taxes (pg. 2)" sheetId="4" r:id="rId3"/>
    <sheet name="Expense (pg. 3) " sheetId="5" r:id="rId4"/>
    <sheet name="Wages &amp; Salaries (pg. 4)" sheetId="6" r:id="rId5"/>
    <sheet name="Wgt. Avg Debt Rate (pg.4)" sheetId="12" r:id="rId6"/>
    <sheet name="Revenue (pg.4)" sheetId="11" r:id="rId7"/>
    <sheet name="SIT (pg. 5)" sheetId="8" r:id="rId8"/>
    <sheet name="TEP (pg. 5)" sheetId="9" r:id="rId9"/>
    <sheet name="Precert Exp" sheetId="10" r:id="rId10"/>
    <sheet name="ATC Att GG" sheetId="13" r:id="rId11"/>
    <sheet name="GG Support Data" sheetId="14" r:id="rId12"/>
    <sheet name="GG True-up Template" sheetId="26" r:id="rId13"/>
    <sheet name="GG TU Interest" sheetId="36" r:id="rId14"/>
    <sheet name="GG Project Descriptions" sheetId="15" r:id="rId15"/>
    <sheet name="ATC Att MM" sheetId="16" r:id="rId16"/>
    <sheet name="MM Support Data" sheetId="17" r:id="rId17"/>
    <sheet name="MM True-up Template" sheetId="27" r:id="rId18"/>
    <sheet name="MM TU Interest" sheetId="37" r:id="rId19"/>
    <sheet name="MM Project Descriptions" sheetId="18" r:id="rId20"/>
    <sheet name="Sch 9" sheetId="19" r:id="rId21"/>
    <sheet name="Sch 7,8" sheetId="20" r:id="rId22"/>
    <sheet name="Sch 9 TU Interest" sheetId="41" r:id="rId23"/>
    <sheet name="Sch 1" sheetId="22" r:id="rId24"/>
    <sheet name="Sch 1 - True up" sheetId="23" r:id="rId25"/>
    <sheet name="Sch 1 TU Interest" sheetId="39" r:id="rId26"/>
  </sheets>
  <externalReferences>
    <externalReference r:id="rId27"/>
    <externalReference r:id="rId28"/>
    <externalReference r:id="rId29"/>
    <externalReference r:id="rId30"/>
    <externalReference r:id="rId31"/>
  </externalReferences>
  <definedNames>
    <definedName name="__123Graph_A" hidden="1">[1]Sheet3!#REF!</definedName>
    <definedName name="__123Graph_A1991" hidden="1">[1]Sheet3!#REF!</definedName>
    <definedName name="__123Graph_A1992" hidden="1">[1]Sheet3!#REF!</definedName>
    <definedName name="__123Graph_A1993" hidden="1">[1]Sheet3!#REF!</definedName>
    <definedName name="__123Graph_A1994" hidden="1">[1]Sheet3!#REF!</definedName>
    <definedName name="__123Graph_A1995" hidden="1">[1]Sheet3!#REF!</definedName>
    <definedName name="__123Graph_A1996" hidden="1">[1]Sheet3!#REF!</definedName>
    <definedName name="__123Graph_ABAR" hidden="1">[1]Sheet3!#REF!</definedName>
    <definedName name="__123Graph_B" hidden="1">[1]Sheet3!#REF!</definedName>
    <definedName name="__123Graph_B1991" hidden="1">[1]Sheet3!#REF!</definedName>
    <definedName name="__123Graph_B1992" hidden="1">[1]Sheet3!#REF!</definedName>
    <definedName name="__123Graph_B1993" hidden="1">[1]Sheet3!#REF!</definedName>
    <definedName name="__123Graph_B1994" hidden="1">[1]Sheet3!#REF!</definedName>
    <definedName name="__123Graph_B1995" hidden="1">[1]Sheet3!#REF!</definedName>
    <definedName name="__123Graph_B1996" hidden="1">[1]Sheet3!#REF!</definedName>
    <definedName name="__123Graph_BBAR" hidden="1">[1]Sheet3!#REF!</definedName>
    <definedName name="__123Graph_C" hidden="1">'[2]AL2 151'!#REF!</definedName>
    <definedName name="__123Graph_CBAR" hidden="1">[1]Sheet3!#REF!</definedName>
    <definedName name="__123Graph_D" hidden="1">'[2]AL2 151'!#REF!</definedName>
    <definedName name="__123Graph_DBAR" hidden="1">[1]Sheet3!#REF!</definedName>
    <definedName name="__123Graph_E" hidden="1">'[2]AL2 151'!#REF!</definedName>
    <definedName name="__123Graph_EBAR" hidden="1">[1]Sheet3!#REF!</definedName>
    <definedName name="__123Graph_F" hidden="1">'[2]AL2 151'!#REF!</definedName>
    <definedName name="__123Graph_FBAR" hidden="1">[1]Sheet3!#REF!</definedName>
    <definedName name="__123Graph_X" hidden="1">[1]Sheet3!#REF!</definedName>
    <definedName name="__123Graph_X1991" hidden="1">[1]Sheet3!#REF!</definedName>
    <definedName name="__123Graph_X1992" hidden="1">[1]Sheet3!#REF!</definedName>
    <definedName name="__123Graph_X1993" hidden="1">[1]Sheet3!#REF!</definedName>
    <definedName name="__123Graph_X1994" hidden="1">[1]Sheet3!#REF!</definedName>
    <definedName name="__123Graph_X1995" hidden="1">[1]Sheet3!#REF!</definedName>
    <definedName name="__123Graph_X1996" hidden="1">[1]Sheet3!#REF!</definedName>
    <definedName name="_123Graph_B.1" hidden="1">#REF!</definedName>
    <definedName name="_Dist_Bin" hidden="1">#REF!</definedName>
    <definedName name="_Dist_Values" hidden="1">#REF!</definedName>
    <definedName name="_Fill" hidden="1">'[3]Exp Detail'!#REF!</definedName>
    <definedName name="_Fill.1" hidden="1">#REF!</definedName>
    <definedName name="_Key.1" hidden="1">#REF!</definedName>
    <definedName name="_Key1" hidden="1">'[3]Exp Detail'!#REF!</definedName>
    <definedName name="_MatInverse_In" hidden="1">#REF!</definedName>
    <definedName name="_MatInverse_Out" hidden="1">#REF!</definedName>
    <definedName name="_MatMult_A" hidden="1">#REF!</definedName>
    <definedName name="_MatMult_AxB" hidden="1">#REF!</definedName>
    <definedName name="_MatMult_B" hidden="1">#REF!</definedName>
    <definedName name="_Order.1" hidden="1">255</definedName>
    <definedName name="_Order1" hidden="1">255</definedName>
    <definedName name="_Order2" hidden="1">255</definedName>
    <definedName name="_Parse_In" hidden="1">#REF!</definedName>
    <definedName name="_Parse_Out" hidden="1">#REF!</definedName>
    <definedName name="_Regression_Out" hidden="1">#REF!</definedName>
    <definedName name="_Regression_X" hidden="1">#REF!</definedName>
    <definedName name="_Regression_Y" hidden="1">#REF!</definedName>
    <definedName name="_Sort" hidden="1">'[3]Exp Detail'!#REF!</definedName>
    <definedName name="_Sort.1" hidden="1">#REF!</definedName>
    <definedName name="_Table1_Out" hidden="1">#REF!</definedName>
    <definedName name="AEDPCRCEAdjustment">'[4]Load Calc with AE_DPC Adj'!$F$1</definedName>
    <definedName name="AS2DocOpenMode" hidden="1">"AS2DocumentEdit"</definedName>
    <definedName name="Both">'[5]Adj Load Calc 10_14_09'!$F$1</definedName>
    <definedName name="Don_10" hidden="1">#REF!</definedName>
    <definedName name="Don_11" hidden="1">255</definedName>
    <definedName name="Don_12" hidden="1">#REF!</definedName>
    <definedName name="Don_13" hidden="1">#REF!</definedName>
    <definedName name="Don_14" hidden="1">#REF!</definedName>
    <definedName name="don_2" hidden="1">#REF!</definedName>
    <definedName name="Don_3" hidden="1">#REF!</definedName>
    <definedName name="Don_4" hidden="1">#REF!</definedName>
    <definedName name="Don_5" hidden="1">#REF!</definedName>
    <definedName name="Don_6" hidden="1">#REF!</definedName>
    <definedName name="Don_7" hidden="1">#REF!</definedName>
    <definedName name="Don_8" hidden="1">#REF!</definedName>
    <definedName name="Don_9" hidden="1">#REF!</definedName>
    <definedName name="gIsBlank" localSheetId="0" hidden="1">ISBLANK(gIsRef)</definedName>
    <definedName name="gIsBlank" hidden="1">ISBLANK(gIsRef)</definedName>
    <definedName name="gIsError" localSheetId="0" hidden="1">ISERROR(gIsRef)</definedName>
    <definedName name="gIsError" hidden="1">ISERROR(gIsRef)</definedName>
    <definedName name="gIsInPrintArea" localSheetId="0" hidden="1">NOT(ISERROR(gIsRef !Print_Area))</definedName>
    <definedName name="gIsInPrintArea" hidden="1">NOT(ISERROR(gIsRef !Print_Area))</definedName>
    <definedName name="gIsInPrintTitles" localSheetId="0" hidden="1">NOT(ISERROR(gIsRef !Print_Titles))</definedName>
    <definedName name="gIsInPrintTitles" hidden="1">NOT(ISERROR(gIsRef !Print_Titles))</definedName>
    <definedName name="gIsNumber" localSheetId="0" hidden="1">ISNUMBER(gIsRef)</definedName>
    <definedName name="gIsNumber" hidden="1">ISNUMBER(gIsRef)</definedName>
    <definedName name="gIsPreviousSheet" localSheetId="0" hidden="1">PrevShtCellValue(gIsRef)&lt;&gt;gIsRef</definedName>
    <definedName name="gIsPreviousSheet" hidden="1">PrevShtCellValue(gIsRef)&lt;&gt;gIsRef</definedName>
    <definedName name="gIsRef" hidden="1">INDIRECT("rc",FALSE)</definedName>
    <definedName name="gIsText" localSheetId="0" hidden="1">ISTEXT(gIsRef)</definedName>
    <definedName name="gIsText" hidden="1">ISTEXT(gIsRef)</definedName>
    <definedName name="_xlnm.Print_Area" localSheetId="10">'ATC Att GG'!$A$1:$O$124</definedName>
    <definedName name="_xlnm.Print_Area" localSheetId="15">'ATC Att MM'!$A$1:$S$117</definedName>
    <definedName name="_xlnm.Print_Area" localSheetId="0">'ATC Att O'!$A$1:$K$333</definedName>
    <definedName name="_xlnm.Print_Area" localSheetId="2">'Deferred Taxes (pg. 2)'!$A$1:$H$18</definedName>
    <definedName name="_xlnm.Print_Area" localSheetId="3">'Expense (pg. 3) '!$A$1:$L$33</definedName>
    <definedName name="_xlnm.Print_Area" localSheetId="14">'GG Project Descriptions'!$A$1:$D$34</definedName>
    <definedName name="_xlnm.Print_Area" localSheetId="11">'GG Support Data'!$A$1:$AA$66</definedName>
    <definedName name="_xlnm.Print_Area" localSheetId="12">'GG True-up Template'!$A$1:$AH$91</definedName>
    <definedName name="_xlnm.Print_Area" localSheetId="13">'GG TU Interest'!$B$2:$E$37</definedName>
    <definedName name="_xlnm.Print_Area" localSheetId="16">'MM Support Data'!$A$1:$N$66</definedName>
    <definedName name="_xlnm.Print_Area" localSheetId="17">'MM True-up Template'!$A$1:$AP$74</definedName>
    <definedName name="_xlnm.Print_Area" localSheetId="18">'MM TU Interest'!$B$2:$E$37</definedName>
    <definedName name="_xlnm.Print_Area" localSheetId="1">'Plant Balances (pg. 2) '!$A$1:$H$49</definedName>
    <definedName name="_xlnm.Print_Area" localSheetId="9">'Precert Exp'!$A$1:$B$20</definedName>
    <definedName name="_xlnm.Print_Area" localSheetId="6">'Revenue (pg.4)'!$A$1:$I$19</definedName>
    <definedName name="_xlnm.Print_Area" localSheetId="24">'Sch 1 - True up'!$A$1:$G$35</definedName>
    <definedName name="_xlnm.Print_Area" localSheetId="25">'Sch 1 TU Interest'!$B$2:$E$24</definedName>
    <definedName name="_xlnm.Print_Area" localSheetId="21">'Sch 7,8'!$A$1:$H$80,'Sch 7,8'!$A$84:$H$147</definedName>
    <definedName name="_xlnm.Print_Area" localSheetId="20">'Sch 9'!$A$1:$H$51</definedName>
    <definedName name="_xlnm.Print_Area" localSheetId="22">'Sch 9 TU Interest'!$B$2:$E$24</definedName>
    <definedName name="_xlnm.Print_Area" localSheetId="7">'SIT (pg. 5)'!$A$1:$E$40</definedName>
    <definedName name="_xlnm.Print_Area" localSheetId="8">'TEP (pg. 5)'!$A$3:$D$24</definedName>
    <definedName name="_xlnm.Print_Area" localSheetId="4">'Wages &amp; Salaries (pg. 4)'!$A$1:$C$18</definedName>
    <definedName name="_xlnm.Print_Area" localSheetId="5">'Wgt. Avg Debt Rate (pg.4)'!$A$1:$H$64</definedName>
    <definedName name="SAPBEXrevision" hidden="1">1</definedName>
    <definedName name="SAPBEXsysID" hidden="1">"BWP"</definedName>
    <definedName name="SAPBEXwbID" hidden="1">"45EQYSCWE9WJMGB34OOD1BOQZ"</definedName>
    <definedName name="TextRefCopyRangeCount" hidden="1">1</definedName>
    <definedName name="Z_26693155_D691_4427_8747_8AAE3A06AD6E_.wvu.PrintArea" localSheetId="0" hidden="1">'ATC Att O'!$A$1:$K$337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B66" i="26" l="1"/>
  <c r="AB73" i="26"/>
  <c r="AB74" i="26"/>
  <c r="AB76" i="26"/>
  <c r="AB77" i="26"/>
  <c r="AB78" i="26"/>
  <c r="H101" i="13"/>
  <c r="K101" i="13"/>
  <c r="L101" i="13"/>
  <c r="H102" i="13"/>
  <c r="K102" i="13"/>
  <c r="L102" i="13"/>
  <c r="H103" i="13"/>
  <c r="K103" i="13"/>
  <c r="L103" i="13"/>
  <c r="E101" i="13"/>
  <c r="E102" i="13"/>
  <c r="E103" i="13"/>
  <c r="K86" i="13" l="1"/>
  <c r="L86" i="13"/>
  <c r="H86" i="13"/>
  <c r="E86" i="13"/>
  <c r="H9" i="19" l="1"/>
  <c r="AD56" i="27" l="1"/>
  <c r="AD57" i="27"/>
  <c r="AD58" i="27"/>
  <c r="AD59" i="27"/>
  <c r="AD60" i="27"/>
  <c r="AD61" i="27"/>
  <c r="AD62" i="27"/>
  <c r="AD63" i="27"/>
  <c r="AD55" i="27"/>
  <c r="AB67" i="26" l="1"/>
  <c r="AB72" i="26"/>
  <c r="AB71" i="26"/>
  <c r="AB75" i="26" l="1"/>
  <c r="AB65" i="26"/>
  <c r="AB79" i="26"/>
  <c r="AB80" i="26"/>
  <c r="K148" i="53" l="1"/>
  <c r="A80" i="53"/>
  <c r="G98" i="53"/>
  <c r="D104" i="53"/>
  <c r="D107" i="53"/>
  <c r="D109" i="53"/>
  <c r="A151" i="53"/>
  <c r="I157" i="53"/>
  <c r="I158" i="53"/>
  <c r="I164" i="53"/>
  <c r="A221" i="53"/>
  <c r="G244" i="53"/>
  <c r="G246" i="53"/>
  <c r="G247" i="53"/>
  <c r="I269" i="53"/>
  <c r="G270" i="53"/>
  <c r="I270" i="53" s="1"/>
  <c r="C13" i="9" s="1"/>
  <c r="D271" i="53"/>
  <c r="I278" i="53"/>
  <c r="A295" i="53"/>
  <c r="K292" i="53" l="1"/>
  <c r="K218" i="53"/>
  <c r="K77" i="53"/>
  <c r="AA66" i="14" l="1"/>
  <c r="AA61" i="14"/>
  <c r="Z66" i="14"/>
  <c r="Z61" i="14"/>
  <c r="W66" i="14"/>
  <c r="T66" i="14"/>
  <c r="Y66" i="14"/>
  <c r="X66" i="14"/>
  <c r="D312" i="53"/>
  <c r="A18" i="10"/>
  <c r="L99" i="13" l="1"/>
  <c r="L93" i="13"/>
  <c r="L104" i="13"/>
  <c r="L97" i="13"/>
  <c r="L96" i="13"/>
  <c r="L100" i="13"/>
  <c r="L98" i="13"/>
  <c r="A7" i="10"/>
  <c r="AA29" i="14" l="1"/>
  <c r="AA36" i="14"/>
  <c r="AA30" i="14"/>
  <c r="AA27" i="14" l="1"/>
  <c r="Z33" i="14"/>
  <c r="Z37" i="14"/>
  <c r="Z34" i="14"/>
  <c r="Z29" i="14"/>
  <c r="AA32" i="14"/>
  <c r="Z27" i="14"/>
  <c r="Z38" i="14"/>
  <c r="Z36" i="14"/>
  <c r="AA37" i="14"/>
  <c r="AA33" i="14"/>
  <c r="Z35" i="14"/>
  <c r="AA23" i="14"/>
  <c r="AA28" i="14"/>
  <c r="AA31" i="14"/>
  <c r="Z32" i="14"/>
  <c r="AA34" i="14"/>
  <c r="Z23" i="14"/>
  <c r="Z28" i="14"/>
  <c r="AA35" i="14"/>
  <c r="AA38" i="14"/>
  <c r="Z30" i="14"/>
  <c r="Z31" i="14"/>
  <c r="Z56" i="14"/>
  <c r="Z26" i="14"/>
  <c r="AA56" i="14"/>
  <c r="AA26" i="14"/>
  <c r="S66" i="14"/>
  <c r="U66" i="14"/>
  <c r="V66" i="14"/>
  <c r="F15" i="11" l="1"/>
  <c r="H15" i="11" s="1"/>
  <c r="F13" i="11"/>
  <c r="H13" i="11" s="1"/>
  <c r="F9" i="11"/>
  <c r="H9" i="11" s="1"/>
  <c r="G18" i="11"/>
  <c r="C18" i="11"/>
  <c r="F8" i="11"/>
  <c r="H8" i="11" s="1"/>
  <c r="F12" i="11"/>
  <c r="H12" i="11" s="1"/>
  <c r="F11" i="11"/>
  <c r="H11" i="11" s="1"/>
  <c r="D18" i="11"/>
  <c r="F17" i="11"/>
  <c r="H17" i="11" s="1"/>
  <c r="F10" i="11"/>
  <c r="H10" i="11" s="1"/>
  <c r="E18" i="11"/>
  <c r="F16" i="11"/>
  <c r="H16" i="11" s="1"/>
  <c r="F14" i="11"/>
  <c r="H14" i="11" s="1"/>
  <c r="I18" i="11"/>
  <c r="B18" i="11"/>
  <c r="F7" i="11"/>
  <c r="H7" i="11" s="1"/>
  <c r="L94" i="13"/>
  <c r="L92" i="13"/>
  <c r="L95" i="13"/>
  <c r="AA39" i="14"/>
  <c r="Z39" i="14"/>
  <c r="D28" i="17" l="1"/>
  <c r="C33" i="17"/>
  <c r="C28" i="17"/>
  <c r="C32" i="17" l="1"/>
  <c r="D34" i="17"/>
  <c r="D27" i="17"/>
  <c r="D31" i="17"/>
  <c r="C34" i="17"/>
  <c r="D26" i="17"/>
  <c r="C35" i="17"/>
  <c r="D37" i="17"/>
  <c r="D36" i="17"/>
  <c r="C38" i="17"/>
  <c r="D30" i="17"/>
  <c r="C27" i="17"/>
  <c r="D38" i="17"/>
  <c r="D33" i="17"/>
  <c r="C36" i="17"/>
  <c r="D35" i="17"/>
  <c r="C37" i="17"/>
  <c r="C26" i="17"/>
  <c r="C29" i="17"/>
  <c r="D32" i="17"/>
  <c r="C31" i="17"/>
  <c r="C30" i="17"/>
  <c r="D29" i="17"/>
  <c r="C39" i="12"/>
  <c r="C40" i="12"/>
  <c r="C41" i="12"/>
  <c r="B57" i="12"/>
  <c r="D49" i="12"/>
  <c r="C38" i="12"/>
  <c r="C37" i="12" l="1"/>
  <c r="AJ56" i="27" l="1"/>
  <c r="AJ57" i="27"/>
  <c r="AJ58" i="27"/>
  <c r="AJ59" i="27"/>
  <c r="AJ60" i="27"/>
  <c r="AJ61" i="27"/>
  <c r="AJ62" i="27"/>
  <c r="AJ63" i="27"/>
  <c r="AJ55" i="27"/>
  <c r="AB48" i="26" l="1"/>
  <c r="AB49" i="26"/>
  <c r="AB50" i="26"/>
  <c r="AB51" i="26"/>
  <c r="AB52" i="26"/>
  <c r="AB53" i="26"/>
  <c r="AB54" i="26"/>
  <c r="AB55" i="26"/>
  <c r="AB56" i="26"/>
  <c r="AB57" i="26"/>
  <c r="AB58" i="26"/>
  <c r="AB59" i="26"/>
  <c r="AB60" i="26"/>
  <c r="AB61" i="26"/>
  <c r="AB62" i="26"/>
  <c r="AB63" i="26"/>
  <c r="AB64" i="26"/>
  <c r="AB68" i="26"/>
  <c r="AB69" i="26"/>
  <c r="AB70" i="26"/>
  <c r="AB47" i="26"/>
  <c r="R66" i="14" l="1"/>
  <c r="Q66" i="14"/>
  <c r="P66" i="14"/>
  <c r="O66" i="14"/>
  <c r="N66" i="14"/>
  <c r="M66" i="14"/>
  <c r="L85" i="13" l="1"/>
  <c r="L88" i="13"/>
  <c r="L89" i="13"/>
  <c r="L90" i="13"/>
  <c r="L87" i="13"/>
  <c r="L91" i="13"/>
  <c r="C34" i="12" l="1"/>
  <c r="AB19" i="27"/>
  <c r="AB25" i="27" s="1"/>
  <c r="Y38" i="14" l="1"/>
  <c r="D5" i="41" l="1"/>
  <c r="C5" i="41"/>
  <c r="D21" i="41"/>
  <c r="B5" i="41"/>
  <c r="E5" i="41"/>
  <c r="D19" i="41"/>
  <c r="C16" i="41"/>
  <c r="F123" i="20" l="1"/>
  <c r="F114" i="20"/>
  <c r="F141" i="20"/>
  <c r="F132" i="20"/>
  <c r="F105" i="20"/>
  <c r="H17" i="19"/>
  <c r="I30" i="53" l="1"/>
  <c r="F150" i="20"/>
  <c r="F151" i="20" s="1"/>
  <c r="F10" i="20"/>
  <c r="H25" i="19"/>
  <c r="N7" i="17"/>
  <c r="M7" i="17"/>
  <c r="L7" i="17"/>
  <c r="K7" i="17"/>
  <c r="J7" i="17"/>
  <c r="I7" i="17"/>
  <c r="H7" i="17"/>
  <c r="G7" i="17"/>
  <c r="F7" i="17"/>
  <c r="E7" i="17"/>
  <c r="D7" i="17"/>
  <c r="C7" i="17"/>
  <c r="H33" i="19" l="1"/>
  <c r="F93" i="20"/>
  <c r="F43" i="26"/>
  <c r="AH65" i="27"/>
  <c r="AG65" i="27"/>
  <c r="AD65" i="27"/>
  <c r="W65" i="27"/>
  <c r="P65" i="27"/>
  <c r="T50" i="27" s="1"/>
  <c r="N65" i="27"/>
  <c r="M65" i="27"/>
  <c r="J65" i="27"/>
  <c r="C65" i="27"/>
  <c r="D63" i="27"/>
  <c r="D62" i="27"/>
  <c r="D61" i="27"/>
  <c r="D60" i="27"/>
  <c r="D59" i="27"/>
  <c r="D58" i="27"/>
  <c r="AO53" i="27"/>
  <c r="AB34" i="27"/>
  <c r="AI34" i="27" s="1"/>
  <c r="H34" i="27"/>
  <c r="O34" i="27" s="1"/>
  <c r="AB30" i="27"/>
  <c r="AI30" i="27" s="1"/>
  <c r="H30" i="27"/>
  <c r="O30" i="27" s="1"/>
  <c r="AB21" i="27"/>
  <c r="AI21" i="27" s="1"/>
  <c r="Y49" i="27" s="1"/>
  <c r="H19" i="27"/>
  <c r="H21" i="27" s="1"/>
  <c r="O21" i="27" s="1"/>
  <c r="E49" i="27" s="1"/>
  <c r="AB11" i="27"/>
  <c r="AB40" i="27" s="1"/>
  <c r="AI40" i="27" s="1"/>
  <c r="H11" i="27"/>
  <c r="H44" i="27" s="1"/>
  <c r="O44" i="27" s="1"/>
  <c r="AB82" i="26"/>
  <c r="L82" i="26"/>
  <c r="P42" i="26" s="1"/>
  <c r="P43" i="26" s="1"/>
  <c r="AG45" i="26"/>
  <c r="S40" i="26"/>
  <c r="V34" i="26"/>
  <c r="AB34" i="26" s="1"/>
  <c r="F34" i="26"/>
  <c r="L34" i="26" s="1"/>
  <c r="V30" i="26"/>
  <c r="AB30" i="26" s="1"/>
  <c r="F30" i="26"/>
  <c r="L30" i="26" s="1"/>
  <c r="V24" i="26"/>
  <c r="AB24" i="26" s="1"/>
  <c r="F24" i="26"/>
  <c r="L24" i="26" s="1"/>
  <c r="V20" i="26"/>
  <c r="AB20" i="26" s="1"/>
  <c r="F20" i="26"/>
  <c r="L20" i="26" s="1"/>
  <c r="V15" i="26"/>
  <c r="V16" i="26" s="1"/>
  <c r="AB16" i="26" s="1"/>
  <c r="F15" i="26"/>
  <c r="F16" i="26" s="1"/>
  <c r="L16" i="26" s="1"/>
  <c r="H41" i="19" l="1"/>
  <c r="Y61" i="14"/>
  <c r="Y61" i="27"/>
  <c r="Y57" i="27"/>
  <c r="Y60" i="27"/>
  <c r="Y56" i="27"/>
  <c r="Y58" i="27"/>
  <c r="Y63" i="27"/>
  <c r="Y59" i="27"/>
  <c r="Y55" i="27"/>
  <c r="Z55" i="27" s="1"/>
  <c r="Y62" i="27"/>
  <c r="E63" i="27"/>
  <c r="E59" i="27"/>
  <c r="E55" i="27"/>
  <c r="F55" i="27" s="1"/>
  <c r="E57" i="27"/>
  <c r="E62" i="27"/>
  <c r="E58" i="27"/>
  <c r="E61" i="27"/>
  <c r="E56" i="27"/>
  <c r="E60" i="27"/>
  <c r="T51" i="27"/>
  <c r="W48" i="27"/>
  <c r="AM48" i="27"/>
  <c r="AB44" i="27"/>
  <c r="AI44" i="27" s="1"/>
  <c r="AI46" i="27" s="1"/>
  <c r="AE49" i="27" s="1"/>
  <c r="H40" i="27"/>
  <c r="O40" i="27" s="1"/>
  <c r="O46" i="27" s="1"/>
  <c r="K49" i="27" s="1"/>
  <c r="C43" i="26"/>
  <c r="AE40" i="26"/>
  <c r="C40" i="26"/>
  <c r="B2" i="27"/>
  <c r="C48" i="27"/>
  <c r="L36" i="26"/>
  <c r="G43" i="26" s="1"/>
  <c r="D65" i="27"/>
  <c r="AB36" i="26"/>
  <c r="W43" i="26" s="1"/>
  <c r="H25" i="27"/>
  <c r="H26" i="27" s="1"/>
  <c r="H36" i="27" s="1"/>
  <c r="AJ65" i="27"/>
  <c r="AB26" i="27"/>
  <c r="AB36" i="27" s="1"/>
  <c r="X65" i="27"/>
  <c r="AB26" i="26"/>
  <c r="T43" i="26" s="1"/>
  <c r="L26" i="26"/>
  <c r="D43" i="26" s="1"/>
  <c r="K99" i="13" l="1"/>
  <c r="K98" i="13"/>
  <c r="W73" i="26"/>
  <c r="X73" i="26" s="1"/>
  <c r="W74" i="26"/>
  <c r="X74" i="26" s="1"/>
  <c r="W77" i="26"/>
  <c r="X77" i="26" s="1"/>
  <c r="W78" i="26"/>
  <c r="X78" i="26" s="1"/>
  <c r="W66" i="26"/>
  <c r="X66" i="26" s="1"/>
  <c r="W76" i="26"/>
  <c r="X76" i="26" s="1"/>
  <c r="G73" i="26"/>
  <c r="H73" i="26" s="1"/>
  <c r="G77" i="26"/>
  <c r="H77" i="26" s="1"/>
  <c r="G66" i="26"/>
  <c r="H66" i="26" s="1"/>
  <c r="G74" i="26"/>
  <c r="H74" i="26" s="1"/>
  <c r="G76" i="26"/>
  <c r="H76" i="26" s="1"/>
  <c r="G78" i="26"/>
  <c r="H78" i="26" s="1"/>
  <c r="D66" i="26"/>
  <c r="E66" i="26" s="1"/>
  <c r="K66" i="26" s="1"/>
  <c r="M66" i="26" s="1"/>
  <c r="D76" i="26"/>
  <c r="E76" i="26" s="1"/>
  <c r="D77" i="26"/>
  <c r="E77" i="26" s="1"/>
  <c r="K77" i="26" s="1"/>
  <c r="M77" i="26" s="1"/>
  <c r="D78" i="26"/>
  <c r="E78" i="26" s="1"/>
  <c r="K78" i="26" s="1"/>
  <c r="M78" i="26" s="1"/>
  <c r="D73" i="26"/>
  <c r="E73" i="26" s="1"/>
  <c r="D74" i="26"/>
  <c r="E74" i="26" s="1"/>
  <c r="K74" i="26" s="1"/>
  <c r="M74" i="26" s="1"/>
  <c r="T66" i="26"/>
  <c r="U66" i="26" s="1"/>
  <c r="T74" i="26"/>
  <c r="U74" i="26" s="1"/>
  <c r="T73" i="26"/>
  <c r="U73" i="26" s="1"/>
  <c r="AA73" i="26" s="1"/>
  <c r="AC73" i="26" s="1"/>
  <c r="T77" i="26"/>
  <c r="U77" i="26" s="1"/>
  <c r="T76" i="26"/>
  <c r="U76" i="26" s="1"/>
  <c r="AA76" i="26" s="1"/>
  <c r="AC76" i="26" s="1"/>
  <c r="T78" i="26"/>
  <c r="U78" i="26" s="1"/>
  <c r="AA78" i="26" s="1"/>
  <c r="AC78" i="26" s="1"/>
  <c r="H49" i="19"/>
  <c r="D67" i="26"/>
  <c r="E67" i="26" s="1"/>
  <c r="D72" i="26"/>
  <c r="E72" i="26" s="1"/>
  <c r="D79" i="26"/>
  <c r="E79" i="26" s="1"/>
  <c r="D75" i="26"/>
  <c r="E75" i="26" s="1"/>
  <c r="D80" i="26"/>
  <c r="E80" i="26" s="1"/>
  <c r="D65" i="26"/>
  <c r="E65" i="26" s="1"/>
  <c r="G67" i="26"/>
  <c r="H67" i="26" s="1"/>
  <c r="G72" i="26"/>
  <c r="H72" i="26" s="1"/>
  <c r="G79" i="26"/>
  <c r="H79" i="26" s="1"/>
  <c r="G75" i="26"/>
  <c r="H75" i="26" s="1"/>
  <c r="G65" i="26"/>
  <c r="H65" i="26" s="1"/>
  <c r="G80" i="26"/>
  <c r="H80" i="26" s="1"/>
  <c r="W72" i="26"/>
  <c r="X72" i="26" s="1"/>
  <c r="W67" i="26"/>
  <c r="X67" i="26" s="1"/>
  <c r="W71" i="26"/>
  <c r="X71" i="26" s="1"/>
  <c r="W75" i="26"/>
  <c r="X75" i="26" s="1"/>
  <c r="W65" i="26"/>
  <c r="X65" i="26" s="1"/>
  <c r="W80" i="26"/>
  <c r="X80" i="26" s="1"/>
  <c r="W79" i="26"/>
  <c r="X79" i="26" s="1"/>
  <c r="T71" i="26"/>
  <c r="U71" i="26" s="1"/>
  <c r="T67" i="26"/>
  <c r="U67" i="26" s="1"/>
  <c r="T72" i="26"/>
  <c r="U72" i="26" s="1"/>
  <c r="T65" i="26"/>
  <c r="U65" i="26" s="1"/>
  <c r="T80" i="26"/>
  <c r="U80" i="26" s="1"/>
  <c r="T79" i="26"/>
  <c r="U79" i="26" s="1"/>
  <c r="T75" i="26"/>
  <c r="U75" i="26" s="1"/>
  <c r="D68" i="26"/>
  <c r="D61" i="26"/>
  <c r="D57" i="26"/>
  <c r="D53" i="26"/>
  <c r="D49" i="26"/>
  <c r="D58" i="26"/>
  <c r="D50" i="26"/>
  <c r="D71" i="26"/>
  <c r="D64" i="26"/>
  <c r="D60" i="26"/>
  <c r="D56" i="26"/>
  <c r="D52" i="26"/>
  <c r="D48" i="26"/>
  <c r="D69" i="26"/>
  <c r="D54" i="26"/>
  <c r="D70" i="26"/>
  <c r="D63" i="26"/>
  <c r="D59" i="26"/>
  <c r="D55" i="26"/>
  <c r="D51" i="26"/>
  <c r="D47" i="26"/>
  <c r="E47" i="26" s="1"/>
  <c r="D62" i="26"/>
  <c r="G69" i="26"/>
  <c r="G62" i="26"/>
  <c r="G58" i="26"/>
  <c r="G54" i="26"/>
  <c r="G50" i="26"/>
  <c r="G70" i="26"/>
  <c r="G59" i="26"/>
  <c r="G47" i="26"/>
  <c r="H47" i="26" s="1"/>
  <c r="G68" i="26"/>
  <c r="G61" i="26"/>
  <c r="G57" i="26"/>
  <c r="G53" i="26"/>
  <c r="G49" i="26"/>
  <c r="G63" i="26"/>
  <c r="G51" i="26"/>
  <c r="G71" i="26"/>
  <c r="G64" i="26"/>
  <c r="G60" i="26"/>
  <c r="G56" i="26"/>
  <c r="G52" i="26"/>
  <c r="G48" i="26"/>
  <c r="G55" i="26"/>
  <c r="W64" i="26"/>
  <c r="W60" i="26"/>
  <c r="W56" i="26"/>
  <c r="W52" i="26"/>
  <c r="W48" i="26"/>
  <c r="X48" i="26" s="1"/>
  <c r="W61" i="26"/>
  <c r="W70" i="26"/>
  <c r="W63" i="26"/>
  <c r="W59" i="26"/>
  <c r="W55" i="26"/>
  <c r="W51" i="26"/>
  <c r="W47" i="26"/>
  <c r="X47" i="26" s="1"/>
  <c r="W68" i="26"/>
  <c r="W69" i="26"/>
  <c r="W62" i="26"/>
  <c r="W58" i="26"/>
  <c r="W54" i="26"/>
  <c r="W50" i="26"/>
  <c r="W57" i="26"/>
  <c r="W53" i="26"/>
  <c r="W49" i="26"/>
  <c r="T70" i="26"/>
  <c r="T63" i="26"/>
  <c r="T59" i="26"/>
  <c r="T55" i="26"/>
  <c r="T51" i="26"/>
  <c r="T47" i="26"/>
  <c r="U47" i="26" s="1"/>
  <c r="T64" i="26"/>
  <c r="T56" i="26"/>
  <c r="T69" i="26"/>
  <c r="T62" i="26"/>
  <c r="T58" i="26"/>
  <c r="T54" i="26"/>
  <c r="T50" i="26"/>
  <c r="T52" i="26"/>
  <c r="T68" i="26"/>
  <c r="T61" i="26"/>
  <c r="T57" i="26"/>
  <c r="T53" i="26"/>
  <c r="T49" i="26"/>
  <c r="T60" i="26"/>
  <c r="T48" i="26"/>
  <c r="U48" i="26" s="1"/>
  <c r="K60" i="27"/>
  <c r="K56" i="27"/>
  <c r="L56" i="27" s="1"/>
  <c r="K61" i="27"/>
  <c r="K63" i="27"/>
  <c r="K59" i="27"/>
  <c r="K55" i="27"/>
  <c r="L55" i="27" s="1"/>
  <c r="K62" i="27"/>
  <c r="K58" i="27"/>
  <c r="K57" i="27"/>
  <c r="AE63" i="27"/>
  <c r="AE59" i="27"/>
  <c r="AE55" i="27"/>
  <c r="AF55" i="27" s="1"/>
  <c r="AE60" i="27"/>
  <c r="AE62" i="27"/>
  <c r="AE58" i="27"/>
  <c r="AE56" i="27"/>
  <c r="AF56" i="27" s="1"/>
  <c r="AE61" i="27"/>
  <c r="AE57" i="27"/>
  <c r="O26" i="27"/>
  <c r="O36" i="27" s="1"/>
  <c r="G49" i="27" s="1"/>
  <c r="AI26" i="27"/>
  <c r="AI36" i="27" s="1"/>
  <c r="AA49" i="27" s="1"/>
  <c r="F56" i="27"/>
  <c r="Z56" i="27"/>
  <c r="K76" i="26" l="1"/>
  <c r="M76" i="26" s="1"/>
  <c r="K73" i="26"/>
  <c r="M73" i="26" s="1"/>
  <c r="AA77" i="26"/>
  <c r="AC77" i="26" s="1"/>
  <c r="AA74" i="26"/>
  <c r="AC74" i="26" s="1"/>
  <c r="AA66" i="26"/>
  <c r="AC66" i="26" s="1"/>
  <c r="AA65" i="26"/>
  <c r="AC65" i="26" s="1"/>
  <c r="K79" i="26"/>
  <c r="M79" i="26" s="1"/>
  <c r="AA72" i="26"/>
  <c r="AC72" i="26" s="1"/>
  <c r="AA75" i="26"/>
  <c r="AC75" i="26" s="1"/>
  <c r="K72" i="26"/>
  <c r="M72" i="26" s="1"/>
  <c r="AA80" i="26"/>
  <c r="AC80" i="26" s="1"/>
  <c r="AA71" i="26"/>
  <c r="AC71" i="26" s="1"/>
  <c r="K75" i="26"/>
  <c r="M75" i="26" s="1"/>
  <c r="K65" i="26"/>
  <c r="M65" i="26" s="1"/>
  <c r="AA79" i="26"/>
  <c r="AC79" i="26" s="1"/>
  <c r="AA67" i="26"/>
  <c r="AC67" i="26" s="1"/>
  <c r="K80" i="26"/>
  <c r="M80" i="26" s="1"/>
  <c r="K67" i="26"/>
  <c r="M67" i="26" s="1"/>
  <c r="K47" i="26"/>
  <c r="M47" i="26" s="1"/>
  <c r="AA60" i="27"/>
  <c r="AA56" i="27"/>
  <c r="AB56" i="27" s="1"/>
  <c r="AC56" i="27" s="1"/>
  <c r="AA63" i="27"/>
  <c r="AA59" i="27"/>
  <c r="AA55" i="27"/>
  <c r="AB55" i="27" s="1"/>
  <c r="AC55" i="27" s="1"/>
  <c r="AI55" i="27" s="1"/>
  <c r="AA57" i="27"/>
  <c r="AA62" i="27"/>
  <c r="AA58" i="27"/>
  <c r="AA61" i="27"/>
  <c r="G62" i="27"/>
  <c r="G58" i="27"/>
  <c r="G63" i="27"/>
  <c r="G61" i="27"/>
  <c r="G57" i="27"/>
  <c r="G55" i="27"/>
  <c r="H55" i="27" s="1"/>
  <c r="I55" i="27" s="1"/>
  <c r="O55" i="27" s="1"/>
  <c r="G60" i="27"/>
  <c r="G56" i="27"/>
  <c r="H56" i="27" s="1"/>
  <c r="I56" i="27" s="1"/>
  <c r="O56" i="27" s="1"/>
  <c r="Q56" i="27" s="1"/>
  <c r="G59" i="27"/>
  <c r="H48" i="26"/>
  <c r="AA47" i="26"/>
  <c r="AC47" i="26" s="1"/>
  <c r="F57" i="27"/>
  <c r="L57" i="27"/>
  <c r="Z57" i="27"/>
  <c r="AF57" i="27"/>
  <c r="E48" i="26"/>
  <c r="U49" i="26"/>
  <c r="X49" i="26"/>
  <c r="H49" i="26"/>
  <c r="AA48" i="26"/>
  <c r="W34" i="14" l="1"/>
  <c r="W27" i="14"/>
  <c r="W61" i="14"/>
  <c r="W56" i="14"/>
  <c r="W33" i="14"/>
  <c r="W37" i="14"/>
  <c r="W29" i="14"/>
  <c r="W32" i="14"/>
  <c r="W35" i="14"/>
  <c r="W38" i="14"/>
  <c r="W31" i="14"/>
  <c r="W28" i="14"/>
  <c r="W36" i="14"/>
  <c r="W23" i="14"/>
  <c r="W26" i="14"/>
  <c r="W30" i="14"/>
  <c r="K48" i="26"/>
  <c r="M48" i="26" s="1"/>
  <c r="AB57" i="27"/>
  <c r="AI56" i="27"/>
  <c r="AK56" i="27" s="1"/>
  <c r="H57" i="27"/>
  <c r="F58" i="27"/>
  <c r="AA49" i="26"/>
  <c r="AC49" i="26" s="1"/>
  <c r="L58" i="27"/>
  <c r="AF58" i="27"/>
  <c r="Q55" i="27"/>
  <c r="Z58" i="27"/>
  <c r="AK55" i="27"/>
  <c r="E49" i="26"/>
  <c r="K49" i="26" s="1"/>
  <c r="U50" i="26"/>
  <c r="H50" i="26"/>
  <c r="AC48" i="26"/>
  <c r="X50" i="26"/>
  <c r="H96" i="13" l="1"/>
  <c r="K96" i="13"/>
  <c r="E96" i="13"/>
  <c r="W39" i="14"/>
  <c r="Z59" i="27"/>
  <c r="I57" i="27"/>
  <c r="H58" i="27"/>
  <c r="AB58" i="27"/>
  <c r="L59" i="27"/>
  <c r="AC57" i="27"/>
  <c r="AF59" i="27"/>
  <c r="F59" i="27"/>
  <c r="E50" i="26"/>
  <c r="K50" i="26" s="1"/>
  <c r="M50" i="26" s="1"/>
  <c r="AA50" i="26"/>
  <c r="M49" i="26"/>
  <c r="O57" i="27" l="1"/>
  <c r="AC58" i="27"/>
  <c r="AI58" i="27" s="1"/>
  <c r="AK58" i="27" s="1"/>
  <c r="I58" i="27"/>
  <c r="O58" i="27" s="1"/>
  <c r="Q58" i="27" s="1"/>
  <c r="AB59" i="27"/>
  <c r="AC59" i="27" s="1"/>
  <c r="F60" i="27"/>
  <c r="Z60" i="27"/>
  <c r="AI57" i="27"/>
  <c r="AF60" i="27"/>
  <c r="L60" i="27"/>
  <c r="H59" i="27"/>
  <c r="I59" i="27" s="1"/>
  <c r="AC50" i="26"/>
  <c r="Y36" i="14" l="1"/>
  <c r="X35" i="14"/>
  <c r="U36" i="14"/>
  <c r="T28" i="14"/>
  <c r="Y34" i="14"/>
  <c r="V33" i="14"/>
  <c r="U61" i="14"/>
  <c r="U34" i="14"/>
  <c r="T56" i="14"/>
  <c r="S30" i="14"/>
  <c r="T27" i="14"/>
  <c r="Y37" i="14"/>
  <c r="Y32" i="14"/>
  <c r="V35" i="14"/>
  <c r="V32" i="14"/>
  <c r="S29" i="14"/>
  <c r="X56" i="14"/>
  <c r="U33" i="14"/>
  <c r="S38" i="14"/>
  <c r="H40" i="19"/>
  <c r="Y27" i="14"/>
  <c r="T30" i="14"/>
  <c r="T33" i="14"/>
  <c r="T61" i="14"/>
  <c r="X23" i="14"/>
  <c r="X26" i="14"/>
  <c r="X30" i="14"/>
  <c r="T35" i="14"/>
  <c r="Y35" i="14"/>
  <c r="S28" i="14"/>
  <c r="V31" i="14"/>
  <c r="T38" i="14"/>
  <c r="X61" i="14"/>
  <c r="X29" i="14"/>
  <c r="X28" i="14"/>
  <c r="S23" i="14"/>
  <c r="S26" i="14"/>
  <c r="H48" i="19"/>
  <c r="Y23" i="14"/>
  <c r="Y26" i="14"/>
  <c r="X36" i="14"/>
  <c r="Y29" i="14"/>
  <c r="T23" i="14"/>
  <c r="T26" i="14"/>
  <c r="V29" i="14"/>
  <c r="K104" i="13"/>
  <c r="T37" i="14"/>
  <c r="X37" i="14"/>
  <c r="T29" i="14"/>
  <c r="U38" i="14"/>
  <c r="S33" i="14"/>
  <c r="U37" i="14"/>
  <c r="Y31" i="14"/>
  <c r="X33" i="14"/>
  <c r="S31" i="14"/>
  <c r="S27" i="14"/>
  <c r="S32" i="14"/>
  <c r="U32" i="14"/>
  <c r="X34" i="14"/>
  <c r="U30" i="14"/>
  <c r="Y56" i="14"/>
  <c r="X27" i="14"/>
  <c r="X32" i="14"/>
  <c r="S56" i="14"/>
  <c r="U28" i="14"/>
  <c r="S36" i="14"/>
  <c r="U26" i="14"/>
  <c r="U23" i="14"/>
  <c r="Y33" i="14"/>
  <c r="V34" i="14"/>
  <c r="Y28" i="14"/>
  <c r="S34" i="14"/>
  <c r="U56" i="14"/>
  <c r="T34" i="14"/>
  <c r="S37" i="14"/>
  <c r="U31" i="14"/>
  <c r="X38" i="14"/>
  <c r="V37" i="14"/>
  <c r="Y30" i="14"/>
  <c r="T31" i="14"/>
  <c r="T36" i="14"/>
  <c r="U29" i="14"/>
  <c r="S61" i="14"/>
  <c r="V61" i="14"/>
  <c r="U35" i="14"/>
  <c r="V28" i="14"/>
  <c r="V27" i="14"/>
  <c r="S35" i="14"/>
  <c r="X31" i="14"/>
  <c r="V56" i="14"/>
  <c r="T32" i="14"/>
  <c r="V30" i="14"/>
  <c r="V38" i="14"/>
  <c r="V36" i="14"/>
  <c r="V26" i="14"/>
  <c r="V23" i="14"/>
  <c r="U27" i="14"/>
  <c r="AI59" i="27"/>
  <c r="AK59" i="27" s="1"/>
  <c r="O59" i="27"/>
  <c r="Q59" i="27" s="1"/>
  <c r="L61" i="27"/>
  <c r="AK57" i="27"/>
  <c r="F61" i="27"/>
  <c r="Q57" i="27"/>
  <c r="H60" i="27"/>
  <c r="I60" i="27" s="1"/>
  <c r="AF61" i="27"/>
  <c r="Z61" i="27"/>
  <c r="AB60" i="27"/>
  <c r="AC60" i="27" s="1"/>
  <c r="U51" i="26"/>
  <c r="X51" i="26"/>
  <c r="H51" i="26"/>
  <c r="K95" i="13" l="1"/>
  <c r="K94" i="13"/>
  <c r="H95" i="13"/>
  <c r="E99" i="13"/>
  <c r="K97" i="13"/>
  <c r="K93" i="13"/>
  <c r="K92" i="13"/>
  <c r="H92" i="13"/>
  <c r="H99" i="13"/>
  <c r="E104" i="13"/>
  <c r="E92" i="13"/>
  <c r="H93" i="13"/>
  <c r="E94" i="13"/>
  <c r="E95" i="13"/>
  <c r="H94" i="13"/>
  <c r="E93" i="13"/>
  <c r="E97" i="13"/>
  <c r="H97" i="13"/>
  <c r="K100" i="13"/>
  <c r="H98" i="13"/>
  <c r="H104" i="13"/>
  <c r="E100" i="13"/>
  <c r="E98" i="13"/>
  <c r="H100" i="13"/>
  <c r="H42" i="19"/>
  <c r="B41" i="19" s="1"/>
  <c r="C41" i="19" s="1"/>
  <c r="T39" i="14"/>
  <c r="X39" i="14"/>
  <c r="S39" i="14"/>
  <c r="Y39" i="14"/>
  <c r="U39" i="14"/>
  <c r="V39" i="14"/>
  <c r="H50" i="19"/>
  <c r="B49" i="19" s="1"/>
  <c r="AI60" i="27"/>
  <c r="O60" i="27"/>
  <c r="AF62" i="27"/>
  <c r="AB61" i="27"/>
  <c r="AC61" i="27" s="1"/>
  <c r="AI61" i="27" s="1"/>
  <c r="AK61" i="27" s="1"/>
  <c r="F62" i="27"/>
  <c r="L62" i="27"/>
  <c r="H61" i="27"/>
  <c r="I61" i="27" s="1"/>
  <c r="O61" i="27" s="1"/>
  <c r="Q61" i="27" s="1"/>
  <c r="Z62" i="27"/>
  <c r="E51" i="26"/>
  <c r="K51" i="26" s="1"/>
  <c r="M51" i="26" s="1"/>
  <c r="X52" i="26"/>
  <c r="H52" i="26"/>
  <c r="AA51" i="26"/>
  <c r="AC51" i="26" s="1"/>
  <c r="U52" i="26"/>
  <c r="B42" i="19" l="1"/>
  <c r="C49" i="19"/>
  <c r="B50" i="19"/>
  <c r="C42" i="19"/>
  <c r="D41" i="19"/>
  <c r="H62" i="27"/>
  <c r="I62" i="27" s="1"/>
  <c r="O62" i="27" s="1"/>
  <c r="Q62" i="27" s="1"/>
  <c r="F63" i="27"/>
  <c r="AB62" i="27"/>
  <c r="AC62" i="27" s="1"/>
  <c r="AI62" i="27" s="1"/>
  <c r="Q60" i="27"/>
  <c r="Z63" i="27"/>
  <c r="AF63" i="27"/>
  <c r="L63" i="27"/>
  <c r="AK60" i="27"/>
  <c r="H53" i="26"/>
  <c r="U53" i="26"/>
  <c r="X53" i="26"/>
  <c r="AA52" i="26"/>
  <c r="E52" i="26"/>
  <c r="K52" i="26" s="1"/>
  <c r="C50" i="19" l="1"/>
  <c r="D49" i="19"/>
  <c r="E41" i="19"/>
  <c r="D42" i="19"/>
  <c r="AK62" i="27"/>
  <c r="AB63" i="27"/>
  <c r="AC63" i="27" s="1"/>
  <c r="AI63" i="27" s="1"/>
  <c r="AK63" i="27" s="1"/>
  <c r="H63" i="27"/>
  <c r="I63" i="27" s="1"/>
  <c r="O63" i="27" s="1"/>
  <c r="E53" i="26"/>
  <c r="K53" i="26" s="1"/>
  <c r="M53" i="26" s="1"/>
  <c r="AA53" i="26"/>
  <c r="AC53" i="26" s="1"/>
  <c r="M52" i="26"/>
  <c r="H54" i="26"/>
  <c r="X54" i="26"/>
  <c r="AC52" i="26"/>
  <c r="U54" i="26"/>
  <c r="E49" i="19" l="1"/>
  <c r="D50" i="19"/>
  <c r="E42" i="19"/>
  <c r="F41" i="19"/>
  <c r="F42" i="19" s="1"/>
  <c r="Q63" i="27"/>
  <c r="AA54" i="26"/>
  <c r="AC54" i="26" s="1"/>
  <c r="U55" i="26"/>
  <c r="X55" i="26"/>
  <c r="H55" i="26"/>
  <c r="E54" i="26"/>
  <c r="K54" i="26" s="1"/>
  <c r="M54" i="26" s="1"/>
  <c r="F49" i="19" l="1"/>
  <c r="F50" i="19" s="1"/>
  <c r="E50" i="19"/>
  <c r="X56" i="26"/>
  <c r="H56" i="26"/>
  <c r="AA55" i="26"/>
  <c r="AC55" i="26" s="1"/>
  <c r="E55" i="26"/>
  <c r="K55" i="26" s="1"/>
  <c r="M55" i="26" s="1"/>
  <c r="U56" i="26"/>
  <c r="E13" i="41" l="1"/>
  <c r="E11" i="41"/>
  <c r="E14" i="41"/>
  <c r="E7" i="41"/>
  <c r="E10" i="41"/>
  <c r="E12" i="41"/>
  <c r="E8" i="41"/>
  <c r="E9" i="41"/>
  <c r="AA56" i="26"/>
  <c r="AC56" i="26" s="1"/>
  <c r="E56" i="26"/>
  <c r="K56" i="26" s="1"/>
  <c r="M56" i="26" s="1"/>
  <c r="H57" i="26"/>
  <c r="U57" i="26"/>
  <c r="X57" i="26"/>
  <c r="E16" i="41" l="1"/>
  <c r="E22" i="41" s="1"/>
  <c r="E24" i="41" s="1"/>
  <c r="AA57" i="26"/>
  <c r="AC57" i="26" s="1"/>
  <c r="U58" i="26"/>
  <c r="E57" i="26"/>
  <c r="K57" i="26" s="1"/>
  <c r="M57" i="26" s="1"/>
  <c r="X58" i="26"/>
  <c r="H58" i="26"/>
  <c r="H22" i="19" l="1"/>
  <c r="H8" i="19"/>
  <c r="E58" i="26"/>
  <c r="K58" i="26" s="1"/>
  <c r="M58" i="26" s="1"/>
  <c r="AA58" i="26"/>
  <c r="AC58" i="26" s="1"/>
  <c r="X59" i="26"/>
  <c r="U59" i="26"/>
  <c r="H59" i="26"/>
  <c r="AA59" i="26" l="1"/>
  <c r="AC59" i="26" s="1"/>
  <c r="U60" i="26"/>
  <c r="E59" i="26"/>
  <c r="K59" i="26" s="1"/>
  <c r="M59" i="26" s="1"/>
  <c r="H60" i="26"/>
  <c r="X60" i="26"/>
  <c r="AA60" i="26" l="1"/>
  <c r="AC60" i="26" s="1"/>
  <c r="E60" i="26"/>
  <c r="K60" i="26" s="1"/>
  <c r="M60" i="26" s="1"/>
  <c r="H32" i="19" l="1"/>
  <c r="X61" i="26"/>
  <c r="H61" i="26"/>
  <c r="U61" i="26"/>
  <c r="H34" i="19" l="1"/>
  <c r="B33" i="19" s="1"/>
  <c r="L65" i="27"/>
  <c r="AF65" i="27"/>
  <c r="AA61" i="26"/>
  <c r="AC61" i="26" s="1"/>
  <c r="Z65" i="27"/>
  <c r="F65" i="27"/>
  <c r="E61" i="26"/>
  <c r="K61" i="26" s="1"/>
  <c r="M61" i="26" s="1"/>
  <c r="H62" i="26"/>
  <c r="U62" i="26"/>
  <c r="X62" i="26"/>
  <c r="C33" i="19" l="1"/>
  <c r="B34" i="19"/>
  <c r="H65" i="27"/>
  <c r="AB65" i="27"/>
  <c r="AA62" i="26"/>
  <c r="AC62" i="26" s="1"/>
  <c r="U63" i="26"/>
  <c r="H63" i="26"/>
  <c r="X63" i="26"/>
  <c r="E62" i="26"/>
  <c r="K62" i="26" s="1"/>
  <c r="M62" i="26" s="1"/>
  <c r="D33" i="19" l="1"/>
  <c r="C34" i="19"/>
  <c r="AC65" i="27"/>
  <c r="I65" i="27"/>
  <c r="H64" i="26"/>
  <c r="AA63" i="26"/>
  <c r="AC63" i="26" s="1"/>
  <c r="E63" i="26"/>
  <c r="K63" i="26" s="1"/>
  <c r="M63" i="26" s="1"/>
  <c r="X64" i="26"/>
  <c r="U64" i="26"/>
  <c r="E33" i="19" l="1"/>
  <c r="D34" i="19"/>
  <c r="O65" i="27"/>
  <c r="AI65" i="27"/>
  <c r="X68" i="26"/>
  <c r="H68" i="26"/>
  <c r="AA64" i="26"/>
  <c r="AC64" i="26" s="1"/>
  <c r="E64" i="26"/>
  <c r="K64" i="26" s="1"/>
  <c r="M64" i="26" s="1"/>
  <c r="U68" i="26"/>
  <c r="F33" i="19" l="1"/>
  <c r="F34" i="19" s="1"/>
  <c r="E34" i="19"/>
  <c r="AK65" i="27"/>
  <c r="Q65" i="27"/>
  <c r="R62" i="27" s="1"/>
  <c r="AA68" i="26"/>
  <c r="AC68" i="26" s="1"/>
  <c r="X69" i="26"/>
  <c r="E68" i="26"/>
  <c r="K68" i="26" s="1"/>
  <c r="M68" i="26" s="1"/>
  <c r="U69" i="26"/>
  <c r="H69" i="26"/>
  <c r="R56" i="27" l="1"/>
  <c r="T56" i="27" s="1"/>
  <c r="AM56" i="27" s="1"/>
  <c r="R55" i="27"/>
  <c r="R58" i="27"/>
  <c r="T58" i="27" s="1"/>
  <c r="R59" i="27"/>
  <c r="T59" i="27" s="1"/>
  <c r="R57" i="27"/>
  <c r="T57" i="27" s="1"/>
  <c r="R61" i="27"/>
  <c r="T61" i="27" s="1"/>
  <c r="T62" i="27"/>
  <c r="R60" i="27"/>
  <c r="T60" i="27" s="1"/>
  <c r="R63" i="27"/>
  <c r="T63" i="27" s="1"/>
  <c r="U70" i="26"/>
  <c r="H70" i="26"/>
  <c r="E69" i="26"/>
  <c r="K69" i="26" s="1"/>
  <c r="M69" i="26" s="1"/>
  <c r="AA69" i="26"/>
  <c r="AC69" i="26" s="1"/>
  <c r="X70" i="26"/>
  <c r="AM62" i="27" l="1"/>
  <c r="AM58" i="27"/>
  <c r="AM59" i="27"/>
  <c r="AM63" i="27"/>
  <c r="AM61" i="27"/>
  <c r="T55" i="27"/>
  <c r="AM55" i="27" s="1"/>
  <c r="R65" i="27"/>
  <c r="AM60" i="27"/>
  <c r="AM57" i="27"/>
  <c r="H71" i="26"/>
  <c r="E70" i="26"/>
  <c r="K70" i="26" s="1"/>
  <c r="M70" i="26" s="1"/>
  <c r="AA70" i="26"/>
  <c r="AC70" i="26" s="1"/>
  <c r="T65" i="27" l="1"/>
  <c r="E71" i="26"/>
  <c r="K71" i="26" s="1"/>
  <c r="M71" i="26" s="1"/>
  <c r="AA82" i="26" l="1"/>
  <c r="U56" i="27"/>
  <c r="U63" i="27"/>
  <c r="U58" i="27"/>
  <c r="U59" i="27"/>
  <c r="U62" i="27"/>
  <c r="U61" i="27"/>
  <c r="U60" i="27"/>
  <c r="U57" i="27"/>
  <c r="U55" i="27"/>
  <c r="AM65" i="27"/>
  <c r="AC82" i="26"/>
  <c r="K82" i="26"/>
  <c r="E32" i="37" l="1"/>
  <c r="U65" i="27"/>
  <c r="M82" i="26"/>
  <c r="N78" i="26" l="1"/>
  <c r="P78" i="26" s="1"/>
  <c r="N74" i="26"/>
  <c r="P74" i="26" s="1"/>
  <c r="N77" i="26"/>
  <c r="P77" i="26" s="1"/>
  <c r="N73" i="26"/>
  <c r="P73" i="26" s="1"/>
  <c r="N66" i="26"/>
  <c r="P66" i="26" s="1"/>
  <c r="N76" i="26"/>
  <c r="P76" i="26" s="1"/>
  <c r="P28" i="14"/>
  <c r="N23" i="14"/>
  <c r="N26" i="14"/>
  <c r="P32" i="14"/>
  <c r="P29" i="14"/>
  <c r="O36" i="14"/>
  <c r="M27" i="14"/>
  <c r="N61" i="14"/>
  <c r="O27" i="14"/>
  <c r="Q32" i="14"/>
  <c r="N32" i="14"/>
  <c r="M61" i="14"/>
  <c r="Q28" i="14"/>
  <c r="R31" i="14"/>
  <c r="P61" i="14"/>
  <c r="O33" i="14"/>
  <c r="M29" i="14"/>
  <c r="R30" i="14"/>
  <c r="N34" i="14"/>
  <c r="M33" i="14"/>
  <c r="O37" i="14"/>
  <c r="N30" i="14"/>
  <c r="R35" i="14"/>
  <c r="Q56" i="14"/>
  <c r="P27" i="14"/>
  <c r="O56" i="14"/>
  <c r="P37" i="14"/>
  <c r="N38" i="14"/>
  <c r="Q33" i="14"/>
  <c r="Q31" i="14"/>
  <c r="R33" i="14"/>
  <c r="M37" i="14"/>
  <c r="O30" i="14"/>
  <c r="N28" i="14"/>
  <c r="P33" i="14"/>
  <c r="N33" i="14"/>
  <c r="R38" i="14"/>
  <c r="R26" i="14"/>
  <c r="R23" i="14"/>
  <c r="P34" i="14"/>
  <c r="Q26" i="14"/>
  <c r="Q23" i="14"/>
  <c r="R36" i="14"/>
  <c r="Q27" i="14"/>
  <c r="R27" i="14"/>
  <c r="Q38" i="14"/>
  <c r="O29" i="14"/>
  <c r="R34" i="14"/>
  <c r="Q36" i="14"/>
  <c r="N36" i="14"/>
  <c r="R61" i="14"/>
  <c r="N37" i="14"/>
  <c r="R37" i="14"/>
  <c r="P56" i="14"/>
  <c r="M30" i="14"/>
  <c r="R32" i="14"/>
  <c r="Q30" i="14"/>
  <c r="M36" i="14"/>
  <c r="M28" i="14"/>
  <c r="M23" i="14"/>
  <c r="M26" i="14"/>
  <c r="N27" i="14"/>
  <c r="M35" i="14"/>
  <c r="P31" i="14"/>
  <c r="P30" i="14"/>
  <c r="O34" i="14"/>
  <c r="P26" i="14"/>
  <c r="P23" i="14"/>
  <c r="Q61" i="14"/>
  <c r="O23" i="14"/>
  <c r="O26" i="14"/>
  <c r="O38" i="14"/>
  <c r="N29" i="14"/>
  <c r="P38" i="14"/>
  <c r="R56" i="14"/>
  <c r="P35" i="14"/>
  <c r="M38" i="14"/>
  <c r="O28" i="14"/>
  <c r="P36" i="14"/>
  <c r="N35" i="14"/>
  <c r="O32" i="14"/>
  <c r="Q35" i="14"/>
  <c r="O61" i="14"/>
  <c r="N31" i="14"/>
  <c r="Q37" i="14"/>
  <c r="M56" i="14"/>
  <c r="M32" i="14"/>
  <c r="M34" i="14"/>
  <c r="Q29" i="14"/>
  <c r="O31" i="14"/>
  <c r="O35" i="14"/>
  <c r="M31" i="14"/>
  <c r="R28" i="14"/>
  <c r="R29" i="14"/>
  <c r="N56" i="14"/>
  <c r="Q34" i="14"/>
  <c r="N71" i="26"/>
  <c r="P71" i="26" s="1"/>
  <c r="AE71" i="26" s="1"/>
  <c r="N67" i="26"/>
  <c r="P67" i="26" s="1"/>
  <c r="AE67" i="26" s="1"/>
  <c r="N72" i="26"/>
  <c r="P72" i="26" s="1"/>
  <c r="AE72" i="26" s="1"/>
  <c r="N75" i="26"/>
  <c r="P75" i="26" s="1"/>
  <c r="AE75" i="26" s="1"/>
  <c r="N79" i="26"/>
  <c r="P79" i="26" s="1"/>
  <c r="AE79" i="26" s="1"/>
  <c r="N80" i="26"/>
  <c r="P80" i="26" s="1"/>
  <c r="N65" i="26"/>
  <c r="P65" i="26" s="1"/>
  <c r="AE65" i="26" s="1"/>
  <c r="C29" i="37"/>
  <c r="N47" i="26"/>
  <c r="P47" i="26" s="1"/>
  <c r="N48" i="26"/>
  <c r="P48" i="26" s="1"/>
  <c r="N49" i="26"/>
  <c r="P49" i="26" s="1"/>
  <c r="N50" i="26"/>
  <c r="P50" i="26" s="1"/>
  <c r="N51" i="26"/>
  <c r="P51" i="26" s="1"/>
  <c r="N52" i="26"/>
  <c r="P52" i="26" s="1"/>
  <c r="N53" i="26"/>
  <c r="P53" i="26" s="1"/>
  <c r="N54" i="26"/>
  <c r="P54" i="26" s="1"/>
  <c r="N55" i="26"/>
  <c r="P55" i="26" s="1"/>
  <c r="N56" i="26"/>
  <c r="P56" i="26" s="1"/>
  <c r="N57" i="26"/>
  <c r="P57" i="26" s="1"/>
  <c r="N58" i="26"/>
  <c r="P58" i="26" s="1"/>
  <c r="N59" i="26"/>
  <c r="P59" i="26" s="1"/>
  <c r="N60" i="26"/>
  <c r="P60" i="26" s="1"/>
  <c r="N61" i="26"/>
  <c r="P61" i="26" s="1"/>
  <c r="N62" i="26"/>
  <c r="P62" i="26" s="1"/>
  <c r="N63" i="26"/>
  <c r="P63" i="26" s="1"/>
  <c r="N64" i="26"/>
  <c r="P64" i="26" s="1"/>
  <c r="N68" i="26"/>
  <c r="P68" i="26" s="1"/>
  <c r="N69" i="26"/>
  <c r="P69" i="26" s="1"/>
  <c r="N70" i="26"/>
  <c r="P70" i="26" s="1"/>
  <c r="E88" i="13" l="1"/>
  <c r="H89" i="13"/>
  <c r="E90" i="13"/>
  <c r="H88" i="13"/>
  <c r="E87" i="13"/>
  <c r="H85" i="13"/>
  <c r="K90" i="13"/>
  <c r="E89" i="13"/>
  <c r="E85" i="13"/>
  <c r="H90" i="13"/>
  <c r="K85" i="13"/>
  <c r="K87" i="13"/>
  <c r="H87" i="13"/>
  <c r="K88" i="13"/>
  <c r="H91" i="13"/>
  <c r="K91" i="13"/>
  <c r="E91" i="13"/>
  <c r="K89" i="13"/>
  <c r="AE73" i="26"/>
  <c r="AE77" i="26"/>
  <c r="AE76" i="26"/>
  <c r="AE74" i="26"/>
  <c r="AE66" i="26"/>
  <c r="AE78" i="26"/>
  <c r="O39" i="14"/>
  <c r="N39" i="14"/>
  <c r="P39" i="14"/>
  <c r="R39" i="14"/>
  <c r="M39" i="14"/>
  <c r="Q39" i="14"/>
  <c r="AE68" i="26"/>
  <c r="AE58" i="26"/>
  <c r="AE53" i="26"/>
  <c r="N82" i="26"/>
  <c r="AE70" i="26"/>
  <c r="AE63" i="26"/>
  <c r="AE60" i="26"/>
  <c r="AE56" i="26"/>
  <c r="AE52" i="26"/>
  <c r="AE50" i="26"/>
  <c r="AE61" i="26"/>
  <c r="AE54" i="26"/>
  <c r="AE48" i="26"/>
  <c r="AE64" i="26"/>
  <c r="AE57" i="26"/>
  <c r="AE69" i="26"/>
  <c r="AE62" i="26"/>
  <c r="AE59" i="26"/>
  <c r="AE55" i="26"/>
  <c r="AE51" i="26"/>
  <c r="AE49" i="26"/>
  <c r="AE80" i="26" l="1"/>
  <c r="P82" i="26"/>
  <c r="AE47" i="26"/>
  <c r="Q73" i="26" l="1"/>
  <c r="Q77" i="26"/>
  <c r="Q74" i="26"/>
  <c r="Q78" i="26"/>
  <c r="Q76" i="26"/>
  <c r="Q66" i="26"/>
  <c r="Q71" i="26"/>
  <c r="Q67" i="26"/>
  <c r="Q72" i="26"/>
  <c r="Q47" i="26"/>
  <c r="Q52" i="26"/>
  <c r="Q62" i="26"/>
  <c r="Q56" i="26"/>
  <c r="Q57" i="26"/>
  <c r="Q54" i="26"/>
  <c r="Q69" i="26"/>
  <c r="Q60" i="26"/>
  <c r="Q64" i="26"/>
  <c r="Q70" i="26"/>
  <c r="Q51" i="26"/>
  <c r="Q75" i="26"/>
  <c r="Q50" i="26"/>
  <c r="Q48" i="26"/>
  <c r="Q61" i="26"/>
  <c r="Q58" i="26"/>
  <c r="Q79" i="26"/>
  <c r="Q53" i="26"/>
  <c r="Q68" i="26"/>
  <c r="Q59" i="26"/>
  <c r="Q80" i="26"/>
  <c r="Q55" i="26"/>
  <c r="Q65" i="26"/>
  <c r="Q63" i="26"/>
  <c r="Q49" i="26"/>
  <c r="AE82" i="26"/>
  <c r="D32" i="37" l="1"/>
  <c r="B5" i="37"/>
  <c r="E5" i="37"/>
  <c r="D5" i="37"/>
  <c r="C5" i="37"/>
  <c r="E32" i="36"/>
  <c r="Q82" i="26"/>
  <c r="C29" i="36" l="1"/>
  <c r="C5" i="36"/>
  <c r="E5" i="36"/>
  <c r="D32" i="36"/>
  <c r="B5" i="36"/>
  <c r="D5" i="36"/>
  <c r="E9" i="37" l="1"/>
  <c r="E8" i="37"/>
  <c r="E11" i="37"/>
  <c r="E13" i="37"/>
  <c r="E7" i="37"/>
  <c r="E16" i="37"/>
  <c r="E18" i="37"/>
  <c r="E23" i="37"/>
  <c r="E20" i="37"/>
  <c r="E10" i="37"/>
  <c r="E12" i="37"/>
  <c r="E14" i="37"/>
  <c r="E21" i="37"/>
  <c r="E26" i="37"/>
  <c r="E19" i="37"/>
  <c r="E25" i="37"/>
  <c r="E27" i="37"/>
  <c r="E17" i="37"/>
  <c r="E22" i="37"/>
  <c r="E24" i="37"/>
  <c r="E15" i="37"/>
  <c r="E29" i="37" l="1"/>
  <c r="E20" i="36"/>
  <c r="E13" i="36"/>
  <c r="E23" i="36"/>
  <c r="E12" i="36"/>
  <c r="E15" i="36"/>
  <c r="E14" i="36"/>
  <c r="E24" i="36"/>
  <c r="E26" i="36"/>
  <c r="E16" i="36"/>
  <c r="E10" i="36"/>
  <c r="E25" i="36"/>
  <c r="E8" i="36"/>
  <c r="E11" i="36"/>
  <c r="E19" i="36"/>
  <c r="E21" i="36"/>
  <c r="E27" i="36"/>
  <c r="E9" i="36"/>
  <c r="E7" i="36"/>
  <c r="E18" i="36"/>
  <c r="E17" i="36"/>
  <c r="E22" i="36"/>
  <c r="AN50" i="27" l="1"/>
  <c r="E35" i="37"/>
  <c r="E29" i="36"/>
  <c r="E37" i="37" l="1"/>
  <c r="AN51" i="27"/>
  <c r="E35" i="36"/>
  <c r="AF42" i="26"/>
  <c r="B28" i="14"/>
  <c r="B29" i="14"/>
  <c r="B30" i="14"/>
  <c r="B31" i="14"/>
  <c r="B32" i="14"/>
  <c r="B33" i="14"/>
  <c r="B34" i="14"/>
  <c r="B35" i="14"/>
  <c r="B36" i="14"/>
  <c r="B37" i="14"/>
  <c r="B45" i="14"/>
  <c r="B46" i="14"/>
  <c r="B47" i="14"/>
  <c r="B48" i="14"/>
  <c r="B49" i="14"/>
  <c r="B50" i="14"/>
  <c r="B51" i="14"/>
  <c r="B52" i="14"/>
  <c r="B53" i="14"/>
  <c r="B54" i="14"/>
  <c r="B11" i="17"/>
  <c r="C7" i="22"/>
  <c r="C6" i="23" s="1"/>
  <c r="AN62" i="27" l="1"/>
  <c r="AO62" i="27" s="1"/>
  <c r="AN56" i="27"/>
  <c r="AO56" i="27" s="1"/>
  <c r="AN59" i="27"/>
  <c r="AO59" i="27" s="1"/>
  <c r="AN55" i="27"/>
  <c r="AN58" i="27"/>
  <c r="AO58" i="27" s="1"/>
  <c r="AN63" i="27"/>
  <c r="AO63" i="27" s="1"/>
  <c r="AN61" i="27"/>
  <c r="AO61" i="27" s="1"/>
  <c r="AN57" i="27"/>
  <c r="AO57" i="27" s="1"/>
  <c r="AN60" i="27"/>
  <c r="AO60" i="27" s="1"/>
  <c r="E37" i="36"/>
  <c r="AF43" i="26"/>
  <c r="B22" i="14"/>
  <c r="B55" i="14" s="1"/>
  <c r="B22" i="17"/>
  <c r="B11" i="14"/>
  <c r="B10" i="17"/>
  <c r="B10" i="14"/>
  <c r="AF66" i="26" l="1"/>
  <c r="AG66" i="26" s="1"/>
  <c r="AF76" i="26"/>
  <c r="AG76" i="26" s="1"/>
  <c r="AF77" i="26"/>
  <c r="AG77" i="26" s="1"/>
  <c r="AF73" i="26"/>
  <c r="AG73" i="26" s="1"/>
  <c r="AF78" i="26"/>
  <c r="AG78" i="26" s="1"/>
  <c r="AF74" i="26"/>
  <c r="AG74" i="26" s="1"/>
  <c r="AF72" i="26"/>
  <c r="AG72" i="26" s="1"/>
  <c r="AF71" i="26"/>
  <c r="AG71" i="26" s="1"/>
  <c r="AF67" i="26"/>
  <c r="AG67" i="26" s="1"/>
  <c r="AF47" i="26"/>
  <c r="AF75" i="26"/>
  <c r="AG75" i="26" s="1"/>
  <c r="AF64" i="26"/>
  <c r="AG64" i="26" s="1"/>
  <c r="AF68" i="26"/>
  <c r="AG68" i="26" s="1"/>
  <c r="AF52" i="26"/>
  <c r="AG52" i="26" s="1"/>
  <c r="AF50" i="26"/>
  <c r="AG50" i="26" s="1"/>
  <c r="AF80" i="26"/>
  <c r="AG80" i="26" s="1"/>
  <c r="AF79" i="26"/>
  <c r="AG79" i="26" s="1"/>
  <c r="AF61" i="26"/>
  <c r="AG61" i="26" s="1"/>
  <c r="AF69" i="26"/>
  <c r="AG69" i="26" s="1"/>
  <c r="AF49" i="26"/>
  <c r="AG49" i="26" s="1"/>
  <c r="AF62" i="26"/>
  <c r="AG62" i="26" s="1"/>
  <c r="AF70" i="26"/>
  <c r="AG70" i="26" s="1"/>
  <c r="AF65" i="26"/>
  <c r="AG65" i="26" s="1"/>
  <c r="AF58" i="26"/>
  <c r="AG58" i="26" s="1"/>
  <c r="AF53" i="26"/>
  <c r="AG53" i="26" s="1"/>
  <c r="AF54" i="26"/>
  <c r="AG54" i="26" s="1"/>
  <c r="AF57" i="26"/>
  <c r="AG57" i="26" s="1"/>
  <c r="AF48" i="26"/>
  <c r="AG48" i="26" s="1"/>
  <c r="AF55" i="26"/>
  <c r="AG55" i="26" s="1"/>
  <c r="AF51" i="26"/>
  <c r="AG51" i="26" s="1"/>
  <c r="AF63" i="26"/>
  <c r="AG63" i="26" s="1"/>
  <c r="AF60" i="26"/>
  <c r="AG60" i="26" s="1"/>
  <c r="AF59" i="26"/>
  <c r="AG59" i="26" s="1"/>
  <c r="AF56" i="26"/>
  <c r="AG56" i="26" s="1"/>
  <c r="R74" i="16"/>
  <c r="AN65" i="27"/>
  <c r="AO55" i="27"/>
  <c r="B38" i="14"/>
  <c r="B44" i="14"/>
  <c r="B27" i="14"/>
  <c r="B43" i="14"/>
  <c r="B26" i="14"/>
  <c r="N91" i="13" l="1"/>
  <c r="N85" i="13"/>
  <c r="N78" i="13"/>
  <c r="N80" i="13"/>
  <c r="N103" i="13"/>
  <c r="N87" i="13"/>
  <c r="N83" i="13"/>
  <c r="N81" i="13"/>
  <c r="N104" i="13"/>
  <c r="N84" i="13"/>
  <c r="N79" i="13"/>
  <c r="N82" i="13"/>
  <c r="N88" i="13"/>
  <c r="N76" i="13"/>
  <c r="N86" i="13"/>
  <c r="N77" i="13"/>
  <c r="N92" i="13"/>
  <c r="N98" i="13"/>
  <c r="N102" i="13"/>
  <c r="N101" i="13"/>
  <c r="N100" i="13"/>
  <c r="N93" i="13"/>
  <c r="N99" i="13"/>
  <c r="N97" i="13"/>
  <c r="N95" i="13"/>
  <c r="N94" i="13"/>
  <c r="N96" i="13"/>
  <c r="N90" i="13"/>
  <c r="N89" i="13"/>
  <c r="AO65" i="27"/>
  <c r="R73" i="16"/>
  <c r="R98" i="16" s="1"/>
  <c r="AF82" i="26"/>
  <c r="AG47" i="26"/>
  <c r="A14" i="23"/>
  <c r="A15" i="23" s="1"/>
  <c r="A16" i="23" s="1"/>
  <c r="G16" i="23"/>
  <c r="G20" i="23" s="1"/>
  <c r="G24" i="23" s="1"/>
  <c r="E19" i="39" s="1"/>
  <c r="E24" i="22"/>
  <c r="E28" i="22"/>
  <c r="F82" i="20"/>
  <c r="F83" i="20" s="1"/>
  <c r="H1" i="19"/>
  <c r="B26" i="17"/>
  <c r="B38" i="17"/>
  <c r="C23" i="17"/>
  <c r="D23" i="17"/>
  <c r="E23" i="17"/>
  <c r="F23" i="17"/>
  <c r="G23" i="17"/>
  <c r="H23" i="17"/>
  <c r="I23" i="17"/>
  <c r="J23" i="17"/>
  <c r="K23" i="17"/>
  <c r="L23" i="17"/>
  <c r="M23" i="17"/>
  <c r="N23" i="17"/>
  <c r="E26" i="17"/>
  <c r="F26" i="17"/>
  <c r="G26" i="17"/>
  <c r="H26" i="17"/>
  <c r="I26" i="17"/>
  <c r="J26" i="17"/>
  <c r="K26" i="17"/>
  <c r="L26" i="17"/>
  <c r="M26" i="17"/>
  <c r="N26" i="17"/>
  <c r="B27" i="17"/>
  <c r="E27" i="17"/>
  <c r="F27" i="17"/>
  <c r="G27" i="17"/>
  <c r="H27" i="17"/>
  <c r="I27" i="17"/>
  <c r="J27" i="17"/>
  <c r="K27" i="17"/>
  <c r="L27" i="17"/>
  <c r="M27" i="17"/>
  <c r="N27" i="17"/>
  <c r="B28" i="17"/>
  <c r="E28" i="17"/>
  <c r="F28" i="17"/>
  <c r="G28" i="17"/>
  <c r="H28" i="17"/>
  <c r="I28" i="17"/>
  <c r="J28" i="17"/>
  <c r="K28" i="17"/>
  <c r="L28" i="17"/>
  <c r="M28" i="17"/>
  <c r="N28" i="17"/>
  <c r="B29" i="17"/>
  <c r="E29" i="17"/>
  <c r="F29" i="17"/>
  <c r="G29" i="17"/>
  <c r="H29" i="17"/>
  <c r="I29" i="17"/>
  <c r="J29" i="17"/>
  <c r="K29" i="17"/>
  <c r="L29" i="17"/>
  <c r="M29" i="17"/>
  <c r="N29" i="17"/>
  <c r="B30" i="17"/>
  <c r="E30" i="17"/>
  <c r="F30" i="17"/>
  <c r="G30" i="17"/>
  <c r="H30" i="17"/>
  <c r="I30" i="17"/>
  <c r="J30" i="17"/>
  <c r="K30" i="17"/>
  <c r="L30" i="17"/>
  <c r="M30" i="17"/>
  <c r="N30" i="17"/>
  <c r="B31" i="17"/>
  <c r="E31" i="17"/>
  <c r="F31" i="17"/>
  <c r="G31" i="17"/>
  <c r="H31" i="17"/>
  <c r="I31" i="17"/>
  <c r="J31" i="17"/>
  <c r="K31" i="17"/>
  <c r="L31" i="17"/>
  <c r="M31" i="17"/>
  <c r="N31" i="17"/>
  <c r="B32" i="17"/>
  <c r="E32" i="17"/>
  <c r="F32" i="17"/>
  <c r="G32" i="17"/>
  <c r="H32" i="17"/>
  <c r="I32" i="17"/>
  <c r="J32" i="17"/>
  <c r="K32" i="17"/>
  <c r="L32" i="17"/>
  <c r="M32" i="17"/>
  <c r="N32" i="17"/>
  <c r="B33" i="17"/>
  <c r="E33" i="17"/>
  <c r="F33" i="17"/>
  <c r="G33" i="17"/>
  <c r="H33" i="17"/>
  <c r="I33" i="17"/>
  <c r="J33" i="17"/>
  <c r="K33" i="17"/>
  <c r="L33" i="17"/>
  <c r="M33" i="17"/>
  <c r="N33" i="17"/>
  <c r="B34" i="17"/>
  <c r="E34" i="17"/>
  <c r="F34" i="17"/>
  <c r="G34" i="17"/>
  <c r="H34" i="17"/>
  <c r="I34" i="17"/>
  <c r="J34" i="17"/>
  <c r="K34" i="17"/>
  <c r="L34" i="17"/>
  <c r="M34" i="17"/>
  <c r="N34" i="17"/>
  <c r="B35" i="17"/>
  <c r="E35" i="17"/>
  <c r="F35" i="17"/>
  <c r="G35" i="17"/>
  <c r="H35" i="17"/>
  <c r="I35" i="17"/>
  <c r="J35" i="17"/>
  <c r="K35" i="17"/>
  <c r="L35" i="17"/>
  <c r="M35" i="17"/>
  <c r="N35" i="17"/>
  <c r="B36" i="17"/>
  <c r="E36" i="17"/>
  <c r="F36" i="17"/>
  <c r="G36" i="17"/>
  <c r="H36" i="17"/>
  <c r="I36" i="17"/>
  <c r="J36" i="17"/>
  <c r="K36" i="17"/>
  <c r="L36" i="17"/>
  <c r="M36" i="17"/>
  <c r="N36" i="17"/>
  <c r="B37" i="17"/>
  <c r="E37" i="17"/>
  <c r="F37" i="17"/>
  <c r="G37" i="17"/>
  <c r="H37" i="17"/>
  <c r="I37" i="17"/>
  <c r="J37" i="17"/>
  <c r="K37" i="17"/>
  <c r="L37" i="17"/>
  <c r="M37" i="17"/>
  <c r="N37" i="17"/>
  <c r="E38" i="17"/>
  <c r="F38" i="17"/>
  <c r="G38" i="17"/>
  <c r="H38" i="17"/>
  <c r="I38" i="17"/>
  <c r="J38" i="17"/>
  <c r="K38" i="17"/>
  <c r="L38" i="17"/>
  <c r="M38" i="17"/>
  <c r="N38" i="17"/>
  <c r="B43" i="17"/>
  <c r="B44" i="17"/>
  <c r="B45" i="17"/>
  <c r="B46" i="17"/>
  <c r="B47" i="17"/>
  <c r="B48" i="17"/>
  <c r="B49" i="17"/>
  <c r="B50" i="17"/>
  <c r="B51" i="17"/>
  <c r="B52" i="17"/>
  <c r="B53" i="17"/>
  <c r="B54" i="17"/>
  <c r="C56" i="17"/>
  <c r="D56" i="17"/>
  <c r="E56" i="17"/>
  <c r="F56" i="17"/>
  <c r="G56" i="17"/>
  <c r="H56" i="17"/>
  <c r="I56" i="17"/>
  <c r="J56" i="17"/>
  <c r="K56" i="17"/>
  <c r="L56" i="17"/>
  <c r="M56" i="17"/>
  <c r="N56" i="17"/>
  <c r="C61" i="17"/>
  <c r="D61" i="17"/>
  <c r="E61" i="17"/>
  <c r="F61" i="17"/>
  <c r="G61" i="17"/>
  <c r="H61" i="17"/>
  <c r="I61" i="17"/>
  <c r="J61" i="17"/>
  <c r="K61" i="17"/>
  <c r="L61" i="17"/>
  <c r="M61" i="17"/>
  <c r="N61" i="17"/>
  <c r="C66" i="17"/>
  <c r="D66" i="17"/>
  <c r="E66" i="17"/>
  <c r="F66" i="17"/>
  <c r="G66" i="17"/>
  <c r="H66" i="17"/>
  <c r="I66" i="17"/>
  <c r="J66" i="17"/>
  <c r="K66" i="17"/>
  <c r="L66" i="17"/>
  <c r="M66" i="17"/>
  <c r="N66" i="17"/>
  <c r="C62" i="16"/>
  <c r="J62" i="16"/>
  <c r="S62" i="16"/>
  <c r="J65" i="16"/>
  <c r="C23" i="14"/>
  <c r="C26" i="14"/>
  <c r="C27" i="14"/>
  <c r="C28" i="14"/>
  <c r="C29" i="14"/>
  <c r="C30" i="14"/>
  <c r="C31" i="14"/>
  <c r="C32" i="14"/>
  <c r="C33" i="14"/>
  <c r="C34" i="14"/>
  <c r="C35" i="14"/>
  <c r="C36" i="14"/>
  <c r="C37" i="14"/>
  <c r="C38" i="14"/>
  <c r="C56" i="14"/>
  <c r="C61" i="14"/>
  <c r="C66" i="14"/>
  <c r="D66" i="14"/>
  <c r="E66" i="14"/>
  <c r="F66" i="14"/>
  <c r="G66" i="14"/>
  <c r="H66" i="14"/>
  <c r="I66" i="14"/>
  <c r="J66" i="14"/>
  <c r="K66" i="14"/>
  <c r="L66" i="14"/>
  <c r="C64" i="13"/>
  <c r="G64" i="13"/>
  <c r="O64" i="13"/>
  <c r="G67" i="13"/>
  <c r="L83" i="13" l="1"/>
  <c r="L79" i="13"/>
  <c r="L75" i="13"/>
  <c r="E75" i="13"/>
  <c r="L82" i="13"/>
  <c r="L84" i="13"/>
  <c r="L80" i="13"/>
  <c r="L76" i="13"/>
  <c r="L78" i="13"/>
  <c r="K75" i="13"/>
  <c r="L81" i="13"/>
  <c r="L77" i="13"/>
  <c r="H75" i="13"/>
  <c r="O74" i="16"/>
  <c r="L74" i="16"/>
  <c r="P73" i="16"/>
  <c r="O73" i="16"/>
  <c r="L73" i="16"/>
  <c r="E74" i="16"/>
  <c r="E73" i="16"/>
  <c r="C16" i="39"/>
  <c r="P74" i="16"/>
  <c r="AG82" i="26"/>
  <c r="N75" i="13"/>
  <c r="N108" i="13" s="1"/>
  <c r="D19" i="39"/>
  <c r="D5" i="39"/>
  <c r="C5" i="39"/>
  <c r="D21" i="39"/>
  <c r="B5" i="39"/>
  <c r="E5" i="39"/>
  <c r="M39" i="17"/>
  <c r="I39" i="17"/>
  <c r="E39" i="17"/>
  <c r="N39" i="17"/>
  <c r="J39" i="17"/>
  <c r="F39" i="17"/>
  <c r="K39" i="17"/>
  <c r="G39" i="17"/>
  <c r="C39" i="17"/>
  <c r="L39" i="17"/>
  <c r="H39" i="17"/>
  <c r="D39" i="17"/>
  <c r="C39" i="14"/>
  <c r="B55" i="17"/>
  <c r="A18" i="23"/>
  <c r="A20" i="23" s="1"/>
  <c r="F73" i="16" l="1"/>
  <c r="F74" i="16"/>
  <c r="L108" i="13"/>
  <c r="P98" i="16"/>
  <c r="C30" i="8"/>
  <c r="D19" i="9"/>
  <c r="C16" i="12"/>
  <c r="E20" i="23"/>
  <c r="A22" i="23"/>
  <c r="A24" i="23" s="1"/>
  <c r="D54" i="12"/>
  <c r="D46" i="12"/>
  <c r="D50" i="12"/>
  <c r="C36" i="12"/>
  <c r="D53" i="12"/>
  <c r="D45" i="12"/>
  <c r="D48" i="12"/>
  <c r="C30" i="12"/>
  <c r="C28" i="12"/>
  <c r="C26" i="12"/>
  <c r="C24" i="12"/>
  <c r="C22" i="12"/>
  <c r="C20" i="12"/>
  <c r="C18" i="12"/>
  <c r="C14" i="12"/>
  <c r="C12" i="12"/>
  <c r="C10" i="12"/>
  <c r="D52" i="12"/>
  <c r="D44" i="12"/>
  <c r="C35" i="12"/>
  <c r="C32" i="12"/>
  <c r="D55" i="12"/>
  <c r="D51" i="12"/>
  <c r="D47" i="12"/>
  <c r="C33" i="12"/>
  <c r="C31" i="12"/>
  <c r="C29" i="12"/>
  <c r="C27" i="12"/>
  <c r="C25" i="12"/>
  <c r="C23" i="12"/>
  <c r="C21" i="12"/>
  <c r="C19" i="12"/>
  <c r="C17" i="12"/>
  <c r="C15" i="12"/>
  <c r="C13" i="12"/>
  <c r="C11" i="12"/>
  <c r="D57" i="12" l="1"/>
  <c r="E41" i="12" s="1"/>
  <c r="H41" i="12" s="1"/>
  <c r="E8" i="39"/>
  <c r="E14" i="39"/>
  <c r="E7" i="39"/>
  <c r="E10" i="39"/>
  <c r="E13" i="39"/>
  <c r="E9" i="39"/>
  <c r="E11" i="39"/>
  <c r="E12" i="39"/>
  <c r="E24" i="23"/>
  <c r="H10" i="19"/>
  <c r="B9" i="19" s="1"/>
  <c r="B10" i="19" s="1"/>
  <c r="B19" i="10"/>
  <c r="E35" i="8"/>
  <c r="C33" i="8"/>
  <c r="C32" i="8"/>
  <c r="C31" i="8"/>
  <c r="C29" i="8"/>
  <c r="C28" i="8"/>
  <c r="B18" i="6"/>
  <c r="D245" i="53" s="1"/>
  <c r="D248" i="53" s="1"/>
  <c r="J17" i="5"/>
  <c r="G17" i="5"/>
  <c r="F5" i="4"/>
  <c r="E41" i="3"/>
  <c r="D41" i="3"/>
  <c r="A39" i="3"/>
  <c r="A38" i="3"/>
  <c r="A37" i="3"/>
  <c r="A36" i="3"/>
  <c r="A35" i="3"/>
  <c r="A34" i="3"/>
  <c r="A33" i="3"/>
  <c r="A32" i="3"/>
  <c r="A31" i="3"/>
  <c r="A30" i="3"/>
  <c r="F22" i="3"/>
  <c r="E22" i="3"/>
  <c r="E38" i="12" l="1"/>
  <c r="H38" i="12" s="1"/>
  <c r="E39" i="12"/>
  <c r="H39" i="12" s="1"/>
  <c r="E40" i="12"/>
  <c r="H40" i="12" s="1"/>
  <c r="D190" i="53"/>
  <c r="D180" i="53"/>
  <c r="D169" i="53"/>
  <c r="D120" i="53"/>
  <c r="D99" i="53"/>
  <c r="D90" i="53"/>
  <c r="A40" i="3"/>
  <c r="A29" i="3"/>
  <c r="A28" i="3"/>
  <c r="E37" i="12"/>
  <c r="H37" i="12" s="1"/>
  <c r="E16" i="39"/>
  <c r="E22" i="39" s="1"/>
  <c r="E24" i="39" s="1"/>
  <c r="E24" i="12"/>
  <c r="H24" i="12" s="1"/>
  <c r="E34" i="12"/>
  <c r="H34" i="12" s="1"/>
  <c r="G23" i="13"/>
  <c r="J25" i="16"/>
  <c r="C9" i="19"/>
  <c r="E48" i="12"/>
  <c r="H48" i="12" s="1"/>
  <c r="E51" i="12"/>
  <c r="H51" i="12" s="1"/>
  <c r="E22" i="12"/>
  <c r="H22" i="12" s="1"/>
  <c r="E50" i="12"/>
  <c r="H50" i="12" s="1"/>
  <c r="E32" i="12"/>
  <c r="H32" i="12" s="1"/>
  <c r="E47" i="12"/>
  <c r="H47" i="12" s="1"/>
  <c r="E26" i="12"/>
  <c r="H26" i="12" s="1"/>
  <c r="E49" i="12"/>
  <c r="H49" i="12" s="1"/>
  <c r="E28" i="12"/>
  <c r="H28" i="12" s="1"/>
  <c r="E14" i="12"/>
  <c r="H14" i="12" s="1"/>
  <c r="E31" i="12"/>
  <c r="H31" i="12" s="1"/>
  <c r="E29" i="12"/>
  <c r="H29" i="12" s="1"/>
  <c r="E55" i="12"/>
  <c r="H55" i="12" s="1"/>
  <c r="E53" i="12"/>
  <c r="H53" i="12" s="1"/>
  <c r="E45" i="12"/>
  <c r="H45" i="12" s="1"/>
  <c r="E17" i="12"/>
  <c r="H17" i="12" s="1"/>
  <c r="E36" i="12"/>
  <c r="H36" i="12" s="1"/>
  <c r="E35" i="12"/>
  <c r="H35" i="12" s="1"/>
  <c r="E19" i="12"/>
  <c r="H19" i="12" s="1"/>
  <c r="E30" i="12"/>
  <c r="H30" i="12" s="1"/>
  <c r="E20" i="12"/>
  <c r="H20" i="12" s="1"/>
  <c r="E10" i="12"/>
  <c r="H10" i="12" s="1"/>
  <c r="E52" i="12"/>
  <c r="H52" i="12" s="1"/>
  <c r="E25" i="12"/>
  <c r="H25" i="12" s="1"/>
  <c r="E15" i="12"/>
  <c r="H15" i="12" s="1"/>
  <c r="E12" i="12"/>
  <c r="H12" i="12" s="1"/>
  <c r="E27" i="12"/>
  <c r="H27" i="12" s="1"/>
  <c r="E16" i="12"/>
  <c r="H16" i="12" s="1"/>
  <c r="E54" i="12"/>
  <c r="H54" i="12" s="1"/>
  <c r="E44" i="12"/>
  <c r="H44" i="12" s="1"/>
  <c r="E46" i="12"/>
  <c r="H46" i="12" s="1"/>
  <c r="E13" i="12"/>
  <c r="H13" i="12" s="1"/>
  <c r="E33" i="12"/>
  <c r="H33" i="12" s="1"/>
  <c r="E23" i="12"/>
  <c r="H23" i="12" s="1"/>
  <c r="E18" i="12"/>
  <c r="H18" i="12" s="1"/>
  <c r="E11" i="12"/>
  <c r="H11" i="12" s="1"/>
  <c r="E21" i="12"/>
  <c r="H21" i="12" s="1"/>
  <c r="A26" i="5"/>
  <c r="E47" i="3"/>
  <c r="C35" i="8"/>
  <c r="C16" i="8" s="1"/>
  <c r="H57" i="12" l="1"/>
  <c r="D313" i="53"/>
  <c r="D108" i="53"/>
  <c r="F17" i="5"/>
  <c r="G26" i="22"/>
  <c r="D9" i="19"/>
  <c r="C10" i="19"/>
  <c r="B17" i="5"/>
  <c r="E57" i="12"/>
  <c r="A27" i="5"/>
  <c r="G268" i="53" l="1"/>
  <c r="I268" i="53" s="1"/>
  <c r="D168" i="53"/>
  <c r="D156" i="53"/>
  <c r="E9" i="19"/>
  <c r="D10" i="19"/>
  <c r="A28" i="5"/>
  <c r="D171" i="53" l="1"/>
  <c r="I271" i="53"/>
  <c r="B10" i="8"/>
  <c r="I234" i="53"/>
  <c r="F9" i="19"/>
  <c r="F10" i="19" s="1"/>
  <c r="E10" i="19"/>
  <c r="A29" i="5"/>
  <c r="B11" i="8" l="1"/>
  <c r="C14" i="9"/>
  <c r="C11" i="4"/>
  <c r="F11" i="4" s="1"/>
  <c r="L17" i="5"/>
  <c r="D22" i="3"/>
  <c r="B41" i="3"/>
  <c r="C10" i="4"/>
  <c r="F10" i="4" s="1"/>
  <c r="C14" i="4"/>
  <c r="F14" i="4" s="1"/>
  <c r="C17" i="4"/>
  <c r="F17" i="4" s="1"/>
  <c r="C15" i="4"/>
  <c r="F15" i="4" s="1"/>
  <c r="I17" i="5"/>
  <c r="F6" i="11"/>
  <c r="H6" i="11" s="1"/>
  <c r="G22" i="3"/>
  <c r="H22" i="3"/>
  <c r="D17" i="5"/>
  <c r="C16" i="4"/>
  <c r="F16" i="4" s="1"/>
  <c r="B22" i="3"/>
  <c r="C8" i="4"/>
  <c r="F8" i="4" s="1"/>
  <c r="C9" i="4"/>
  <c r="F9" i="4" s="1"/>
  <c r="C13" i="4"/>
  <c r="F13" i="4" s="1"/>
  <c r="C6" i="4"/>
  <c r="F6" i="4" s="1"/>
  <c r="H5" i="4"/>
  <c r="K17" i="5"/>
  <c r="C12" i="4"/>
  <c r="F12" i="4" s="1"/>
  <c r="C7" i="4"/>
  <c r="F7" i="4" s="1"/>
  <c r="H17" i="5"/>
  <c r="E17" i="5"/>
  <c r="A30" i="5"/>
  <c r="I280" i="53" l="1"/>
  <c r="D88" i="53"/>
  <c r="I235" i="53"/>
  <c r="D191" i="53"/>
  <c r="D192" i="53"/>
  <c r="D178" i="53"/>
  <c r="D175" i="53"/>
  <c r="D162" i="53"/>
  <c r="D161" i="53"/>
  <c r="D125" i="53"/>
  <c r="D124" i="53"/>
  <c r="D47" i="3"/>
  <c r="C22" i="3"/>
  <c r="H6" i="4"/>
  <c r="H7" i="4" s="1"/>
  <c r="C41" i="3"/>
  <c r="C17" i="5"/>
  <c r="B47" i="3"/>
  <c r="A31" i="5"/>
  <c r="D15" i="9"/>
  <c r="C47" i="3" l="1"/>
  <c r="G15" i="22"/>
  <c r="G18" i="22" s="1"/>
  <c r="G24" i="22" s="1"/>
  <c r="D14" i="53"/>
  <c r="I236" i="53"/>
  <c r="I238" i="53" s="1"/>
  <c r="D106" i="53"/>
  <c r="D87" i="53"/>
  <c r="D182" i="53"/>
  <c r="D159" i="53"/>
  <c r="D96" i="53"/>
  <c r="H8" i="4"/>
  <c r="A32" i="5"/>
  <c r="G28" i="22" l="1"/>
  <c r="D101" i="53"/>
  <c r="D92" i="53"/>
  <c r="D165" i="53"/>
  <c r="D123" i="53" s="1"/>
  <c r="I226" i="53"/>
  <c r="I229" i="53" s="1"/>
  <c r="I231" i="53" s="1"/>
  <c r="D105" i="53"/>
  <c r="H9" i="4"/>
  <c r="H10" i="4" s="1"/>
  <c r="A33" i="5"/>
  <c r="D126" i="53" l="1"/>
  <c r="D110" i="53"/>
  <c r="D251" i="53"/>
  <c r="D254" i="53" s="1"/>
  <c r="G252" i="53" s="1"/>
  <c r="E245" i="53"/>
  <c r="G245" i="53" s="1"/>
  <c r="G248" i="53" s="1"/>
  <c r="I248" i="53" s="1"/>
  <c r="G87" i="53"/>
  <c r="I239" i="53"/>
  <c r="I240" i="53" s="1"/>
  <c r="G14" i="53"/>
  <c r="H11" i="4"/>
  <c r="I14" i="53" l="1"/>
  <c r="G15" i="53"/>
  <c r="G156" i="53"/>
  <c r="G124" i="53"/>
  <c r="I124" i="53" s="1"/>
  <c r="G96" i="53"/>
  <c r="G88" i="53"/>
  <c r="I88" i="53" s="1"/>
  <c r="I87" i="53"/>
  <c r="G90" i="53"/>
  <c r="I252" i="53"/>
  <c r="K252" i="53" s="1"/>
  <c r="G91" i="53" s="1"/>
  <c r="H12" i="4"/>
  <c r="J18" i="16" l="1"/>
  <c r="G18" i="13"/>
  <c r="I90" i="53"/>
  <c r="G99" i="53"/>
  <c r="G162" i="53"/>
  <c r="I162" i="53" s="1"/>
  <c r="I156" i="53"/>
  <c r="G16" i="53"/>
  <c r="I91" i="53"/>
  <c r="G100" i="53"/>
  <c r="I96" i="53"/>
  <c r="G97" i="53"/>
  <c r="I97" i="53" s="1"/>
  <c r="I106" i="53" s="1"/>
  <c r="G120" i="53"/>
  <c r="H13" i="4"/>
  <c r="J24" i="16" l="1"/>
  <c r="J28" i="16" s="1"/>
  <c r="I105" i="53"/>
  <c r="J19" i="16"/>
  <c r="I92" i="53"/>
  <c r="G92" i="53" s="1"/>
  <c r="G125" i="53" s="1"/>
  <c r="I125" i="53" s="1"/>
  <c r="I99" i="53"/>
  <c r="I108" i="53" s="1"/>
  <c r="G159" i="53"/>
  <c r="I16" i="53"/>
  <c r="G17" i="53"/>
  <c r="I17" i="53" s="1"/>
  <c r="I100" i="53"/>
  <c r="I109" i="53" s="1"/>
  <c r="G163" i="53"/>
  <c r="I120" i="53"/>
  <c r="G168" i="53"/>
  <c r="I168" i="53" s="1"/>
  <c r="H14" i="4"/>
  <c r="G19" i="13" l="1"/>
  <c r="J20" i="16"/>
  <c r="G178" i="53"/>
  <c r="I178" i="53" s="1"/>
  <c r="I110" i="53"/>
  <c r="G110" i="53" s="1"/>
  <c r="G114" i="53" s="1"/>
  <c r="I101" i="53"/>
  <c r="I163" i="53"/>
  <c r="G170" i="53"/>
  <c r="I170" i="53" s="1"/>
  <c r="I159" i="53"/>
  <c r="G160" i="53"/>
  <c r="G169" i="53"/>
  <c r="H15" i="4"/>
  <c r="J30" i="16" l="1"/>
  <c r="L30" i="16" s="1"/>
  <c r="G73" i="16" s="1"/>
  <c r="H73" i="16" s="1"/>
  <c r="G181" i="53"/>
  <c r="I181" i="53" s="1"/>
  <c r="G180" i="53"/>
  <c r="I180" i="53" s="1"/>
  <c r="G194" i="53"/>
  <c r="I169" i="53"/>
  <c r="G175" i="53"/>
  <c r="G161" i="53"/>
  <c r="I161" i="53" s="1"/>
  <c r="I160" i="53"/>
  <c r="G115" i="53"/>
  <c r="H16" i="4"/>
  <c r="J38" i="16" l="1"/>
  <c r="I171" i="53"/>
  <c r="G28" i="13"/>
  <c r="G74" i="16"/>
  <c r="H74" i="16" s="1"/>
  <c r="G195" i="53"/>
  <c r="G196" i="53" s="1"/>
  <c r="I165" i="53"/>
  <c r="I175" i="53"/>
  <c r="G176" i="53"/>
  <c r="I176" i="53" s="1"/>
  <c r="G116" i="53"/>
  <c r="I116" i="53" s="1"/>
  <c r="I115" i="53"/>
  <c r="G117" i="53"/>
  <c r="I117" i="53" s="1"/>
  <c r="H17" i="4"/>
  <c r="D114" i="53" s="1"/>
  <c r="G22" i="13" l="1"/>
  <c r="J23" i="16"/>
  <c r="J39" i="16"/>
  <c r="L39" i="16" s="1"/>
  <c r="G29" i="13"/>
  <c r="M29" i="13" s="1"/>
  <c r="I123" i="53"/>
  <c r="I126" i="53" s="1"/>
  <c r="I182" i="53"/>
  <c r="G32" i="13" l="1"/>
  <c r="J42" i="16"/>
  <c r="J34" i="16"/>
  <c r="J35" i="16" s="1"/>
  <c r="L35" i="16" s="1"/>
  <c r="G24" i="13"/>
  <c r="G25" i="13" s="1"/>
  <c r="M25" i="13" s="1"/>
  <c r="D118" i="53"/>
  <c r="D128" i="53" s="1"/>
  <c r="D199" i="53" s="1"/>
  <c r="I114" i="53"/>
  <c r="I118" i="53" s="1"/>
  <c r="I128" i="53" s="1"/>
  <c r="G33" i="13" l="1"/>
  <c r="M33" i="13" s="1"/>
  <c r="M35" i="13" s="1"/>
  <c r="J43" i="16"/>
  <c r="I199" i="53"/>
  <c r="F98" i="13" l="1"/>
  <c r="G98" i="13" s="1"/>
  <c r="F101" i="13"/>
  <c r="G101" i="13" s="1"/>
  <c r="F103" i="13"/>
  <c r="G103" i="13" s="1"/>
  <c r="F104" i="13"/>
  <c r="G104" i="13" s="1"/>
  <c r="F102" i="13"/>
  <c r="G102" i="13" s="1"/>
  <c r="C5" i="8"/>
  <c r="C15" i="8" s="1"/>
  <c r="J52" i="16"/>
  <c r="J53" i="16" s="1"/>
  <c r="L53" i="16" s="1"/>
  <c r="F97" i="13"/>
  <c r="G97" i="13" s="1"/>
  <c r="F93" i="13"/>
  <c r="G93" i="13" s="1"/>
  <c r="F99" i="13"/>
  <c r="G99" i="13" s="1"/>
  <c r="F100" i="13"/>
  <c r="G100" i="13" s="1"/>
  <c r="G42" i="13"/>
  <c r="L43" i="16"/>
  <c r="L45" i="16" s="1"/>
  <c r="J45" i="16"/>
  <c r="F94" i="13"/>
  <c r="G94" i="13" s="1"/>
  <c r="F78" i="13"/>
  <c r="F84" i="13"/>
  <c r="F91" i="13"/>
  <c r="F89" i="13"/>
  <c r="F87" i="13"/>
  <c r="F83" i="13"/>
  <c r="F77" i="13"/>
  <c r="F95" i="13"/>
  <c r="G95" i="13" s="1"/>
  <c r="F92" i="13"/>
  <c r="F80" i="13"/>
  <c r="F79" i="13"/>
  <c r="F86" i="13"/>
  <c r="G86" i="13" s="1"/>
  <c r="F82" i="13"/>
  <c r="F90" i="13"/>
  <c r="F75" i="13"/>
  <c r="F81" i="13"/>
  <c r="F88" i="13"/>
  <c r="F76" i="13"/>
  <c r="F85" i="13"/>
  <c r="F96" i="13"/>
  <c r="C17" i="8" l="1"/>
  <c r="C19" i="8" s="1"/>
  <c r="C12" i="8"/>
  <c r="D11" i="9"/>
  <c r="D17" i="9" s="1"/>
  <c r="D21" i="9" s="1"/>
  <c r="D22" i="9" s="1"/>
  <c r="D24" i="9" s="1"/>
  <c r="D315" i="53" s="1"/>
  <c r="D185" i="53" s="1"/>
  <c r="D189" i="53" s="1"/>
  <c r="C8" i="8"/>
  <c r="G43" i="13"/>
  <c r="M43" i="13" s="1"/>
  <c r="I73" i="16"/>
  <c r="I74" i="16"/>
  <c r="J74" i="16" s="1"/>
  <c r="K74" i="16" s="1"/>
  <c r="C13" i="8" l="1"/>
  <c r="D186" i="53"/>
  <c r="D193" i="53" s="1"/>
  <c r="D195" i="53"/>
  <c r="I195" i="53" s="1"/>
  <c r="D196" i="53"/>
  <c r="I196" i="53" s="1"/>
  <c r="D194" i="53"/>
  <c r="I194" i="53" s="1"/>
  <c r="J73" i="16"/>
  <c r="K73" i="16" s="1"/>
  <c r="I193" i="53" l="1"/>
  <c r="I197" i="53" s="1"/>
  <c r="D197" i="53"/>
  <c r="D202" i="53" s="1"/>
  <c r="I202" i="53" l="1"/>
  <c r="G38" i="13"/>
  <c r="G39" i="13" s="1"/>
  <c r="M39" i="13" s="1"/>
  <c r="M45" i="13" s="1"/>
  <c r="J48" i="16"/>
  <c r="J49" i="16" s="1"/>
  <c r="K61" i="14"/>
  <c r="K38" i="14"/>
  <c r="K36" i="14"/>
  <c r="K33" i="14"/>
  <c r="K35" i="14"/>
  <c r="K28" i="14"/>
  <c r="K37" i="14"/>
  <c r="K29" i="14"/>
  <c r="K34" i="14"/>
  <c r="K32" i="14"/>
  <c r="K30" i="14"/>
  <c r="K56" i="14"/>
  <c r="K31" i="14"/>
  <c r="K27" i="14"/>
  <c r="K23" i="14"/>
  <c r="K26" i="14"/>
  <c r="L28" i="14"/>
  <c r="J30" i="14"/>
  <c r="F27" i="14"/>
  <c r="I61" i="14"/>
  <c r="I35" i="14"/>
  <c r="G29" i="14"/>
  <c r="F33" i="14"/>
  <c r="L37" i="14"/>
  <c r="J33" i="14"/>
  <c r="L36" i="14"/>
  <c r="J34" i="14"/>
  <c r="G34" i="14"/>
  <c r="H32" i="14"/>
  <c r="F36" i="14"/>
  <c r="F56" i="14"/>
  <c r="L27" i="14"/>
  <c r="L29" i="14"/>
  <c r="I30" i="14"/>
  <c r="J26" i="14"/>
  <c r="J23" i="14"/>
  <c r="H27" i="14"/>
  <c r="F28" i="14"/>
  <c r="J56" i="14"/>
  <c r="J36" i="14"/>
  <c r="G37" i="14"/>
  <c r="H30" i="14"/>
  <c r="J27" i="14"/>
  <c r="G31" i="14"/>
  <c r="F30" i="14"/>
  <c r="I56" i="14"/>
  <c r="J61" i="14"/>
  <c r="J38" i="14"/>
  <c r="H31" i="14"/>
  <c r="F37" i="14"/>
  <c r="H56" i="14"/>
  <c r="I28" i="14"/>
  <c r="J31" i="14"/>
  <c r="I37" i="14"/>
  <c r="J32" i="14"/>
  <c r="G27" i="14"/>
  <c r="H29" i="14"/>
  <c r="L61" i="14"/>
  <c r="I26" i="14"/>
  <c r="I23" i="14"/>
  <c r="L26" i="14"/>
  <c r="L23" i="14"/>
  <c r="I31" i="14"/>
  <c r="G28" i="14"/>
  <c r="H28" i="14"/>
  <c r="F35" i="14"/>
  <c r="H36" i="14"/>
  <c r="I38" i="14"/>
  <c r="G30" i="14"/>
  <c r="H33" i="14"/>
  <c r="F32" i="14"/>
  <c r="L33" i="14"/>
  <c r="L32" i="14"/>
  <c r="I32" i="14"/>
  <c r="J37" i="14"/>
  <c r="G33" i="14"/>
  <c r="F31" i="14"/>
  <c r="L34" i="14"/>
  <c r="J28" i="14"/>
  <c r="L30" i="14"/>
  <c r="J35" i="14"/>
  <c r="G38" i="14"/>
  <c r="H35" i="14"/>
  <c r="F38" i="14"/>
  <c r="F61" i="14"/>
  <c r="F29" i="14"/>
  <c r="I29" i="14"/>
  <c r="G32" i="14"/>
  <c r="H23" i="14"/>
  <c r="H26" i="14"/>
  <c r="F34" i="14"/>
  <c r="L56" i="14"/>
  <c r="L38" i="14"/>
  <c r="G36" i="14"/>
  <c r="H38" i="14"/>
  <c r="G56" i="14"/>
  <c r="G61" i="14"/>
  <c r="I36" i="14"/>
  <c r="L31" i="14"/>
  <c r="I33" i="14"/>
  <c r="G26" i="14"/>
  <c r="G23" i="14"/>
  <c r="H37" i="14"/>
  <c r="F26" i="14"/>
  <c r="F23" i="14"/>
  <c r="I27" i="14"/>
  <c r="L35" i="14"/>
  <c r="I34" i="14"/>
  <c r="J29" i="14"/>
  <c r="G35" i="14"/>
  <c r="H34" i="14"/>
  <c r="H61" i="14"/>
  <c r="D35" i="14"/>
  <c r="E35" i="14"/>
  <c r="D36" i="14"/>
  <c r="E31" i="14"/>
  <c r="D28" i="14"/>
  <c r="E32" i="14"/>
  <c r="D38" i="14"/>
  <c r="D56" i="14"/>
  <c r="E28" i="14"/>
  <c r="E37" i="14"/>
  <c r="D32" i="14"/>
  <c r="D61" i="14"/>
  <c r="D31" i="14"/>
  <c r="D23" i="14"/>
  <c r="D26" i="14"/>
  <c r="E36" i="14"/>
  <c r="D33" i="14"/>
  <c r="E29" i="14"/>
  <c r="D27" i="14"/>
  <c r="E33" i="14"/>
  <c r="D29" i="14"/>
  <c r="E27" i="14"/>
  <c r="E23" i="14"/>
  <c r="E26" i="14"/>
  <c r="E56" i="14"/>
  <c r="E38" i="14"/>
  <c r="D30" i="14"/>
  <c r="E61" i="14"/>
  <c r="D34" i="14"/>
  <c r="E34" i="14"/>
  <c r="D37" i="14"/>
  <c r="E30" i="14"/>
  <c r="G89" i="13"/>
  <c r="K76" i="13" l="1"/>
  <c r="K80" i="13"/>
  <c r="H79" i="13"/>
  <c r="E81" i="13"/>
  <c r="G81" i="13" s="1"/>
  <c r="E82" i="13"/>
  <c r="G82" i="13" s="1"/>
  <c r="H83" i="13"/>
  <c r="E77" i="13"/>
  <c r="G77" i="13" s="1"/>
  <c r="H80" i="13"/>
  <c r="K82" i="13"/>
  <c r="H82" i="13"/>
  <c r="H78" i="13"/>
  <c r="E83" i="13"/>
  <c r="G83" i="13" s="1"/>
  <c r="E79" i="13"/>
  <c r="G79" i="13" s="1"/>
  <c r="E84" i="13"/>
  <c r="G84" i="13" s="1"/>
  <c r="K84" i="13"/>
  <c r="H81" i="13"/>
  <c r="K77" i="13"/>
  <c r="H76" i="13"/>
  <c r="H84" i="13"/>
  <c r="K81" i="13"/>
  <c r="E76" i="13"/>
  <c r="H77" i="13"/>
  <c r="E78" i="13"/>
  <c r="G78" i="13" s="1"/>
  <c r="K79" i="13"/>
  <c r="E80" i="13"/>
  <c r="G80" i="13" s="1"/>
  <c r="K78" i="13"/>
  <c r="K83" i="13"/>
  <c r="I98" i="13"/>
  <c r="J98" i="13" s="1"/>
  <c r="M98" i="13" s="1"/>
  <c r="O98" i="13" s="1"/>
  <c r="I103" i="13"/>
  <c r="J103" i="13" s="1"/>
  <c r="M103" i="13" s="1"/>
  <c r="O103" i="13" s="1"/>
  <c r="I102" i="13"/>
  <c r="J102" i="13" s="1"/>
  <c r="M102" i="13" s="1"/>
  <c r="O102" i="13" s="1"/>
  <c r="I104" i="13"/>
  <c r="J104" i="13" s="1"/>
  <c r="M104" i="13" s="1"/>
  <c r="O104" i="13" s="1"/>
  <c r="I101" i="13"/>
  <c r="J101" i="13" s="1"/>
  <c r="M101" i="13" s="1"/>
  <c r="O101" i="13" s="1"/>
  <c r="I89" i="13"/>
  <c r="J89" i="13" s="1"/>
  <c r="M89" i="13" s="1"/>
  <c r="I90" i="13"/>
  <c r="I96" i="13"/>
  <c r="I99" i="13"/>
  <c r="J99" i="13" s="1"/>
  <c r="M99" i="13" s="1"/>
  <c r="O99" i="13" s="1"/>
  <c r="I78" i="13"/>
  <c r="I85" i="13"/>
  <c r="J85" i="13" s="1"/>
  <c r="I92" i="13"/>
  <c r="I80" i="13"/>
  <c r="I100" i="13"/>
  <c r="J100" i="13" s="1"/>
  <c r="M100" i="13" s="1"/>
  <c r="I82" i="13"/>
  <c r="J82" i="13" s="1"/>
  <c r="I94" i="13"/>
  <c r="J94" i="13" s="1"/>
  <c r="M94" i="13" s="1"/>
  <c r="O94" i="13" s="1"/>
  <c r="I75" i="13"/>
  <c r="I97" i="13"/>
  <c r="J97" i="13" s="1"/>
  <c r="M97" i="13" s="1"/>
  <c r="O97" i="13" s="1"/>
  <c r="I79" i="13"/>
  <c r="I88" i="13"/>
  <c r="I87" i="13"/>
  <c r="J87" i="13" s="1"/>
  <c r="I91" i="13"/>
  <c r="J91" i="13" s="1"/>
  <c r="I84" i="13"/>
  <c r="I81" i="13"/>
  <c r="I86" i="13"/>
  <c r="J86" i="13" s="1"/>
  <c r="M86" i="13" s="1"/>
  <c r="O86" i="13" s="1"/>
  <c r="I83" i="13"/>
  <c r="I76" i="13"/>
  <c r="I95" i="13"/>
  <c r="J95" i="13" s="1"/>
  <c r="M95" i="13" s="1"/>
  <c r="O95" i="13" s="1"/>
  <c r="I77" i="13"/>
  <c r="I93" i="13"/>
  <c r="J93" i="13" s="1"/>
  <c r="M93" i="13" s="1"/>
  <c r="O93" i="13" s="1"/>
  <c r="L49" i="16"/>
  <c r="L55" i="16" s="1"/>
  <c r="J55" i="16"/>
  <c r="K39" i="14"/>
  <c r="F39" i="14"/>
  <c r="D39" i="14"/>
  <c r="I39" i="14"/>
  <c r="J39" i="14"/>
  <c r="H39" i="14"/>
  <c r="E39" i="14"/>
  <c r="G39" i="14"/>
  <c r="L39" i="14"/>
  <c r="G87" i="13"/>
  <c r="G85" i="13"/>
  <c r="G91" i="13"/>
  <c r="J76" i="13" l="1"/>
  <c r="J80" i="13"/>
  <c r="M80" i="13" s="1"/>
  <c r="J79" i="13"/>
  <c r="M79" i="13" s="1"/>
  <c r="J84" i="13"/>
  <c r="M84" i="13" s="1"/>
  <c r="J78" i="13"/>
  <c r="M78" i="13" s="1"/>
  <c r="J83" i="13"/>
  <c r="M83" i="13" s="1"/>
  <c r="J81" i="13"/>
  <c r="M81" i="13" s="1"/>
  <c r="J77" i="13"/>
  <c r="M77" i="13" s="1"/>
  <c r="M74" i="16"/>
  <c r="N74" i="16" s="1"/>
  <c r="Q74" i="16" s="1"/>
  <c r="S74" i="16" s="1"/>
  <c r="M73" i="16"/>
  <c r="N73" i="16" s="1"/>
  <c r="Q73" i="16" s="1"/>
  <c r="O100" i="13"/>
  <c r="G75" i="13"/>
  <c r="J75" i="13"/>
  <c r="O89" i="13"/>
  <c r="G96" i="13"/>
  <c r="J96" i="13"/>
  <c r="G76" i="13"/>
  <c r="G92" i="13"/>
  <c r="M82" i="13"/>
  <c r="J92" i="13"/>
  <c r="M87" i="13"/>
  <c r="M91" i="13"/>
  <c r="G90" i="13"/>
  <c r="J90" i="13"/>
  <c r="J88" i="13"/>
  <c r="G88" i="13"/>
  <c r="M85" i="13"/>
  <c r="M76" i="13" l="1"/>
  <c r="O76" i="13" s="1"/>
  <c r="Q98" i="16"/>
  <c r="S73" i="16"/>
  <c r="S98" i="16" s="1"/>
  <c r="M75" i="13"/>
  <c r="O75" i="13" s="1"/>
  <c r="O79" i="13"/>
  <c r="O91" i="13"/>
  <c r="O80" i="13"/>
  <c r="O81" i="13"/>
  <c r="O77" i="13"/>
  <c r="O87" i="13"/>
  <c r="O83" i="13"/>
  <c r="O82" i="13"/>
  <c r="O78" i="13"/>
  <c r="O84" i="13"/>
  <c r="M96" i="13"/>
  <c r="M92" i="13"/>
  <c r="M90" i="13"/>
  <c r="M88" i="13"/>
  <c r="O85" i="13"/>
  <c r="Q100" i="16" l="1"/>
  <c r="O88" i="13"/>
  <c r="O90" i="13"/>
  <c r="O96" i="13"/>
  <c r="O92" i="13"/>
  <c r="M108" i="13"/>
  <c r="I286" i="53" l="1"/>
  <c r="D210" i="53"/>
  <c r="O108" i="13"/>
  <c r="M110" i="13"/>
  <c r="I210" i="53" l="1"/>
  <c r="I285" i="53"/>
  <c r="D206" i="53"/>
  <c r="I206" i="53" l="1"/>
  <c r="I211" i="53" s="1"/>
  <c r="I11" i="53" s="1"/>
  <c r="D211" i="53"/>
  <c r="F18" i="11" l="1"/>
  <c r="I283" i="53" s="1"/>
  <c r="H18" i="11"/>
  <c r="I284" i="53"/>
  <c r="I287" i="53" l="1"/>
  <c r="D15" i="53" l="1"/>
  <c r="I15" i="53" s="1"/>
  <c r="I18" i="53" s="1"/>
  <c r="I20" i="53" s="1"/>
  <c r="D32" i="53" l="1"/>
  <c r="D36" i="53" s="1"/>
  <c r="D37" i="53" s="1"/>
  <c r="D38" i="53" s="1"/>
  <c r="H16" i="19"/>
  <c r="H18" i="19" l="1"/>
  <c r="B17" i="19" s="1"/>
  <c r="C17" i="19" s="1"/>
  <c r="C18" i="19" s="1"/>
  <c r="H24" i="19"/>
  <c r="I37" i="53"/>
  <c r="I38" i="53" s="1"/>
  <c r="I36" i="53"/>
  <c r="D33" i="53"/>
  <c r="D17" i="19"/>
  <c r="B18" i="19" l="1"/>
  <c r="H26" i="19"/>
  <c r="B25" i="19" s="1"/>
  <c r="C25" i="19" s="1"/>
  <c r="D25" i="19" s="1"/>
  <c r="E17" i="19"/>
  <c r="D18" i="19"/>
  <c r="C26" i="19" l="1"/>
  <c r="B26" i="19"/>
  <c r="E25" i="19"/>
  <c r="D26" i="19"/>
  <c r="F17" i="19"/>
  <c r="F18" i="19" s="1"/>
  <c r="E18" i="19"/>
  <c r="F87" i="20" l="1"/>
  <c r="F96" i="20" s="1"/>
  <c r="F97" i="20" s="1"/>
  <c r="F113" i="20"/>
  <c r="F119" i="20" s="1"/>
  <c r="F25" i="19"/>
  <c r="F26" i="19" s="1"/>
  <c r="E26" i="19"/>
  <c r="F98" i="20" l="1"/>
  <c r="F15" i="20"/>
  <c r="F17" i="20" s="1"/>
  <c r="F95" i="20"/>
  <c r="F13" i="20"/>
  <c r="F14" i="20" s="1"/>
  <c r="F16" i="20" s="1"/>
  <c r="F12" i="20"/>
  <c r="F140" i="20"/>
  <c r="F144" i="20" s="1"/>
  <c r="F145" i="20" s="1"/>
  <c r="F131" i="20"/>
  <c r="F134" i="20" s="1"/>
  <c r="F122" i="20"/>
  <c r="F128" i="20" s="1"/>
  <c r="F42" i="20"/>
  <c r="F43" i="20" s="1"/>
  <c r="F45" i="20" s="1"/>
  <c r="F44" i="20"/>
  <c r="F46" i="20" s="1"/>
  <c r="F41" i="20"/>
  <c r="F104" i="20"/>
  <c r="F107" i="20" s="1"/>
  <c r="F117" i="20"/>
  <c r="F118" i="20" s="1"/>
  <c r="F116" i="20"/>
  <c r="F146" i="20" l="1"/>
  <c r="F75" i="20"/>
  <c r="F76" i="20" s="1"/>
  <c r="F78" i="20" s="1"/>
  <c r="F137" i="20"/>
  <c r="F74" i="20"/>
  <c r="F66" i="20"/>
  <c r="F68" i="20" s="1"/>
  <c r="F64" i="20"/>
  <c r="F65" i="20" s="1"/>
  <c r="F67" i="20" s="1"/>
  <c r="F77" i="20"/>
  <c r="F79" i="20" s="1"/>
  <c r="F63" i="20"/>
  <c r="F143" i="20"/>
  <c r="F135" i="20"/>
  <c r="F136" i="20" s="1"/>
  <c r="F55" i="20"/>
  <c r="F57" i="20" s="1"/>
  <c r="F125" i="20"/>
  <c r="F126" i="20"/>
  <c r="F127" i="20" s="1"/>
  <c r="F53" i="20"/>
  <c r="F54" i="20" s="1"/>
  <c r="F56" i="20" s="1"/>
  <c r="F52" i="20"/>
  <c r="F149" i="20"/>
  <c r="F110" i="20"/>
  <c r="F33" i="20"/>
  <c r="F35" i="20" s="1"/>
  <c r="F31" i="20"/>
  <c r="F32" i="20" s="1"/>
  <c r="F34" i="20" s="1"/>
  <c r="F108" i="20"/>
  <c r="F109" i="20" s="1"/>
  <c r="F81" i="20"/>
  <c r="F30" i="20"/>
</calcChain>
</file>

<file path=xl/sharedStrings.xml><?xml version="1.0" encoding="utf-8"?>
<sst xmlns="http://schemas.openxmlformats.org/spreadsheetml/2006/main" count="2149" uniqueCount="1036">
  <si>
    <t>page 1 of 5</t>
  </si>
  <si>
    <t xml:space="preserve">Formula Rate - Non-Levelized </t>
  </si>
  <si>
    <t>Rate Formula Template</t>
  </si>
  <si>
    <t xml:space="preserve"> </t>
  </si>
  <si>
    <t>Utilizing FERC Form 1 Data</t>
  </si>
  <si>
    <t>American Transmission Company LLC</t>
  </si>
  <si>
    <t>Thirteen Monthly Balances</t>
  </si>
  <si>
    <t>Composite Depreciation Rates</t>
  </si>
  <si>
    <t>Line</t>
  </si>
  <si>
    <t>Allocated</t>
  </si>
  <si>
    <t>No.</t>
  </si>
  <si>
    <t>Amount</t>
  </si>
  <si>
    <r>
      <t xml:space="preserve">GROSS REVENUE REQUIREMENT  (page 3, line </t>
    </r>
    <r>
      <rPr>
        <sz val="12"/>
        <rFont val="Times New Roman"/>
        <family val="1"/>
      </rPr>
      <t>31)</t>
    </r>
  </si>
  <si>
    <t xml:space="preserve">REVENUE CREDITS </t>
  </si>
  <si>
    <t>(Note T)</t>
  </si>
  <si>
    <t>Total</t>
  </si>
  <si>
    <t>Allocator</t>
  </si>
  <si>
    <t xml:space="preserve">  Account No. 454</t>
  </si>
  <si>
    <t>(page 4, line 34)</t>
  </si>
  <si>
    <t>TP</t>
  </si>
  <si>
    <t xml:space="preserve">  Account No. 456.1</t>
  </si>
  <si>
    <t>(page 4, line 37)</t>
  </si>
  <si>
    <t xml:space="preserve">  Revenues from Grandfathered Interzonal Transactions</t>
  </si>
  <si>
    <t xml:space="preserve">  Revenues from service provided by the ISO at a discount</t>
  </si>
  <si>
    <t>TOTAL REVENUE CREDITS  (sum lines 2-5)</t>
  </si>
  <si>
    <t>NET REVENUE REQUIREMENT</t>
  </si>
  <si>
    <t>(line 1 minus line 6)</t>
  </si>
  <si>
    <t xml:space="preserve">DIVISOR </t>
  </si>
  <si>
    <t xml:space="preserve">  Average of 12 coincident system peaks for requirements (RQ) service       </t>
  </si>
  <si>
    <t>(Note A)</t>
  </si>
  <si>
    <t xml:space="preserve">  Plus 12 CP of firm bundled sales over one year not in line 8</t>
  </si>
  <si>
    <t>(Note B)</t>
  </si>
  <si>
    <t xml:space="preserve">  Plus 12 CP of Network Load not in line 8</t>
  </si>
  <si>
    <t>(Note C)</t>
  </si>
  <si>
    <t xml:space="preserve">  Less 12 CP of firm P-T-P over one year (enter negative)</t>
  </si>
  <si>
    <t>(Note D)</t>
  </si>
  <si>
    <t xml:space="preserve">  Plus Contract Demand of firm P-T-P over one year</t>
  </si>
  <si>
    <t xml:space="preserve">  Less Contract Demand from Grandfathered Interzonal Transactions over one year (enter negative)  (Note S)</t>
  </si>
  <si>
    <t xml:space="preserve">  Less Contract Demands from service over one year provided by ISO at a discount (enter negative)</t>
  </si>
  <si>
    <t>Divisor (sum lines 8-14)</t>
  </si>
  <si>
    <t>Annual Cost ($/kW/Yr)</t>
  </si>
  <si>
    <t>(line 7 / line 15)</t>
  </si>
  <si>
    <t xml:space="preserve">Network &amp; P-to-P Rate ($/kW/Mo) </t>
  </si>
  <si>
    <t>(line 16 / 12)</t>
  </si>
  <si>
    <t>Peak Rate</t>
  </si>
  <si>
    <t>Off-Peak Rate</t>
  </si>
  <si>
    <t>Point-To-Point Rate ($/kW/Wk)</t>
  </si>
  <si>
    <t>(line 16 / 52; line 16 / 52)</t>
  </si>
  <si>
    <t>Point-To-Point Rate ($/kW/Day)</t>
  </si>
  <si>
    <t>(line 16 / 260; line 16 / 365)</t>
  </si>
  <si>
    <t>Capped at weekly rate</t>
  </si>
  <si>
    <t>Point-To-Point Rate ($/MWh)</t>
  </si>
  <si>
    <t>(line 16 / 4,160; line 16 / 8,760</t>
  </si>
  <si>
    <t>Capped at weekly</t>
  </si>
  <si>
    <t xml:space="preserve"> times 1,000)</t>
  </si>
  <si>
    <t>and daily rates</t>
  </si>
  <si>
    <t>FERC Annual Charge ($/MWh)</t>
  </si>
  <si>
    <t>(Note E)</t>
  </si>
  <si>
    <t>Short Term</t>
  </si>
  <si>
    <t>Long Term</t>
  </si>
  <si>
    <t>page 2 of 5</t>
  </si>
  <si>
    <t>Thirteen Month Average Rate Base Balances (Note Z)</t>
  </si>
  <si>
    <t>(1)</t>
  </si>
  <si>
    <t>(2)</t>
  </si>
  <si>
    <t>(3)</t>
  </si>
  <si>
    <t>(4)</t>
  </si>
  <si>
    <t>(5)</t>
  </si>
  <si>
    <t>Form No. 1</t>
  </si>
  <si>
    <t>Transmission</t>
  </si>
  <si>
    <t>Page, Line, Col.</t>
  </si>
  <si>
    <t>Company Total</t>
  </si>
  <si>
    <t xml:space="preserve">                  Allocator</t>
  </si>
  <si>
    <t>(Col 3 times Col 4)</t>
  </si>
  <si>
    <r>
      <t>RATE BASE:</t>
    </r>
    <r>
      <rPr>
        <b/>
        <sz val="12"/>
        <color indexed="10"/>
        <rFont val="Times New Roman"/>
        <family val="1"/>
      </rPr>
      <t xml:space="preserve"> </t>
    </r>
  </si>
  <si>
    <t>GROSS PLANT IN SERVICE</t>
  </si>
  <si>
    <t xml:space="preserve">  Production</t>
  </si>
  <si>
    <t>205.46.g</t>
  </si>
  <si>
    <t>NA</t>
  </si>
  <si>
    <t>2a</t>
  </si>
  <si>
    <t xml:space="preserve">  Transmission &amp; Intangible</t>
  </si>
  <si>
    <t>207.58.g &amp; 205.5g</t>
  </si>
  <si>
    <t>2b</t>
  </si>
  <si>
    <t xml:space="preserve">  CWIP</t>
  </si>
  <si>
    <t xml:space="preserve">  Distribution</t>
  </si>
  <si>
    <t>207.75.g</t>
  </si>
  <si>
    <t xml:space="preserve">  General</t>
  </si>
  <si>
    <t>207.99.g</t>
  </si>
  <si>
    <t>W/S</t>
  </si>
  <si>
    <t xml:space="preserve">  Common</t>
  </si>
  <si>
    <t>356.1</t>
  </si>
  <si>
    <t>CE</t>
  </si>
  <si>
    <t>TOTAL GROSS PLANT  (sum lines 1-5)</t>
  </si>
  <si>
    <t>GP=</t>
  </si>
  <si>
    <t>ACCUMULATED DEPRECIATION</t>
  </si>
  <si>
    <t>219.20-24.c</t>
  </si>
  <si>
    <t>8a</t>
  </si>
  <si>
    <t>219.25.c&amp;d &amp; 200.21.c</t>
  </si>
  <si>
    <t>8b</t>
  </si>
  <si>
    <t>219.26.c</t>
  </si>
  <si>
    <t>219.28.c&amp;d</t>
  </si>
  <si>
    <t>TOTAL ACCUM. DEPRECIATION  (sum lines 7-11)</t>
  </si>
  <si>
    <t>NET PLANT IN SERVICE</t>
  </si>
  <si>
    <t>(line 1- line 7)</t>
  </si>
  <si>
    <t>14a</t>
  </si>
  <si>
    <t>(line 2a- line 8a)</t>
  </si>
  <si>
    <t>14b</t>
  </si>
  <si>
    <t>(line 3 - line 9)</t>
  </si>
  <si>
    <t xml:space="preserve">  General </t>
  </si>
  <si>
    <t>(line 4 - line 10)</t>
  </si>
  <si>
    <t>(line 5 - line 11)</t>
  </si>
  <si>
    <t>TOTAL NET PLANT  (sum lines 13-17)</t>
  </si>
  <si>
    <t>NP=</t>
  </si>
  <si>
    <t>ADJUSTMENTS TO RATE BASE  (Note F)</t>
  </si>
  <si>
    <t xml:space="preserve">  Account No. 281 (enter negative)</t>
  </si>
  <si>
    <t>273.8.k</t>
  </si>
  <si>
    <t>zero</t>
  </si>
  <si>
    <t xml:space="preserve">  Account No. 282 (enter negative)</t>
  </si>
  <si>
    <t>275.2.k</t>
  </si>
  <si>
    <t>NP</t>
  </si>
  <si>
    <t xml:space="preserve">  Account No. 283 (enter negative)</t>
  </si>
  <si>
    <t>277.9.k</t>
  </si>
  <si>
    <t xml:space="preserve">  Account No. 190 </t>
  </si>
  <si>
    <t>234.8.c</t>
  </si>
  <si>
    <t xml:space="preserve">  Account No. 255 (enter negative)</t>
  </si>
  <si>
    <t>267.8.h</t>
  </si>
  <si>
    <t>TOTAL ADJUSTMENTS  (sum lines 19- 23)</t>
  </si>
  <si>
    <t xml:space="preserve">LAND HELD FOR FUTURE USE </t>
  </si>
  <si>
    <t>214.x.d  (Note G)</t>
  </si>
  <si>
    <t>WORKING CAPITAL  (Note H)</t>
  </si>
  <si>
    <t xml:space="preserve">  CWC </t>
  </si>
  <si>
    <t>calculated</t>
  </si>
  <si>
    <t xml:space="preserve">  Materials &amp; Supplies  (Note G)</t>
  </si>
  <si>
    <t>227.8.c &amp; .16.c</t>
  </si>
  <si>
    <t>TE</t>
  </si>
  <si>
    <t xml:space="preserve">  Prepayments (Account 165)</t>
  </si>
  <si>
    <t>111.57.c</t>
  </si>
  <si>
    <t>GP</t>
  </si>
  <si>
    <t>TOTAL WORKING CAPITAL  (sum lines 26 - 28)</t>
  </si>
  <si>
    <t>RATE BASE  (sum lines 18, 24, 25, &amp; 29)</t>
  </si>
  <si>
    <t>page 3 of 5</t>
  </si>
  <si>
    <t>O&amp;M (Note U, Note CC)</t>
  </si>
  <si>
    <t xml:space="preserve">  Transmission </t>
  </si>
  <si>
    <t>321.112.b</t>
  </si>
  <si>
    <t>1a</t>
  </si>
  <si>
    <t xml:space="preserve">     Less LSE Expenses Included in Transmission O&amp;M Accounts  (Note W)</t>
  </si>
  <si>
    <t xml:space="preserve">     Less Account 565</t>
  </si>
  <si>
    <t>321.96.b</t>
  </si>
  <si>
    <t xml:space="preserve">  A&amp;G</t>
  </si>
  <si>
    <t>323.197.b</t>
  </si>
  <si>
    <t xml:space="preserve">     Less FERC Annual Fees</t>
  </si>
  <si>
    <t xml:space="preserve">     Less EPRI &amp; Reg. Comm. Exp. &amp; Non-safety  Ad.  (Note I)</t>
  </si>
  <si>
    <t>5a</t>
  </si>
  <si>
    <t xml:space="preserve">     Plus Transmission Related Reg. Comm. Exp.  (Note I)</t>
  </si>
  <si>
    <t xml:space="preserve">  Transmission Lease Payments</t>
  </si>
  <si>
    <t>TOTAL O&amp;M   (sum lines 1, 3, 5a, 6, 7 less lines 1a, 2, 4, 5)</t>
  </si>
  <si>
    <t>DEPRECIATION AND AMORTIZATION EXPENSE</t>
  </si>
  <si>
    <t>336.7.b &amp; 336.1.d</t>
  </si>
  <si>
    <t>336.10.b&amp;d</t>
  </si>
  <si>
    <t>336.11.b&amp;d</t>
  </si>
  <si>
    <t>TOTAL DEPRECIATION  (sum lines 9 - 11)</t>
  </si>
  <si>
    <t>TAXES OTHER THAN INCOME TAXES  (Note J)</t>
  </si>
  <si>
    <t xml:space="preserve">  LABOR RELATED</t>
  </si>
  <si>
    <t xml:space="preserve">          Payroll</t>
  </si>
  <si>
    <t>263.i</t>
  </si>
  <si>
    <t xml:space="preserve">          Highway and vehicle</t>
  </si>
  <si>
    <t xml:space="preserve">  PLANT RELATED</t>
  </si>
  <si>
    <t xml:space="preserve">         Property</t>
  </si>
  <si>
    <t xml:space="preserve">         Gross Receipts</t>
  </si>
  <si>
    <t xml:space="preserve">         Other</t>
  </si>
  <si>
    <t xml:space="preserve">         Payments in lieu of taxes</t>
  </si>
  <si>
    <t>TOTAL OTHER TAXES  (sum lines 13 - 19)</t>
  </si>
  <si>
    <t xml:space="preserve">INCOME TAXES          </t>
  </si>
  <si>
    <t>(Note K)</t>
  </si>
  <si>
    <t xml:space="preserve">     T=1 - {[(1 - SIT) * (1 - FIT)] / (1 - SIT * FIT * p)} * (1-TEP)=</t>
  </si>
  <si>
    <t xml:space="preserve">     CIT=(T/1-T) * (1-(WCLTD/R)) =</t>
  </si>
  <si>
    <t xml:space="preserve">       where WCLTD = (page 4, line 27) and R = (page 4, line 30)</t>
  </si>
  <si>
    <t xml:space="preserve">       and FIT, SIT &amp; p are as given in footnote K.</t>
  </si>
  <si>
    <t xml:space="preserve">      1 / (1 - T)  =  (from line 21)</t>
  </si>
  <si>
    <t>Amortized Investment Tax Credit (266.8f) (enter negative)</t>
  </si>
  <si>
    <t>24a</t>
  </si>
  <si>
    <t>Excess Deferred Income Taxes (enter negative)</t>
  </si>
  <si>
    <t>24b</t>
  </si>
  <si>
    <t>Tax Affect of Permanent Differences</t>
  </si>
  <si>
    <t>Income Tax Calculation = line 22 * line 28</t>
  </si>
  <si>
    <t>ITC adjustment (line 23 * line 24)</t>
  </si>
  <si>
    <t>26a</t>
  </si>
  <si>
    <t>Excess Deferred Income Tax Adjustment (line 23 * line 24a)</t>
  </si>
  <si>
    <t>26b</t>
  </si>
  <si>
    <t>Permanent Differences Tax Adjustment</t>
  </si>
  <si>
    <t>Total Income Taxes (line 25 plus line 26 plus lines 26a and 26b)</t>
  </si>
  <si>
    <t xml:space="preserve">RETURN </t>
  </si>
  <si>
    <t xml:space="preserve">  [Rate Base (page 2, line 30) * Rate of Return (page 4, line 30)]</t>
  </si>
  <si>
    <t>REV. REQUIREMENT  (sum lines 8, 12, 20, 27, 28)</t>
  </si>
  <si>
    <t>LESS ATTACHMENT GG ADJUSTMENT [Attachment GG, page 2, line 3]   (Note X)</t>
  </si>
  <si>
    <t xml:space="preserve">[Revenue Requirement for facilities included on page 2, line 2, and also  </t>
  </si>
  <si>
    <t>included in Attachment GG]</t>
  </si>
  <si>
    <t>30a</t>
  </si>
  <si>
    <t>LESS ATTACHMENT MM ADJUSTMENT [Attachment MM, page 2, line 3]   (Note AA)</t>
  </si>
  <si>
    <t>included in Attachment MM]</t>
  </si>
  <si>
    <t>REV. REQUIREMENT TO BE COLLECTED UNDER ATTACHMENT O</t>
  </si>
  <si>
    <t>(line 29 - line 30 - line30a)</t>
  </si>
  <si>
    <t>page 4 of 5</t>
  </si>
  <si>
    <t xml:space="preserve">                SUPPORTING CALCULATIONS AND NOTES</t>
  </si>
  <si>
    <t>TRANSMISSION PLANT INCLUDED IN ISO RATES</t>
  </si>
  <si>
    <t>Total Transmission plant  (page 2, line 2a, column 3)</t>
  </si>
  <si>
    <t>Less Transmission plant excluded from ISO rates  (Note M)</t>
  </si>
  <si>
    <t>Less Transmission plant included in OATT Ancillary Services  (Note N )</t>
  </si>
  <si>
    <t>Transmission plant included in ISO rates  (line 1 less lines 2 &amp; 3)</t>
  </si>
  <si>
    <t>Percentage of Transmission plant included in ISO Rates  (line 4 divided by line 1)</t>
  </si>
  <si>
    <t>TP=</t>
  </si>
  <si>
    <t xml:space="preserve">TRANSMISSION EXPENSES </t>
  </si>
  <si>
    <r>
      <t>Total Transmission expenses  (page 3, line 1, column 3)</t>
    </r>
    <r>
      <rPr>
        <sz val="12"/>
        <color indexed="10"/>
        <rFont val="Times New Roman"/>
        <family val="1"/>
      </rPr>
      <t xml:space="preserve"> </t>
    </r>
  </si>
  <si>
    <t>Less revenue received attributable to account 457.1  (Note L)</t>
  </si>
  <si>
    <r>
      <t>Included Transmission expenses  (line 6 less line</t>
    </r>
    <r>
      <rPr>
        <sz val="12"/>
        <color indexed="10"/>
        <rFont val="Times New Roman"/>
        <family val="1"/>
      </rPr>
      <t xml:space="preserve"> </t>
    </r>
    <r>
      <rPr>
        <sz val="12"/>
        <rFont val="Times New Roman"/>
        <family val="1"/>
      </rPr>
      <t>7)</t>
    </r>
  </si>
  <si>
    <t>Percentage of Transmission expenses after adjustment  (line 8 divided by line 6)</t>
  </si>
  <si>
    <t>Percentage of Transmission plant included in ISO Rates  (line 5)</t>
  </si>
  <si>
    <t>Percentage of Transmission expenses included in ISO Rates  (line 9 times line 10)</t>
  </si>
  <si>
    <t>TE=</t>
  </si>
  <si>
    <t>WAGES &amp; SALARY ALLOCATOR  (W&amp;S)</t>
  </si>
  <si>
    <t>Form 1 Reference</t>
  </si>
  <si>
    <t>$</t>
  </si>
  <si>
    <t>Allocation</t>
  </si>
  <si>
    <t>354.20.b</t>
  </si>
  <si>
    <t xml:space="preserve">  Transmission</t>
  </si>
  <si>
    <t>354.21.b</t>
  </si>
  <si>
    <t>354.23.b</t>
  </si>
  <si>
    <t>W&amp;S Allocator</t>
  </si>
  <si>
    <t xml:space="preserve">  Other</t>
  </si>
  <si>
    <t>354.24,25,26.b</t>
  </si>
  <si>
    <t>($ / Allocation)</t>
  </si>
  <si>
    <t xml:space="preserve">  Total  (sum lines 12-15)</t>
  </si>
  <si>
    <t>=</t>
  </si>
  <si>
    <t>WS</t>
  </si>
  <si>
    <t>COMMON PLANT ALLOCATOR  (CE)  (Note O)</t>
  </si>
  <si>
    <t>% Electric</t>
  </si>
  <si>
    <t xml:space="preserve">  Electric</t>
  </si>
  <si>
    <t>200.3.c</t>
  </si>
  <si>
    <t>(line 17 / line 20)</t>
  </si>
  <si>
    <t>(line 16)</t>
  </si>
  <si>
    <t xml:space="preserve">  Gas</t>
  </si>
  <si>
    <t>200.3.d</t>
  </si>
  <si>
    <t>*</t>
  </si>
  <si>
    <t xml:space="preserve">  Water</t>
  </si>
  <si>
    <t>200.3.e</t>
  </si>
  <si>
    <t xml:space="preserve">  Total  (sum lines 17 - 19)</t>
  </si>
  <si>
    <t>RETURN (R)</t>
  </si>
  <si>
    <t>Long Term Interest (117, sum of 62.c through 66.c)</t>
  </si>
  <si>
    <t>n/a</t>
  </si>
  <si>
    <t>Preferred Dividends (118.29c)  (positive number)</t>
  </si>
  <si>
    <t xml:space="preserve">                                          Development of Common Stock:</t>
  </si>
  <si>
    <t>Proprietary Capital (112.16.c)</t>
  </si>
  <si>
    <t xml:space="preserve">Less Preferred Stock (line 28) </t>
  </si>
  <si>
    <t>Less Account 216.1 (112.12.c)  (enter negative)</t>
  </si>
  <si>
    <t>Common Stock</t>
  </si>
  <si>
    <t>(sum lines 23-25)</t>
  </si>
  <si>
    <t>Cost</t>
  </si>
  <si>
    <t>%</t>
  </si>
  <si>
    <t>(Note P)</t>
  </si>
  <si>
    <t>Weighted</t>
  </si>
  <si>
    <t xml:space="preserve">  Long Term Debt  (112, sum of 18.c through 21.c)</t>
  </si>
  <si>
    <t>=WCLTD</t>
  </si>
  <si>
    <t xml:space="preserve">  Preferred Stock  (112.3.c)</t>
  </si>
  <si>
    <t xml:space="preserve">  Common Stock  (line 26)</t>
  </si>
  <si>
    <t>Total  (sum lines 27-29)</t>
  </si>
  <si>
    <t>=R</t>
  </si>
  <si>
    <t>REVENUE CREDITS</t>
  </si>
  <si>
    <t>Load</t>
  </si>
  <si>
    <t>ACCOUNT 447 (SALES FOR RESALE)</t>
  </si>
  <si>
    <t>(310-311)</t>
  </si>
  <si>
    <t>(Note Q)</t>
  </si>
  <si>
    <t xml:space="preserve">  a. Bundled Non-RQ Sales for Resale (311.x.h)</t>
  </si>
  <si>
    <t xml:space="preserve">  b. Bundled Sales for Resale  included in Divisor on page 1</t>
  </si>
  <si>
    <t xml:space="preserve">  Total of (a)-(b)</t>
  </si>
  <si>
    <t>ACCOUNT 454 (RENT FROM ELECTRIC PROPERTY)  (Note R)</t>
  </si>
  <si>
    <t>ACCOUNT 456.1 (OTHER ELECTRIC REVENUES)  (Note V)</t>
  </si>
  <si>
    <t>(330.x.n)</t>
  </si>
  <si>
    <t xml:space="preserve">  a. Transmission charges for all transmission transactions </t>
  </si>
  <si>
    <t xml:space="preserve">  b. Transmission charges for all transmission transactions included in Divisor on Page 1</t>
  </si>
  <si>
    <t>36a</t>
  </si>
  <si>
    <t xml:space="preserve">  c. Transmission charges from Schedules associated with Attachment GG  (Note Y)</t>
  </si>
  <si>
    <t>36b</t>
  </si>
  <si>
    <t xml:space="preserve">  d. Transmission charges from Schedules associated with Attachment MM  (Note BB)</t>
  </si>
  <si>
    <t xml:space="preserve">  Total of (a)-(b)-(c)-(d)</t>
  </si>
  <si>
    <t>page 5 of 5</t>
  </si>
  <si>
    <t>General Note:  References to pages in this formulary rate are indicated as:  (page#, line#, col.#)</t>
  </si>
  <si>
    <t>References to data from FERC Form 1 are indicated as:  #.y.x  (page, line, column)</t>
  </si>
  <si>
    <t>Note</t>
  </si>
  <si>
    <t>Letter</t>
  </si>
  <si>
    <t>A</t>
  </si>
  <si>
    <t>Peak as would be reported on page 401, column d of Form 1 at the time of the applicable pricing zone coincident monthly peaks.</t>
  </si>
  <si>
    <t>B</t>
  </si>
  <si>
    <t>Labeled LF, LU, IF, IU on pages 310-311 of Form 1at the time of the applicable pricing zone coincident monthly peaks.</t>
  </si>
  <si>
    <t>C</t>
  </si>
  <si>
    <t>Labeled LF on page 328 of Form 1 at the time of the applicable pricing zone coincident monthly peaks.</t>
  </si>
  <si>
    <t>D</t>
  </si>
  <si>
    <t>E</t>
  </si>
  <si>
    <t xml:space="preserve">The FERC's annual charges for the year assessed the Transmission Owner for service under this tariff. </t>
  </si>
  <si>
    <t>F</t>
  </si>
  <si>
    <t>The balances in Accounts 190, 281, 282 and 283, as adjusted by any amounts in contra accounts identified as regulatory assets or liabilities related to FASB 106 or 109.  Balance of Account 255 is reduced by prior flow throughs and excluded if the utility chose to utilize amortization of tax credits against taxable income as discussed in Note K.  Account 281 is not allocated.  The maximum deferred tax offset to rate base is calculated in accordance with the proration formula prescribed by IRS regulation section 1.167(l)-1(h)(6).</t>
  </si>
  <si>
    <t>G</t>
  </si>
  <si>
    <t>Identified in Form 1 as being only transmission related.</t>
  </si>
  <si>
    <t>H</t>
  </si>
  <si>
    <t>Cash Working Capital assigned to transmission is one-eighth of O&amp;M allocated to transmission at page 3, line 8, column 5.  Prepayments are the electric related prepayments booked to Account No. 165 and reported on pages 111, line 57 in the Form 1.</t>
  </si>
  <si>
    <t>I</t>
  </si>
  <si>
    <t xml:space="preserve">Line 5 - EPRI Annual Membership Dues listed in Form 1 at 353.f, all Regulatory Commission Expenses itemized at 351.h, and non-safety related advertising included in Account 930.1.  Line 5a - Regulatory Commission Expenses directly related to transmission service, ISO filings, or transmission siting itemized at 351.h. </t>
  </si>
  <si>
    <t>J</t>
  </si>
  <si>
    <t>Includes only FICA, unemployment, highway, property, gross receipts, and other assessments charged in the current year.  Taxes related to income are excluded. Gross receipts taxes are not included in transmission revenue requirement in the Rate Formula Template, since they are recovered elsewhere.</t>
  </si>
  <si>
    <t>K</t>
  </si>
  <si>
    <t xml:space="preserve">         Inputs Required:</t>
  </si>
  <si>
    <t>FIT =</t>
  </si>
  <si>
    <t>SIT=</t>
  </si>
  <si>
    <t>(State Income Tax Rate or Composite SIT)</t>
  </si>
  <si>
    <t>p =</t>
  </si>
  <si>
    <t>(percent of federal income tax deductible for state purposes)</t>
  </si>
  <si>
    <t>TEP =</t>
  </si>
  <si>
    <t>(percent of the tax exempt ownership)</t>
  </si>
  <si>
    <t>L</t>
  </si>
  <si>
    <t>Removes revenues that are distributed pursuant to Schedule 1 of the Midwest ISO Tariff.  The projected dollar amount of transmission expenses to be included in the OATT ancillary services rates, including Account Nos. 561.1, 561.2, 561.3, and 561.BA will be used as the estimated revenues for the calculation of prospective rates used for billing. The revenues recieved pursuant to Schedule 1 as reported in Account 457.1 will be used in the annual calculation of the Attachment O True-Up.</t>
  </si>
  <si>
    <t>M</t>
  </si>
  <si>
    <t>Removes transmission plant determined by Commission order to be state-jurisdictional according to the seven-factor test (until Form 1 balances are adjusted to reflect application of seven-factor test).</t>
  </si>
  <si>
    <t>N</t>
  </si>
  <si>
    <t xml:space="preserve">Removes dollar amount of transmission plant to be included in the development of OATT ancillary services rates and generation step-up facilities, which are deemed included in OATT ancillary services.  For these purposes, generation step-up facilities are those facilities at a generator substation on which there is no through-flow when the generator is shut down.  </t>
  </si>
  <si>
    <t>O</t>
  </si>
  <si>
    <t>Enter dollar amounts</t>
  </si>
  <si>
    <t>P</t>
  </si>
  <si>
    <t>Debt cost rate = long-term interest (line 21) / long term debt (line 27).  Preferred cost rate = preferred dividends (line 22) / preferred outstanding (line 28).  The FERC-allowed ROE, including any approved adders will be applied.  The ROE will be supported in the original filing and no change in ROE may be made absent a filing with FERC.</t>
  </si>
  <si>
    <t>Q</t>
  </si>
  <si>
    <t>Line 33 must equal zero since all short-term power sales must be unbundled and the transmission component reflected in Account No. 456 and all other uses are to be included in the divisor.</t>
  </si>
  <si>
    <t>R</t>
  </si>
  <si>
    <t>Includes income related only to transmission facilities, such as pole attachments, rentals and special use.</t>
  </si>
  <si>
    <t>S</t>
  </si>
  <si>
    <t>Grandfathered agreements whose rates have been changed to eliminate or mitigate pancaking - the revenues are included in line 4, page 1 and the loads are included in line 13, page 1.  Grandfathered agreements whose rates have not been changed to eliminate or mitigate pancaking - the revenues are not included in line 4, page 1 nor are the loads included in line 13, page 1.</t>
  </si>
  <si>
    <t>T</t>
  </si>
  <si>
    <r>
      <t>The revenues credited on page 1 lines 2-5 shall include only the amounts received directly (in the case of grandfathered agreements) or from the ISO (for service under this tariff) reflecting the Transmission Owner's integrated transmission facilities.  They do not include revenues associated with FERC annual charges, gross receipts taxes,</t>
    </r>
    <r>
      <rPr>
        <strike/>
        <sz val="12"/>
        <rFont val="Times New Roman"/>
        <family val="1"/>
      </rPr>
      <t xml:space="preserve"> </t>
    </r>
    <r>
      <rPr>
        <sz val="12"/>
        <rFont val="Times New Roman"/>
        <family val="1"/>
      </rPr>
      <t>facilities not included in this template (e.g., direct assignment facilities and GSUs) which are not recovered under this Rate Formula Template.</t>
    </r>
  </si>
  <si>
    <t>U</t>
  </si>
  <si>
    <t>Preliminary Survey and Investigation charges related to transmission construction projects started on or after January 1, 2004 are included in account 566 and not in account 183.</t>
  </si>
  <si>
    <t>V</t>
  </si>
  <si>
    <t>Account 456.1 entry shall be the annual total of the quarterly values reported at Form 1, page 300.22.b.</t>
  </si>
  <si>
    <t>W</t>
  </si>
  <si>
    <t>Account Nos. 561.4 and 561.8 consist of RTO expenses billed to load-serving entities and are not included in Transmission Owner revenue requirements.</t>
  </si>
  <si>
    <t>X</t>
  </si>
  <si>
    <t>Pursuant to Attachment GG of the Midwest ISO Tariff, removes dollar amount of revenue requirements calculated pursuant to Attachment GG and recovered under the associated schedules of the Midwest ISO Tariff.</t>
  </si>
  <si>
    <t>Y</t>
  </si>
  <si>
    <t xml:space="preserve">Removes from revenue credits revenues that are distributed pursuant to the associated schedules of the Midwest ISO Tariff, since the Transmission Owner's Attachment O revenue requirements have already been reduced by the Attachment GG revenue requirements.  </t>
  </si>
  <si>
    <t>Z</t>
  </si>
  <si>
    <t>AA</t>
  </si>
  <si>
    <t>Pursuant to Attachment MM of the Midwest ISO Tariff, removes dollar amount of revenue requirements calculated pursuant to Attachment MM and recovered under the associated schedules of the Midwest ISO Tariff.</t>
  </si>
  <si>
    <t>BB</t>
  </si>
  <si>
    <t xml:space="preserve">Removes from revenue credits revenues that are distributed pursuant to the associated schedules of the Midwest ISO Tariff, since the Transmission Owner's Attachment O revenue requirements have already been reduced by the Attachment MM revenue requirements.  </t>
  </si>
  <si>
    <t>CC</t>
  </si>
  <si>
    <t>Schedule 10-FERC charges should not be included in O&amp;M recovered under this Attachment O.</t>
  </si>
  <si>
    <t>Gross Plant Balances</t>
  </si>
  <si>
    <t>Transmission, General &amp; Intangible (includes Held for Future Use)</t>
  </si>
  <si>
    <t>Transmission &amp; Intangible</t>
  </si>
  <si>
    <t>CWIP</t>
  </si>
  <si>
    <t>General</t>
  </si>
  <si>
    <t>Held for Future Use</t>
  </si>
  <si>
    <t>Deferred Tax Balance for Averaging</t>
  </si>
  <si>
    <t xml:space="preserve">  Materials &amp; Supplies</t>
  </si>
  <si>
    <t xml:space="preserve">  Prepayments</t>
  </si>
  <si>
    <t>Year</t>
  </si>
  <si>
    <t>Month</t>
  </si>
  <si>
    <t>May</t>
  </si>
  <si>
    <t>American Transmission Company</t>
  </si>
  <si>
    <t>Projected Monthly Plant and Accumulated Depreciation Balances</t>
  </si>
  <si>
    <t>Line Number</t>
  </si>
  <si>
    <t>February</t>
  </si>
  <si>
    <t xml:space="preserve">March </t>
  </si>
  <si>
    <t>April</t>
  </si>
  <si>
    <t>June</t>
  </si>
  <si>
    <t>July</t>
  </si>
  <si>
    <t xml:space="preserve">August </t>
  </si>
  <si>
    <t>September</t>
  </si>
  <si>
    <t>October</t>
  </si>
  <si>
    <t>November</t>
  </si>
  <si>
    <t>Avg</t>
  </si>
  <si>
    <t>Accumulated Depreciation</t>
  </si>
  <si>
    <t>Net Plant Balances</t>
  </si>
  <si>
    <t>Projected Monthly Deferred Tax Balances</t>
  </si>
  <si>
    <t>Balance at End of Month</t>
  </si>
  <si>
    <t>Change</t>
  </si>
  <si>
    <t>Days to Prorate</t>
  </si>
  <si>
    <t>Days in Calendar Year</t>
  </si>
  <si>
    <t>Prorated Change</t>
  </si>
  <si>
    <t>True-up</t>
  </si>
  <si>
    <t>A&amp;G</t>
  </si>
  <si>
    <t>EPRI &amp; Reg. Comm. Exp. &amp; Non-safety  Ad.</t>
  </si>
  <si>
    <t>Transmission Related Reg. Comm. Exp.</t>
  </si>
  <si>
    <t>Payroll</t>
  </si>
  <si>
    <t>Property</t>
  </si>
  <si>
    <t>Other</t>
  </si>
  <si>
    <t>Excess Deferred Income Taxes</t>
  </si>
  <si>
    <t>Amortization Schedule</t>
  </si>
  <si>
    <t>Amortized Investment Tax Credit (266.8f)</t>
  </si>
  <si>
    <t xml:space="preserve">Schedule 9 </t>
  </si>
  <si>
    <t>Schedule 26</t>
  </si>
  <si>
    <t>Schedule 26-A</t>
  </si>
  <si>
    <t>Schedule 7&amp;8</t>
  </si>
  <si>
    <t>Account 454</t>
  </si>
  <si>
    <t>Total Revenue Requirement</t>
  </si>
  <si>
    <t>Account 457.1</t>
  </si>
  <si>
    <t>Proof of SIT Calculation</t>
  </si>
  <si>
    <t>Return ( Lines 28, page 3)</t>
  </si>
  <si>
    <t>Total Income taxes (line 27, page 3)</t>
  </si>
  <si>
    <t xml:space="preserve">   Less:  Michigan Business Tax paid by LLC</t>
  </si>
  <si>
    <t>Return + Total Members income taxes</t>
  </si>
  <si>
    <t>Debt component of return (page 4, line 27)</t>
  </si>
  <si>
    <t>Total return (page 4, line 30)</t>
  </si>
  <si>
    <t xml:space="preserve">  Less:  Interest Expense Calculated by Attachment O</t>
  </si>
  <si>
    <t>Equity Return</t>
  </si>
  <si>
    <t>Taxable Portion of Equity Return (Taxable Members)</t>
  </si>
  <si>
    <t xml:space="preserve">  Blended State Tax Rate</t>
  </si>
  <si>
    <t>State Taxes</t>
  </si>
  <si>
    <t>SIT</t>
  </si>
  <si>
    <t>Taxable Ownership Percentage</t>
  </si>
  <si>
    <t>Federal Rate</t>
  </si>
  <si>
    <t>State Rate:</t>
  </si>
  <si>
    <t>Apportioned Rate</t>
  </si>
  <si>
    <t>Statutory</t>
  </si>
  <si>
    <t>ATC Apportionment Factor</t>
  </si>
  <si>
    <t>Wisconsin</t>
  </si>
  <si>
    <t>Minnesota</t>
  </si>
  <si>
    <t>Illinois</t>
  </si>
  <si>
    <t>District of Columbia</t>
  </si>
  <si>
    <t>Michigan</t>
  </si>
  <si>
    <t>North Carolina</t>
  </si>
  <si>
    <t>Notes:</t>
  </si>
  <si>
    <t>Apportionment formulas for states are not uniform, resulting in an aggregate apportionment that may not equal 100%</t>
  </si>
  <si>
    <t>Proof of Tax Exempt Ownership % for Attachment O</t>
  </si>
  <si>
    <t>Return on rate base (page 3, line 28)</t>
  </si>
  <si>
    <t>Equity component of return (page 4, line 29)</t>
  </si>
  <si>
    <t>Equity / total return</t>
  </si>
  <si>
    <t>Equity component of return on rate base</t>
  </si>
  <si>
    <t>Total income taxes (page3, line 27)</t>
  </si>
  <si>
    <t>Earnings before tax from Attachment O</t>
  </si>
  <si>
    <t xml:space="preserve"> Earnings allocated to tax exempt owners</t>
  </si>
  <si>
    <t>Tax exempt ownership percentage</t>
  </si>
  <si>
    <t>Attach GG (pg. 1, line 3a, col. 3)</t>
  </si>
  <si>
    <t>Attach MM (pg. 1, line 3a1, col. 3)</t>
  </si>
  <si>
    <t>Preliminary Survey and Investigation</t>
  </si>
  <si>
    <t>pg. 4 line 36</t>
  </si>
  <si>
    <t>pg. 4 line 36a</t>
  </si>
  <si>
    <t>pg. 4 line 36b</t>
  </si>
  <si>
    <t>pg. 4 line 37</t>
  </si>
  <si>
    <t>pg. 4 line 35</t>
  </si>
  <si>
    <t>pg. 4 line 34</t>
  </si>
  <si>
    <t>pg. 4 line 7</t>
  </si>
  <si>
    <t>pg. 3 line 30</t>
  </si>
  <si>
    <t>pg. 3 line 30a</t>
  </si>
  <si>
    <t>pg. 3 line 29</t>
  </si>
  <si>
    <t>pg. 1 line 7</t>
  </si>
  <si>
    <t>pg. 1 line 3</t>
  </si>
  <si>
    <t>pg. 1 line 2</t>
  </si>
  <si>
    <t>D - Effective rates for LT debt are calculated by General Accounting for each issuance using the debt issue costs &amp; coupon rate Effective rates for ST debt are calculated by Asset Accounting using the average rate of ST debt outstanding during the month (shown on AFUDC Rate Calc)</t>
  </si>
  <si>
    <t>C - Calculation of the percentage of the weighted debt total</t>
  </si>
  <si>
    <t>B - the number of months the debt it outstanding during the year</t>
  </si>
  <si>
    <t>A - Amount of note shown for Long-term Debt, Weighted average monthly Short-term Debt is calculated using the individual debt issuances and the days outstanding during the month (shown on AFUDC Rate Calc)</t>
  </si>
  <si>
    <t xml:space="preserve"> Weighted Avg. ST Debt - Dec</t>
  </si>
  <si>
    <t xml:space="preserve"> Weighted Avg. ST Debt - Nov</t>
  </si>
  <si>
    <t xml:space="preserve"> Weighted Avg. ST Debt - Oct</t>
  </si>
  <si>
    <t xml:space="preserve"> Weighted Avg. ST Debt - Sept</t>
  </si>
  <si>
    <t xml:space="preserve"> Weighted Avg. ST Debt - Aug</t>
  </si>
  <si>
    <t xml:space="preserve"> Weighted Avg. ST Debt - July</t>
  </si>
  <si>
    <t xml:space="preserve"> Weighted Avg. ST Debt - June</t>
  </si>
  <si>
    <t xml:space="preserve"> Weighted Avg. ST Debt - May</t>
  </si>
  <si>
    <t xml:space="preserve"> Weighted Avg. ST Debt - Apr</t>
  </si>
  <si>
    <t xml:space="preserve"> Weighted Avg. ST Debt -Mar</t>
  </si>
  <si>
    <t xml:space="preserve"> Weighted Avg. ST Debt -Feb</t>
  </si>
  <si>
    <t xml:space="preserve"> Weighted Avg. ST Debt -Jan</t>
  </si>
  <si>
    <t xml:space="preserve"> 2016 - $150M/30yr</t>
  </si>
  <si>
    <t xml:space="preserve"> 2015 - $28M/30yr </t>
  </si>
  <si>
    <t xml:space="preserve"> 2015 - $21M/15yr </t>
  </si>
  <si>
    <t xml:space="preserve"> 2015 - $50M/10yr </t>
  </si>
  <si>
    <t xml:space="preserve"> 2014 - $47M/30yr </t>
  </si>
  <si>
    <t xml:space="preserve"> 2014 - $29M/15yr </t>
  </si>
  <si>
    <t xml:space="preserve"> 2014 - $75M/10yr </t>
  </si>
  <si>
    <t xml:space="preserve"> 2014 - $50M/30yr </t>
  </si>
  <si>
    <t xml:space="preserve"> 2014 - $50M/15yr </t>
  </si>
  <si>
    <t xml:space="preserve"> 2012 - $150M/30yr </t>
  </si>
  <si>
    <t xml:space="preserve"> 2011 - $150M/30yr </t>
  </si>
  <si>
    <t xml:space="preserve"> 2011 - $75M/15yr </t>
  </si>
  <si>
    <t xml:space="preserve"> 2010 - $75M/15yr </t>
  </si>
  <si>
    <t xml:space="preserve"> 2010 - $50M/30yr </t>
  </si>
  <si>
    <t xml:space="preserve"> 2010 - $100M/12yr </t>
  </si>
  <si>
    <t xml:space="preserve"> 2007 - $250M/30yr </t>
  </si>
  <si>
    <t xml:space="preserve"> 2005 - $100M/30yr </t>
  </si>
  <si>
    <t xml:space="preserve"> 2003 - $100M/30yr/40yr</t>
  </si>
  <si>
    <t xml:space="preserve"> 2002 - $17.5M/30yr</t>
  </si>
  <si>
    <t xml:space="preserve"> 2002 - $32.5M/30yr </t>
  </si>
  <si>
    <t>C*D</t>
  </si>
  <si>
    <t>A*B</t>
  </si>
  <si>
    <t>Weighted Rate</t>
  </si>
  <si>
    <t>Eff. Rate**</t>
  </si>
  <si>
    <t>Percentage of Total</t>
  </si>
  <si>
    <t>Weighted Debt Amount</t>
  </si>
  <si>
    <t>Months O/S during year</t>
  </si>
  <si>
    <t>Debt Amount</t>
  </si>
  <si>
    <t>Description</t>
  </si>
  <si>
    <t>Weighted Avg. Debt Rate</t>
  </si>
  <si>
    <t>ATC LLC</t>
  </si>
  <si>
    <t>Total Income Taxes</t>
  </si>
  <si>
    <t>Transmission O&amp;M</t>
  </si>
  <si>
    <t>Preliminary Survey and Investigation expense (pre-certification costs) equals the actual value booked, or projected to be booked for forward-looking rate periods, for each of the MISO approved RECB Projects and included in Attachment O – ATCLLC, Page 3, Line 1, Column 5.</t>
  </si>
  <si>
    <t>Preliminary Survey and Investigation expense (pre-certification costs) equals the actual value booked, or projected to be booked for forward-looking rate periods, for all of the MISO approved projects and included in Attachment O – ATCLLC, Page 3, Line 1, Column 5.</t>
  </si>
  <si>
    <t>The Total General and Common Depreciation Expense excludes any depreciation expense directly associated with a project and thereby included in page 2 column 9.</t>
  </si>
  <si>
    <t>The Network Upgrade Charge is the value to be used in schedules associated with Attachment GG - ATCLLC.</t>
  </si>
  <si>
    <t>True-Up Adjustment is included pursuant to a FERC approved methodology, if applicable.</t>
  </si>
  <si>
    <t>Project Depreciation Expense is the actual value booked for the project and included in the Depreciation Expense in Attachment O - ATCLLC page 3 line 12.</t>
  </si>
  <si>
    <t>Project Net Plant is the Project Gross Plant Identified in Column 3 less the associated Accumulated Depreciation.</t>
  </si>
  <si>
    <t>Project Gross Plant is the total capital investment for the project calculated in the same method as the gross plant value in line 1 and includes CWIP in rate base less any prefunded AFUDC, if applicable.  This value includes subsequent capital investments required to maintain the facilities to their original capabilities.</t>
  </si>
  <si>
    <r>
      <t xml:space="preserve">Net Transmission Plant is that identified on page 2 line 14 of Attachment O - ATCLLC and includes any sub lines 14a or 14b etc. and is inclusive of any CWIP included in rate base when authorized by FERC order </t>
    </r>
    <r>
      <rPr>
        <sz val="12"/>
        <rFont val="Arial"/>
        <family val="2"/>
      </rPr>
      <t>less any prefunded AFUDC, if applicable.</t>
    </r>
  </si>
  <si>
    <r>
      <t>Gross Transmission Plant is that identified on page 2 line 2 of Attachment O - ATCLLC and includes any sub lines 2a or 2b etc. and is inclusive of any CWIP included in rate base when authorized by FERC order</t>
    </r>
    <r>
      <rPr>
        <sz val="12"/>
        <rFont val="Arial"/>
        <family val="2"/>
      </rPr>
      <t xml:space="preserve"> less any prefunded AFUDC, if applicable.</t>
    </r>
  </si>
  <si>
    <t>Rev. Req. Adj For Attachment O - ATCLLC</t>
  </si>
  <si>
    <t>Annual Totals</t>
  </si>
  <si>
    <t>2</t>
  </si>
  <si>
    <t>1p</t>
  </si>
  <si>
    <t>1o</t>
  </si>
  <si>
    <t>1n</t>
  </si>
  <si>
    <t>1m</t>
  </si>
  <si>
    <t>1l</t>
  </si>
  <si>
    <t>1k</t>
  </si>
  <si>
    <t>1j</t>
  </si>
  <si>
    <t>1i</t>
  </si>
  <si>
    <t>2452 / 3160</t>
  </si>
  <si>
    <t>1h</t>
  </si>
  <si>
    <t>1g</t>
  </si>
  <si>
    <t>1d</t>
  </si>
  <si>
    <t>1c</t>
  </si>
  <si>
    <t>1b</t>
  </si>
  <si>
    <t>(Sum Col. 10 &amp; 11)
(Note G)</t>
  </si>
  <si>
    <t>(Note F)</t>
  </si>
  <si>
    <t>(Sum Col. 5, 8, 9  &amp; 9a)</t>
  </si>
  <si>
    <t>(Note J)</t>
  </si>
  <si>
    <t>(Col. 6 * Col. 7)</t>
  </si>
  <si>
    <t>(Page 1 line 14)</t>
  </si>
  <si>
    <t>(Col. 3 * Col. 4)</t>
  </si>
  <si>
    <t>(Page 1 line 9)</t>
  </si>
  <si>
    <t>Network Upgrade Charge</t>
  </si>
  <si>
    <t>True-Up Adjustment</t>
  </si>
  <si>
    <t>Annual Revenue Requirement</t>
  </si>
  <si>
    <t>Preliminary Survey and Investigation Expense</t>
  </si>
  <si>
    <t>Project Depreciation Expense</t>
  </si>
  <si>
    <t>Annual Return Charge</t>
  </si>
  <si>
    <t>Annual Allocation Factor for Return</t>
  </si>
  <si>
    <t xml:space="preserve">Project Net Plant </t>
  </si>
  <si>
    <t>Annual Expense Charge</t>
  </si>
  <si>
    <t>Annual Allocation Factor for Expense</t>
  </si>
  <si>
    <t xml:space="preserve">Project Gross Plant </t>
  </si>
  <si>
    <t>MTEP Project Number</t>
  </si>
  <si>
    <t>Project Name</t>
  </si>
  <si>
    <t>Line No.</t>
  </si>
  <si>
    <t>(9a)</t>
  </si>
  <si>
    <t xml:space="preserve">                           Network Upgrade Charge Calculation By Project</t>
  </si>
  <si>
    <t>Page 2 of 2</t>
  </si>
  <si>
    <t xml:space="preserve"> Utilizing Attachment O - ATCLLC Data</t>
  </si>
  <si>
    <t>Attachment GG - ATCLLC</t>
  </si>
  <si>
    <t>Sum of line 11 and 13</t>
  </si>
  <si>
    <t>14</t>
  </si>
  <si>
    <t>(line 12 divided by line 2 col 3)</t>
  </si>
  <si>
    <t>Annual Allocation Factor for Return on Rate Base</t>
  </si>
  <si>
    <t>13</t>
  </si>
  <si>
    <t>Attach O - ATCLLC, p 3, line 28 col 5</t>
  </si>
  <si>
    <t>Return on Rate Base</t>
  </si>
  <si>
    <t>12</t>
  </si>
  <si>
    <t>(line 10 divided by line 2 col 3)</t>
  </si>
  <si>
    <t>Annual Allocation Factor for Income Taxes</t>
  </si>
  <si>
    <t>11</t>
  </si>
  <si>
    <t>Attach O - ATCLLC, p 3, line 27 col 5</t>
  </si>
  <si>
    <t>10</t>
  </si>
  <si>
    <t>INCOME TAXES</t>
  </si>
  <si>
    <t>Sum of line 4, 6, and 8</t>
  </si>
  <si>
    <t>9</t>
  </si>
  <si>
    <t>(line 7 divided by line 1 col 3)</t>
  </si>
  <si>
    <t>Annual Allocation Factor for Other Taxes</t>
  </si>
  <si>
    <t>8</t>
  </si>
  <si>
    <t>Attach O - ATCLLC, p 3, line 20 col 5</t>
  </si>
  <si>
    <t>Total Other Taxes</t>
  </si>
  <si>
    <t>7</t>
  </si>
  <si>
    <t>TAXES OTHER THAN INCOME TAXES</t>
  </si>
  <si>
    <t>(line 5 divided by line 1 col 3)</t>
  </si>
  <si>
    <t>Annual Allocation Factor for G&amp;C Depreciation Expense</t>
  </si>
  <si>
    <t>6</t>
  </si>
  <si>
    <t>Attach O - ATCLLC, p 3, lines 10 &amp; 11, col 5 (Note H)</t>
  </si>
  <si>
    <t>Total G&amp;C Depreciation Expense</t>
  </si>
  <si>
    <t>5</t>
  </si>
  <si>
    <t>GENERAL AND COMMON (G&amp;C) DEPRECIATION EXPENSE</t>
  </si>
  <si>
    <t>(line 3b divided by line 1 col 3)</t>
  </si>
  <si>
    <t>Annual Allocation Factor for O&amp;M</t>
  </si>
  <si>
    <t>(line 3 minus line 3a col 3)</t>
  </si>
  <si>
    <t>Adjusted O&amp;M Allocated to Transmission</t>
  </si>
  <si>
    <t>3b</t>
  </si>
  <si>
    <t>Included in Attach O - ATCLLC, P 3, line 1 col 5</t>
  </si>
  <si>
    <t>Less: Preliminary Survey and Investigation Adjustment  (Note I)</t>
  </si>
  <si>
    <t>3a</t>
  </si>
  <si>
    <t>Attach O - ATCLLC, p 3, line 8 col 5</t>
  </si>
  <si>
    <t>Total O&amp;M Allocated to Transmission</t>
  </si>
  <si>
    <t>O&amp;M EXPENSE</t>
  </si>
  <si>
    <t>Attach O - ATCLLC, p 2, line 14 col 5 (Note B)</t>
  </si>
  <si>
    <t>Net Transmission Plant - Total</t>
  </si>
  <si>
    <t>Attach O - ATCLLC, p 2, line 2 col 5 (Note A)</t>
  </si>
  <si>
    <t>Gross Transmission Plant - Total</t>
  </si>
  <si>
    <t>Attachment O - ATCLLC</t>
  </si>
  <si>
    <t>To be completed in conjunction with Attachment O - ATCLLC.</t>
  </si>
  <si>
    <t>Page 1 of 2</t>
  </si>
  <si>
    <t xml:space="preserve">     Rate Formula Template</t>
  </si>
  <si>
    <t>Formula Rate calculation</t>
  </si>
  <si>
    <t>Precertification Expense Total</t>
  </si>
  <si>
    <t>Column (9a)</t>
  </si>
  <si>
    <t>Precertification Expense</t>
  </si>
  <si>
    <t>Project O&amp;M Incentive</t>
  </si>
  <si>
    <t>Depreciation Expense Total</t>
  </si>
  <si>
    <t>Project Amortization Expense</t>
  </si>
  <si>
    <t>Column (9)</t>
  </si>
  <si>
    <t>Depreciation Expense</t>
  </si>
  <si>
    <t>13 Month Average</t>
  </si>
  <si>
    <t>Column (6)</t>
  </si>
  <si>
    <t>Net Plant</t>
  </si>
  <si>
    <t>Depreciation</t>
  </si>
  <si>
    <t>Accumulated</t>
  </si>
  <si>
    <t>Column (3)</t>
  </si>
  <si>
    <t>Gross Plant</t>
  </si>
  <si>
    <t>Reliability</t>
  </si>
  <si>
    <t>Allocation Type Per Attachment FF</t>
  </si>
  <si>
    <t>ATC</t>
  </si>
  <si>
    <t>Pricing Zone</t>
  </si>
  <si>
    <t>MTEP Project ID</t>
  </si>
  <si>
    <t>Reporting Company</t>
  </si>
  <si>
    <t xml:space="preserve">Rate Year </t>
  </si>
  <si>
    <t>Attachment GG - Supporting Data for Network Upgrade Charge Calculation - Forward Looking Rate Transmission Owner</t>
  </si>
  <si>
    <t>New Green Bay area sub to Morgan 345 kV line and new 138 kV line from Holmes to 18th road</t>
  </si>
  <si>
    <t>Tap the Plains-Dead River 345 kV line into the Arnold 138 kV substation and add a 345/138 kV transformer</t>
  </si>
  <si>
    <t>Rebuild the two Arcadian-Waukesha 138 kV lines</t>
  </si>
  <si>
    <t>1989, 1990</t>
  </si>
  <si>
    <t>Install AC-DC-AC Back to Back Voltage Source Converter (VSC) power flow controller at the Straits 138-kV substation</t>
  </si>
  <si>
    <t>1) Construct a new Barnhart 345 &amp; 138 kV substation
2) Install a new 345/138 kV transformer at Barnhart
3) Loop Edgewater-South Fond du Lac, Edgewater-Cedarsauk, Sheboygan Energy Center-Granville 
    345 kV lines into Barnhart
4) Loop the South Sheboygan Falls-Mullet River 138 kV line into Barnhart 138 kV
5) Construct a new 138 kV line from Barnhart to Plymouth #4
6) Construct a new 138 kV line from Plymouth #4 to Howards Grove
7) Construct a new 138 kV line from Howards Grove to Erdman
8) Convert the existing Forest Junction-Howards Grove-Plymouth #4 138 kV line and the 
    northern portion of the existing Plymouth #4-Holland 138 kV line to 345 kV
9) Terminate the not-converted Holland 138 kV line at Barnhart 138 kV
10) Terminate the southern end of the converted 345 kV line at Barnhart  
11) Construct a new Branch River 345 kV substation
12) Loop the converted 345 kV line into Branch River 345 kV substation
13) Loop the Point Beach-Forest Juction, Point Beach-Sheboygan Energy Center 345 kV lines into Branch River
14) Uprate Barnhart-Cedarsauk 345 kV line to 960 MVA for SN/SE</t>
  </si>
  <si>
    <t>5955, 5970-73</t>
  </si>
  <si>
    <t>Reconfigure Kewaunee 345/138 kV switchyard and install a 2nd Kewaunee 345-138 kV transformer of 500 MVA.</t>
  </si>
  <si>
    <t>G883/4 Increase ground clearance of the Point Beach-Sheboygan EC 345-kV to 167 deg F</t>
  </si>
  <si>
    <t>G833/4-J022/3 Uprate Cypress-Arcadian 345 kV line to 584 MVA SE = 125 deg F clearance</t>
  </si>
  <si>
    <t>G706 Glacier Hills Wind Farm; taps Friesland-Hamilton 138 kV line</t>
  </si>
  <si>
    <t>4393, 5550-53</t>
  </si>
  <si>
    <t>98 MW wind farm at Cedar Ridge 138kV sub</t>
  </si>
  <si>
    <t>2708, 2712</t>
  </si>
  <si>
    <t>Construct a new 345/138 kV substation at Cardinal (next to the existing West Middleton sub), install a 345/138 kV 500 MVA transformer at Cardinal, construct 47.9 miles overhead 345 kV line from Albion to Cardinal/West Middleton, modifications to the existing West Middleton substation, construct a new Albion 345 kV switching station.  Facility costs listed in the facility table are for the southern route.</t>
  </si>
  <si>
    <t>486, 488, 897, 3383, 3384</t>
  </si>
  <si>
    <t>Construct Cranberry-Lakota Rd 115 kV line, 	Rebuild/convert Conover-Plains 69 kV line to 138 kV, 	Construct 138 kV bus and install 138/115 kV 150 MVA and 138/69 kV 60 MVA transformers at Conover, 	Construct 138 kV bus and install 60 MVA transformer at Aspen, 	Relocate Iron River substation (Iron Grove), 	Construct 138 kV bus and install a 138/69 kV, 60 MVA transformer at Iron Grove</t>
  </si>
  <si>
    <t>St Lawrence - Pleasant Valley - Saukville 138 kV line reconductor</t>
  </si>
  <si>
    <t>467, 468</t>
  </si>
  <si>
    <t>Morgan - Werner West 345 kV line, Clintonville - Werner West 138 kV line primarily on 345 kV line structures, and terminate the existing Werner - White Lake 138 kV line at the Werner West switching station</t>
  </si>
  <si>
    <t>480, 608, 2458, 2459, 2994</t>
  </si>
  <si>
    <t>Description of Facilities Included in Network Upgrade Charge as of Record Date</t>
  </si>
  <si>
    <t>Facility #(s)</t>
  </si>
  <si>
    <t>Project Record Date</t>
  </si>
  <si>
    <t>Attachment GG - Description of Facilities Included in Network Upgrade Charge</t>
  </si>
  <si>
    <t>Preliminary Survey and Investigation expense (pre-certification costs) equals the actual value booked, or projected to be booked for forward-looking rate periods, for each of the MISO approved MVP Projects and included in Attachment O – ATCLLC, Page 3, Line 1, Column 5.</t>
  </si>
  <si>
    <t>The Total General and Common Depreciation Expense excludes any depreciation expense directly associated with a project and thereby included in page 2 column 13.</t>
  </si>
  <si>
    <t>The MVP Annual Revenue Requirement is the value to be used in Schedule 26-A.</t>
  </si>
  <si>
    <t>True-Up Adjustment is included pursuant to Attachment MM - ATCLLC Annual True-up Procedure.</t>
  </si>
  <si>
    <t>Note deliberately left blank.</t>
  </si>
  <si>
    <t>Project Gross Plant is the total capital investment for the project calculated in the same method as the gross plant value in line 1 and includes CWIP in rate base.  This value includes subsequent capital investments required to maintain the facilities to their original capabilities.</t>
  </si>
  <si>
    <t>Net Transmission Plant is that identified on page 2 lines 14a and 14b of Attachment O - ATCLLC and is inclusive of any CWIP included in rate base.</t>
  </si>
  <si>
    <t>Gross Transmission Plant is that identified on page 2 lines 2a and 2b of Attachment O - ATCLLC  and is inclusive of any CWIP included in rate base.  Transmission Accumulated Depreciation comports with this Note A and B below.</t>
  </si>
  <si>
    <t>MVP Total Annual Revenue Requirements</t>
  </si>
  <si>
    <t/>
  </si>
  <si>
    <t>Pleasant Prairie - Zion Energy Center 345 kV Line</t>
  </si>
  <si>
    <t>Multi-Value Projects (MVP)</t>
  </si>
  <si>
    <t>Sum Col. 14 &amp; 15
(Note G)</t>
  </si>
  <si>
    <t>(Sum Col. 9, 12, 13 &amp; 13a)</t>
  </si>
  <si>
    <t>(Col 10 * Col 11)</t>
  </si>
  <si>
    <t>(Col 3 - Col 4)</t>
  </si>
  <si>
    <t>(Col 6 + Col 8)</t>
  </si>
  <si>
    <t>(Col 3 * Col 7)</t>
  </si>
  <si>
    <t>Page 1 line 9</t>
  </si>
  <si>
    <t>(Col 4 * Col 5)</t>
  </si>
  <si>
    <t>Page 1 line 4</t>
  </si>
  <si>
    <t>MVP Annual Adjusted Revenue Requirement</t>
  </si>
  <si>
    <t>Annual Allocation for Other Expense</t>
  </si>
  <si>
    <t>Other Expense Annual Allocation Factor</t>
  </si>
  <si>
    <t>Annual Allocation for Transmission O&amp;M Expense</t>
  </si>
  <si>
    <t>Transmission O&amp;M Annual Allocation Factor</t>
  </si>
  <si>
    <t>Project Accumulated Depreciation</t>
  </si>
  <si>
    <t>Project Gross Plant</t>
  </si>
  <si>
    <t>(16)</t>
  </si>
  <si>
    <t>(15)</t>
  </si>
  <si>
    <t>(14)</t>
  </si>
  <si>
    <t>(13a)</t>
  </si>
  <si>
    <t>(13)</t>
  </si>
  <si>
    <t>(12)</t>
  </si>
  <si>
    <t>(11)</t>
  </si>
  <si>
    <t>(10)</t>
  </si>
  <si>
    <t>(9)</t>
  </si>
  <si>
    <t>(8)</t>
  </si>
  <si>
    <t>(7)</t>
  </si>
  <si>
    <t>(6)</t>
  </si>
  <si>
    <t>Multi-Value Project (MVP) Revenue Requirement Calculation</t>
  </si>
  <si>
    <t>Attachment MM - ATCLLC</t>
  </si>
  <si>
    <t>Sum of line 4b, 6, and 8</t>
  </si>
  <si>
    <t>Annual Allocation Factor for Other Expense</t>
  </si>
  <si>
    <t>Line 4a divided by Line 1, col 3</t>
  </si>
  <si>
    <t>Annual Allocation Factor for Other O&amp;M</t>
  </si>
  <si>
    <t>4b</t>
  </si>
  <si>
    <t>Line 3 minus Lines 3d and 3a1</t>
  </si>
  <si>
    <t>Other O&amp;M Allocated to Transmission</t>
  </si>
  <si>
    <t>4a</t>
  </si>
  <si>
    <t>OTHER O&amp;M EXPENSE</t>
  </si>
  <si>
    <t>(Line 3d divided by line 1a, col 3)</t>
  </si>
  <si>
    <t>Annual Allocation Factor for Transmission O&amp;M</t>
  </si>
  <si>
    <t>Line 3a minus Lines 3a1, 3b and 3c</t>
  </si>
  <si>
    <t>Adjusted Transmission O&amp;M</t>
  </si>
  <si>
    <t>3d</t>
  </si>
  <si>
    <t>Attach O - ATCLLC, p 3, line 2 col 5</t>
  </si>
  <si>
    <t>Less: Account 565 included in above, if any</t>
  </si>
  <si>
    <t>3c</t>
  </si>
  <si>
    <t>Attach O - ATCLLC, p 3, line 1a col 5</t>
  </si>
  <si>
    <t>Less: LSE Expenses included in above, if any</t>
  </si>
  <si>
    <t>Preliminary and Survey Expense included in Attach O - ATCLLC, P 3, line 1 col 5</t>
  </si>
  <si>
    <t>Less Preliminary Survey and Investigation Adjustment  (Note I)</t>
  </si>
  <si>
    <t>3a1</t>
  </si>
  <si>
    <t>Attach O - ATCLLC, p 3, line 1 col 5</t>
  </si>
  <si>
    <t>O&amp;M TRANSMISSION EXPENSE</t>
  </si>
  <si>
    <t>Line 1 minus Line 1a (Note B)</t>
  </si>
  <si>
    <t>Attach O - ATCLLC, p 2, line 8a and 8b col 5 (Note A)</t>
  </si>
  <si>
    <t>Transmission Accumulated Depreciation</t>
  </si>
  <si>
    <t>Attach O - ATCLLC, p 2, line 2a and 2b col 5 (Note A)</t>
  </si>
  <si>
    <t>(inputs from Attachment O - ATCLLC are rounded to whole dollars)</t>
  </si>
  <si>
    <t>Column (14)</t>
  </si>
  <si>
    <t>Column (13)</t>
  </si>
  <si>
    <t>Column (10)</t>
  </si>
  <si>
    <t>MVP</t>
  </si>
  <si>
    <t>Attachment MM - Supporting Data for Network Upgrade Charge Calculation - Forward Looking Rate Transmission Owner</t>
  </si>
  <si>
    <t>LaCrosse-Madison 345 kV - Dubuque Co - Cardinal 345 kV project</t>
  </si>
  <si>
    <t>Attachment MM - Description of Facilities Included in Network Upgrade Charge</t>
  </si>
  <si>
    <t>ATC rate</t>
  </si>
  <si>
    <t>Zonal Revenue</t>
  </si>
  <si>
    <t>ATC load</t>
  </si>
  <si>
    <t>ATC ATRR</t>
  </si>
  <si>
    <t>Coincident load</t>
  </si>
  <si>
    <t>Rate Calculation</t>
  </si>
  <si>
    <t xml:space="preserve">True-Up </t>
  </si>
  <si>
    <t>MISO ATRR</t>
  </si>
  <si>
    <t>UPPCO</t>
  </si>
  <si>
    <t>WEC/ESE</t>
  </si>
  <si>
    <t>WPS</t>
  </si>
  <si>
    <t>WPL/SB</t>
  </si>
  <si>
    <t>MGE</t>
  </si>
  <si>
    <t xml:space="preserve">Date modified: </t>
  </si>
  <si>
    <t>Schedule 9</t>
  </si>
  <si>
    <t>ave</t>
  </si>
  <si>
    <t>Check totals:</t>
  </si>
  <si>
    <t>kWs</t>
  </si>
  <si>
    <t>Off-Peak Hourly Charge per MW:</t>
  </si>
  <si>
    <t>On-Peak Hourly Charge per MW:</t>
  </si>
  <si>
    <t>Off-Peak Daily Charge per MW:</t>
  </si>
  <si>
    <t>On-Peak Daily Charge per MW:</t>
  </si>
  <si>
    <t>Weekly Charge per MW:</t>
  </si>
  <si>
    <t>Monthly Charge per MW:</t>
  </si>
  <si>
    <t>Total NITS and long-term Point-to-Point kilowatts are:</t>
  </si>
  <si>
    <t>Phase-in Revenue Requirement:</t>
  </si>
  <si>
    <t>WISCONSIN ENERGY CORP</t>
  </si>
  <si>
    <t>WISCONSIN POWER &amp; LIGHT</t>
  </si>
  <si>
    <t>WISCONSIN PUBLIC SERVICE</t>
  </si>
  <si>
    <t>MADISON GAS &amp; ELECTRIC COMPANY</t>
  </si>
  <si>
    <t>shall not exceed the daily charge specified above.</t>
  </si>
  <si>
    <t>The total charge in any day, pursuant to reservations for hourly service,</t>
  </si>
  <si>
    <t>shall not exceed the weekly charge specified above.</t>
  </si>
  <si>
    <t>The total  charge in any week, pursuant to reservations for daily service,</t>
  </si>
  <si>
    <t>the OATT's Section 1.16.</t>
  </si>
  <si>
    <t xml:space="preserve">one-twelfth of the Customer's Load Ratio Share as calculated in accrdance with </t>
  </si>
  <si>
    <t>For Network Integration Transmission Service Customers, the monthly charge is</t>
  </si>
  <si>
    <t>ATCLLC's Annual Transmission Revenue Requirement is:</t>
  </si>
  <si>
    <t>Schedule 8</t>
  </si>
  <si>
    <t>Schedule 7</t>
  </si>
  <si>
    <t>Source references may vary by company; page references are to each company's source document; analogous figures would be provided for projected year.  Inputs in whole dollars.</t>
  </si>
  <si>
    <t>Revenue collected by the Transmission Owner or ITC under this Schedule 1 for firm transactions of less than 1 year, all non-firm transactions, and any other transactions whose loads are not included in the Attachment O Zonal Rate Divisor for the zone. This revenue credit is derived from the MISO MR Settlemenets file by subtracting Schedule 9 revenues related to Schedule 1 from the total Schedule 1 revenues, which results in the total revenue credit for Schedule 1.</t>
  </si>
  <si>
    <t>Form 1 page references are for actual year for which there is a Form 1; analogous figures would be provided for projected year.</t>
  </si>
  <si>
    <t>Utilized by forward-looking Transmission Owners.  Line 8 will be supported by a True-Up Worksheet.</t>
  </si>
  <si>
    <t>Net Schedule 1 Adjusted Annual Revenue Requirement</t>
  </si>
  <si>
    <t>True-up Adjustment (Note D)</t>
  </si>
  <si>
    <t>Total Schedule 1 Annual Revenue Requirement</t>
  </si>
  <si>
    <t>Revenue Credits (excluding True-Up Adjustment) (Note C)</t>
  </si>
  <si>
    <t>(Form 1, footnote to p 320, Lines 85,86,87)</t>
  </si>
  <si>
    <t>Account 561.BA for Schedule 24</t>
  </si>
  <si>
    <t>(sum lines 1 - 3)</t>
  </si>
  <si>
    <t xml:space="preserve">   Subtotal</t>
  </si>
  <si>
    <t>(Form 1, p 321, Line 87)</t>
  </si>
  <si>
    <t>Account 561.3</t>
  </si>
  <si>
    <t>(Form 1, p 321, Line 86)</t>
  </si>
  <si>
    <t>Account 561.2</t>
  </si>
  <si>
    <t>(Form 1, p 321, Line 85)</t>
  </si>
  <si>
    <t>Account 561.1 (Note B)</t>
  </si>
  <si>
    <t>Company</t>
  </si>
  <si>
    <t>Projected</t>
  </si>
  <si>
    <t>Projected or Actual:</t>
  </si>
  <si>
    <t>True-Up Year:</t>
  </si>
  <si>
    <t>Rate Year:</t>
  </si>
  <si>
    <t>Company:</t>
  </si>
  <si>
    <t>Schedule 1 Recoverable Expenses</t>
  </si>
  <si>
    <t>Interest on the (over)/under collected amount will not be know at the time the template is submitted pursuant to the approved FERC methodology.</t>
  </si>
  <si>
    <t>Current Year Schedule 1 revenues include revenue credits and exclude True-Up Adjustments.</t>
  </si>
  <si>
    <t>Scheduling, Control, and Dispatch Service--Transmission.</t>
  </si>
  <si>
    <t>Scheduling, Control, and Dispatch Service--Balancing Authority.</t>
  </si>
  <si>
    <t>Source references may vary by company; page references are to each company's source document.  Inputs in whole dollars.</t>
  </si>
  <si>
    <t>(Over)/Under Collected Amount (Note E)</t>
  </si>
  <si>
    <t>(Form 1, footnote to p 300, Line 23)</t>
  </si>
  <si>
    <r>
      <t>Revenues including revenue credits (Account 457.1)</t>
    </r>
    <r>
      <rPr>
        <sz val="11"/>
        <color theme="1"/>
        <rFont val="Times New Roman"/>
        <family val="1"/>
      </rPr>
      <t xml:space="preserve"> (Note D)</t>
    </r>
  </si>
  <si>
    <r>
      <t>Account 561 Available excluding revenue credits</t>
    </r>
    <r>
      <rPr>
        <sz val="11"/>
        <color theme="1"/>
        <rFont val="Times New Roman"/>
        <family val="1"/>
      </rPr>
      <t xml:space="preserve"> (Note C)</t>
    </r>
  </si>
  <si>
    <t>(Form 1, footnote to p 321, Lines 85, 86, &amp; 87)</t>
  </si>
  <si>
    <t>Account 561.BA for Schedule 24 (Note B)</t>
  </si>
  <si>
    <t xml:space="preserve">   Subtotal (sum lines 1-3)</t>
  </si>
  <si>
    <t>Account 561.1 (Note A)</t>
  </si>
  <si>
    <t>Schedule 1 True-Up Adjustment</t>
  </si>
  <si>
    <r>
      <t xml:space="preserve">Revenue Received </t>
    </r>
    <r>
      <rPr>
        <b/>
        <vertAlign val="superscript"/>
        <sz val="12"/>
        <rFont val="Arial MT"/>
      </rPr>
      <t>4</t>
    </r>
  </si>
  <si>
    <t>Interest</t>
  </si>
  <si>
    <t>% of Revenue Received</t>
  </si>
  <si>
    <t>Interest Rate</t>
  </si>
  <si>
    <t>The cells highlighted in yellow contain the official data, either actual or projected, the cells in highlighted in orange contain placeholder estimates that assume the actual results equal the projected values.</t>
  </si>
  <si>
    <t xml:space="preserve"> Utilizing Attachment O Data</t>
  </si>
  <si>
    <t>Attachment O</t>
  </si>
  <si>
    <t>Attach O, p 2, line 2 col 5 (Note A)</t>
  </si>
  <si>
    <t>GP + CWIP in RB</t>
  </si>
  <si>
    <t>Attach O, p 2, line 14 col 5 (Note B)</t>
  </si>
  <si>
    <t>NP + CWIP in RB</t>
  </si>
  <si>
    <t>Attach O, p 3, line 8 col 5</t>
  </si>
  <si>
    <t>Recoverable O&amp;M (excl depr and Sch 1 revenue)</t>
  </si>
  <si>
    <t>(line 3 divided by line 1 col 3)</t>
  </si>
  <si>
    <t>Attach O, p 3, lines 10 &amp; 11, col 5 (Note H)</t>
  </si>
  <si>
    <t>Attach O, p 3, line 20 col 5</t>
  </si>
  <si>
    <t>TOTIT</t>
  </si>
  <si>
    <t>Attach O, p 3, line 27 col 5</t>
  </si>
  <si>
    <t>Total income taxes</t>
  </si>
  <si>
    <t>Attach O, p 3, line 28 col 5</t>
  </si>
  <si>
    <t>Return</t>
  </si>
  <si>
    <t xml:space="preserve">Annual Expense Factor </t>
  </si>
  <si>
    <t xml:space="preserve">Annual Return Factor </t>
  </si>
  <si>
    <t>C1</t>
  </si>
  <si>
    <t>C2</t>
  </si>
  <si>
    <t>C3</t>
  </si>
  <si>
    <t>C4</t>
  </si>
  <si>
    <t>C5</t>
  </si>
  <si>
    <t>C6</t>
  </si>
  <si>
    <t>C7</t>
  </si>
  <si>
    <t>I1</t>
  </si>
  <si>
    <t>I2</t>
  </si>
  <si>
    <t>I3</t>
  </si>
  <si>
    <t>I4</t>
  </si>
  <si>
    <t>I5</t>
  </si>
  <si>
    <t>I6</t>
  </si>
  <si>
    <t>I7</t>
  </si>
  <si>
    <r>
      <t xml:space="preserve">Project Gross Plant </t>
    </r>
    <r>
      <rPr>
        <vertAlign val="superscript"/>
        <sz val="12"/>
        <rFont val="Arial"/>
        <family val="2"/>
      </rPr>
      <t>1</t>
    </r>
  </si>
  <si>
    <r>
      <t xml:space="preserve">True-Up Adjustment </t>
    </r>
    <r>
      <rPr>
        <vertAlign val="superscript"/>
        <sz val="12"/>
        <rFont val="Arial"/>
        <family val="2"/>
      </rPr>
      <t>2</t>
    </r>
  </si>
  <si>
    <t>% of Total Rev. Req</t>
  </si>
  <si>
    <t>Revenue Received</t>
  </si>
  <si>
    <r>
      <t xml:space="preserve">Project Gross Plant </t>
    </r>
    <r>
      <rPr>
        <vertAlign val="superscript"/>
        <sz val="12"/>
        <rFont val="Arial"/>
        <family val="2"/>
      </rPr>
      <t>3</t>
    </r>
  </si>
  <si>
    <t>Net Under/(Over) Collection</t>
  </si>
  <si>
    <r>
      <t xml:space="preserve">Interest Income (Expense) </t>
    </r>
    <r>
      <rPr>
        <vertAlign val="superscript"/>
        <sz val="12"/>
        <rFont val="Arial"/>
        <family val="2"/>
      </rPr>
      <t>5</t>
    </r>
  </si>
  <si>
    <t>Received</t>
  </si>
  <si>
    <t xml:space="preserve">1) Average Gross Plant Balance as it is included in the Projected Attachment O for the same year. </t>
  </si>
  <si>
    <t xml:space="preserve">2) True-Up adjustment from prior year. </t>
  </si>
  <si>
    <t>3) Average Gross Plant Balance as it is included in the Actual Attachment O.</t>
  </si>
  <si>
    <t>4) The “Total Schedule 26 Revenue Received by TO” in the Current Year.</t>
  </si>
  <si>
    <t>5)Interest calculated in accordance with the Attachment O True-Up Interest calculation based on the Aggregate Schedule 26 True-Up.</t>
  </si>
  <si>
    <t xml:space="preserve">Less O&amp;M incentive </t>
  </si>
  <si>
    <t>Attach MM, p2 line 2 col 14</t>
  </si>
  <si>
    <t xml:space="preserve">Adjusted O&amp;M </t>
  </si>
  <si>
    <t>C8</t>
  </si>
  <si>
    <t>I8</t>
  </si>
  <si>
    <t>Attach O, p 2, line 8 col 5 (Note A)</t>
  </si>
  <si>
    <t>Attach O, p 3, line 1 col 5</t>
  </si>
  <si>
    <t>Less project O&amp;M incentive</t>
  </si>
  <si>
    <t>Attach O, p 3, line 1a col 5</t>
  </si>
  <si>
    <t>Attach O, p 3, line 2 col 5</t>
  </si>
  <si>
    <t>Line 3a minus Line 3b minus Line 3c</t>
  </si>
  <si>
    <t>Line 3 minus Line 3d</t>
  </si>
  <si>
    <t>Annual Interest Rate</t>
  </si>
  <si>
    <t>Interest Income(Expense)</t>
  </si>
  <si>
    <t>C9</t>
  </si>
  <si>
    <t>C10</t>
  </si>
  <si>
    <t>C11</t>
  </si>
  <si>
    <t>C12</t>
  </si>
  <si>
    <t>I9</t>
  </si>
  <si>
    <t>I10</t>
  </si>
  <si>
    <t>I11</t>
  </si>
  <si>
    <t>I12</t>
  </si>
  <si>
    <r>
      <t xml:space="preserve">Project Gross Plant </t>
    </r>
    <r>
      <rPr>
        <vertAlign val="superscript"/>
        <sz val="12"/>
        <rFont val="Arial MT"/>
      </rPr>
      <t>1</t>
    </r>
  </si>
  <si>
    <r>
      <t xml:space="preserve">Project Gross Plant </t>
    </r>
    <r>
      <rPr>
        <vertAlign val="superscript"/>
        <sz val="12"/>
        <rFont val="Arial MT"/>
      </rPr>
      <t>3</t>
    </r>
  </si>
  <si>
    <t>Total Interest Due</t>
  </si>
  <si>
    <t>Years</t>
  </si>
  <si>
    <t>.</t>
  </si>
  <si>
    <t xml:space="preserve"> 2018 - $100M/30yr</t>
  </si>
  <si>
    <t xml:space="preserve"> 2017 - $50M/30yr</t>
  </si>
  <si>
    <t xml:space="preserve"> 2018 - $75M/30yr</t>
  </si>
  <si>
    <t xml:space="preserve"> 2018 - $100M/10yr</t>
  </si>
  <si>
    <t xml:space="preserve"> 2018 - $100M/15yr</t>
  </si>
  <si>
    <t>1q</t>
  </si>
  <si>
    <t>1r</t>
  </si>
  <si>
    <t>1s</t>
  </si>
  <si>
    <t>1t</t>
  </si>
  <si>
    <t xml:space="preserve">2018 True-Up </t>
  </si>
  <si>
    <t>445-7, 896, 2460, 3464-65, 3532</t>
  </si>
  <si>
    <t>6910-12, 6919, 6923, 7242-43</t>
  </si>
  <si>
    <t>22380, 22381</t>
  </si>
  <si>
    <t>138 kV Falcon SS Construction and 138 kV Darlington- North Monroe (X-49) Line Upgrade</t>
  </si>
  <si>
    <t>J703 GIC- Huron SS, Interconnection and Network Upgrades</t>
  </si>
  <si>
    <t>J704 GIC- Interconnection and Network Upgrades</t>
  </si>
  <si>
    <t>345 kV Substation</t>
  </si>
  <si>
    <t>1v</t>
  </si>
  <si>
    <t>1w</t>
  </si>
  <si>
    <t>1x</t>
  </si>
  <si>
    <r>
      <t>The currently effective income tax rate,  where FIT is the Federal income tax rate; SIT is the State income tax rate, and p = "the percentage of federal income tax deductible for state income taxes" and TEP = "the tax exempt ownership interest".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t>
    </r>
    <r>
      <rPr>
        <sz val="12"/>
        <rFont val="Times New Roman"/>
        <family val="1"/>
      </rPr>
      <t>1-T)</t>
    </r>
    <r>
      <rPr>
        <sz val="12"/>
        <rFont val="Times New Roman"/>
        <family val="1"/>
      </rPr>
      <t xml:space="preserve"> (page 3, line 26).  Excess Deferred Income Taxes reduce income tax expense by the amount of the expense multiplied by (1/</t>
    </r>
    <r>
      <rPr>
        <sz val="12"/>
        <rFont val="Times New Roman"/>
        <family val="1"/>
      </rPr>
      <t>1-T)</t>
    </r>
    <r>
      <rPr>
        <sz val="12"/>
        <rFont val="Times New Roman"/>
        <family val="1"/>
      </rPr>
      <t xml:space="preserve"> (page 3, line 26a).</t>
    </r>
  </si>
  <si>
    <t xml:space="preserve">ROE Determination </t>
  </si>
  <si>
    <t>GIP</t>
  </si>
  <si>
    <t>7/5/2013, 10/5/2016</t>
  </si>
  <si>
    <t>J505 GIC, Apollo SS, Generator Interconnection and Network Facilities</t>
  </si>
  <si>
    <t>All amounts shown on this page (with the following exceptions CWC in line 26, Account 282 in line 20, Account 283 in line 21, and Account 190 in line 22) are based on 13 month averages.  Work papers will be provided.</t>
  </si>
  <si>
    <t>RTO Adder per ER15-358, Effective 01-06-2015</t>
  </si>
  <si>
    <r>
      <t xml:space="preserve">ROE per </t>
    </r>
    <r>
      <rPr>
        <sz val="12"/>
        <color rgb="FFFF0000"/>
        <rFont val="Times New Roman"/>
        <family val="1"/>
      </rPr>
      <t>EL14-12</t>
    </r>
    <r>
      <rPr>
        <sz val="12"/>
        <rFont val="Times New Roman"/>
        <family val="1"/>
      </rPr>
      <t>, Effective 5-21-2020</t>
    </r>
  </si>
  <si>
    <t>1y</t>
  </si>
  <si>
    <t>1z</t>
  </si>
  <si>
    <t>1aa</t>
  </si>
  <si>
    <t>1u</t>
  </si>
  <si>
    <t>3925-26, 5484, 5626-28, 6573, 20578, 20580-81, 20607, 23506-07</t>
  </si>
  <si>
    <t>J928 Interconnection request is for a new 80 MW wind farm. This will be an expansion of the wind farm that is already at Garden Corners.</t>
  </si>
  <si>
    <t>24478, 24479</t>
  </si>
  <si>
    <t>J928/J849 Indian Lake Common Use Upgrades - Ground Grid work</t>
  </si>
  <si>
    <t>24579,25355-58, 24580-83</t>
  </si>
  <si>
    <t>J870/J871 Network Upgrades at Highland SS, Eden SS, Spring Green SS, X-17 and Y-138</t>
  </si>
  <si>
    <t>J886 Kewaunee Substation Network Upgrades</t>
  </si>
  <si>
    <t>25248-51</t>
  </si>
  <si>
    <t>J855 GIC Ebenezer SS &amp; X-16 Network Upgrades</t>
  </si>
  <si>
    <t xml:space="preserve"> 2019 - $200M/12yr</t>
  </si>
  <si>
    <t xml:space="preserve"> 2019 - $100M/20yr</t>
  </si>
  <si>
    <t xml:space="preserve"> 2020 - $100M/30yr</t>
  </si>
  <si>
    <t xml:space="preserve"> 2020 - $100M/10yr</t>
  </si>
  <si>
    <t>Werner West-Morgan (MTEP06)</t>
  </si>
  <si>
    <t>Pleasant Valley - St. Lawrence (MTEP06)</t>
  </si>
  <si>
    <t>Cranberry-Conover-Iron River-Plains (MTEP06)</t>
  </si>
  <si>
    <t>Garden Corners SS GIC Network Upgrades (MTEP19)</t>
  </si>
  <si>
    <t>J928/J849 Indian Lake Common Use Upgrades (MTEP19)</t>
  </si>
  <si>
    <t>J870/J871 MPFCA Highland Generator Network Upgrades (MTEP20)</t>
  </si>
  <si>
    <t>J886 GIC Kewaunee SS Interconnection Facilities and Network Upgrades (MTEP20)</t>
  </si>
  <si>
    <t>J818 Jefferson SS Generator Interconnection Facilities and Network Upgrades (MTEP20)</t>
  </si>
  <si>
    <t>J864 J870 J871 MPFCA Common Use Upgrades (MTEP20)</t>
  </si>
  <si>
    <t>Rockdale-W.Middleton 345kV (MTEP08)</t>
  </si>
  <si>
    <t>G507-Cedar Ridge Wind Farm (MTEP07)</t>
  </si>
  <si>
    <t>GIC706-H012 Glacier Hills Wind Park (MTEP09/11)</t>
  </si>
  <si>
    <t>G834 Interim Upgrades (MTEP10)</t>
  </si>
  <si>
    <t>G833 Interim Upgrades (MTEP10)</t>
  </si>
  <si>
    <t>2nd Kewaunee Xfr (MTEP11)</t>
  </si>
  <si>
    <t>G833/4 Long Term Solution (MTEP11)</t>
  </si>
  <si>
    <t>Straits Power Flow Controller (MTEP11)</t>
  </si>
  <si>
    <t>Rebuild Arcadian - Waukesha 138kV lines (MTEP12)</t>
  </si>
  <si>
    <t>Arnold Transformer (MTEP12)</t>
  </si>
  <si>
    <t>Green Bay to Morgan 345 kV / Memominee Co to Delta Co 138 kV (MTEP12)</t>
  </si>
  <si>
    <t>Lafayette County Wind GIC-J395 Falcon Substation &amp; Network Upgrades  (MTEP17)</t>
  </si>
  <si>
    <t>West Riverside GIC J390 Kittyhawk Substation  (MTEP17)</t>
  </si>
  <si>
    <t>J703 WeEnergies GIC-NetworkUpgrades (MTEP18)</t>
  </si>
  <si>
    <t>J704 WeEnergies GIC-NetworkUpgrades (MTEP18)</t>
  </si>
  <si>
    <t>J505 GIC, Apollo SS, Generator Interconnection and Network Facilities (MTEP18)</t>
  </si>
  <si>
    <t>2452/3160</t>
  </si>
  <si>
    <t>Pleasant Prairie - Zion Energy Center 345 kV Line (MTEP11)</t>
  </si>
  <si>
    <t>LaCrosse-Madison 345 kV - Dubuque Co - Spring Green 345 kV (MTEP11)</t>
  </si>
  <si>
    <t>2022 - $50M/10yr(Feb)</t>
  </si>
  <si>
    <t>2022 - $50M/10yr(July)</t>
  </si>
  <si>
    <t>2022 - $100M/20yr(Feb)</t>
  </si>
  <si>
    <t>25454-55</t>
  </si>
  <si>
    <t>J864 J870 J871 MPFCA Common Use Upgrades</t>
  </si>
  <si>
    <t>24317, 24586-87</t>
  </si>
  <si>
    <t>J849, Chandler SS, Interconnection Facilities and Network Upgrades</t>
  </si>
  <si>
    <t>25316, 26010-13</t>
  </si>
  <si>
    <t>J870 J871 Highland SS Interconnection Facilities and Network Upgrades</t>
  </si>
  <si>
    <t>J986 7 Mile Creek SS, Generator Interconnection Facilities and Network Upgrades</t>
  </si>
  <si>
    <t>25359, 25360, 25363-65</t>
  </si>
  <si>
    <t>J850/J878 MPFCA East Paris New SS</t>
  </si>
  <si>
    <t>25398-99, 25400-02, 26143-145</t>
  </si>
  <si>
    <t>J947 Tennyson SS, Generator Interconnection Facilities and Network Upgrades</t>
  </si>
  <si>
    <t>1bb</t>
  </si>
  <si>
    <t>J870 J871 Highland SS Interconnection Facilities and Network Upgrades (MTEP20)</t>
  </si>
  <si>
    <t>1cc</t>
  </si>
  <si>
    <t>1dd</t>
  </si>
  <si>
    <t>1ee</t>
  </si>
  <si>
    <t>1ff</t>
  </si>
  <si>
    <t>J986 7 Mile Creek SS, Generator Interconnection Facilities and Network Upgrades (MTEP21)</t>
  </si>
  <si>
    <t>J947 Tennyson SS, Generator Interconnection Facilities and Network Upgrades (MTEP20)</t>
  </si>
  <si>
    <t>J850/J878 MPFCA East Paris New SS (MTEP20)</t>
  </si>
  <si>
    <t>J849, Chandler SS, Interconnection Facilities and Network Upgrades (MTEP19)</t>
  </si>
  <si>
    <t>For the 12 months ended 12/31/2022</t>
  </si>
  <si>
    <t>2022 Projected Attachment O</t>
  </si>
  <si>
    <t>December '21</t>
  </si>
  <si>
    <t>January '22</t>
  </si>
  <si>
    <t>December '22</t>
  </si>
  <si>
    <t>2022 Projected</t>
  </si>
  <si>
    <t>2020 RECB True Up Receivable (Under Collection)</t>
  </si>
  <si>
    <t>Interest Accrual booked from July 2020 thru June 2022</t>
  </si>
  <si>
    <t>Weighted Avg. ST Debt - Jan 2020</t>
  </si>
  <si>
    <t>Weighted Avg. ST Debt - Feb 2020</t>
  </si>
  <si>
    <t>Weighted Avg. ST Debt - Mar 2020</t>
  </si>
  <si>
    <t>Weighted Avg. ST Debt - Apr 2020</t>
  </si>
  <si>
    <t>Weighted Avg. ST Debt - May 2020</t>
  </si>
  <si>
    <t>Weighted Avg. ST Debt - Jun 2020</t>
  </si>
  <si>
    <t>Weighted Avg. ST Debt - Jul 2020</t>
  </si>
  <si>
    <t>Weighted Avg. ST Debt - Aug 2020</t>
  </si>
  <si>
    <t>Weighted Avg. ST Debt - Sep 2020</t>
  </si>
  <si>
    <t>Weighted Avg. ST Debt - Oct 2020</t>
  </si>
  <si>
    <t>Weighted Avg. ST Debt - Nov 2020</t>
  </si>
  <si>
    <t>Weighted Avg. ST Debt - Dec 2020</t>
  </si>
  <si>
    <t>Weighted Avg. ST Debt - Jan 2021</t>
  </si>
  <si>
    <t>Weighted Avg. ST Debt - Feb 2021</t>
  </si>
  <si>
    <t>Weighted Avg. ST Debt - Mar 2021</t>
  </si>
  <si>
    <t>Weighted Avg. ST Debt - Apr 2021</t>
  </si>
  <si>
    <t>Weighted Avg. ST Debt - May 2021</t>
  </si>
  <si>
    <t>Weighted Avg. ST Debt - Jun 2021</t>
  </si>
  <si>
    <t>Weighted Avg. ST Debt - Jul 2021</t>
  </si>
  <si>
    <t>Weighted Avg. ST Debt - Aug 2021</t>
  </si>
  <si>
    <t>Weighted Avg. ST Debt - Sep 2021</t>
  </si>
  <si>
    <t>2020 MVP True Up Receivable (Under Collection)</t>
  </si>
  <si>
    <t>Rate Year 2022</t>
  </si>
  <si>
    <t>2020 Network True Up Payable (Over Collection)</t>
  </si>
  <si>
    <t>First Quarter 2020</t>
  </si>
  <si>
    <t>Second Quarter 2020</t>
  </si>
  <si>
    <t>Third Quarter 2020</t>
  </si>
  <si>
    <t>Fourth Quarter 2020</t>
  </si>
  <si>
    <t>First Quarter 2021</t>
  </si>
  <si>
    <t>Second Quarter 2021</t>
  </si>
  <si>
    <t>Third Quarter 2021</t>
  </si>
  <si>
    <t>2020 Schedule 1 True Up Payable (Over Collection)</t>
  </si>
  <si>
    <t xml:space="preserve"> assumes 0.25% load growth pending receipt of actual load data</t>
  </si>
  <si>
    <t>2020 Rates:</t>
  </si>
  <si>
    <t>2021 Rates:</t>
  </si>
  <si>
    <t>2022 Rates:</t>
  </si>
  <si>
    <t>2023 Rates:</t>
  </si>
  <si>
    <t>2024 Rates:</t>
  </si>
  <si>
    <t>2025 Rates:</t>
  </si>
  <si>
    <t>2023 True-Up</t>
  </si>
  <si>
    <t>2022 True-Up</t>
  </si>
  <si>
    <t>2020 True-Up</t>
  </si>
  <si>
    <t>2019 True-Up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</si>
</sst>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1">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00"/>
    <numFmt numFmtId="165" formatCode="0.00000"/>
    <numFmt numFmtId="166" formatCode="#,##0.000"/>
    <numFmt numFmtId="167" formatCode="&quot;$&quot;#,##0.000"/>
    <numFmt numFmtId="168" formatCode="0.0000"/>
    <numFmt numFmtId="169" formatCode="#,##0.00000"/>
    <numFmt numFmtId="170" formatCode="_(* #,##0_);_(* \(#,##0\);_(* &quot;-&quot;??_);_(@_)"/>
    <numFmt numFmtId="171" formatCode="0.000%"/>
    <numFmt numFmtId="172" formatCode="#,##0.0"/>
    <numFmt numFmtId="173" formatCode="#,##0.0000"/>
    <numFmt numFmtId="174" formatCode="&quot;$&quot;#,##0"/>
    <numFmt numFmtId="175" formatCode="_(&quot;$&quot;* #,##0_);_(&quot;$&quot;* \(#,##0\);_(&quot;$&quot;* &quot;-&quot;??_);_(@_)"/>
    <numFmt numFmtId="176" formatCode="0.0000%"/>
    <numFmt numFmtId="177" formatCode="0.0000000%"/>
    <numFmt numFmtId="178" formatCode="0.000000000%"/>
    <numFmt numFmtId="179" formatCode="0.0%"/>
    <numFmt numFmtId="180" formatCode="#,##0_);[Red]\(#,##0\);&quot; &quot;"/>
    <numFmt numFmtId="181" formatCode="#,##0.000000000_);[Red]\(#,##0.000000000\);&quot; &quot;"/>
    <numFmt numFmtId="182" formatCode="&quot;$&quot;#,##0;\(&quot;$&quot;#,##0\)"/>
    <numFmt numFmtId="183" formatCode="0_);\(0\)"/>
    <numFmt numFmtId="184" formatCode="m/d/yyyy;@"/>
    <numFmt numFmtId="185" formatCode="m/d/yy;@"/>
    <numFmt numFmtId="186" formatCode="[$-409]mmm\-yy;@"/>
    <numFmt numFmtId="187" formatCode="_(* #,##0.00000_);_(* \(#,##0.00000\);_(* &quot;-&quot;??_);_(@_)"/>
    <numFmt numFmtId="188" formatCode="_(* #,##0.0000000_);_(* \(#,##0.0000000\);_(* &quot;-&quot;??_);_(@_)"/>
    <numFmt numFmtId="189" formatCode="_(* #,##0.00_);_(* \(#,##0.00\);_(* &quot;-&quot;_);_(@_)"/>
  </numFmts>
  <fonts count="62">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2"/>
      <name val="Times New Roman"/>
      <family val="1"/>
    </font>
    <font>
      <sz val="10"/>
      <name val="Arial"/>
      <family val="2"/>
    </font>
    <font>
      <sz val="12"/>
      <name val="Arial MT"/>
    </font>
    <font>
      <b/>
      <i/>
      <sz val="12"/>
      <name val="Times New Roman"/>
      <family val="1"/>
    </font>
    <font>
      <i/>
      <sz val="12"/>
      <color rgb="FFFF0000"/>
      <name val="Times New Roman"/>
      <family val="1"/>
    </font>
    <font>
      <b/>
      <sz val="12"/>
      <name val="Times New Roman"/>
      <family val="1"/>
    </font>
    <font>
      <b/>
      <sz val="12"/>
      <color indexed="10"/>
      <name val="Times New Roman"/>
      <family val="1"/>
    </font>
    <font>
      <sz val="12"/>
      <color rgb="FFFF0000"/>
      <name val="Times New Roman"/>
      <family val="1"/>
    </font>
    <font>
      <strike/>
      <sz val="12"/>
      <name val="Times New Roman"/>
      <family val="1"/>
    </font>
    <font>
      <sz val="12"/>
      <color indexed="10"/>
      <name val="Times New Roman"/>
      <family val="1"/>
    </font>
    <font>
      <strike/>
      <sz val="12"/>
      <color indexed="10"/>
      <name val="Times New Roman"/>
      <family val="1"/>
    </font>
    <font>
      <sz val="10"/>
      <color theme="1"/>
      <name val="Arial"/>
      <family val="2"/>
    </font>
    <font>
      <b/>
      <sz val="10"/>
      <name val="Arial"/>
      <family val="2"/>
    </font>
    <font>
      <b/>
      <sz val="10"/>
      <color rgb="FF0000FF"/>
      <name val="Arial"/>
      <family val="2"/>
    </font>
    <font>
      <b/>
      <sz val="12"/>
      <name val="Arial MT"/>
    </font>
    <font>
      <b/>
      <sz val="10"/>
      <color theme="1"/>
      <name val="Arial"/>
      <family val="2"/>
    </font>
    <font>
      <i/>
      <sz val="10"/>
      <color rgb="FFFF0000"/>
      <name val="Arial"/>
      <family val="2"/>
    </font>
    <font>
      <u/>
      <sz val="10"/>
      <name val="Arial"/>
      <family val="2"/>
    </font>
    <font>
      <b/>
      <sz val="10"/>
      <color theme="3" tint="0.39997558519241921"/>
      <name val="Arial"/>
      <family val="2"/>
    </font>
    <font>
      <b/>
      <u/>
      <sz val="10"/>
      <name val="Arial"/>
      <family val="2"/>
    </font>
    <font>
      <sz val="11"/>
      <color rgb="FFFF0000"/>
      <name val="Calibri"/>
      <family val="2"/>
      <scheme val="minor"/>
    </font>
    <font>
      <sz val="10"/>
      <name val="Arial MT"/>
    </font>
    <font>
      <b/>
      <sz val="12"/>
      <name val="Arial"/>
      <family val="2"/>
    </font>
    <font>
      <sz val="12"/>
      <name val="Arial"/>
      <family val="2"/>
    </font>
    <font>
      <sz val="11"/>
      <name val="Calibri"/>
      <family val="2"/>
      <scheme val="minor"/>
    </font>
    <font>
      <b/>
      <u/>
      <sz val="12"/>
      <name val="Arial MT"/>
    </font>
    <font>
      <sz val="10"/>
      <name val="Arial Narrow"/>
      <family val="2"/>
    </font>
    <font>
      <b/>
      <sz val="10"/>
      <color indexed="9"/>
      <name val="Arial MT"/>
    </font>
    <font>
      <b/>
      <sz val="10"/>
      <color indexed="9"/>
      <name val="Arial"/>
      <family val="2"/>
    </font>
    <font>
      <sz val="14"/>
      <name val="Arial"/>
      <family val="2"/>
    </font>
    <font>
      <b/>
      <sz val="14"/>
      <name val="Arial"/>
      <family val="2"/>
    </font>
    <font>
      <b/>
      <sz val="10"/>
      <name val="Arial Narrow"/>
      <family val="2"/>
    </font>
    <font>
      <sz val="12"/>
      <color indexed="10"/>
      <name val="Arial MT"/>
    </font>
    <font>
      <sz val="12"/>
      <color indexed="10"/>
      <name val="Arial"/>
      <family val="2"/>
    </font>
    <font>
      <u/>
      <sz val="12"/>
      <name val="Arial"/>
      <family val="2"/>
    </font>
    <font>
      <sz val="12"/>
      <color indexed="17"/>
      <name val="Arial MT"/>
    </font>
    <font>
      <b/>
      <i/>
      <sz val="10"/>
      <color indexed="10"/>
      <name val="Arial"/>
      <family val="2"/>
    </font>
    <font>
      <sz val="10"/>
      <color rgb="FFFF0000"/>
      <name val="Arial"/>
      <family val="2"/>
    </font>
    <font>
      <b/>
      <i/>
      <sz val="10"/>
      <name val="Arial"/>
      <family val="2"/>
    </font>
    <font>
      <sz val="11"/>
      <color theme="1"/>
      <name val="Times New Roman"/>
      <family val="2"/>
    </font>
    <font>
      <i/>
      <sz val="11"/>
      <color rgb="FFFF0000"/>
      <name val="Times New Roman"/>
      <family val="1"/>
    </font>
    <font>
      <b/>
      <sz val="11"/>
      <color theme="1"/>
      <name val="Times New Roman"/>
      <family val="1"/>
    </font>
    <font>
      <b/>
      <sz val="14"/>
      <color theme="1"/>
      <name val="Times New Roman"/>
      <family val="1"/>
    </font>
    <font>
      <sz val="11"/>
      <color theme="1"/>
      <name val="Times New Roman"/>
      <family val="1"/>
    </font>
    <font>
      <sz val="11"/>
      <color theme="0"/>
      <name val="Calibri"/>
      <family val="2"/>
      <scheme val="minor"/>
    </font>
    <font>
      <b/>
      <vertAlign val="superscript"/>
      <sz val="12"/>
      <name val="Arial MT"/>
    </font>
    <font>
      <vertAlign val="superscript"/>
      <sz val="12"/>
      <name val="Arial"/>
      <family val="2"/>
    </font>
    <font>
      <sz val="10"/>
      <color theme="0"/>
      <name val="Arial MT"/>
    </font>
    <font>
      <sz val="12"/>
      <color rgb="FFFF0000"/>
      <name val="Arial MT"/>
    </font>
    <font>
      <u/>
      <sz val="11"/>
      <color theme="1"/>
      <name val="Calibri"/>
      <family val="2"/>
      <scheme val="minor"/>
    </font>
    <font>
      <vertAlign val="superscript"/>
      <sz val="12"/>
      <name val="Arial MT"/>
    </font>
    <font>
      <b/>
      <sz val="11"/>
      <name val="Calibri"/>
      <family val="2"/>
      <scheme val="minor"/>
    </font>
    <font>
      <sz val="10"/>
      <name val="Arial"/>
      <family val="2"/>
    </font>
    <font>
      <sz val="11"/>
      <color rgb="FF0000CC"/>
      <name val="Calibri"/>
      <family val="2"/>
      <scheme val="minor"/>
    </font>
    <font>
      <sz val="10"/>
      <name val="Arial"/>
      <family val="2"/>
    </font>
    <font>
      <sz val="12"/>
      <color rgb="FF0070C0"/>
      <name val="Times New Roman"/>
      <family val="1"/>
    </font>
    <font>
      <b/>
      <sz val="10"/>
      <color theme="0"/>
      <name val="Arial"/>
      <family val="2"/>
    </font>
    <font>
      <sz val="10"/>
      <name val="Arial"/>
    </font>
  </fonts>
  <fills count="12">
    <fill>
      <patternFill patternType="none"/>
    </fill>
    <fill>
      <patternFill patternType="gray125"/>
    </fill>
    <fill>
      <patternFill patternType="solid">
        <fgColor theme="0" tint="-0.14999847407452621"/>
        <bgColor indexed="64"/>
      </patternFill>
    </fill>
    <fill>
      <patternFill patternType="solid">
        <fgColor indexed="43"/>
        <bgColor indexed="64"/>
      </patternFill>
    </fill>
    <fill>
      <patternFill patternType="solid">
        <fgColor rgb="FFFFFF00"/>
        <bgColor indexed="64"/>
      </patternFill>
    </fill>
    <fill>
      <patternFill patternType="solid">
        <fgColor rgb="FFFFFF99"/>
        <bgColor indexed="64"/>
      </patternFill>
    </fill>
    <fill>
      <patternFill patternType="solid">
        <fgColor theme="0"/>
        <bgColor indexed="64"/>
      </patternFill>
    </fill>
    <fill>
      <patternFill patternType="solid">
        <fgColor indexed="47"/>
        <bgColor indexed="64"/>
      </patternFill>
    </fill>
    <fill>
      <patternFill patternType="solid">
        <fgColor indexed="9"/>
        <bgColor indexed="64"/>
      </patternFill>
    </fill>
    <fill>
      <patternFill patternType="solid">
        <fgColor indexed="8"/>
        <bgColor indexed="64"/>
      </patternFill>
    </fill>
    <fill>
      <patternFill patternType="solid">
        <fgColor theme="8"/>
      </patternFill>
    </fill>
    <fill>
      <patternFill patternType="solid">
        <fgColor theme="5" tint="0.39997558519241921"/>
        <bgColor indexed="64"/>
      </patternFill>
    </fill>
  </fills>
  <borders count="29">
    <border>
      <left/>
      <right/>
      <top/>
      <bottom/>
      <diagonal/>
    </border>
    <border>
      <left/>
      <right/>
      <top/>
      <bottom style="medium">
        <color indexed="64"/>
      </bottom>
      <diagonal/>
    </border>
    <border>
      <left/>
      <right/>
      <top/>
      <bottom style="double">
        <color indexed="64"/>
      </bottom>
      <diagonal/>
    </border>
    <border>
      <left/>
      <right/>
      <top/>
      <bottom style="thin">
        <color indexed="64"/>
      </bottom>
      <diagonal/>
    </border>
    <border>
      <left/>
      <right/>
      <top style="thin">
        <color indexed="64"/>
      </top>
      <bottom style="double">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bottom style="thin">
        <color indexed="22"/>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43">
    <xf numFmtId="0" fontId="0" fillId="0" borderId="0"/>
    <xf numFmtId="43" fontId="5" fillId="0" borderId="0" applyFont="0" applyFill="0" applyBorder="0" applyAlignment="0" applyProtection="0"/>
    <xf numFmtId="9" fontId="1" fillId="0" borderId="0" applyFont="0" applyFill="0" applyBorder="0" applyAlignment="0" applyProtection="0"/>
    <xf numFmtId="0" fontId="3" fillId="0" borderId="0"/>
    <xf numFmtId="0" fontId="5" fillId="0" borderId="0"/>
    <xf numFmtId="164" fontId="6" fillId="0" borderId="0" applyProtection="0"/>
    <xf numFmtId="0" fontId="5" fillId="0" borderId="0"/>
    <xf numFmtId="0" fontId="5" fillId="0" borderId="0"/>
    <xf numFmtId="164" fontId="6" fillId="0" borderId="0" applyProtection="0"/>
    <xf numFmtId="164" fontId="6" fillId="0" borderId="0" applyProtection="0"/>
    <xf numFmtId="0" fontId="1" fillId="0" borderId="0"/>
    <xf numFmtId="43" fontId="1"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9" fontId="5" fillId="0" borderId="0" applyFont="0" applyFill="0" applyBorder="0" applyAlignment="0" applyProtection="0"/>
    <xf numFmtId="0" fontId="3" fillId="0" borderId="0"/>
    <xf numFmtId="0" fontId="3" fillId="0" borderId="0"/>
    <xf numFmtId="0" fontId="3" fillId="0" borderId="0"/>
    <xf numFmtId="164" fontId="6" fillId="0" borderId="0" applyProtection="0"/>
    <xf numFmtId="164" fontId="6" fillId="0" borderId="0" applyProtection="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164" fontId="6" fillId="0" borderId="0" applyProtection="0"/>
    <xf numFmtId="0" fontId="3" fillId="0" borderId="0"/>
    <xf numFmtId="0" fontId="30" fillId="0" borderId="0">
      <alignment vertical="top"/>
    </xf>
    <xf numFmtId="44" fontId="3" fillId="0" borderId="0" applyFont="0" applyFill="0" applyBorder="0" applyAlignment="0" applyProtection="0"/>
    <xf numFmtId="0" fontId="30" fillId="0" borderId="0">
      <alignment vertical="top"/>
    </xf>
    <xf numFmtId="0" fontId="1" fillId="0" borderId="0"/>
    <xf numFmtId="0" fontId="43" fillId="0" borderId="0"/>
    <xf numFmtId="0" fontId="48" fillId="10" borderId="0" applyNumberFormat="0" applyBorder="0" applyAlignment="0" applyProtection="0"/>
    <xf numFmtId="164" fontId="6" fillId="0" borderId="0" applyProtection="0"/>
    <xf numFmtId="164" fontId="6" fillId="0" borderId="0" applyProtection="0"/>
    <xf numFmtId="0" fontId="1" fillId="0" borderId="0"/>
    <xf numFmtId="0" fontId="1" fillId="0" borderId="0"/>
    <xf numFmtId="0" fontId="1" fillId="0" borderId="0"/>
    <xf numFmtId="0" fontId="1" fillId="0" borderId="0"/>
    <xf numFmtId="43" fontId="3" fillId="0" borderId="0" applyFont="0" applyFill="0" applyBorder="0" applyAlignment="0" applyProtection="0"/>
    <xf numFmtId="0" fontId="56" fillId="0" borderId="0"/>
    <xf numFmtId="0" fontId="58" fillId="0" borderId="0"/>
    <xf numFmtId="43" fontId="1" fillId="0" borderId="0" applyFont="0" applyFill="0" applyBorder="0" applyAlignment="0" applyProtection="0"/>
    <xf numFmtId="0" fontId="61" fillId="0" borderId="0"/>
  </cellStyleXfs>
  <cellXfs count="989">
    <xf numFmtId="0" fontId="0" fillId="0" borderId="0" xfId="0"/>
    <xf numFmtId="0" fontId="4" fillId="0" borderId="0" xfId="3" applyFont="1"/>
    <xf numFmtId="0" fontId="4" fillId="0" borderId="0" xfId="5" applyNumberFormat="1" applyFont="1" applyAlignment="1" applyProtection="1">
      <protection locked="0"/>
    </xf>
    <xf numFmtId="0" fontId="4" fillId="0" borderId="0" xfId="5" applyNumberFormat="1" applyFont="1" applyAlignment="1" applyProtection="1">
      <alignment horizontal="left"/>
      <protection locked="0"/>
    </xf>
    <xf numFmtId="0" fontId="4" fillId="3" borderId="0" xfId="5" applyNumberFormat="1" applyFont="1" applyFill="1" applyAlignment="1" applyProtection="1">
      <protection locked="0"/>
    </xf>
    <xf numFmtId="0" fontId="4" fillId="3" borderId="0" xfId="5" applyNumberFormat="1" applyFont="1" applyFill="1" applyProtection="1">
      <protection locked="0"/>
    </xf>
    <xf numFmtId="0" fontId="4" fillId="3" borderId="0" xfId="3" applyNumberFormat="1" applyFont="1" applyFill="1" applyAlignment="1">
      <alignment horizontal="right"/>
    </xf>
    <xf numFmtId="0" fontId="4" fillId="0" borderId="0" xfId="5" applyNumberFormat="1" applyFont="1" applyProtection="1">
      <protection locked="0"/>
    </xf>
    <xf numFmtId="0" fontId="4" fillId="0" borderId="0" xfId="5" applyNumberFormat="1" applyFont="1" applyAlignment="1" applyProtection="1">
      <alignment horizontal="center"/>
      <protection locked="0"/>
    </xf>
    <xf numFmtId="0" fontId="4" fillId="0" borderId="1" xfId="5" applyNumberFormat="1" applyFont="1" applyBorder="1" applyAlignment="1" applyProtection="1">
      <alignment horizontal="center"/>
      <protection locked="0"/>
    </xf>
    <xf numFmtId="0" fontId="4" fillId="0" borderId="1" xfId="5" applyNumberFormat="1" applyFont="1" applyBorder="1" applyAlignment="1" applyProtection="1">
      <alignment horizontal="centerContinuous"/>
      <protection locked="0"/>
    </xf>
    <xf numFmtId="3" fontId="4" fillId="3" borderId="0" xfId="5" applyNumberFormat="1" applyFont="1" applyFill="1" applyAlignment="1"/>
    <xf numFmtId="0" fontId="4" fillId="0" borderId="0" xfId="5" applyNumberFormat="1" applyFont="1" applyFill="1" applyProtection="1">
      <protection locked="0"/>
    </xf>
    <xf numFmtId="167" fontId="4" fillId="3" borderId="0" xfId="5" applyNumberFormat="1" applyFont="1" applyFill="1" applyProtection="1">
      <protection locked="0"/>
    </xf>
    <xf numFmtId="167" fontId="4" fillId="0" borderId="0" xfId="5" applyNumberFormat="1" applyFont="1" applyProtection="1">
      <protection locked="0"/>
    </xf>
    <xf numFmtId="167" fontId="4" fillId="0" borderId="0" xfId="5" applyNumberFormat="1" applyFont="1" applyFill="1" applyProtection="1">
      <protection locked="0"/>
    </xf>
    <xf numFmtId="0" fontId="9" fillId="0" borderId="0" xfId="5" applyNumberFormat="1" applyFont="1" applyAlignment="1" applyProtection="1">
      <alignment horizontal="center"/>
      <protection locked="0"/>
    </xf>
    <xf numFmtId="3" fontId="4" fillId="3" borderId="1" xfId="5" applyNumberFormat="1" applyFont="1" applyFill="1" applyBorder="1" applyAlignment="1"/>
    <xf numFmtId="3" fontId="4" fillId="3" borderId="0" xfId="1" applyNumberFormat="1" applyFont="1" applyFill="1" applyAlignment="1"/>
    <xf numFmtId="3" fontId="4" fillId="3" borderId="0" xfId="1" applyNumberFormat="1" applyFont="1" applyFill="1" applyBorder="1" applyAlignment="1"/>
    <xf numFmtId="3" fontId="4" fillId="3" borderId="0" xfId="5" applyNumberFormat="1" applyFont="1" applyFill="1" applyBorder="1" applyAlignment="1"/>
    <xf numFmtId="171" fontId="4" fillId="0" borderId="0" xfId="5" applyNumberFormat="1" applyFont="1" applyAlignment="1" applyProtection="1">
      <alignment horizontal="left"/>
      <protection locked="0"/>
    </xf>
    <xf numFmtId="0" fontId="4" fillId="0" borderId="0" xfId="5" applyNumberFormat="1" applyFont="1" applyFill="1" applyAlignment="1" applyProtection="1">
      <protection locked="0"/>
    </xf>
    <xf numFmtId="0" fontId="4" fillId="0" borderId="1" xfId="5" applyNumberFormat="1" applyFont="1" applyFill="1" applyBorder="1" applyProtection="1">
      <protection locked="0"/>
    </xf>
    <xf numFmtId="165" fontId="4" fillId="0" borderId="0" xfId="5" applyNumberFormat="1" applyFont="1" applyAlignment="1" applyProtection="1">
      <alignment horizontal="center"/>
      <protection locked="0"/>
    </xf>
    <xf numFmtId="3" fontId="4" fillId="0" borderId="0" xfId="5" applyNumberFormat="1" applyFont="1" applyFill="1" applyAlignment="1" applyProtection="1">
      <alignment horizontal="center"/>
      <protection locked="0"/>
    </xf>
    <xf numFmtId="168" fontId="4" fillId="3" borderId="0" xfId="5" applyNumberFormat="1" applyFont="1" applyFill="1" applyAlignment="1"/>
    <xf numFmtId="0" fontId="4" fillId="0" borderId="0" xfId="5" applyNumberFormat="1" applyFont="1" applyBorder="1" applyAlignment="1" applyProtection="1">
      <alignment horizontal="center"/>
      <protection locked="0"/>
    </xf>
    <xf numFmtId="0" fontId="13" fillId="0" borderId="0" xfId="5" applyNumberFormat="1" applyFont="1" applyProtection="1">
      <protection locked="0"/>
    </xf>
    <xf numFmtId="38" fontId="4" fillId="3" borderId="0" xfId="5" applyNumberFormat="1" applyFont="1" applyFill="1" applyBorder="1" applyProtection="1">
      <protection locked="0"/>
    </xf>
    <xf numFmtId="0" fontId="4" fillId="0" borderId="0" xfId="5" applyNumberFormat="1" applyFont="1" applyBorder="1" applyProtection="1">
      <protection locked="0"/>
    </xf>
    <xf numFmtId="38" fontId="4" fillId="3" borderId="1" xfId="5" applyNumberFormat="1" applyFont="1" applyFill="1" applyBorder="1" applyProtection="1">
      <protection locked="0"/>
    </xf>
    <xf numFmtId="38" fontId="4" fillId="0" borderId="0" xfId="5" applyNumberFormat="1" applyFont="1" applyFill="1" applyBorder="1" applyProtection="1"/>
    <xf numFmtId="166" fontId="4" fillId="0" borderId="0" xfId="5" applyNumberFormat="1" applyFont="1" applyProtection="1">
      <protection locked="0"/>
    </xf>
    <xf numFmtId="3" fontId="4" fillId="0" borderId="0" xfId="5" applyNumberFormat="1" applyFont="1" applyAlignment="1" applyProtection="1"/>
    <xf numFmtId="0" fontId="4" fillId="0" borderId="0" xfId="5" applyNumberFormat="1" applyFont="1" applyBorder="1" applyAlignment="1" applyProtection="1">
      <protection locked="0"/>
    </xf>
    <xf numFmtId="3" fontId="4" fillId="0" borderId="0" xfId="5" applyNumberFormat="1" applyFont="1" applyFill="1" applyAlignment="1" applyProtection="1">
      <alignment horizontal="right"/>
      <protection locked="0"/>
    </xf>
    <xf numFmtId="3" fontId="4" fillId="0" borderId="0" xfId="5" applyNumberFormat="1" applyFont="1" applyFill="1" applyAlignment="1" applyProtection="1"/>
    <xf numFmtId="164" fontId="4" fillId="0" borderId="0" xfId="5" applyNumberFormat="1" applyFont="1" applyAlignment="1" applyProtection="1">
      <protection locked="0"/>
    </xf>
    <xf numFmtId="174" fontId="4" fillId="0" borderId="0" xfId="5" applyNumberFormat="1" applyFont="1" applyProtection="1">
      <protection locked="0"/>
    </xf>
    <xf numFmtId="0" fontId="4" fillId="0" borderId="0" xfId="5" applyNumberFormat="1" applyFont="1" applyAlignment="1" applyProtection="1">
      <alignment horizontal="left" indent="8"/>
      <protection locked="0"/>
    </xf>
    <xf numFmtId="0" fontId="4" fillId="0" borderId="0" xfId="5" applyNumberFormat="1" applyFont="1" applyAlignment="1" applyProtection="1">
      <alignment vertical="top" wrapText="1"/>
      <protection locked="0"/>
    </xf>
    <xf numFmtId="0" fontId="4" fillId="0" borderId="0" xfId="5" applyNumberFormat="1" applyFont="1" applyAlignment="1" applyProtection="1">
      <alignment horizontal="center" vertical="top" wrapText="1"/>
      <protection locked="0"/>
    </xf>
    <xf numFmtId="10" fontId="4" fillId="3" borderId="0" xfId="5" applyNumberFormat="1" applyFont="1" applyFill="1" applyProtection="1">
      <protection locked="0"/>
    </xf>
    <xf numFmtId="10" fontId="12" fillId="0" borderId="0" xfId="5" applyNumberFormat="1" applyFont="1" applyFill="1" applyProtection="1">
      <protection locked="0"/>
    </xf>
    <xf numFmtId="0" fontId="4" fillId="0" borderId="0" xfId="5" applyNumberFormat="1" applyFont="1" applyFill="1" applyAlignment="1" applyProtection="1">
      <alignment horizontal="center" vertical="top" wrapText="1"/>
      <protection locked="0"/>
    </xf>
    <xf numFmtId="0" fontId="4" fillId="0" borderId="0" xfId="3" applyFont="1" applyFill="1"/>
    <xf numFmtId="174" fontId="18" fillId="0" borderId="0" xfId="9" applyNumberFormat="1" applyFont="1" applyFill="1" applyBorder="1" applyAlignment="1">
      <alignment horizontal="center" wrapText="1"/>
    </xf>
    <xf numFmtId="0" fontId="5" fillId="0" borderId="3" xfId="12" applyFont="1" applyFill="1" applyBorder="1" applyAlignment="1">
      <alignment horizontal="center"/>
    </xf>
    <xf numFmtId="0" fontId="5" fillId="0" borderId="5" xfId="12" applyBorder="1"/>
    <xf numFmtId="0" fontId="5" fillId="0" borderId="0" xfId="12" applyFill="1"/>
    <xf numFmtId="170" fontId="0" fillId="0" borderId="0" xfId="1" applyNumberFormat="1" applyFont="1" applyFill="1"/>
    <xf numFmtId="0" fontId="0" fillId="0" borderId="0" xfId="0" applyAlignment="1">
      <alignment horizontal="center"/>
    </xf>
    <xf numFmtId="0" fontId="2" fillId="0" borderId="0" xfId="0" applyFont="1" applyAlignment="1">
      <alignment horizontal="center" wrapText="1"/>
    </xf>
    <xf numFmtId="0" fontId="16" fillId="0" borderId="0" xfId="7" applyFont="1" applyFill="1"/>
    <xf numFmtId="0" fontId="5" fillId="0" borderId="0" xfId="7" applyFill="1"/>
    <xf numFmtId="0" fontId="5" fillId="0" borderId="0" xfId="7" applyFont="1" applyFill="1"/>
    <xf numFmtId="0" fontId="16" fillId="0" borderId="0" xfId="7" applyFont="1" applyFill="1" applyAlignment="1">
      <alignment horizontal="center" vertical="center"/>
    </xf>
    <xf numFmtId="0" fontId="16" fillId="0" borderId="0" xfId="7" applyFont="1" applyFill="1" applyAlignment="1">
      <alignment horizontal="center" vertical="center" wrapText="1"/>
    </xf>
    <xf numFmtId="0" fontId="16" fillId="0" borderId="0" xfId="7" applyFont="1" applyFill="1" applyAlignment="1">
      <alignment horizontal="center"/>
    </xf>
    <xf numFmtId="0" fontId="5" fillId="0" borderId="3" xfId="7" applyFont="1" applyFill="1" applyBorder="1" applyAlignment="1">
      <alignment vertical="center"/>
    </xf>
    <xf numFmtId="0" fontId="5" fillId="0" borderId="0" xfId="7" applyFont="1" applyFill="1" applyAlignment="1">
      <alignment horizontal="center"/>
    </xf>
    <xf numFmtId="164" fontId="6" fillId="0" borderId="0" xfId="8" applyFill="1" applyAlignment="1"/>
    <xf numFmtId="0" fontId="16" fillId="0" borderId="0" xfId="7" applyFont="1" applyFill="1" applyAlignment="1">
      <alignment horizontal="centerContinuous" vertical="center"/>
    </xf>
    <xf numFmtId="0" fontId="16" fillId="0" borderId="0" xfId="7" applyFont="1" applyFill="1" applyAlignment="1">
      <alignment horizontal="centerContinuous" vertical="center" wrapText="1"/>
    </xf>
    <xf numFmtId="164" fontId="6" fillId="0" borderId="0" xfId="8" applyFont="1" applyFill="1" applyAlignment="1"/>
    <xf numFmtId="0" fontId="16" fillId="0" borderId="0" xfId="7" applyFont="1" applyFill="1" applyBorder="1"/>
    <xf numFmtId="0" fontId="5" fillId="0" borderId="0" xfId="7" applyFill="1" applyBorder="1"/>
    <xf numFmtId="164" fontId="6" fillId="0" borderId="0" xfId="8" applyFill="1" applyBorder="1" applyAlignment="1"/>
    <xf numFmtId="0" fontId="15" fillId="0" borderId="0" xfId="10" applyFont="1" applyFill="1"/>
    <xf numFmtId="170" fontId="15" fillId="0" borderId="0" xfId="11" applyNumberFormat="1" applyFont="1" applyFill="1"/>
    <xf numFmtId="0" fontId="19" fillId="0" borderId="0" xfId="10" applyFont="1" applyFill="1" applyAlignment="1">
      <alignment horizontal="center" vertical="center" wrapText="1"/>
    </xf>
    <xf numFmtId="0" fontId="15" fillId="0" borderId="3" xfId="10" applyFont="1" applyFill="1" applyBorder="1"/>
    <xf numFmtId="0" fontId="15" fillId="0" borderId="3" xfId="10" applyFont="1" applyFill="1" applyBorder="1" applyAlignment="1">
      <alignment horizontal="center"/>
    </xf>
    <xf numFmtId="0" fontId="15" fillId="0" borderId="0" xfId="10" applyFont="1" applyFill="1" applyAlignment="1">
      <alignment horizontal="center"/>
    </xf>
    <xf numFmtId="170" fontId="15" fillId="0" borderId="0" xfId="10" applyNumberFormat="1" applyFont="1" applyFill="1"/>
    <xf numFmtId="0" fontId="5" fillId="0" borderId="5" xfId="7" applyFont="1" applyFill="1" applyBorder="1" applyAlignment="1">
      <alignment horizontal="right"/>
    </xf>
    <xf numFmtId="0" fontId="15" fillId="0" borderId="5" xfId="10" applyFont="1" applyFill="1" applyBorder="1"/>
    <xf numFmtId="0" fontId="16" fillId="0" borderId="0" xfId="12" applyFont="1" applyFill="1" applyAlignment="1">
      <alignment horizontal="center" vertical="top" wrapText="1"/>
    </xf>
    <xf numFmtId="0" fontId="5" fillId="0" borderId="3" xfId="12" applyFont="1" applyFill="1" applyBorder="1"/>
    <xf numFmtId="0" fontId="5" fillId="0" borderId="0" xfId="12" applyFont="1" applyFill="1"/>
    <xf numFmtId="0" fontId="5" fillId="0" borderId="5" xfId="12" applyFill="1" applyBorder="1"/>
    <xf numFmtId="175" fontId="0" fillId="0" borderId="5" xfId="13" applyNumberFormat="1" applyFont="1" applyFill="1" applyBorder="1"/>
    <xf numFmtId="0" fontId="16" fillId="0" borderId="0" xfId="12" applyFont="1" applyFill="1"/>
    <xf numFmtId="0" fontId="5" fillId="0" borderId="0" xfId="12" applyFill="1" applyAlignment="1">
      <alignment horizontal="center"/>
    </xf>
    <xf numFmtId="0" fontId="16" fillId="0" borderId="0" xfId="12" applyFont="1" applyFill="1" applyAlignment="1">
      <alignment horizontal="center"/>
    </xf>
    <xf numFmtId="0" fontId="5" fillId="0" borderId="0" xfId="12" applyFont="1" applyFill="1" applyAlignment="1">
      <alignment horizontal="center"/>
    </xf>
    <xf numFmtId="10" fontId="5" fillId="0" borderId="0" xfId="12" applyNumberFormat="1" applyFill="1"/>
    <xf numFmtId="0" fontId="5" fillId="0" borderId="0" xfId="14" applyFill="1"/>
    <xf numFmtId="0" fontId="5" fillId="0" borderId="0" xfId="14" applyFill="1" applyAlignment="1">
      <alignment horizontal="right"/>
    </xf>
    <xf numFmtId="0" fontId="16" fillId="0" borderId="0" xfId="14" applyFont="1" applyFill="1"/>
    <xf numFmtId="0" fontId="5" fillId="0" borderId="0" xfId="12" applyFill="1" applyAlignment="1">
      <alignment horizontal="center" vertical="top" wrapText="1"/>
    </xf>
    <xf numFmtId="170" fontId="5" fillId="0" borderId="0" xfId="1" applyNumberFormat="1" applyFont="1" applyFill="1" applyAlignment="1">
      <alignment horizontal="right"/>
    </xf>
    <xf numFmtId="0" fontId="20" fillId="0" borderId="0" xfId="12" applyFont="1" applyFill="1"/>
    <xf numFmtId="0" fontId="5" fillId="0" borderId="0" xfId="6" applyFont="1" applyFill="1" applyAlignment="1"/>
    <xf numFmtId="0" fontId="21" fillId="0" borderId="0" xfId="6" applyFont="1" applyFill="1" applyBorder="1"/>
    <xf numFmtId="177" fontId="20" fillId="0" borderId="0" xfId="15" applyNumberFormat="1" applyFont="1" applyFill="1"/>
    <xf numFmtId="178" fontId="20" fillId="0" borderId="0" xfId="15" applyNumberFormat="1" applyFont="1" applyFill="1"/>
    <xf numFmtId="0" fontId="5" fillId="0" borderId="0" xfId="6" applyFill="1"/>
    <xf numFmtId="0" fontId="5" fillId="0" borderId="0" xfId="6" applyFont="1" applyFill="1" applyAlignment="1">
      <alignment horizontal="right"/>
    </xf>
    <xf numFmtId="0" fontId="5" fillId="0" borderId="0" xfId="12" applyFill="1" applyAlignment="1">
      <alignment vertical="top"/>
    </xf>
    <xf numFmtId="0" fontId="3" fillId="0" borderId="0" xfId="12" applyNumberFormat="1" applyFont="1" applyFill="1" applyAlignment="1">
      <alignment horizontal="center"/>
    </xf>
    <xf numFmtId="180" fontId="0" fillId="0" borderId="0" xfId="0" applyNumberFormat="1"/>
    <xf numFmtId="180" fontId="0" fillId="0" borderId="0" xfId="0" applyNumberFormat="1" applyAlignment="1">
      <alignment horizontal="center"/>
    </xf>
    <xf numFmtId="0" fontId="0" fillId="0" borderId="0" xfId="0" applyNumberFormat="1"/>
    <xf numFmtId="181" fontId="0" fillId="0" borderId="0" xfId="0" applyNumberFormat="1"/>
    <xf numFmtId="10" fontId="0" fillId="0" borderId="0" xfId="2" applyNumberFormat="1" applyFont="1"/>
    <xf numFmtId="10" fontId="0" fillId="0" borderId="5" xfId="2" applyNumberFormat="1" applyFont="1" applyBorder="1"/>
    <xf numFmtId="170" fontId="0" fillId="0" borderId="5" xfId="11" applyNumberFormat="1" applyFont="1" applyBorder="1"/>
    <xf numFmtId="10" fontId="22" fillId="0" borderId="0" xfId="2" applyNumberFormat="1" applyFont="1" applyAlignment="1">
      <alignment horizontal="center"/>
    </xf>
    <xf numFmtId="171" fontId="22" fillId="0" borderId="0" xfId="2" applyNumberFormat="1" applyFont="1" applyAlignment="1">
      <alignment horizontal="center"/>
    </xf>
    <xf numFmtId="170" fontId="22" fillId="0" borderId="0" xfId="11" applyNumberFormat="1" applyFont="1" applyAlignment="1">
      <alignment horizontal="center"/>
    </xf>
    <xf numFmtId="179" fontId="22" fillId="0" borderId="0" xfId="2" applyNumberFormat="1" applyFont="1" applyAlignment="1">
      <alignment horizontal="center"/>
    </xf>
    <xf numFmtId="0" fontId="22" fillId="0" borderId="0" xfId="17" applyFont="1" applyAlignment="1">
      <alignment horizontal="center"/>
    </xf>
    <xf numFmtId="0" fontId="3" fillId="0" borderId="0" xfId="17"/>
    <xf numFmtId="0" fontId="23" fillId="0" borderId="0" xfId="17" applyFont="1" applyAlignment="1">
      <alignment horizontal="center" wrapText="1"/>
    </xf>
    <xf numFmtId="171" fontId="23" fillId="0" borderId="0" xfId="17" applyNumberFormat="1" applyFont="1" applyAlignment="1">
      <alignment horizontal="center" wrapText="1"/>
    </xf>
    <xf numFmtId="0" fontId="23" fillId="0" borderId="0" xfId="17" quotePrefix="1" applyFont="1" applyAlignment="1">
      <alignment horizontal="center" wrapText="1"/>
    </xf>
    <xf numFmtId="0" fontId="23" fillId="0" borderId="0" xfId="17" applyFont="1"/>
    <xf numFmtId="0" fontId="17" fillId="0" borderId="0" xfId="18" applyFont="1"/>
    <xf numFmtId="0" fontId="16" fillId="0" borderId="0" xfId="18" applyFont="1" applyAlignment="1">
      <alignment horizontal="left"/>
    </xf>
    <xf numFmtId="0" fontId="16" fillId="0" borderId="0" xfId="18" applyFont="1"/>
    <xf numFmtId="170" fontId="4" fillId="0" borderId="0" xfId="1" applyNumberFormat="1" applyFont="1"/>
    <xf numFmtId="164" fontId="6" fillId="0" borderId="0" xfId="19" applyFont="1" applyFill="1" applyBorder="1" applyAlignment="1"/>
    <xf numFmtId="164" fontId="6" fillId="0" borderId="0" xfId="19" applyFont="1" applyFill="1" applyBorder="1" applyAlignment="1">
      <alignment vertical="top"/>
    </xf>
    <xf numFmtId="164" fontId="25" fillId="0" borderId="0" xfId="19" applyFont="1" applyFill="1" applyBorder="1" applyAlignment="1"/>
    <xf numFmtId="164" fontId="25" fillId="0" borderId="0" xfId="19" applyFont="1" applyFill="1" applyBorder="1" applyAlignment="1">
      <alignment vertical="top"/>
    </xf>
    <xf numFmtId="10" fontId="26" fillId="0" borderId="0" xfId="19" applyNumberFormat="1" applyFont="1" applyFill="1" applyBorder="1" applyAlignment="1"/>
    <xf numFmtId="3" fontId="27" fillId="0" borderId="0" xfId="19" applyNumberFormat="1" applyFont="1" applyFill="1" applyBorder="1" applyAlignment="1"/>
    <xf numFmtId="164" fontId="27" fillId="0" borderId="0" xfId="19" applyFont="1" applyFill="1" applyBorder="1" applyAlignment="1"/>
    <xf numFmtId="10" fontId="27" fillId="0" borderId="0" xfId="19" applyNumberFormat="1" applyFont="1" applyFill="1" applyBorder="1" applyAlignment="1"/>
    <xf numFmtId="164" fontId="27" fillId="0" borderId="0" xfId="19" applyFont="1" applyFill="1" applyBorder="1" applyAlignment="1">
      <alignment horizontal="center"/>
    </xf>
    <xf numFmtId="49" fontId="6" fillId="0" borderId="0" xfId="19" applyNumberFormat="1" applyFont="1" applyFill="1" applyBorder="1" applyAlignment="1">
      <alignment horizontal="center"/>
    </xf>
    <xf numFmtId="49" fontId="4" fillId="0" borderId="0" xfId="19" applyNumberFormat="1" applyFont="1" applyFill="1" applyBorder="1" applyAlignment="1">
      <alignment horizontal="center"/>
    </xf>
    <xf numFmtId="164" fontId="4" fillId="0" borderId="0" xfId="19" applyFont="1" applyFill="1" applyBorder="1" applyAlignment="1"/>
    <xf numFmtId="49" fontId="4" fillId="0" borderId="0" xfId="19" applyNumberFormat="1" applyFont="1" applyFill="1" applyBorder="1" applyAlignment="1">
      <alignment horizontal="left"/>
    </xf>
    <xf numFmtId="164" fontId="6" fillId="0" borderId="0" xfId="20" applyFont="1" applyFill="1" applyBorder="1" applyAlignment="1"/>
    <xf numFmtId="164" fontId="6" fillId="0" borderId="0" xfId="20" applyFont="1" applyFill="1" applyBorder="1" applyAlignment="1">
      <alignment vertical="top"/>
    </xf>
    <xf numFmtId="164" fontId="25" fillId="0" borderId="0" xfId="20" applyFont="1" applyFill="1" applyBorder="1" applyAlignment="1"/>
    <xf numFmtId="164" fontId="6" fillId="0" borderId="0" xfId="20" applyFont="1" applyFill="1" applyBorder="1" applyAlignment="1">
      <alignment horizontal="center" vertical="top"/>
    </xf>
    <xf numFmtId="164" fontId="6" fillId="0" borderId="0" xfId="19" applyFont="1" applyFill="1" applyBorder="1" applyAlignment="1">
      <alignment horizontal="center"/>
    </xf>
    <xf numFmtId="164" fontId="6" fillId="0" borderId="0" xfId="19" applyFont="1" applyFill="1" applyBorder="1" applyAlignment="1">
      <alignment horizontal="center" vertical="top"/>
    </xf>
    <xf numFmtId="164" fontId="27" fillId="0" borderId="1" xfId="19" applyFont="1" applyFill="1" applyBorder="1" applyAlignment="1"/>
    <xf numFmtId="174" fontId="27" fillId="0" borderId="0" xfId="19" applyNumberFormat="1" applyFont="1" applyFill="1" applyBorder="1" applyAlignment="1"/>
    <xf numFmtId="1" fontId="27" fillId="0" borderId="0" xfId="21" applyNumberFormat="1" applyFont="1" applyFill="1" applyBorder="1" applyAlignment="1">
      <alignment horizontal="center"/>
    </xf>
    <xf numFmtId="164" fontId="3" fillId="0" borderId="0" xfId="19" applyFont="1" applyFill="1" applyBorder="1" applyAlignment="1"/>
    <xf numFmtId="170" fontId="6" fillId="0" borderId="0" xfId="21" applyNumberFormat="1" applyFont="1" applyFill="1" applyBorder="1" applyAlignment="1"/>
    <xf numFmtId="182" fontId="27" fillId="0" borderId="0" xfId="19" applyNumberFormat="1" applyFont="1" applyFill="1" applyBorder="1" applyAlignment="1"/>
    <xf numFmtId="0" fontId="27" fillId="0" borderId="0" xfId="19" applyNumberFormat="1" applyFont="1" applyFill="1" applyBorder="1" applyAlignment="1"/>
    <xf numFmtId="49" fontId="27" fillId="0" borderId="0" xfId="19" applyNumberFormat="1" applyFont="1" applyFill="1" applyBorder="1" applyAlignment="1">
      <alignment horizontal="center"/>
    </xf>
    <xf numFmtId="0" fontId="25" fillId="0" borderId="0" xfId="20" applyNumberFormat="1" applyFont="1" applyFill="1" applyBorder="1" applyAlignment="1">
      <alignment horizontal="center" vertical="top"/>
    </xf>
    <xf numFmtId="170" fontId="18" fillId="0" borderId="0" xfId="21" applyNumberFormat="1" applyFont="1" applyFill="1" applyBorder="1" applyAlignment="1"/>
    <xf numFmtId="0" fontId="6" fillId="0" borderId="0" xfId="19" applyNumberFormat="1" applyFont="1" applyFill="1" applyBorder="1" applyAlignment="1"/>
    <xf numFmtId="3" fontId="6" fillId="0" borderId="0" xfId="19" applyNumberFormat="1" applyFont="1" applyFill="1" applyBorder="1" applyAlignment="1"/>
    <xf numFmtId="0" fontId="6" fillId="0" borderId="0" xfId="19" applyNumberFormat="1" applyFont="1" applyFill="1" applyBorder="1" applyAlignment="1">
      <alignment vertical="top"/>
    </xf>
    <xf numFmtId="3" fontId="27" fillId="0" borderId="8" xfId="19" applyNumberFormat="1" applyFont="1" applyFill="1" applyBorder="1" applyAlignment="1"/>
    <xf numFmtId="0" fontId="27" fillId="0" borderId="8" xfId="19" applyNumberFormat="1" applyFont="1" applyFill="1" applyBorder="1"/>
    <xf numFmtId="0" fontId="27" fillId="0" borderId="0" xfId="20" applyNumberFormat="1" applyFont="1" applyFill="1" applyBorder="1"/>
    <xf numFmtId="0" fontId="27" fillId="0" borderId="0" xfId="19" applyNumberFormat="1" applyFont="1" applyFill="1" applyBorder="1"/>
    <xf numFmtId="0" fontId="27" fillId="0" borderId="9" xfId="19" applyNumberFormat="1" applyFont="1" applyFill="1" applyBorder="1"/>
    <xf numFmtId="164" fontId="6" fillId="0" borderId="0" xfId="19" applyFont="1" applyFill="1" applyBorder="1" applyAlignment="1">
      <alignment horizontal="center" vertical="center" wrapText="1"/>
    </xf>
    <xf numFmtId="0" fontId="6" fillId="0" borderId="0" xfId="19" applyNumberFormat="1" applyFont="1" applyFill="1" applyBorder="1" applyAlignment="1">
      <alignment horizontal="center" vertical="center" wrapText="1"/>
    </xf>
    <xf numFmtId="3" fontId="27" fillId="0" borderId="10" xfId="19" applyNumberFormat="1" applyFont="1" applyFill="1" applyBorder="1" applyAlignment="1">
      <alignment horizontal="center" wrapText="1"/>
    </xf>
    <xf numFmtId="3" fontId="27" fillId="0" borderId="11" xfId="19" applyNumberFormat="1" applyFont="1" applyFill="1" applyBorder="1" applyAlignment="1">
      <alignment horizontal="center"/>
    </xf>
    <xf numFmtId="0" fontId="27" fillId="0" borderId="10" xfId="19" applyNumberFormat="1" applyFont="1" applyFill="1" applyBorder="1" applyAlignment="1">
      <alignment horizontal="center" wrapText="1"/>
    </xf>
    <xf numFmtId="0" fontId="27" fillId="0" borderId="11" xfId="20" applyNumberFormat="1" applyFont="1" applyFill="1" applyBorder="1" applyAlignment="1">
      <alignment horizontal="center" wrapText="1"/>
    </xf>
    <xf numFmtId="0" fontId="27" fillId="0" borderId="11" xfId="19" applyNumberFormat="1" applyFont="1" applyFill="1" applyBorder="1" applyAlignment="1">
      <alignment horizontal="center"/>
    </xf>
    <xf numFmtId="0" fontId="27" fillId="0" borderId="10" xfId="19" applyNumberFormat="1" applyFont="1" applyFill="1" applyBorder="1" applyAlignment="1">
      <alignment horizontal="center"/>
    </xf>
    <xf numFmtId="0" fontId="27" fillId="0" borderId="11" xfId="19" applyNumberFormat="1" applyFont="1" applyFill="1" applyBorder="1"/>
    <xf numFmtId="0" fontId="27" fillId="0" borderId="12" xfId="19" applyNumberFormat="1" applyFont="1" applyFill="1" applyBorder="1"/>
    <xf numFmtId="3" fontId="18" fillId="0" borderId="0" xfId="19" applyNumberFormat="1" applyFont="1" applyFill="1" applyBorder="1" applyAlignment="1"/>
    <xf numFmtId="3" fontId="26" fillId="0" borderId="10" xfId="19" applyNumberFormat="1" applyFont="1" applyFill="1" applyBorder="1" applyAlignment="1">
      <alignment horizontal="center" wrapText="1"/>
    </xf>
    <xf numFmtId="3" fontId="26" fillId="0" borderId="11" xfId="19" applyNumberFormat="1" applyFont="1" applyFill="1" applyBorder="1" applyAlignment="1">
      <alignment horizontal="center" wrapText="1"/>
    </xf>
    <xf numFmtId="0" fontId="26" fillId="0" borderId="11" xfId="20" applyNumberFormat="1" applyFont="1" applyFill="1" applyBorder="1" applyAlignment="1">
      <alignment horizontal="center" wrapText="1"/>
    </xf>
    <xf numFmtId="0" fontId="26" fillId="0" borderId="11" xfId="19" applyNumberFormat="1" applyFont="1" applyFill="1" applyBorder="1" applyAlignment="1">
      <alignment horizontal="center" wrapText="1"/>
    </xf>
    <xf numFmtId="164" fontId="18" fillId="0" borderId="10" xfId="19" applyFont="1" applyFill="1" applyBorder="1" applyAlignment="1">
      <alignment horizontal="center" wrapText="1"/>
    </xf>
    <xf numFmtId="164" fontId="18" fillId="0" borderId="11" xfId="19" applyFont="1" applyFill="1" applyBorder="1" applyAlignment="1">
      <alignment horizontal="center" wrapText="1"/>
    </xf>
    <xf numFmtId="164" fontId="18" fillId="0" borderId="11" xfId="19" applyFont="1" applyFill="1" applyBorder="1" applyAlignment="1"/>
    <xf numFmtId="164" fontId="18" fillId="0" borderId="12" xfId="19" applyFont="1" applyFill="1" applyBorder="1" applyAlignment="1">
      <alignment horizontal="center" wrapText="1"/>
    </xf>
    <xf numFmtId="183" fontId="26" fillId="0" borderId="0" xfId="19" applyNumberFormat="1" applyFont="1" applyFill="1" applyBorder="1" applyAlignment="1">
      <alignment horizontal="center"/>
    </xf>
    <xf numFmtId="0" fontId="6" fillId="0" borderId="0" xfId="19" applyNumberFormat="1" applyFont="1" applyFill="1" applyBorder="1" applyAlignment="1" applyProtection="1">
      <alignment horizontal="center"/>
      <protection locked="0"/>
    </xf>
    <xf numFmtId="0" fontId="26" fillId="0" borderId="0" xfId="19" applyNumberFormat="1" applyFont="1" applyFill="1" applyBorder="1" applyAlignment="1"/>
    <xf numFmtId="164" fontId="4" fillId="0" borderId="0" xfId="19" applyFont="1" applyFill="1" applyBorder="1" applyAlignment="1">
      <alignment horizontal="right"/>
    </xf>
    <xf numFmtId="164" fontId="27" fillId="0" borderId="0" xfId="19" applyFont="1" applyFill="1" applyBorder="1" applyAlignment="1">
      <alignment horizontal="right"/>
    </xf>
    <xf numFmtId="164" fontId="6" fillId="0" borderId="0" xfId="19" applyFont="1" applyFill="1" applyBorder="1" applyAlignment="1">
      <alignment horizontal="right"/>
    </xf>
    <xf numFmtId="0" fontId="6" fillId="0" borderId="0" xfId="19" applyNumberFormat="1" applyFont="1" applyFill="1" applyBorder="1" applyAlignment="1">
      <alignment horizontal="center"/>
    </xf>
    <xf numFmtId="3" fontId="6" fillId="0" borderId="0" xfId="19" applyNumberFormat="1" applyFont="1" applyFill="1" applyBorder="1" applyAlignment="1">
      <alignment vertical="top"/>
    </xf>
    <xf numFmtId="3" fontId="6" fillId="0" borderId="0" xfId="19" applyNumberFormat="1" applyFont="1" applyFill="1" applyBorder="1" applyAlignment="1">
      <alignment horizontal="center"/>
    </xf>
    <xf numFmtId="0" fontId="6" fillId="0" borderId="0" xfId="19" applyNumberFormat="1" applyFont="1" applyFill="1" applyBorder="1" applyAlignment="1">
      <alignment horizontal="right"/>
    </xf>
    <xf numFmtId="49" fontId="6" fillId="0" borderId="0" xfId="19" applyNumberFormat="1" applyFont="1" applyFill="1" applyBorder="1" applyAlignment="1">
      <alignment horizontal="left"/>
    </xf>
    <xf numFmtId="0" fontId="4" fillId="0" borderId="0" xfId="19" applyNumberFormat="1" applyFont="1" applyFill="1" applyBorder="1" applyAlignment="1">
      <alignment horizontal="right"/>
    </xf>
    <xf numFmtId="171" fontId="27" fillId="0" borderId="0" xfId="19" applyNumberFormat="1" applyFont="1" applyFill="1" applyBorder="1" applyAlignment="1">
      <alignment horizontal="center"/>
    </xf>
    <xf numFmtId="10" fontId="26" fillId="0" borderId="0" xfId="23" applyNumberFormat="1" applyFont="1" applyFill="1" applyBorder="1" applyAlignment="1"/>
    <xf numFmtId="3" fontId="26" fillId="0" borderId="0" xfId="19" applyNumberFormat="1" applyFont="1" applyFill="1" applyBorder="1" applyAlignment="1"/>
    <xf numFmtId="3" fontId="26" fillId="0" borderId="0" xfId="19" applyNumberFormat="1" applyFont="1" applyFill="1" applyBorder="1" applyAlignment="1">
      <alignment horizontal="center"/>
    </xf>
    <xf numFmtId="164" fontId="18" fillId="0" borderId="0" xfId="19" applyFont="1" applyFill="1" applyBorder="1" applyAlignment="1"/>
    <xf numFmtId="49" fontId="18" fillId="0" borderId="0" xfId="19" applyNumberFormat="1" applyFont="1" applyFill="1" applyBorder="1" applyAlignment="1">
      <alignment horizontal="center"/>
    </xf>
    <xf numFmtId="3" fontId="27" fillId="0" borderId="0" xfId="19" applyNumberFormat="1" applyFont="1" applyFill="1" applyBorder="1" applyAlignment="1">
      <alignment horizontal="center"/>
    </xf>
    <xf numFmtId="174" fontId="6" fillId="0" borderId="0" xfId="19" applyNumberFormat="1" applyFont="1" applyFill="1" applyBorder="1" applyAlignment="1">
      <alignment vertical="top"/>
    </xf>
    <xf numFmtId="10" fontId="28" fillId="0" borderId="0" xfId="23" applyNumberFormat="1" applyFont="1" applyFill="1" applyBorder="1" applyAlignment="1"/>
    <xf numFmtId="10" fontId="27" fillId="0" borderId="0" xfId="23" applyNumberFormat="1" applyFont="1" applyFill="1" applyBorder="1" applyAlignment="1"/>
    <xf numFmtId="3" fontId="27" fillId="3" borderId="0" xfId="20" applyNumberFormat="1" applyFont="1" applyFill="1" applyBorder="1" applyAlignment="1"/>
    <xf numFmtId="0" fontId="6" fillId="0" borderId="0" xfId="19" applyNumberFormat="1" applyFont="1" applyFill="1" applyBorder="1"/>
    <xf numFmtId="0" fontId="6" fillId="0" borderId="0" xfId="19" applyNumberFormat="1" applyFont="1" applyFill="1" applyBorder="1" applyAlignment="1">
      <alignment horizontal="fill" vertical="top"/>
    </xf>
    <xf numFmtId="169" fontId="26" fillId="0" borderId="0" xfId="19" applyNumberFormat="1" applyFont="1" applyFill="1" applyBorder="1" applyAlignment="1">
      <alignment vertical="top"/>
    </xf>
    <xf numFmtId="3" fontId="6" fillId="0" borderId="0" xfId="19" applyNumberFormat="1" applyFont="1" applyFill="1" applyBorder="1" applyAlignment="1">
      <alignment horizontal="center" vertical="top"/>
    </xf>
    <xf numFmtId="0" fontId="26" fillId="0" borderId="0" xfId="19" applyNumberFormat="1" applyFont="1" applyFill="1" applyBorder="1" applyAlignment="1">
      <alignment horizontal="center"/>
    </xf>
    <xf numFmtId="3" fontId="27" fillId="0" borderId="0" xfId="19" applyNumberFormat="1" applyFont="1" applyFill="1" applyBorder="1" applyAlignment="1">
      <alignment vertical="top"/>
    </xf>
    <xf numFmtId="3" fontId="27" fillId="0" borderId="5" xfId="20" applyNumberFormat="1" applyFont="1" applyFill="1" applyBorder="1" applyAlignment="1"/>
    <xf numFmtId="3" fontId="27" fillId="5" borderId="0" xfId="19" applyNumberFormat="1" applyFont="1" applyFill="1" applyBorder="1" applyAlignment="1"/>
    <xf numFmtId="0" fontId="29" fillId="0" borderId="0" xfId="19" applyNumberFormat="1" applyFont="1" applyFill="1" applyBorder="1" applyAlignment="1" applyProtection="1">
      <alignment horizontal="center"/>
      <protection locked="0"/>
    </xf>
    <xf numFmtId="0" fontId="18" fillId="0" borderId="0" xfId="19" applyNumberFormat="1" applyFont="1" applyFill="1" applyBorder="1" applyAlignment="1">
      <alignment horizontal="center" vertical="top"/>
    </xf>
    <xf numFmtId="0" fontId="26" fillId="0" borderId="0" xfId="19" applyNumberFormat="1" applyFont="1" applyFill="1" applyBorder="1" applyAlignment="1" applyProtection="1">
      <alignment horizontal="center"/>
      <protection locked="0"/>
    </xf>
    <xf numFmtId="164" fontId="26" fillId="0" borderId="0" xfId="19" applyFont="1" applyFill="1" applyBorder="1" applyAlignment="1">
      <alignment horizontal="center"/>
    </xf>
    <xf numFmtId="0" fontId="6" fillId="0" borderId="0" xfId="19" applyNumberFormat="1" applyFont="1" applyFill="1" applyBorder="1" applyAlignment="1">
      <alignment horizontal="center" vertical="top"/>
    </xf>
    <xf numFmtId="49" fontId="27" fillId="0" borderId="0" xfId="19" applyNumberFormat="1" applyFont="1" applyFill="1" applyBorder="1" applyAlignment="1">
      <alignment horizontal="center" vertical="top"/>
    </xf>
    <xf numFmtId="0" fontId="27" fillId="0" borderId="0" xfId="19" applyNumberFormat="1" applyFont="1" applyFill="1" applyBorder="1" applyAlignment="1">
      <alignment horizontal="center"/>
    </xf>
    <xf numFmtId="3" fontId="27" fillId="0" borderId="0" xfId="19" applyNumberFormat="1" applyFont="1" applyFill="1" applyBorder="1"/>
    <xf numFmtId="49" fontId="27" fillId="0" borderId="0" xfId="19" applyNumberFormat="1" applyFont="1" applyFill="1" applyBorder="1"/>
    <xf numFmtId="0" fontId="27" fillId="5" borderId="0" xfId="19" applyNumberFormat="1" applyFont="1" applyFill="1" applyBorder="1"/>
    <xf numFmtId="49" fontId="27" fillId="5" borderId="0" xfId="19" applyNumberFormat="1" applyFont="1" applyFill="1" applyBorder="1" applyAlignment="1">
      <alignment horizontal="center"/>
    </xf>
    <xf numFmtId="0" fontId="27" fillId="0" borderId="0" xfId="19" applyNumberFormat="1" applyFont="1" applyFill="1" applyBorder="1" applyProtection="1">
      <protection locked="0"/>
    </xf>
    <xf numFmtId="0" fontId="27" fillId="0" borderId="0" xfId="19" applyNumberFormat="1" applyFont="1" applyFill="1" applyBorder="1" applyAlignment="1" applyProtection="1">
      <protection locked="0"/>
    </xf>
    <xf numFmtId="164" fontId="6" fillId="5" borderId="0" xfId="19" applyFont="1" applyFill="1" applyBorder="1" applyAlignment="1"/>
    <xf numFmtId="0" fontId="27" fillId="0" borderId="0" xfId="19" applyNumberFormat="1" applyFont="1" applyFill="1" applyBorder="1" applyAlignment="1" applyProtection="1">
      <alignment horizontal="left"/>
      <protection locked="0"/>
    </xf>
    <xf numFmtId="0" fontId="3" fillId="0" borderId="0" xfId="25"/>
    <xf numFmtId="0" fontId="3" fillId="0" borderId="0" xfId="25" applyFont="1"/>
    <xf numFmtId="0" fontId="3" fillId="0" borderId="0" xfId="25" applyFont="1" applyFill="1"/>
    <xf numFmtId="0" fontId="3" fillId="0" borderId="0" xfId="26" applyFont="1" applyAlignment="1">
      <alignment horizontal="center" vertical="top"/>
    </xf>
    <xf numFmtId="174" fontId="3" fillId="0" borderId="10" xfId="26" applyNumberFormat="1" applyFont="1" applyFill="1" applyBorder="1" applyAlignment="1">
      <alignment horizontal="right" vertical="top"/>
    </xf>
    <xf numFmtId="174" fontId="3" fillId="0" borderId="12" xfId="26" applyNumberFormat="1" applyFont="1" applyFill="1" applyBorder="1" applyAlignment="1">
      <alignment horizontal="right" vertical="top"/>
    </xf>
    <xf numFmtId="0" fontId="16" fillId="6" borderId="0" xfId="16" applyFont="1" applyFill="1" applyAlignment="1">
      <alignment horizontal="right"/>
    </xf>
    <xf numFmtId="0" fontId="16" fillId="6" borderId="0" xfId="26" applyFont="1" applyFill="1">
      <alignment vertical="top"/>
    </xf>
    <xf numFmtId="3" fontId="3" fillId="0" borderId="8" xfId="27" applyNumberFormat="1" applyFont="1" applyFill="1" applyBorder="1" applyAlignment="1">
      <alignment horizontal="right" vertical="top"/>
    </xf>
    <xf numFmtId="3" fontId="3" fillId="7" borderId="9" xfId="27" applyNumberFormat="1" applyFont="1" applyFill="1" applyBorder="1" applyAlignment="1">
      <alignment horizontal="right" vertical="top"/>
    </xf>
    <xf numFmtId="3" fontId="3" fillId="0" borderId="9" xfId="27" applyNumberFormat="1" applyFont="1" applyFill="1" applyBorder="1" applyAlignment="1">
      <alignment horizontal="right" vertical="top"/>
    </xf>
    <xf numFmtId="3" fontId="3" fillId="7" borderId="8" xfId="27" applyNumberFormat="1" applyFont="1" applyFill="1" applyBorder="1" applyAlignment="1">
      <alignment horizontal="right" vertical="top"/>
    </xf>
    <xf numFmtId="0" fontId="3" fillId="0" borderId="6" xfId="26" applyFont="1" applyBorder="1">
      <alignment vertical="top"/>
    </xf>
    <xf numFmtId="0" fontId="16" fillId="8" borderId="6" xfId="26" applyFont="1" applyFill="1" applyBorder="1">
      <alignment vertical="top"/>
    </xf>
    <xf numFmtId="3" fontId="3" fillId="0" borderId="13" xfId="27" applyNumberFormat="1" applyFont="1" applyFill="1" applyBorder="1" applyAlignment="1">
      <alignment horizontal="right" vertical="top"/>
    </xf>
    <xf numFmtId="3" fontId="3" fillId="7" borderId="14" xfId="27" applyNumberFormat="1" applyFont="1" applyFill="1" applyBorder="1" applyAlignment="1">
      <alignment horizontal="right" vertical="top"/>
    </xf>
    <xf numFmtId="3" fontId="3" fillId="0" borderId="14" xfId="27" applyNumberFormat="1" applyFont="1" applyFill="1" applyBorder="1" applyAlignment="1">
      <alignment horizontal="right" vertical="top"/>
    </xf>
    <xf numFmtId="3" fontId="3" fillId="7" borderId="13" xfId="27" applyNumberFormat="1" applyFont="1" applyFill="1" applyBorder="1" applyAlignment="1">
      <alignment horizontal="right" vertical="top"/>
    </xf>
    <xf numFmtId="0" fontId="3" fillId="0" borderId="13" xfId="26" applyFont="1" applyBorder="1">
      <alignment vertical="top"/>
    </xf>
    <xf numFmtId="0" fontId="16" fillId="0" borderId="13" xfId="25" applyFont="1" applyBorder="1"/>
    <xf numFmtId="0" fontId="3" fillId="8" borderId="3" xfId="25" applyFont="1" applyFill="1" applyBorder="1" applyAlignment="1">
      <alignment horizontal="right"/>
    </xf>
    <xf numFmtId="0" fontId="3" fillId="6" borderId="3" xfId="25" applyFont="1" applyFill="1" applyBorder="1" applyAlignment="1">
      <alignment horizontal="right"/>
    </xf>
    <xf numFmtId="0" fontId="3" fillId="6" borderId="3" xfId="25" applyFill="1" applyBorder="1"/>
    <xf numFmtId="0" fontId="3" fillId="8" borderId="0" xfId="25" applyFill="1"/>
    <xf numFmtId="0" fontId="16" fillId="8" borderId="0" xfId="26" applyFont="1" applyFill="1">
      <alignment vertical="top"/>
    </xf>
    <xf numFmtId="0" fontId="3" fillId="8" borderId="0" xfId="26" applyFont="1" applyFill="1" applyBorder="1" applyAlignment="1">
      <alignment horizontal="right" vertical="top"/>
    </xf>
    <xf numFmtId="174" fontId="3" fillId="6" borderId="0" xfId="26" applyNumberFormat="1" applyFont="1" applyFill="1" applyBorder="1" applyAlignment="1">
      <alignment horizontal="right" vertical="top"/>
    </xf>
    <xf numFmtId="0" fontId="3" fillId="6" borderId="0" xfId="26" applyFont="1" applyFill="1" applyBorder="1" applyAlignment="1">
      <alignment horizontal="right" vertical="top"/>
    </xf>
    <xf numFmtId="0" fontId="3" fillId="6" borderId="0" xfId="25" applyFill="1"/>
    <xf numFmtId="174" fontId="3" fillId="8" borderId="0" xfId="26" applyNumberFormat="1" applyFont="1" applyFill="1" applyBorder="1" applyAlignment="1">
      <alignment horizontal="right" vertical="top"/>
    </xf>
    <xf numFmtId="0" fontId="3" fillId="8" borderId="0" xfId="16" applyFont="1" applyFill="1" applyAlignment="1">
      <alignment horizontal="right"/>
    </xf>
    <xf numFmtId="0" fontId="16" fillId="0" borderId="0" xfId="16" applyFont="1" applyAlignment="1">
      <alignment horizontal="right"/>
    </xf>
    <xf numFmtId="0" fontId="16" fillId="0" borderId="0" xfId="26" applyFont="1">
      <alignment vertical="top"/>
    </xf>
    <xf numFmtId="174" fontId="3" fillId="0" borderId="11" xfId="26" applyNumberFormat="1" applyFont="1" applyFill="1" applyBorder="1" applyAlignment="1">
      <alignment horizontal="right" vertical="top"/>
    </xf>
    <xf numFmtId="174" fontId="3" fillId="0" borderId="15" xfId="26" applyNumberFormat="1" applyFont="1" applyFill="1" applyBorder="1" applyAlignment="1">
      <alignment horizontal="right" vertical="top"/>
    </xf>
    <xf numFmtId="0" fontId="16" fillId="0" borderId="5" xfId="16" applyFont="1" applyBorder="1" applyAlignment="1">
      <alignment horizontal="right"/>
    </xf>
    <xf numFmtId="0" fontId="16" fillId="8" borderId="5" xfId="26" applyFont="1" applyFill="1" applyBorder="1">
      <alignment vertical="top"/>
    </xf>
    <xf numFmtId="3" fontId="3" fillId="0" borderId="7" xfId="27" applyNumberFormat="1" applyFont="1" applyFill="1" applyBorder="1" applyAlignment="1">
      <alignment horizontal="right" vertical="top"/>
    </xf>
    <xf numFmtId="3" fontId="3" fillId="7" borderId="7" xfId="27" applyNumberFormat="1" applyFont="1" applyFill="1" applyBorder="1" applyAlignment="1">
      <alignment horizontal="right" vertical="top"/>
    </xf>
    <xf numFmtId="0" fontId="3" fillId="0" borderId="8" xfId="16" quotePrefix="1" applyFont="1" applyBorder="1" applyAlignment="1">
      <alignment horizontal="left"/>
    </xf>
    <xf numFmtId="0" fontId="16" fillId="8" borderId="8" xfId="26" applyFont="1" applyFill="1" applyBorder="1">
      <alignment vertical="top"/>
    </xf>
    <xf numFmtId="0" fontId="3" fillId="6" borderId="3" xfId="16" applyFont="1" applyFill="1" applyBorder="1" applyAlignment="1">
      <alignment horizontal="right"/>
    </xf>
    <xf numFmtId="3" fontId="3" fillId="6" borderId="3" xfId="16" applyNumberFormat="1" applyFont="1" applyFill="1" applyBorder="1" applyAlignment="1">
      <alignment horizontal="right"/>
    </xf>
    <xf numFmtId="0" fontId="3" fillId="6" borderId="3" xfId="16" applyFont="1" applyFill="1" applyBorder="1"/>
    <xf numFmtId="0" fontId="16" fillId="8" borderId="3" xfId="26" applyFont="1" applyFill="1" applyBorder="1">
      <alignment vertical="top"/>
    </xf>
    <xf numFmtId="37" fontId="3" fillId="6" borderId="0" xfId="16" applyNumberFormat="1" applyFont="1" applyFill="1" applyBorder="1" applyAlignment="1">
      <alignment horizontal="right"/>
    </xf>
    <xf numFmtId="0" fontId="3" fillId="6" borderId="0" xfId="16" applyFont="1" applyFill="1" applyAlignment="1">
      <alignment horizontal="right"/>
    </xf>
    <xf numFmtId="0" fontId="3" fillId="0" borderId="0" xfId="25" applyFill="1"/>
    <xf numFmtId="0" fontId="16" fillId="0" borderId="0" xfId="26" applyFont="1" applyFill="1">
      <alignment vertical="top"/>
    </xf>
    <xf numFmtId="3" fontId="3" fillId="0" borderId="6" xfId="27" applyNumberFormat="1" applyFont="1" applyFill="1" applyBorder="1" applyAlignment="1">
      <alignment horizontal="right" vertical="top"/>
    </xf>
    <xf numFmtId="3" fontId="3" fillId="7" borderId="6" xfId="27" applyNumberFormat="1" applyFont="1" applyFill="1" applyBorder="1" applyAlignment="1">
      <alignment horizontal="right" vertical="top"/>
    </xf>
    <xf numFmtId="0" fontId="3" fillId="0" borderId="8" xfId="16" quotePrefix="1" applyFont="1" applyFill="1" applyBorder="1" applyAlignment="1">
      <alignment horizontal="left"/>
    </xf>
    <xf numFmtId="0" fontId="3" fillId="0" borderId="13" xfId="16" quotePrefix="1" applyFont="1" applyFill="1" applyBorder="1" applyAlignment="1">
      <alignment horizontal="left"/>
    </xf>
    <xf numFmtId="0" fontId="16" fillId="8" borderId="13" xfId="26" applyFont="1" applyFill="1" applyBorder="1">
      <alignment vertical="top"/>
    </xf>
    <xf numFmtId="0" fontId="16" fillId="6" borderId="0" xfId="16" applyFont="1" applyFill="1" applyBorder="1" applyAlignment="1">
      <alignment horizontal="right"/>
    </xf>
    <xf numFmtId="0" fontId="3" fillId="6" borderId="0" xfId="25" applyFill="1" applyBorder="1"/>
    <xf numFmtId="0" fontId="16" fillId="0" borderId="0" xfId="16" applyFont="1" applyBorder="1" applyAlignment="1">
      <alignment horizontal="right"/>
    </xf>
    <xf numFmtId="174" fontId="31" fillId="9" borderId="0" xfId="9" applyNumberFormat="1" applyFont="1" applyFill="1" applyBorder="1" applyAlignment="1">
      <alignment horizontal="center" wrapText="1"/>
    </xf>
    <xf numFmtId="0" fontId="32" fillId="9" borderId="0" xfId="16" applyFont="1" applyFill="1" applyBorder="1" applyAlignment="1"/>
    <xf numFmtId="0" fontId="30" fillId="6" borderId="0" xfId="26" applyFill="1">
      <alignment vertical="top"/>
    </xf>
    <xf numFmtId="3" fontId="3" fillId="6" borderId="0" xfId="26" applyNumberFormat="1" applyFont="1" applyFill="1" applyAlignment="1">
      <alignment horizontal="center" vertical="top"/>
    </xf>
    <xf numFmtId="0" fontId="3" fillId="6" borderId="0" xfId="26" applyFont="1" applyFill="1">
      <alignment vertical="top"/>
    </xf>
    <xf numFmtId="0" fontId="16" fillId="6" borderId="3" xfId="28" applyFont="1" applyFill="1" applyBorder="1">
      <alignment vertical="top"/>
    </xf>
    <xf numFmtId="0" fontId="16" fillId="6" borderId="0" xfId="28" applyFont="1" applyFill="1" applyBorder="1">
      <alignment vertical="top"/>
    </xf>
    <xf numFmtId="0" fontId="33" fillId="0" borderId="0" xfId="25" applyFont="1"/>
    <xf numFmtId="0" fontId="33" fillId="6" borderId="0" xfId="25" applyFont="1" applyFill="1"/>
    <xf numFmtId="0" fontId="34" fillId="6" borderId="0" xfId="26" applyFont="1" applyFill="1">
      <alignment vertical="top"/>
    </xf>
    <xf numFmtId="0" fontId="3" fillId="0" borderId="16" xfId="25" applyFill="1" applyBorder="1" applyAlignment="1">
      <alignment vertical="top" wrapText="1"/>
    </xf>
    <xf numFmtId="0" fontId="3" fillId="0" borderId="16" xfId="25" applyNumberFormat="1" applyFill="1" applyBorder="1" applyAlignment="1">
      <alignment horizontal="left" vertical="top" wrapText="1"/>
    </xf>
    <xf numFmtId="14" fontId="3" fillId="0" borderId="16" xfId="25" applyNumberFormat="1" applyFill="1" applyBorder="1" applyAlignment="1">
      <alignment horizontal="center" vertical="top" wrapText="1"/>
    </xf>
    <xf numFmtId="0" fontId="3" fillId="0" borderId="17" xfId="25" applyFill="1" applyBorder="1" applyAlignment="1">
      <alignment horizontal="center" vertical="top" wrapText="1"/>
    </xf>
    <xf numFmtId="184" fontId="3" fillId="0" borderId="17" xfId="25" applyNumberFormat="1" applyFill="1" applyBorder="1" applyAlignment="1">
      <alignment horizontal="center" vertical="top" wrapText="1"/>
    </xf>
    <xf numFmtId="0" fontId="3" fillId="0" borderId="17" xfId="25" applyNumberFormat="1" applyFill="1" applyBorder="1" applyAlignment="1">
      <alignment horizontal="left" vertical="top" wrapText="1"/>
    </xf>
    <xf numFmtId="0" fontId="3" fillId="0" borderId="17" xfId="25" applyFont="1" applyFill="1" applyBorder="1" applyAlignment="1">
      <alignment vertical="top" wrapText="1"/>
    </xf>
    <xf numFmtId="0" fontId="35" fillId="0" borderId="10" xfId="25" applyFont="1" applyBorder="1" applyAlignment="1">
      <alignment horizontal="center" vertical="top" wrapText="1"/>
    </xf>
    <xf numFmtId="0" fontId="35" fillId="0" borderId="10" xfId="25" applyFont="1" applyBorder="1" applyAlignment="1">
      <alignment horizontal="center" vertical="top"/>
    </xf>
    <xf numFmtId="0" fontId="16" fillId="0" borderId="0" xfId="25" applyFont="1"/>
    <xf numFmtId="164" fontId="6" fillId="0" borderId="0" xfId="20" applyFill="1" applyBorder="1" applyAlignment="1"/>
    <xf numFmtId="10" fontId="26" fillId="0" borderId="0" xfId="20" applyNumberFormat="1" applyFont="1" applyFill="1" applyBorder="1" applyAlignment="1"/>
    <xf numFmtId="3" fontId="27" fillId="0" borderId="0" xfId="20" applyNumberFormat="1" applyFont="1" applyFill="1" applyBorder="1" applyAlignment="1"/>
    <xf numFmtId="164" fontId="27" fillId="0" borderId="0" xfId="20" applyFont="1" applyFill="1" applyBorder="1" applyAlignment="1"/>
    <xf numFmtId="10" fontId="27" fillId="0" borderId="0" xfId="20" applyNumberFormat="1" applyFont="1" applyFill="1" applyBorder="1" applyAlignment="1"/>
    <xf numFmtId="164" fontId="27" fillId="0" borderId="0" xfId="20" applyFont="1" applyFill="1" applyBorder="1" applyAlignment="1">
      <alignment horizontal="center"/>
    </xf>
    <xf numFmtId="49" fontId="6" fillId="0" borderId="0" xfId="20" applyNumberFormat="1" applyFont="1" applyFill="1" applyBorder="1" applyAlignment="1">
      <alignment horizontal="center"/>
    </xf>
    <xf numFmtId="49" fontId="4" fillId="0" borderId="0" xfId="20" applyNumberFormat="1" applyFont="1" applyFill="1" applyBorder="1" applyAlignment="1">
      <alignment horizontal="center"/>
    </xf>
    <xf numFmtId="164" fontId="4" fillId="0" borderId="0" xfId="20" applyFont="1" applyFill="1" applyBorder="1" applyAlignment="1"/>
    <xf numFmtId="49" fontId="4" fillId="0" borderId="0" xfId="20" applyNumberFormat="1" applyFont="1" applyFill="1" applyBorder="1" applyAlignment="1">
      <alignment horizontal="left"/>
    </xf>
    <xf numFmtId="164" fontId="6" fillId="0" borderId="0" xfId="20" applyFont="1" applyFill="1" applyBorder="1" applyAlignment="1">
      <alignment horizontal="center"/>
    </xf>
    <xf numFmtId="164" fontId="25" fillId="0" borderId="0" xfId="20" applyFont="1" applyFill="1" applyBorder="1" applyAlignment="1">
      <alignment horizontal="center"/>
    </xf>
    <xf numFmtId="164" fontId="6" fillId="0" borderId="0" xfId="20" applyFont="1" applyFill="1" applyBorder="1" applyAlignment="1">
      <alignment horizontal="left" wrapText="1"/>
    </xf>
    <xf numFmtId="164" fontId="6" fillId="0" borderId="0" xfId="20" applyFont="1" applyFill="1" applyBorder="1" applyAlignment="1">
      <alignment horizontal="left" indent="1"/>
    </xf>
    <xf numFmtId="164" fontId="6" fillId="0" borderId="0" xfId="20" applyFont="1" applyFill="1" applyBorder="1" applyAlignment="1">
      <alignment horizontal="left" vertical="top" wrapText="1"/>
    </xf>
    <xf numFmtId="164" fontId="6" fillId="0" borderId="0" xfId="20" applyFill="1" applyBorder="1" applyAlignment="1">
      <alignment horizontal="left" vertical="top" wrapText="1"/>
    </xf>
    <xf numFmtId="164" fontId="6" fillId="0" borderId="0" xfId="20" applyFill="1" applyBorder="1" applyAlignment="1">
      <alignment horizontal="left" vertical="top" indent="1"/>
    </xf>
    <xf numFmtId="164" fontId="27" fillId="0" borderId="1" xfId="20" applyFont="1" applyFill="1" applyBorder="1" applyAlignment="1"/>
    <xf numFmtId="174" fontId="27" fillId="0" borderId="0" xfId="20" applyNumberFormat="1" applyFont="1" applyFill="1" applyBorder="1" applyAlignment="1"/>
    <xf numFmtId="164" fontId="3" fillId="0" borderId="0" xfId="20" applyFont="1" applyFill="1" applyBorder="1" applyAlignment="1"/>
    <xf numFmtId="0" fontId="27" fillId="0" borderId="0" xfId="20" applyNumberFormat="1" applyFont="1" applyFill="1" applyBorder="1" applyAlignment="1"/>
    <xf numFmtId="164" fontId="36" fillId="0" borderId="0" xfId="20" applyFont="1" applyFill="1" applyBorder="1" applyAlignment="1"/>
    <xf numFmtId="49" fontId="27" fillId="0" borderId="0" xfId="20" applyNumberFormat="1" applyFont="1" applyFill="1" applyBorder="1" applyAlignment="1">
      <alignment horizontal="center"/>
    </xf>
    <xf numFmtId="164" fontId="25" fillId="0" borderId="6" xfId="20" applyFont="1" applyFill="1" applyBorder="1" applyAlignment="1"/>
    <xf numFmtId="164" fontId="25" fillId="0" borderId="3" xfId="20" applyFont="1" applyFill="1" applyBorder="1" applyAlignment="1"/>
    <xf numFmtId="164" fontId="6" fillId="0" borderId="3" xfId="20" applyFill="1" applyBorder="1" applyAlignment="1"/>
    <xf numFmtId="164" fontId="6" fillId="0" borderId="7" xfId="20" applyFill="1" applyBorder="1" applyAlignment="1"/>
    <xf numFmtId="175" fontId="27" fillId="0" borderId="8" xfId="27" applyNumberFormat="1" applyFont="1" applyFill="1" applyBorder="1" applyAlignment="1"/>
    <xf numFmtId="175" fontId="27" fillId="0" borderId="0" xfId="27" applyNumberFormat="1" applyFont="1" applyFill="1" applyBorder="1" applyAlignment="1"/>
    <xf numFmtId="0" fontId="6" fillId="0" borderId="0" xfId="20" applyNumberFormat="1" applyFont="1" applyFill="1" applyBorder="1" applyAlignment="1">
      <alignment horizontal="center" vertical="top" wrapText="1"/>
    </xf>
    <xf numFmtId="0" fontId="6" fillId="0" borderId="0" xfId="20" applyNumberFormat="1" applyFont="1" applyFill="1" applyBorder="1" applyAlignment="1">
      <alignment horizontal="left" vertical="top" wrapText="1"/>
    </xf>
    <xf numFmtId="164" fontId="6" fillId="0" borderId="9" xfId="20" applyFont="1" applyFill="1" applyBorder="1" applyAlignment="1"/>
    <xf numFmtId="0" fontId="6" fillId="0" borderId="0" xfId="20" applyNumberFormat="1" applyFont="1" applyFill="1" applyBorder="1" applyAlignment="1"/>
    <xf numFmtId="3" fontId="6" fillId="0" borderId="0" xfId="20" applyNumberFormat="1" applyFont="1" applyFill="1" applyBorder="1" applyAlignment="1"/>
    <xf numFmtId="0" fontId="6" fillId="0" borderId="0" xfId="20" applyNumberFormat="1" applyFont="1" applyFill="1" applyBorder="1"/>
    <xf numFmtId="3" fontId="27" fillId="0" borderId="8" xfId="20" applyNumberFormat="1" applyFont="1" applyFill="1" applyBorder="1" applyAlignment="1"/>
    <xf numFmtId="0" fontId="27" fillId="0" borderId="8" xfId="20" applyNumberFormat="1" applyFont="1" applyFill="1" applyBorder="1"/>
    <xf numFmtId="0" fontId="27" fillId="0" borderId="9" xfId="20" applyNumberFormat="1" applyFont="1" applyFill="1" applyBorder="1"/>
    <xf numFmtId="3" fontId="27" fillId="0" borderId="10" xfId="20" applyNumberFormat="1" applyFont="1" applyFill="1" applyBorder="1" applyAlignment="1">
      <alignment horizontal="center" vertical="top" wrapText="1"/>
    </xf>
    <xf numFmtId="3" fontId="27" fillId="0" borderId="11" xfId="20" applyNumberFormat="1" applyFont="1" applyFill="1" applyBorder="1" applyAlignment="1">
      <alignment horizontal="center" vertical="top" wrapText="1"/>
    </xf>
    <xf numFmtId="0" fontId="27" fillId="0" borderId="10" xfId="20" applyNumberFormat="1" applyFont="1" applyFill="1" applyBorder="1" applyAlignment="1">
      <alignment horizontal="center" vertical="top" wrapText="1"/>
    </xf>
    <xf numFmtId="0" fontId="27" fillId="0" borderId="11" xfId="20" applyNumberFormat="1" applyFont="1" applyFill="1" applyBorder="1" applyAlignment="1">
      <alignment horizontal="center" vertical="top" wrapText="1"/>
    </xf>
    <xf numFmtId="0" fontId="27" fillId="0" borderId="11" xfId="20" quotePrefix="1" applyNumberFormat="1" applyFont="1" applyFill="1" applyBorder="1" applyAlignment="1">
      <alignment horizontal="center" vertical="top" wrapText="1"/>
    </xf>
    <xf numFmtId="0" fontId="27" fillId="0" borderId="10" xfId="20" quotePrefix="1" applyNumberFormat="1" applyFont="1" applyFill="1" applyBorder="1" applyAlignment="1">
      <alignment horizontal="center" vertical="top" wrapText="1"/>
    </xf>
    <xf numFmtId="0" fontId="27" fillId="0" borderId="11" xfId="20" applyNumberFormat="1" applyFont="1" applyFill="1" applyBorder="1" applyAlignment="1">
      <alignment vertical="top" wrapText="1"/>
    </xf>
    <xf numFmtId="0" fontId="27" fillId="0" borderId="11" xfId="20" applyNumberFormat="1" applyFont="1" applyFill="1" applyBorder="1"/>
    <xf numFmtId="0" fontId="27" fillId="0" borderId="11" xfId="20" quotePrefix="1" applyNumberFormat="1" applyFont="1" applyFill="1" applyBorder="1" applyAlignment="1">
      <alignment horizontal="center"/>
    </xf>
    <xf numFmtId="0" fontId="27" fillId="0" borderId="12" xfId="20" applyNumberFormat="1" applyFont="1" applyFill="1" applyBorder="1"/>
    <xf numFmtId="3" fontId="18" fillId="0" borderId="0" xfId="20" applyNumberFormat="1" applyFont="1" applyFill="1" applyBorder="1" applyAlignment="1"/>
    <xf numFmtId="3" fontId="26" fillId="0" borderId="10" xfId="20" applyNumberFormat="1" applyFont="1" applyFill="1" applyBorder="1" applyAlignment="1">
      <alignment horizontal="center" wrapText="1"/>
    </xf>
    <xf numFmtId="3" fontId="26" fillId="0" borderId="11" xfId="20" applyNumberFormat="1" applyFont="1" applyFill="1" applyBorder="1" applyAlignment="1">
      <alignment horizontal="center" wrapText="1"/>
    </xf>
    <xf numFmtId="164" fontId="18" fillId="0" borderId="10" xfId="20" applyFont="1" applyFill="1" applyBorder="1" applyAlignment="1">
      <alignment horizontal="center" wrapText="1"/>
    </xf>
    <xf numFmtId="164" fontId="18" fillId="0" borderId="15" xfId="20" applyFont="1" applyFill="1" applyBorder="1" applyAlignment="1">
      <alignment horizontal="center" wrapText="1"/>
    </xf>
    <xf numFmtId="164" fontId="18" fillId="0" borderId="11" xfId="20" applyFont="1" applyFill="1" applyBorder="1" applyAlignment="1">
      <alignment horizontal="center" wrapText="1"/>
    </xf>
    <xf numFmtId="164" fontId="18" fillId="0" borderId="11" xfId="20" applyFont="1" applyFill="1" applyBorder="1" applyAlignment="1"/>
    <xf numFmtId="164" fontId="18" fillId="0" borderId="12" xfId="20" applyFont="1" applyFill="1" applyBorder="1" applyAlignment="1">
      <alignment horizontal="center" wrapText="1"/>
    </xf>
    <xf numFmtId="183" fontId="26" fillId="0" borderId="0" xfId="20" quotePrefix="1" applyNumberFormat="1" applyFont="1" applyFill="1" applyBorder="1" applyAlignment="1">
      <alignment horizontal="center"/>
    </xf>
    <xf numFmtId="0" fontId="6" fillId="0" borderId="0" xfId="20" quotePrefix="1" applyNumberFormat="1" applyFill="1" applyBorder="1" applyAlignment="1" applyProtection="1">
      <alignment horizontal="center"/>
      <protection locked="0"/>
    </xf>
    <xf numFmtId="0" fontId="26" fillId="0" borderId="0" xfId="20" applyNumberFormat="1" applyFont="1" applyFill="1" applyBorder="1" applyAlignment="1"/>
    <xf numFmtId="0" fontId="6" fillId="0" borderId="0" xfId="20" applyNumberFormat="1" applyFill="1" applyBorder="1" applyAlignment="1" applyProtection="1">
      <alignment horizontal="center"/>
      <protection locked="0"/>
    </xf>
    <xf numFmtId="170" fontId="27" fillId="0" borderId="0" xfId="21" applyNumberFormat="1" applyFont="1" applyFill="1" applyBorder="1" applyAlignment="1">
      <alignment horizontal="right"/>
    </xf>
    <xf numFmtId="164" fontId="6" fillId="0" borderId="0" xfId="20" applyFill="1" applyBorder="1" applyAlignment="1">
      <alignment horizontal="right"/>
    </xf>
    <xf numFmtId="0" fontId="6" fillId="0" borderId="0" xfId="20" applyNumberFormat="1" applyFont="1" applyFill="1" applyBorder="1" applyAlignment="1">
      <alignment horizontal="center"/>
    </xf>
    <xf numFmtId="0" fontId="6" fillId="0" borderId="0" xfId="20" applyNumberFormat="1" applyFont="1" applyFill="1" applyBorder="1" applyAlignment="1" applyProtection="1">
      <alignment horizontal="center"/>
      <protection locked="0"/>
    </xf>
    <xf numFmtId="0" fontId="37" fillId="0" borderId="0" xfId="20" applyNumberFormat="1" applyFont="1" applyFill="1" applyBorder="1"/>
    <xf numFmtId="171" fontId="27" fillId="0" borderId="0" xfId="20" applyNumberFormat="1" applyFont="1" applyFill="1" applyBorder="1" applyAlignment="1">
      <alignment horizontal="center"/>
    </xf>
    <xf numFmtId="3" fontId="26" fillId="0" borderId="0" xfId="20" applyNumberFormat="1" applyFont="1" applyFill="1" applyBorder="1" applyAlignment="1"/>
    <xf numFmtId="3" fontId="26" fillId="0" borderId="0" xfId="20" applyNumberFormat="1" applyFont="1" applyFill="1" applyBorder="1" applyAlignment="1">
      <alignment horizontal="center"/>
    </xf>
    <xf numFmtId="164" fontId="18" fillId="0" borderId="0" xfId="20" applyFont="1" applyFill="1" applyBorder="1" applyAlignment="1"/>
    <xf numFmtId="49" fontId="18" fillId="0" borderId="0" xfId="20" applyNumberFormat="1" applyFont="1" applyFill="1" applyBorder="1" applyAlignment="1">
      <alignment horizontal="center"/>
    </xf>
    <xf numFmtId="3" fontId="27" fillId="0" borderId="0" xfId="20" applyNumberFormat="1" applyFont="1" applyFill="1" applyBorder="1" applyAlignment="1">
      <alignment horizontal="center"/>
    </xf>
    <xf numFmtId="174" fontId="6" fillId="0" borderId="0" xfId="20" applyNumberFormat="1" applyFill="1" applyBorder="1" applyAlignment="1"/>
    <xf numFmtId="10" fontId="0" fillId="0" borderId="0" xfId="23" applyNumberFormat="1" applyFont="1" applyFill="1" applyBorder="1" applyAlignment="1"/>
    <xf numFmtId="170" fontId="27" fillId="3" borderId="0" xfId="21" applyNumberFormat="1" applyFont="1" applyFill="1" applyBorder="1" applyAlignment="1"/>
    <xf numFmtId="3" fontId="37" fillId="0" borderId="0" xfId="20" applyNumberFormat="1" applyFont="1" applyFill="1" applyBorder="1" applyAlignment="1"/>
    <xf numFmtId="0" fontId="6" fillId="0" borderId="0" xfId="20" applyNumberFormat="1" applyFont="1" applyFill="1" applyBorder="1" applyAlignment="1">
      <alignment horizontal="fill"/>
    </xf>
    <xf numFmtId="169" fontId="26" fillId="0" borderId="0" xfId="20" applyNumberFormat="1" applyFont="1" applyFill="1" applyBorder="1" applyAlignment="1"/>
    <xf numFmtId="3" fontId="6" fillId="0" borderId="0" xfId="20" applyNumberFormat="1" applyFont="1" applyFill="1" applyBorder="1" applyAlignment="1">
      <alignment horizontal="center"/>
    </xf>
    <xf numFmtId="0" fontId="26" fillId="0" borderId="0" xfId="20" applyNumberFormat="1" applyFont="1" applyFill="1" applyBorder="1" applyAlignment="1">
      <alignment horizontal="center"/>
    </xf>
    <xf numFmtId="170" fontId="27" fillId="0" borderId="0" xfId="21" applyNumberFormat="1" applyFont="1" applyFill="1" applyBorder="1" applyAlignment="1"/>
    <xf numFmtId="10" fontId="18" fillId="0" borderId="0" xfId="23" applyNumberFormat="1" applyFont="1" applyFill="1" applyBorder="1" applyAlignment="1"/>
    <xf numFmtId="3" fontId="38" fillId="0" borderId="0" xfId="20" applyNumberFormat="1" applyFont="1" applyFill="1" applyBorder="1" applyAlignment="1"/>
    <xf numFmtId="170" fontId="27" fillId="3" borderId="3" xfId="21" applyNumberFormat="1" applyFont="1" applyFill="1" applyBorder="1" applyAlignment="1"/>
    <xf numFmtId="41" fontId="27" fillId="0" borderId="0" xfId="20" applyNumberFormat="1" applyFont="1" applyFill="1" applyBorder="1" applyAlignment="1"/>
    <xf numFmtId="0" fontId="29" fillId="0" borderId="0" xfId="20" applyNumberFormat="1" applyFont="1" applyFill="1" applyBorder="1" applyAlignment="1" applyProtection="1">
      <alignment horizontal="center"/>
      <protection locked="0"/>
    </xf>
    <xf numFmtId="0" fontId="18" fillId="0" borderId="0" xfId="20" applyNumberFormat="1" applyFont="1" applyFill="1" applyBorder="1" applyAlignment="1">
      <alignment horizontal="center"/>
    </xf>
    <xf numFmtId="0" fontId="26" fillId="0" borderId="0" xfId="20" applyNumberFormat="1" applyFont="1" applyFill="1" applyBorder="1" applyAlignment="1" applyProtection="1">
      <alignment horizontal="center"/>
      <protection locked="0"/>
    </xf>
    <xf numFmtId="164" fontId="26" fillId="0" borderId="0" xfId="20" applyFont="1" applyFill="1" applyBorder="1" applyAlignment="1">
      <alignment horizontal="center"/>
    </xf>
    <xf numFmtId="0" fontId="27" fillId="0" borderId="0" xfId="20" applyNumberFormat="1" applyFont="1" applyFill="1" applyBorder="1" applyAlignment="1">
      <alignment horizontal="center"/>
    </xf>
    <xf numFmtId="3" fontId="27" fillId="0" borderId="0" xfId="20" applyNumberFormat="1" applyFont="1" applyFill="1" applyBorder="1"/>
    <xf numFmtId="49" fontId="27" fillId="0" borderId="0" xfId="20" applyNumberFormat="1" applyFont="1" applyFill="1" applyBorder="1"/>
    <xf numFmtId="0" fontId="27" fillId="0" borderId="0" xfId="29" applyNumberFormat="1" applyFont="1" applyFill="1" applyBorder="1"/>
    <xf numFmtId="0" fontId="39" fillId="0" borderId="0" xfId="20" applyNumberFormat="1" applyFont="1" applyFill="1" applyBorder="1"/>
    <xf numFmtId="49" fontId="27" fillId="0" borderId="0" xfId="20" applyNumberFormat="1" applyFont="1" applyFill="1" applyBorder="1" applyAlignment="1">
      <alignment horizontal="centerContinuous"/>
    </xf>
    <xf numFmtId="0" fontId="39" fillId="0" borderId="0" xfId="20" applyNumberFormat="1" applyFont="1" applyFill="1" applyBorder="1" applyAlignment="1">
      <alignment horizontal="center"/>
    </xf>
    <xf numFmtId="0" fontId="27" fillId="0" borderId="0" xfId="20" applyNumberFormat="1" applyFont="1" applyFill="1" applyBorder="1" applyProtection="1">
      <protection locked="0"/>
    </xf>
    <xf numFmtId="0" fontId="27" fillId="0" borderId="0" xfId="20" applyNumberFormat="1" applyFont="1" applyFill="1" applyBorder="1" applyAlignment="1" applyProtection="1">
      <protection locked="0"/>
    </xf>
    <xf numFmtId="49" fontId="27" fillId="3" borderId="0" xfId="20" applyNumberFormat="1" applyFont="1" applyFill="1" applyBorder="1" applyAlignment="1">
      <alignment horizontal="right"/>
    </xf>
    <xf numFmtId="0" fontId="27" fillId="0" borderId="0" xfId="20" applyNumberFormat="1" applyFont="1" applyFill="1" applyBorder="1" applyAlignment="1" applyProtection="1">
      <alignment horizontal="left"/>
      <protection locked="0"/>
    </xf>
    <xf numFmtId="164" fontId="6" fillId="0" borderId="0" xfId="20" applyFont="1" applyFill="1" applyBorder="1" applyAlignment="1">
      <alignment horizontal="right"/>
    </xf>
    <xf numFmtId="0" fontId="3" fillId="0" borderId="3" xfId="25" applyBorder="1"/>
    <xf numFmtId="0" fontId="3" fillId="0" borderId="3" xfId="25" applyFont="1" applyFill="1" applyBorder="1" applyAlignment="1">
      <alignment horizontal="right"/>
    </xf>
    <xf numFmtId="174" fontId="3" fillId="0" borderId="0" xfId="26" applyNumberFormat="1" applyFont="1" applyFill="1" applyBorder="1" applyAlignment="1">
      <alignment horizontal="right" vertical="top"/>
    </xf>
    <xf numFmtId="0" fontId="3" fillId="0" borderId="3" xfId="16" applyFont="1" applyFill="1" applyBorder="1" applyAlignment="1">
      <alignment horizontal="right"/>
    </xf>
    <xf numFmtId="0" fontId="3" fillId="8" borderId="3" xfId="16" applyFont="1" applyFill="1" applyBorder="1" applyAlignment="1">
      <alignment horizontal="right"/>
    </xf>
    <xf numFmtId="3" fontId="3" fillId="8" borderId="3" xfId="16" applyNumberFormat="1" applyFont="1" applyFill="1" applyBorder="1" applyAlignment="1">
      <alignment horizontal="right"/>
    </xf>
    <xf numFmtId="0" fontId="3" fillId="8" borderId="3" xfId="16" applyFont="1" applyFill="1" applyBorder="1"/>
    <xf numFmtId="37" fontId="3" fillId="0" borderId="0" xfId="16" applyNumberFormat="1" applyFont="1" applyFill="1" applyBorder="1" applyAlignment="1">
      <alignment horizontal="right"/>
    </xf>
    <xf numFmtId="37" fontId="3" fillId="8" borderId="0" xfId="16" applyNumberFormat="1" applyFont="1" applyFill="1" applyBorder="1" applyAlignment="1">
      <alignment horizontal="right"/>
    </xf>
    <xf numFmtId="0" fontId="3" fillId="0" borderId="0" xfId="26" applyFont="1" applyFill="1" applyBorder="1" applyAlignment="1">
      <alignment horizontal="right" vertical="top"/>
    </xf>
    <xf numFmtId="0" fontId="16" fillId="0" borderId="0" xfId="16" applyFont="1" applyFill="1" applyAlignment="1">
      <alignment horizontal="right"/>
    </xf>
    <xf numFmtId="3" fontId="31" fillId="9" borderId="0" xfId="9" applyNumberFormat="1" applyFont="1" applyFill="1" applyAlignment="1">
      <alignment horizontal="center" wrapText="1"/>
    </xf>
    <xf numFmtId="0" fontId="30" fillId="0" borderId="0" xfId="26">
      <alignment vertical="top"/>
    </xf>
    <xf numFmtId="174" fontId="31" fillId="9" borderId="0" xfId="9" applyNumberFormat="1" applyFont="1" applyFill="1" applyAlignment="1">
      <alignment horizontal="center" wrapText="1"/>
    </xf>
    <xf numFmtId="1" fontId="31" fillId="9" borderId="0" xfId="9" applyNumberFormat="1" applyFont="1" applyFill="1" applyAlignment="1">
      <alignment horizontal="center" wrapText="1"/>
    </xf>
    <xf numFmtId="3" fontId="3" fillId="0" borderId="0" xfId="26" applyNumberFormat="1" applyFont="1" applyAlignment="1">
      <alignment horizontal="center" vertical="top"/>
    </xf>
    <xf numFmtId="0" fontId="3" fillId="0" borderId="0" xfId="26" applyFont="1">
      <alignment vertical="top"/>
    </xf>
    <xf numFmtId="0" fontId="16" fillId="0" borderId="3" xfId="28" applyFont="1" applyFill="1" applyBorder="1">
      <alignment vertical="top"/>
    </xf>
    <xf numFmtId="0" fontId="16" fillId="0" borderId="0" xfId="28" applyFont="1" applyFill="1" applyBorder="1">
      <alignment vertical="top"/>
    </xf>
    <xf numFmtId="0" fontId="33" fillId="0" borderId="0" xfId="25" applyFont="1" applyFill="1"/>
    <xf numFmtId="0" fontId="34" fillId="0" borderId="0" xfId="26" applyFont="1">
      <alignment vertical="top"/>
    </xf>
    <xf numFmtId="0" fontId="3" fillId="0" borderId="16" xfId="25" applyFill="1" applyBorder="1" applyAlignment="1">
      <alignment horizontal="center" vertical="top" wrapText="1"/>
    </xf>
    <xf numFmtId="0" fontId="3" fillId="0" borderId="17" xfId="25" applyNumberFormat="1" applyFont="1" applyFill="1" applyBorder="1" applyAlignment="1">
      <alignment horizontal="left" vertical="top" wrapText="1"/>
    </xf>
    <xf numFmtId="0" fontId="3" fillId="0" borderId="16" xfId="25" applyFont="1" applyFill="1" applyBorder="1" applyAlignment="1">
      <alignment horizontal="center" vertical="top" wrapText="1"/>
    </xf>
    <xf numFmtId="0" fontId="3" fillId="0" borderId="16" xfId="25" applyFont="1" applyFill="1" applyBorder="1" applyAlignment="1">
      <alignment vertical="top" wrapText="1"/>
    </xf>
    <xf numFmtId="0" fontId="35" fillId="0" borderId="10" xfId="25" applyFont="1" applyFill="1" applyBorder="1" applyAlignment="1">
      <alignment horizontal="center" vertical="top" wrapText="1"/>
    </xf>
    <xf numFmtId="0" fontId="35" fillId="0" borderId="10" xfId="25" applyFont="1" applyFill="1" applyBorder="1" applyAlignment="1">
      <alignment horizontal="center" vertical="top"/>
    </xf>
    <xf numFmtId="0" fontId="16" fillId="0" borderId="0" xfId="25" applyFont="1" applyFill="1" applyAlignment="1">
      <alignment horizontal="center"/>
    </xf>
    <xf numFmtId="0" fontId="16" fillId="0" borderId="0" xfId="25" applyFont="1" applyFill="1"/>
    <xf numFmtId="44" fontId="3" fillId="0" borderId="18" xfId="25" applyNumberFormat="1" applyFill="1" applyBorder="1"/>
    <xf numFmtId="0" fontId="3" fillId="0" borderId="19" xfId="25" applyFill="1" applyBorder="1"/>
    <xf numFmtId="175" fontId="3" fillId="0" borderId="0" xfId="22" applyNumberFormat="1" applyFill="1"/>
    <xf numFmtId="170" fontId="3" fillId="0" borderId="20" xfId="25" applyNumberFormat="1" applyFill="1" applyBorder="1"/>
    <xf numFmtId="0" fontId="3" fillId="0" borderId="21" xfId="25" applyFill="1" applyBorder="1"/>
    <xf numFmtId="44" fontId="3" fillId="0" borderId="1" xfId="22" applyNumberFormat="1" applyFill="1" applyBorder="1"/>
    <xf numFmtId="42" fontId="3" fillId="0" borderId="22" xfId="25" applyNumberFormat="1" applyFill="1" applyBorder="1"/>
    <xf numFmtId="170" fontId="3" fillId="0" borderId="0" xfId="21" applyNumberFormat="1" applyFont="1" applyFill="1"/>
    <xf numFmtId="170" fontId="3" fillId="0" borderId="0" xfId="21" applyNumberFormat="1" applyFill="1" applyBorder="1"/>
    <xf numFmtId="170" fontId="3" fillId="0" borderId="0" xfId="21" applyNumberFormat="1" applyFill="1"/>
    <xf numFmtId="179" fontId="40" fillId="0" borderId="0" xfId="23" applyNumberFormat="1" applyFont="1" applyFill="1"/>
    <xf numFmtId="0" fontId="23" fillId="0" borderId="0" xfId="25" quotePrefix="1" applyFont="1" applyFill="1"/>
    <xf numFmtId="42" fontId="3" fillId="0" borderId="0" xfId="25" applyNumberFormat="1" applyFill="1"/>
    <xf numFmtId="43" fontId="3" fillId="0" borderId="0" xfId="21" applyNumberFormat="1" applyFont="1" applyFill="1"/>
    <xf numFmtId="6" fontId="3" fillId="0" borderId="0" xfId="25" applyNumberFormat="1" applyFill="1"/>
    <xf numFmtId="14" fontId="3" fillId="0" borderId="0" xfId="25" applyNumberFormat="1" applyFill="1"/>
    <xf numFmtId="170" fontId="16" fillId="0" borderId="1" xfId="21" applyNumberFormat="1" applyFont="1" applyFill="1" applyBorder="1" applyAlignment="1">
      <alignment horizontal="center"/>
    </xf>
    <xf numFmtId="185" fontId="3" fillId="0" borderId="0" xfId="25" applyNumberFormat="1" applyFont="1" applyFill="1"/>
    <xf numFmtId="9" fontId="3" fillId="0" borderId="0" xfId="23" applyFill="1"/>
    <xf numFmtId="6" fontId="26" fillId="0" borderId="0" xfId="25" applyNumberFormat="1" applyFont="1" applyFill="1"/>
    <xf numFmtId="170" fontId="41" fillId="0" borderId="0" xfId="21" applyNumberFormat="1" applyFont="1"/>
    <xf numFmtId="170" fontId="41" fillId="0" borderId="0" xfId="25" applyNumberFormat="1" applyFont="1"/>
    <xf numFmtId="175" fontId="3" fillId="0" borderId="0" xfId="25" applyNumberFormat="1" applyFill="1"/>
    <xf numFmtId="44" fontId="16" fillId="0" borderId="0" xfId="27" applyFont="1"/>
    <xf numFmtId="44" fontId="16" fillId="0" borderId="0" xfId="27" applyNumberFormat="1" applyFont="1"/>
    <xf numFmtId="170" fontId="3" fillId="0" borderId="0" xfId="21" applyNumberFormat="1"/>
    <xf numFmtId="175" fontId="16" fillId="0" borderId="0" xfId="27" applyNumberFormat="1" applyFont="1"/>
    <xf numFmtId="170" fontId="16" fillId="0" borderId="0" xfId="21" applyNumberFormat="1" applyFont="1"/>
    <xf numFmtId="0" fontId="42" fillId="0" borderId="0" xfId="25" applyFont="1"/>
    <xf numFmtId="0" fontId="3" fillId="0" borderId="0" xfId="25" applyAlignment="1">
      <alignment horizontal="centerContinuous"/>
    </xf>
    <xf numFmtId="0" fontId="16" fillId="0" borderId="0" xfId="25" applyFont="1" applyAlignment="1">
      <alignment horizontal="centerContinuous"/>
    </xf>
    <xf numFmtId="0" fontId="43" fillId="0" borderId="0" xfId="30"/>
    <xf numFmtId="0" fontId="44" fillId="0" borderId="0" xfId="30" applyFont="1" applyFill="1"/>
    <xf numFmtId="0" fontId="43" fillId="0" borderId="0" xfId="30" applyAlignment="1">
      <alignment horizontal="center"/>
    </xf>
    <xf numFmtId="0" fontId="43" fillId="0" borderId="0" xfId="30" applyFill="1"/>
    <xf numFmtId="0" fontId="43" fillId="0" borderId="0" xfId="30" applyFill="1" applyAlignment="1">
      <alignment horizontal="center"/>
    </xf>
    <xf numFmtId="0" fontId="43" fillId="0" borderId="0" xfId="30" applyAlignment="1">
      <alignment horizontal="center" vertical="top"/>
    </xf>
    <xf numFmtId="0" fontId="43" fillId="0" borderId="3" xfId="30" applyBorder="1" applyAlignment="1">
      <alignment horizontal="center"/>
    </xf>
    <xf numFmtId="0" fontId="43" fillId="0" borderId="0" xfId="30" applyBorder="1" applyAlignment="1">
      <alignment horizontal="center"/>
    </xf>
    <xf numFmtId="41" fontId="43" fillId="0" borderId="0" xfId="30" applyNumberFormat="1"/>
    <xf numFmtId="41" fontId="43" fillId="0" borderId="5" xfId="30" applyNumberFormat="1" applyBorder="1"/>
    <xf numFmtId="170" fontId="43" fillId="5" borderId="0" xfId="21" applyNumberFormat="1" applyFont="1" applyFill="1"/>
    <xf numFmtId="41" fontId="43" fillId="5" borderId="0" xfId="30" applyNumberFormat="1" applyFill="1"/>
    <xf numFmtId="41" fontId="43" fillId="0" borderId="5" xfId="30" applyNumberFormat="1" applyFill="1" applyBorder="1"/>
    <xf numFmtId="0" fontId="45" fillId="0" borderId="0" xfId="30" applyFont="1" applyAlignment="1">
      <alignment horizontal="center"/>
    </xf>
    <xf numFmtId="0" fontId="45" fillId="0" borderId="3" xfId="30" applyFont="1" applyBorder="1" applyAlignment="1">
      <alignment horizontal="center"/>
    </xf>
    <xf numFmtId="0" fontId="45" fillId="0" borderId="0" xfId="30" applyFont="1" applyBorder="1" applyAlignment="1">
      <alignment horizontal="center"/>
    </xf>
    <xf numFmtId="0" fontId="45" fillId="0" borderId="0" xfId="30" quotePrefix="1" applyFont="1" applyAlignment="1">
      <alignment horizontal="center"/>
    </xf>
    <xf numFmtId="0" fontId="45" fillId="0" borderId="0" xfId="30" applyFont="1"/>
    <xf numFmtId="0" fontId="43" fillId="5" borderId="0" xfId="30" applyFill="1" applyAlignment="1">
      <alignment horizontal="center"/>
    </xf>
    <xf numFmtId="0" fontId="43" fillId="5" borderId="0" xfId="30" applyFill="1"/>
    <xf numFmtId="0" fontId="43" fillId="5" borderId="0" xfId="30" applyFill="1" applyAlignment="1"/>
    <xf numFmtId="0" fontId="46" fillId="0" borderId="0" xfId="30" applyFont="1"/>
    <xf numFmtId="0" fontId="43" fillId="0" borderId="0" xfId="30" applyFill="1" applyAlignment="1">
      <alignment horizontal="center" vertical="top"/>
    </xf>
    <xf numFmtId="0" fontId="43" fillId="0" borderId="0" xfId="30" applyBorder="1"/>
    <xf numFmtId="41" fontId="43" fillId="0" borderId="0" xfId="30" applyNumberFormat="1" applyBorder="1"/>
    <xf numFmtId="0" fontId="43" fillId="0" borderId="0" xfId="30" quotePrefix="1" applyAlignment="1">
      <alignment horizontal="center"/>
    </xf>
    <xf numFmtId="164" fontId="6" fillId="0" borderId="0" xfId="20" applyFont="1" applyFill="1" applyBorder="1" applyAlignment="1">
      <alignment horizontal="left" vertical="top" wrapText="1"/>
    </xf>
    <xf numFmtId="164" fontId="6" fillId="0" borderId="0" xfId="20" applyFont="1" applyFill="1" applyBorder="1" applyAlignment="1">
      <alignment horizontal="left" wrapText="1"/>
    </xf>
    <xf numFmtId="164" fontId="6" fillId="0" borderId="0" xfId="24" applyFill="1" applyBorder="1" applyAlignment="1"/>
    <xf numFmtId="4" fontId="6" fillId="0" borderId="0" xfId="24" applyNumberFormat="1" applyFill="1" applyBorder="1" applyAlignment="1"/>
    <xf numFmtId="164" fontId="26" fillId="0" borderId="11" xfId="24" applyFont="1" applyFill="1" applyBorder="1" applyAlignment="1">
      <alignment horizontal="center"/>
    </xf>
    <xf numFmtId="0" fontId="6" fillId="0" borderId="0" xfId="24" applyNumberFormat="1" applyFont="1" applyFill="1" applyBorder="1"/>
    <xf numFmtId="164" fontId="6" fillId="0" borderId="0" xfId="24" applyFont="1" applyFill="1" applyBorder="1" applyAlignment="1"/>
    <xf numFmtId="0" fontId="6" fillId="4" borderId="0" xfId="27" applyNumberFormat="1" applyFont="1" applyFill="1" applyBorder="1" applyAlignment="1">
      <alignment horizontal="center"/>
    </xf>
    <xf numFmtId="0" fontId="6" fillId="0" borderId="0" xfId="24" applyNumberFormat="1" applyFont="1" applyFill="1" applyBorder="1" applyAlignment="1"/>
    <xf numFmtId="3" fontId="6" fillId="0" borderId="0" xfId="24" applyNumberFormat="1" applyFont="1" applyFill="1" applyBorder="1" applyAlignment="1"/>
    <xf numFmtId="164" fontId="6" fillId="0" borderId="11" xfId="24" applyFont="1" applyFill="1" applyBorder="1" applyAlignment="1">
      <alignment horizontal="center" vertical="top"/>
    </xf>
    <xf numFmtId="10" fontId="6" fillId="4" borderId="0" xfId="23" applyNumberFormat="1" applyFont="1" applyFill="1" applyBorder="1" applyAlignment="1"/>
    <xf numFmtId="175" fontId="6" fillId="0" borderId="0" xfId="27" applyNumberFormat="1" applyFont="1" applyFill="1" applyBorder="1" applyAlignment="1"/>
    <xf numFmtId="10" fontId="6" fillId="0" borderId="0" xfId="23" applyNumberFormat="1" applyFont="1" applyFill="1" applyBorder="1" applyAlignment="1"/>
    <xf numFmtId="175" fontId="6" fillId="0" borderId="5" xfId="27" applyNumberFormat="1" applyFont="1" applyFill="1" applyBorder="1" applyAlignment="1"/>
    <xf numFmtId="164" fontId="6" fillId="0" borderId="1" xfId="24" applyFill="1" applyBorder="1" applyAlignment="1"/>
    <xf numFmtId="164" fontId="27" fillId="0" borderId="0" xfId="24" applyFont="1" applyFill="1" applyBorder="1" applyAlignment="1"/>
    <xf numFmtId="3" fontId="27" fillId="0" borderId="0" xfId="24" applyNumberFormat="1" applyFont="1" applyFill="1" applyBorder="1" applyAlignment="1"/>
    <xf numFmtId="164" fontId="27" fillId="0" borderId="0" xfId="24" applyFont="1" applyFill="1" applyBorder="1" applyAlignment="1">
      <alignment horizontal="centerContinuous"/>
    </xf>
    <xf numFmtId="4" fontId="27" fillId="0" borderId="0" xfId="24" applyNumberFormat="1" applyFont="1" applyFill="1" applyBorder="1" applyAlignment="1">
      <alignment horizontal="centerContinuous"/>
    </xf>
    <xf numFmtId="164" fontId="6" fillId="0" borderId="0" xfId="24" applyFill="1" applyBorder="1" applyAlignment="1">
      <alignment horizontal="centerContinuous"/>
    </xf>
    <xf numFmtId="3" fontId="27" fillId="0" borderId="0" xfId="24" applyNumberFormat="1" applyFont="1" applyFill="1" applyBorder="1" applyAlignment="1">
      <alignment horizontal="centerContinuous"/>
    </xf>
    <xf numFmtId="0" fontId="6" fillId="0" borderId="0" xfId="24" applyNumberFormat="1" applyFont="1" applyFill="1" applyBorder="1" applyAlignment="1">
      <alignment horizontal="centerContinuous"/>
    </xf>
    <xf numFmtId="3" fontId="6" fillId="0" borderId="0" xfId="24" applyNumberFormat="1" applyFont="1" applyFill="1" applyBorder="1" applyAlignment="1">
      <alignment horizontal="centerContinuous"/>
    </xf>
    <xf numFmtId="164" fontId="6" fillId="0" borderId="0" xfId="24" applyFont="1" applyFill="1" applyBorder="1" applyAlignment="1">
      <alignment horizontal="centerContinuous"/>
    </xf>
    <xf numFmtId="0" fontId="18" fillId="0" borderId="0" xfId="24" applyNumberFormat="1" applyFont="1" applyFill="1" applyBorder="1" applyAlignment="1" applyProtection="1">
      <alignment horizontal="centerContinuous"/>
      <protection locked="0"/>
    </xf>
    <xf numFmtId="0" fontId="27" fillId="0" borderId="0" xfId="24" applyNumberFormat="1" applyFont="1" applyFill="1" applyBorder="1" applyAlignment="1">
      <alignment horizontal="centerContinuous"/>
    </xf>
    <xf numFmtId="0" fontId="27" fillId="0" borderId="0" xfId="32" applyNumberFormat="1" applyFont="1" applyFill="1" applyBorder="1" applyAlignment="1" applyProtection="1">
      <protection locked="0"/>
    </xf>
    <xf numFmtId="0" fontId="27" fillId="0" borderId="0" xfId="32" applyNumberFormat="1" applyFont="1" applyFill="1" applyBorder="1" applyAlignment="1" applyProtection="1">
      <alignment horizontal="center"/>
      <protection locked="0"/>
    </xf>
    <xf numFmtId="3" fontId="27" fillId="0" borderId="0" xfId="32" applyNumberFormat="1" applyFont="1" applyFill="1" applyBorder="1" applyAlignment="1"/>
    <xf numFmtId="0" fontId="27" fillId="0" borderId="0" xfId="32" applyNumberFormat="1" applyFont="1" applyFill="1" applyBorder="1" applyAlignment="1">
      <alignment horizontal="center"/>
    </xf>
    <xf numFmtId="3" fontId="27" fillId="0" borderId="0" xfId="32" applyNumberFormat="1" applyFont="1" applyFill="1" applyBorder="1" applyAlignment="1">
      <alignment horizontal="center"/>
    </xf>
    <xf numFmtId="0" fontId="27" fillId="0" borderId="0" xfId="33" applyNumberFormat="1" applyFont="1" applyFill="1" applyBorder="1" applyAlignment="1">
      <alignment horizontal="center"/>
    </xf>
    <xf numFmtId="49" fontId="27" fillId="0" borderId="0" xfId="33" applyNumberFormat="1" applyFont="1" applyFill="1" applyBorder="1" applyAlignment="1">
      <alignment horizontal="center"/>
    </xf>
    <xf numFmtId="3" fontId="26" fillId="0" borderId="0" xfId="33" applyNumberFormat="1" applyFont="1" applyFill="1" applyBorder="1" applyAlignment="1">
      <alignment horizontal="center"/>
    </xf>
    <xf numFmtId="3" fontId="27" fillId="0" borderId="0" xfId="33" applyNumberFormat="1" applyFont="1" applyFill="1" applyBorder="1" applyAlignment="1"/>
    <xf numFmtId="164" fontId="6" fillId="0" borderId="0" xfId="33" applyFill="1" applyBorder="1" applyAlignment="1"/>
    <xf numFmtId="164" fontId="26" fillId="0" borderId="0" xfId="33" applyFont="1" applyFill="1" applyBorder="1" applyAlignment="1">
      <alignment horizontal="center"/>
    </xf>
    <xf numFmtId="0" fontId="26" fillId="0" borderId="0" xfId="33" applyNumberFormat="1" applyFont="1" applyFill="1" applyBorder="1" applyAlignment="1" applyProtection="1">
      <alignment horizontal="center"/>
      <protection locked="0"/>
    </xf>
    <xf numFmtId="3" fontId="6" fillId="0" borderId="0" xfId="33" applyNumberFormat="1" applyFill="1" applyBorder="1" applyAlignment="1">
      <alignment horizontal="center"/>
    </xf>
    <xf numFmtId="0" fontId="27" fillId="0" borderId="0" xfId="33" applyNumberFormat="1" applyFont="1" applyFill="1" applyBorder="1" applyAlignment="1"/>
    <xf numFmtId="3" fontId="27" fillId="0" borderId="0" xfId="33" applyNumberFormat="1" applyFont="1" applyFill="1" applyBorder="1" applyAlignment="1">
      <alignment horizontal="center"/>
    </xf>
    <xf numFmtId="3" fontId="27" fillId="4" borderId="0" xfId="33" applyNumberFormat="1" applyFont="1" applyFill="1" applyBorder="1" applyAlignment="1"/>
    <xf numFmtId="164" fontId="6" fillId="0" borderId="0" xfId="33" quotePrefix="1" applyFont="1" applyFill="1" applyBorder="1" applyAlignment="1">
      <alignment horizontal="left"/>
    </xf>
    <xf numFmtId="10" fontId="27" fillId="0" borderId="0" xfId="33" applyNumberFormat="1" applyFont="1" applyFill="1" applyBorder="1" applyAlignment="1"/>
    <xf numFmtId="49" fontId="6" fillId="0" borderId="0" xfId="33" applyNumberFormat="1" applyFill="1" applyBorder="1" applyAlignment="1">
      <alignment horizontal="center"/>
    </xf>
    <xf numFmtId="164" fontId="27" fillId="0" borderId="0" xfId="33" applyFont="1" applyFill="1" applyBorder="1" applyAlignment="1">
      <alignment horizontal="center"/>
    </xf>
    <xf numFmtId="49" fontId="18" fillId="0" borderId="0" xfId="33" applyNumberFormat="1" applyFont="1" applyFill="1" applyBorder="1" applyAlignment="1">
      <alignment horizontal="center"/>
    </xf>
    <xf numFmtId="0" fontId="26" fillId="0" borderId="0" xfId="33" applyNumberFormat="1" applyFont="1" applyFill="1" applyBorder="1" applyAlignment="1"/>
    <xf numFmtId="3" fontId="26" fillId="0" borderId="0" xfId="33" applyNumberFormat="1" applyFont="1" applyFill="1" applyBorder="1" applyAlignment="1"/>
    <xf numFmtId="49" fontId="6" fillId="0" borderId="0" xfId="33" applyNumberFormat="1" applyFont="1" applyFill="1" applyBorder="1" applyAlignment="1">
      <alignment horizontal="center"/>
    </xf>
    <xf numFmtId="171" fontId="27" fillId="0" borderId="0" xfId="33" applyNumberFormat="1" applyFont="1" applyFill="1" applyBorder="1" applyAlignment="1">
      <alignment horizontal="center"/>
    </xf>
    <xf numFmtId="0" fontId="27" fillId="0" borderId="0" xfId="24" applyNumberFormat="1" applyFont="1" applyFill="1" applyBorder="1" applyAlignment="1"/>
    <xf numFmtId="4" fontId="27" fillId="0" borderId="0" xfId="24" applyNumberFormat="1" applyFont="1" applyFill="1" applyBorder="1" applyAlignment="1"/>
    <xf numFmtId="164" fontId="27" fillId="0" borderId="0" xfId="24" applyFont="1" applyFill="1" applyBorder="1" applyAlignment="1">
      <alignment horizontal="right"/>
    </xf>
    <xf numFmtId="0" fontId="27" fillId="0" borderId="0" xfId="24" applyNumberFormat="1" applyFont="1" applyFill="1" applyBorder="1"/>
    <xf numFmtId="164" fontId="6" fillId="0" borderId="0" xfId="24" applyFill="1" applyBorder="1" applyAlignment="1">
      <alignment horizontal="right"/>
    </xf>
    <xf numFmtId="183" fontId="27" fillId="0" borderId="0" xfId="24" applyNumberFormat="1" applyFont="1" applyFill="1" applyBorder="1" applyAlignment="1">
      <alignment horizontal="center"/>
    </xf>
    <xf numFmtId="0" fontId="27" fillId="0" borderId="0" xfId="24" quotePrefix="1" applyNumberFormat="1" applyFont="1" applyFill="1" applyBorder="1" applyAlignment="1">
      <alignment horizontal="center"/>
    </xf>
    <xf numFmtId="3" fontId="6" fillId="0" borderId="0" xfId="24" applyNumberFormat="1" applyFont="1" applyFill="1" applyBorder="1" applyAlignment="1">
      <alignment horizontal="center"/>
    </xf>
    <xf numFmtId="0" fontId="6" fillId="0" borderId="0" xfId="24" applyNumberFormat="1" applyFont="1" applyFill="1" applyBorder="1" applyAlignment="1">
      <alignment horizontal="center"/>
    </xf>
    <xf numFmtId="164" fontId="6" fillId="0" borderId="11" xfId="24" applyFont="1" applyFill="1" applyBorder="1" applyAlignment="1">
      <alignment horizontal="center" vertical="top" wrapText="1"/>
    </xf>
    <xf numFmtId="0" fontId="27" fillId="0" borderId="11" xfId="24" applyNumberFormat="1" applyFont="1" applyFill="1" applyBorder="1" applyAlignment="1">
      <alignment horizontal="center" vertical="top" wrapText="1"/>
    </xf>
    <xf numFmtId="4" fontId="6" fillId="0" borderId="10" xfId="24" applyNumberFormat="1" applyFont="1" applyFill="1" applyBorder="1" applyAlignment="1">
      <alignment horizontal="center" vertical="top" wrapText="1"/>
    </xf>
    <xf numFmtId="164" fontId="6" fillId="0" borderId="10" xfId="24" applyFont="1" applyFill="1" applyBorder="1" applyAlignment="1">
      <alignment horizontal="center" vertical="top" wrapText="1"/>
    </xf>
    <xf numFmtId="3" fontId="27" fillId="0" borderId="10" xfId="24" applyNumberFormat="1" applyFont="1" applyFill="1" applyBorder="1" applyAlignment="1">
      <alignment horizontal="center" vertical="top" wrapText="1"/>
    </xf>
    <xf numFmtId="3" fontId="27" fillId="0" borderId="11" xfId="24" applyNumberFormat="1" applyFont="1" applyFill="1" applyBorder="1" applyAlignment="1">
      <alignment horizontal="center" vertical="top" wrapText="1"/>
    </xf>
    <xf numFmtId="0" fontId="6" fillId="0" borderId="0" xfId="24" applyNumberFormat="1" applyFont="1" applyFill="1" applyBorder="1" applyAlignment="1">
      <alignment vertical="top"/>
    </xf>
    <xf numFmtId="164" fontId="6" fillId="0" borderId="0" xfId="24" applyFont="1" applyFill="1" applyBorder="1" applyAlignment="1">
      <alignment vertical="top"/>
    </xf>
    <xf numFmtId="0" fontId="27" fillId="0" borderId="12" xfId="24" applyNumberFormat="1" applyFont="1" applyFill="1" applyBorder="1" applyAlignment="1">
      <alignment horizontal="center" vertical="top" wrapText="1"/>
    </xf>
    <xf numFmtId="0" fontId="27" fillId="0" borderId="14" xfId="24" applyNumberFormat="1" applyFont="1" applyFill="1" applyBorder="1"/>
    <xf numFmtId="4" fontId="27" fillId="0" borderId="8" xfId="24" applyNumberFormat="1" applyFont="1" applyFill="1" applyBorder="1"/>
    <xf numFmtId="0" fontId="27" fillId="0" borderId="8" xfId="24" applyNumberFormat="1" applyFont="1" applyFill="1" applyBorder="1"/>
    <xf numFmtId="3" fontId="27" fillId="0" borderId="8" xfId="24" applyNumberFormat="1" applyFont="1" applyFill="1" applyBorder="1" applyAlignment="1"/>
    <xf numFmtId="0" fontId="27" fillId="0" borderId="9" xfId="24" applyNumberFormat="1" applyFont="1" applyFill="1" applyBorder="1"/>
    <xf numFmtId="164" fontId="25" fillId="0" borderId="0" xfId="24" applyFont="1" applyFill="1" applyBorder="1" applyAlignment="1"/>
    <xf numFmtId="164" fontId="27" fillId="0" borderId="0" xfId="24" applyFont="1" applyFill="1" applyBorder="1" applyAlignment="1">
      <alignment horizontal="center"/>
    </xf>
    <xf numFmtId="164" fontId="25" fillId="0" borderId="1" xfId="24" applyFont="1" applyFill="1" applyBorder="1" applyAlignment="1"/>
    <xf numFmtId="4" fontId="25" fillId="0" borderId="0" xfId="24" applyNumberFormat="1" applyFont="1" applyFill="1" applyBorder="1" applyAlignment="1"/>
    <xf numFmtId="164" fontId="51" fillId="0" borderId="0" xfId="24" applyFont="1" applyFill="1" applyBorder="1" applyAlignment="1"/>
    <xf numFmtId="164" fontId="26" fillId="0" borderId="0" xfId="24" applyFont="1" applyFill="1" applyBorder="1" applyAlignment="1">
      <alignment horizontal="center"/>
    </xf>
    <xf numFmtId="164" fontId="18" fillId="0" borderId="0" xfId="24" applyFont="1" applyFill="1" applyBorder="1" applyAlignment="1">
      <alignment horizontal="center"/>
    </xf>
    <xf numFmtId="3" fontId="18" fillId="0" borderId="0" xfId="24" applyNumberFormat="1" applyFont="1" applyFill="1" applyBorder="1" applyAlignment="1">
      <alignment horizontal="center"/>
    </xf>
    <xf numFmtId="10" fontId="25" fillId="0" borderId="8" xfId="23" applyNumberFormat="1" applyFont="1" applyFill="1" applyBorder="1" applyAlignment="1"/>
    <xf numFmtId="0" fontId="53" fillId="0" borderId="0" xfId="34" applyFont="1" applyAlignment="1"/>
    <xf numFmtId="174" fontId="27" fillId="0" borderId="0" xfId="24" applyNumberFormat="1" applyFont="1" applyFill="1" applyBorder="1" applyAlignment="1"/>
    <xf numFmtId="0" fontId="1" fillId="0" borderId="0" xfId="34" applyFont="1" applyAlignment="1"/>
    <xf numFmtId="164" fontId="6" fillId="0" borderId="0" xfId="24" applyFont="1" applyFill="1" applyBorder="1" applyAlignment="1">
      <alignment vertical="top" wrapText="1"/>
    </xf>
    <xf numFmtId="0" fontId="1" fillId="0" borderId="0" xfId="34" applyAlignment="1"/>
    <xf numFmtId="4" fontId="25" fillId="0" borderId="1" xfId="24" applyNumberFormat="1" applyFont="1" applyFill="1" applyBorder="1" applyAlignment="1"/>
    <xf numFmtId="0" fontId="27" fillId="0" borderId="10" xfId="24" applyNumberFormat="1" applyFont="1" applyFill="1" applyBorder="1" applyAlignment="1">
      <alignment horizontal="center" vertical="top" wrapText="1"/>
    </xf>
    <xf numFmtId="3" fontId="27" fillId="0" borderId="5" xfId="33" applyNumberFormat="1" applyFont="1" applyFill="1" applyBorder="1" applyAlignment="1"/>
    <xf numFmtId="0" fontId="27" fillId="0" borderId="5" xfId="20" applyNumberFormat="1" applyFont="1" applyFill="1" applyBorder="1" applyAlignment="1" applyProtection="1">
      <protection locked="0"/>
    </xf>
    <xf numFmtId="0" fontId="27" fillId="0" borderId="5" xfId="20" applyNumberFormat="1" applyFont="1" applyFill="1" applyBorder="1" applyAlignment="1" applyProtection="1">
      <alignment horizontal="left"/>
      <protection locked="0"/>
    </xf>
    <xf numFmtId="0" fontId="27" fillId="0" borderId="5" xfId="20" applyNumberFormat="1" applyFont="1" applyFill="1" applyBorder="1" applyProtection="1">
      <protection locked="0"/>
    </xf>
    <xf numFmtId="164" fontId="6" fillId="0" borderId="5" xfId="20" applyFill="1" applyBorder="1" applyAlignment="1"/>
    <xf numFmtId="0" fontId="27" fillId="0" borderId="5" xfId="20" applyNumberFormat="1" applyFont="1" applyFill="1" applyBorder="1"/>
    <xf numFmtId="0" fontId="27" fillId="0" borderId="5" xfId="20" applyNumberFormat="1" applyFont="1" applyFill="1" applyBorder="1" applyAlignment="1" applyProtection="1">
      <alignment horizontal="right"/>
      <protection locked="0"/>
    </xf>
    <xf numFmtId="0" fontId="6" fillId="0" borderId="5" xfId="20" applyNumberFormat="1" applyFont="1" applyFill="1" applyBorder="1"/>
    <xf numFmtId="0" fontId="39" fillId="0" borderId="5" xfId="20" applyNumberFormat="1" applyFont="1" applyFill="1" applyBorder="1"/>
    <xf numFmtId="164" fontId="6" fillId="0" borderId="5" xfId="20" applyFont="1" applyFill="1" applyBorder="1" applyAlignment="1"/>
    <xf numFmtId="3" fontId="6" fillId="0" borderId="0" xfId="20" applyNumberFormat="1" applyFill="1" applyBorder="1" applyAlignment="1">
      <alignment horizontal="center"/>
    </xf>
    <xf numFmtId="170" fontId="27" fillId="4" borderId="0" xfId="21" applyNumberFormat="1" applyFont="1" applyFill="1" applyBorder="1" applyAlignment="1"/>
    <xf numFmtId="170" fontId="27" fillId="4" borderId="3" xfId="21" applyNumberFormat="1" applyFont="1" applyFill="1" applyBorder="1" applyAlignment="1"/>
    <xf numFmtId="49" fontId="6" fillId="0" borderId="0" xfId="20" applyNumberFormat="1" applyFill="1" applyBorder="1" applyAlignment="1">
      <alignment horizontal="center"/>
    </xf>
    <xf numFmtId="164" fontId="27" fillId="0" borderId="11" xfId="24" applyFont="1" applyFill="1" applyBorder="1" applyAlignment="1">
      <alignment horizontal="center"/>
    </xf>
    <xf numFmtId="10" fontId="27" fillId="4" borderId="0" xfId="23" applyNumberFormat="1" applyFont="1" applyFill="1" applyBorder="1" applyAlignment="1">
      <alignment horizontal="center"/>
    </xf>
    <xf numFmtId="183" fontId="27" fillId="0" borderId="0" xfId="20" quotePrefix="1" applyNumberFormat="1" applyFont="1" applyFill="1" applyBorder="1" applyAlignment="1">
      <alignment horizontal="center"/>
    </xf>
    <xf numFmtId="183" fontId="27" fillId="2" borderId="0" xfId="20" quotePrefix="1" applyNumberFormat="1" applyFont="1" applyFill="1" applyBorder="1" applyAlignment="1">
      <alignment horizontal="center"/>
    </xf>
    <xf numFmtId="183" fontId="27" fillId="2" borderId="0" xfId="24" applyNumberFormat="1" applyFont="1" applyFill="1" applyBorder="1" applyAlignment="1">
      <alignment horizontal="center"/>
    </xf>
    <xf numFmtId="164" fontId="6" fillId="0" borderId="11" xfId="20" applyFont="1" applyFill="1" applyBorder="1" applyAlignment="1">
      <alignment horizontal="center" vertical="top" wrapText="1"/>
    </xf>
    <xf numFmtId="164" fontId="6" fillId="0" borderId="15" xfId="20" applyFont="1" applyFill="1" applyBorder="1" applyAlignment="1">
      <alignment horizontal="center" vertical="top" wrapText="1"/>
    </xf>
    <xf numFmtId="164" fontId="6" fillId="0" borderId="10" xfId="20" applyFont="1" applyFill="1" applyBorder="1" applyAlignment="1">
      <alignment horizontal="center" vertical="top" wrapText="1"/>
    </xf>
    <xf numFmtId="3" fontId="6" fillId="0" borderId="0" xfId="20" applyNumberFormat="1" applyFont="1" applyFill="1" applyBorder="1" applyAlignment="1">
      <alignment vertical="top"/>
    </xf>
    <xf numFmtId="0" fontId="6" fillId="0" borderId="13" xfId="20" applyNumberFormat="1" applyFont="1" applyFill="1" applyBorder="1"/>
    <xf numFmtId="3" fontId="6" fillId="0" borderId="13" xfId="20" applyNumberFormat="1" applyFont="1" applyFill="1" applyBorder="1" applyAlignment="1"/>
    <xf numFmtId="164" fontId="6" fillId="0" borderId="13" xfId="20" applyFont="1" applyFill="1" applyBorder="1" applyAlignment="1"/>
    <xf numFmtId="0" fontId="27" fillId="4" borderId="0" xfId="21" applyNumberFormat="1" applyFont="1" applyFill="1" applyBorder="1" applyAlignment="1"/>
    <xf numFmtId="164" fontId="6" fillId="4" borderId="0" xfId="20" applyFill="1" applyBorder="1" applyAlignment="1"/>
    <xf numFmtId="175" fontId="27" fillId="4" borderId="0" xfId="27" applyNumberFormat="1" applyFont="1" applyFill="1" applyBorder="1" applyAlignment="1"/>
    <xf numFmtId="175" fontId="27" fillId="0" borderId="25" xfId="27" applyNumberFormat="1" applyFont="1" applyFill="1" applyBorder="1" applyAlignment="1"/>
    <xf numFmtId="10" fontId="27" fillId="0" borderId="8" xfId="23" applyNumberFormat="1" applyFont="1" applyFill="1" applyBorder="1" applyAlignment="1"/>
    <xf numFmtId="164" fontId="6" fillId="4" borderId="0" xfId="20" applyFont="1" applyFill="1" applyBorder="1" applyAlignment="1"/>
    <xf numFmtId="164" fontId="25" fillId="4" borderId="0" xfId="20" applyFont="1" applyFill="1" applyBorder="1" applyAlignment="1"/>
    <xf numFmtId="164" fontId="25" fillId="0" borderId="8" xfId="20" applyFont="1" applyFill="1" applyBorder="1" applyAlignment="1"/>
    <xf numFmtId="164" fontId="6" fillId="0" borderId="8" xfId="20" applyFont="1" applyFill="1" applyBorder="1" applyAlignment="1"/>
    <xf numFmtId="0" fontId="53" fillId="0" borderId="0" xfId="35" applyFont="1" applyAlignment="1"/>
    <xf numFmtId="0" fontId="1" fillId="0" borderId="0" xfId="35" applyFont="1" applyAlignment="1"/>
    <xf numFmtId="164" fontId="6" fillId="0" borderId="0" xfId="20" applyFill="1" applyBorder="1" applyAlignment="1">
      <alignment vertical="top" wrapText="1"/>
    </xf>
    <xf numFmtId="164" fontId="6" fillId="0" borderId="0" xfId="20" applyFont="1" applyFill="1" applyBorder="1" applyAlignment="1">
      <alignment vertical="top" wrapText="1"/>
    </xf>
    <xf numFmtId="179" fontId="6" fillId="0" borderId="0" xfId="23" applyNumberFormat="1" applyFont="1" applyFill="1" applyBorder="1" applyAlignment="1"/>
    <xf numFmtId="164" fontId="6" fillId="0" borderId="0" xfId="20" applyFont="1" applyFill="1" applyBorder="1" applyAlignment="1">
      <alignment wrapText="1"/>
    </xf>
    <xf numFmtId="0" fontId="1" fillId="0" borderId="0" xfId="35" applyAlignment="1"/>
    <xf numFmtId="0" fontId="27" fillId="0" borderId="5" xfId="20" applyNumberFormat="1" applyFont="1" applyFill="1" applyBorder="1" applyAlignment="1"/>
    <xf numFmtId="175" fontId="27" fillId="0" borderId="5" xfId="27" applyNumberFormat="1" applyFont="1" applyFill="1" applyBorder="1" applyAlignment="1"/>
    <xf numFmtId="10" fontId="27" fillId="0" borderId="5" xfId="23" applyNumberFormat="1" applyFont="1" applyFill="1" applyBorder="1" applyAlignment="1"/>
    <xf numFmtId="175" fontId="6" fillId="0" borderId="0" xfId="21" applyNumberFormat="1" applyFont="1" applyFill="1" applyBorder="1" applyAlignment="1"/>
    <xf numFmtId="0" fontId="3" fillId="0" borderId="0" xfId="37" applyFont="1" applyFill="1" applyBorder="1"/>
    <xf numFmtId="43" fontId="52" fillId="0" borderId="0" xfId="21" applyFont="1" applyFill="1" applyBorder="1" applyAlignment="1"/>
    <xf numFmtId="0" fontId="27" fillId="0" borderId="8" xfId="23" applyNumberFormat="1" applyFont="1" applyFill="1" applyBorder="1" applyAlignment="1"/>
    <xf numFmtId="170" fontId="0" fillId="0" borderId="0" xfId="1" applyNumberFormat="1" applyFont="1"/>
    <xf numFmtId="186" fontId="28" fillId="0" borderId="0" xfId="36" applyNumberFormat="1" applyFont="1" applyFill="1" applyBorder="1"/>
    <xf numFmtId="0" fontId="28" fillId="0" borderId="0" xfId="36" applyFont="1" applyFill="1" applyBorder="1" applyAlignment="1">
      <alignment horizontal="center"/>
    </xf>
    <xf numFmtId="0" fontId="28" fillId="0" borderId="0" xfId="36" applyFont="1" applyFill="1" applyBorder="1" applyAlignment="1">
      <alignment horizontal="center" vertical="center"/>
    </xf>
    <xf numFmtId="0" fontId="28" fillId="0" borderId="0" xfId="36" applyFont="1" applyFill="1" applyBorder="1"/>
    <xf numFmtId="175" fontId="16" fillId="0" borderId="0" xfId="27" applyNumberFormat="1" applyFont="1" applyFill="1" applyBorder="1" applyAlignment="1"/>
    <xf numFmtId="0" fontId="28" fillId="0" borderId="0" xfId="0" applyFont="1" applyFill="1"/>
    <xf numFmtId="0" fontId="28" fillId="0" borderId="0" xfId="31" applyFont="1" applyFill="1" applyBorder="1" applyAlignment="1">
      <alignment horizontal="center" vertical="top" wrapText="1"/>
    </xf>
    <xf numFmtId="176" fontId="28" fillId="0" borderId="0" xfId="36" applyNumberFormat="1" applyFont="1" applyFill="1" applyBorder="1"/>
    <xf numFmtId="186" fontId="28" fillId="0" borderId="0" xfId="36" applyNumberFormat="1" applyFont="1" applyFill="1" applyBorder="1" applyAlignment="1">
      <alignment horizontal="left" indent="1"/>
    </xf>
    <xf numFmtId="170" fontId="28" fillId="0" borderId="0" xfId="38" applyNumberFormat="1" applyFont="1" applyFill="1" applyBorder="1"/>
    <xf numFmtId="10" fontId="28" fillId="0" borderId="0" xfId="2" applyNumberFormat="1" applyFont="1" applyFill="1" applyBorder="1" applyAlignment="1">
      <alignment horizontal="center"/>
    </xf>
    <xf numFmtId="176" fontId="28" fillId="0" borderId="0" xfId="2" applyNumberFormat="1" applyFont="1" applyFill="1" applyBorder="1" applyAlignment="1">
      <alignment horizontal="center"/>
    </xf>
    <xf numFmtId="176" fontId="28" fillId="0" borderId="0" xfId="23" applyNumberFormat="1" applyFont="1" applyFill="1" applyBorder="1"/>
    <xf numFmtId="170" fontId="55" fillId="0" borderId="0" xfId="38" applyNumberFormat="1" applyFont="1" applyFill="1" applyBorder="1" applyAlignment="1">
      <alignment horizontal="right"/>
    </xf>
    <xf numFmtId="10" fontId="55" fillId="0" borderId="0" xfId="23" applyNumberFormat="1" applyFont="1" applyFill="1" applyBorder="1"/>
    <xf numFmtId="6" fontId="28" fillId="0" borderId="0" xfId="36" applyNumberFormat="1" applyFont="1" applyFill="1" applyBorder="1"/>
    <xf numFmtId="6" fontId="28" fillId="0" borderId="5" xfId="36" applyNumberFormat="1" applyFont="1" applyFill="1" applyBorder="1"/>
    <xf numFmtId="14" fontId="3" fillId="4" borderId="0" xfId="25" applyNumberFormat="1" applyFill="1" applyAlignment="1">
      <alignment horizontal="center"/>
    </xf>
    <xf numFmtId="6" fontId="28" fillId="0" borderId="4" xfId="36" applyNumberFormat="1" applyFont="1" applyFill="1" applyBorder="1"/>
    <xf numFmtId="0" fontId="4" fillId="0" borderId="0" xfId="5" applyNumberFormat="1" applyFont="1" applyFill="1" applyAlignment="1" applyProtection="1">
      <alignment horizontal="center"/>
      <protection locked="0"/>
    </xf>
    <xf numFmtId="10" fontId="55" fillId="0" borderId="5" xfId="23" applyNumberFormat="1" applyFont="1" applyFill="1" applyBorder="1"/>
    <xf numFmtId="170" fontId="28" fillId="0" borderId="0" xfId="1" applyNumberFormat="1" applyFont="1" applyFill="1"/>
    <xf numFmtId="187" fontId="1" fillId="0" borderId="0" xfId="1" applyNumberFormat="1" applyFont="1"/>
    <xf numFmtId="187" fontId="0" fillId="0" borderId="0" xfId="1" applyNumberFormat="1" applyFont="1"/>
    <xf numFmtId="180" fontId="0" fillId="0" borderId="0" xfId="0" applyNumberFormat="1" applyFill="1"/>
    <xf numFmtId="180" fontId="0" fillId="0" borderId="0" xfId="0" applyNumberFormat="1" applyFill="1" applyAlignment="1">
      <alignment horizontal="center"/>
    </xf>
    <xf numFmtId="10" fontId="0" fillId="0" borderId="0" xfId="2" applyNumberFormat="1" applyFont="1" applyFill="1"/>
    <xf numFmtId="187" fontId="0" fillId="0" borderId="0" xfId="1" applyNumberFormat="1" applyFont="1" applyFill="1"/>
    <xf numFmtId="174" fontId="4" fillId="0" borderId="0" xfId="5" applyNumberFormat="1" applyFont="1" applyFill="1" applyBorder="1" applyAlignment="1" applyProtection="1">
      <protection locked="0"/>
    </xf>
    <xf numFmtId="10" fontId="57" fillId="0" borderId="0" xfId="2" applyNumberFormat="1" applyFont="1" applyFill="1"/>
    <xf numFmtId="170" fontId="6" fillId="0" borderId="0" xfId="1" applyNumberFormat="1" applyFont="1" applyFill="1" applyBorder="1" applyAlignment="1"/>
    <xf numFmtId="43" fontId="6" fillId="0" borderId="0" xfId="1" applyFont="1" applyFill="1" applyBorder="1" applyAlignment="1"/>
    <xf numFmtId="0" fontId="0" fillId="0" borderId="0" xfId="0" applyFont="1" applyAlignment="1">
      <alignment horizontal="right" indent="1"/>
    </xf>
    <xf numFmtId="0" fontId="28" fillId="0" borderId="0" xfId="6" applyFont="1" applyFill="1" applyAlignment="1">
      <alignment horizontal="center"/>
    </xf>
    <xf numFmtId="10" fontId="3" fillId="0" borderId="4" xfId="15" applyNumberFormat="1" applyFont="1" applyFill="1" applyBorder="1"/>
    <xf numFmtId="0" fontId="15" fillId="0" borderId="0" xfId="10" applyFont="1" applyFill="1" applyBorder="1"/>
    <xf numFmtId="170" fontId="15" fillId="0" borderId="26" xfId="10" applyNumberFormat="1" applyFont="1" applyFill="1" applyBorder="1"/>
    <xf numFmtId="170" fontId="3" fillId="0" borderId="0" xfId="10" applyNumberFormat="1" applyFont="1" applyFill="1"/>
    <xf numFmtId="170" fontId="3" fillId="0" borderId="0" xfId="11" applyNumberFormat="1" applyFont="1" applyFill="1"/>
    <xf numFmtId="0" fontId="3" fillId="0" borderId="0" xfId="7" quotePrefix="1" applyFont="1" applyFill="1" applyAlignment="1">
      <alignment horizontal="left"/>
    </xf>
    <xf numFmtId="0" fontId="3" fillId="0" borderId="0" xfId="6" applyFont="1" applyFill="1" applyAlignment="1"/>
    <xf numFmtId="0" fontId="6" fillId="0" borderId="0" xfId="24" applyNumberFormat="1" applyFill="1" applyBorder="1" applyAlignment="1"/>
    <xf numFmtId="0" fontId="6" fillId="0" borderId="0" xfId="24" applyNumberFormat="1" applyFill="1" applyBorder="1" applyAlignment="1">
      <alignment horizontal="center"/>
    </xf>
    <xf numFmtId="49" fontId="4" fillId="0" borderId="0" xfId="5" applyNumberFormat="1" applyFont="1" applyAlignment="1" applyProtection="1">
      <alignment horizontal="center"/>
      <protection locked="0"/>
    </xf>
    <xf numFmtId="0" fontId="4" fillId="0" borderId="0" xfId="40" applyFont="1" applyProtection="1">
      <protection locked="0"/>
    </xf>
    <xf numFmtId="3" fontId="4" fillId="0" borderId="0" xfId="5" applyNumberFormat="1" applyFont="1" applyFill="1" applyAlignment="1" applyProtection="1">
      <protection locked="0"/>
    </xf>
    <xf numFmtId="3" fontId="4" fillId="0" borderId="0" xfId="5" applyNumberFormat="1" applyFont="1" applyAlignment="1" applyProtection="1">
      <protection locked="0"/>
    </xf>
    <xf numFmtId="0" fontId="4" fillId="0" borderId="0" xfId="40" applyNumberFormat="1" applyFont="1" applyProtection="1">
      <protection locked="0"/>
    </xf>
    <xf numFmtId="0" fontId="4" fillId="0" borderId="0" xfId="40" applyNumberFormat="1" applyFont="1" applyFill="1" applyProtection="1">
      <protection locked="0"/>
    </xf>
    <xf numFmtId="0" fontId="4" fillId="0" borderId="0" xfId="40" applyFont="1" applyAlignment="1" applyProtection="1">
      <alignment horizontal="center"/>
      <protection locked="0"/>
    </xf>
    <xf numFmtId="0" fontId="4" fillId="0" borderId="0" xfId="40" applyFont="1" applyAlignment="1" applyProtection="1">
      <alignment horizontal="center" vertical="top" wrapText="1"/>
      <protection locked="0"/>
    </xf>
    <xf numFmtId="0" fontId="4" fillId="0" borderId="0" xfId="40" applyFont="1" applyAlignment="1" applyProtection="1">
      <alignment horizontal="center" vertical="top"/>
      <protection locked="0"/>
    </xf>
    <xf numFmtId="0" fontId="13" fillId="0" borderId="0" xfId="40" applyFont="1" applyAlignment="1" applyProtection="1">
      <alignment vertical="top" wrapText="1"/>
      <protection locked="0"/>
    </xf>
    <xf numFmtId="0" fontId="13" fillId="0" borderId="0" xfId="40" applyFont="1" applyFill="1" applyAlignment="1" applyProtection="1">
      <alignment vertical="top" wrapText="1"/>
      <protection locked="0"/>
    </xf>
    <xf numFmtId="0" fontId="4" fillId="0" borderId="0" xfId="40" applyFont="1" applyFill="1" applyProtection="1">
      <protection locked="0"/>
    </xf>
    <xf numFmtId="0" fontId="4" fillId="0" borderId="0" xfId="40" applyFont="1" applyFill="1" applyAlignment="1" applyProtection="1">
      <alignment horizontal="center" vertical="top" wrapText="1"/>
      <protection locked="0"/>
    </xf>
    <xf numFmtId="164" fontId="4" fillId="0" borderId="0" xfId="5" applyFont="1" applyFill="1" applyAlignment="1" applyProtection="1">
      <alignment horizontal="center" vertical="top" wrapText="1"/>
      <protection locked="0"/>
    </xf>
    <xf numFmtId="0" fontId="4" fillId="0" borderId="0" xfId="40" applyFont="1" applyAlignment="1" applyProtection="1">
      <alignment vertical="top" wrapText="1"/>
      <protection locked="0"/>
    </xf>
    <xf numFmtId="3" fontId="4" fillId="0" borderId="0" xfId="5" applyNumberFormat="1" applyFont="1" applyFill="1" applyAlignment="1" applyProtection="1">
      <alignment horizontal="center" vertical="top" wrapText="1"/>
      <protection locked="0"/>
    </xf>
    <xf numFmtId="3" fontId="4" fillId="0" borderId="0" xfId="5" applyNumberFormat="1" applyFont="1" applyAlignment="1" applyProtection="1">
      <alignment vertical="top" wrapText="1"/>
      <protection locked="0"/>
    </xf>
    <xf numFmtId="164" fontId="4" fillId="0" borderId="0" xfId="5" applyFont="1" applyFill="1" applyAlignment="1" applyProtection="1">
      <protection locked="0"/>
    </xf>
    <xf numFmtId="174" fontId="4" fillId="0" borderId="0" xfId="5" applyNumberFormat="1" applyFont="1" applyAlignment="1" applyProtection="1">
      <alignment horizontal="right"/>
    </xf>
    <xf numFmtId="3" fontId="4" fillId="0" borderId="0" xfId="5" applyNumberFormat="1" applyFont="1" applyAlignment="1" applyProtection="1">
      <alignment horizontal="right"/>
      <protection locked="0"/>
    </xf>
    <xf numFmtId="0" fontId="4" fillId="0" borderId="0" xfId="40" applyFont="1" applyAlignment="1" applyProtection="1">
      <protection locked="0"/>
    </xf>
    <xf numFmtId="0" fontId="13" fillId="0" borderId="0" xfId="40" applyFont="1" applyAlignment="1" applyProtection="1">
      <protection locked="0"/>
    </xf>
    <xf numFmtId="3" fontId="13" fillId="0" borderId="0" xfId="40" applyNumberFormat="1" applyFont="1" applyFill="1" applyAlignment="1" applyProtection="1">
      <alignment horizontal="right"/>
      <protection locked="0"/>
    </xf>
    <xf numFmtId="0" fontId="4" fillId="0" borderId="0" xfId="40" applyNumberFormat="1" applyFont="1" applyBorder="1" applyProtection="1">
      <protection locked="0"/>
    </xf>
    <xf numFmtId="0" fontId="4" fillId="0" borderId="1" xfId="40" applyNumberFormat="1" applyFont="1" applyBorder="1" applyProtection="1">
      <protection locked="0"/>
    </xf>
    <xf numFmtId="0" fontId="4" fillId="0" borderId="1" xfId="40" applyNumberFormat="1" applyFont="1" applyBorder="1" applyAlignment="1" applyProtection="1">
      <protection locked="0"/>
    </xf>
    <xf numFmtId="0" fontId="4" fillId="0" borderId="0" xfId="40" applyNumberFormat="1" applyFont="1" applyAlignment="1" applyProtection="1">
      <alignment horizontal="center"/>
      <protection locked="0"/>
    </xf>
    <xf numFmtId="164" fontId="4" fillId="0" borderId="0" xfId="5" applyFont="1" applyAlignment="1" applyProtection="1">
      <protection locked="0"/>
    </xf>
    <xf numFmtId="0" fontId="4" fillId="0" borderId="0" xfId="40" applyNumberFormat="1" applyFont="1" applyBorder="1" applyAlignment="1" applyProtection="1">
      <protection locked="0"/>
    </xf>
    <xf numFmtId="3" fontId="4" fillId="0" borderId="0" xfId="5" applyNumberFormat="1" applyFont="1" applyAlignment="1" applyProtection="1">
      <alignment horizontal="center"/>
      <protection locked="0"/>
    </xf>
    <xf numFmtId="1" fontId="4" fillId="0" borderId="0" xfId="5" applyNumberFormat="1" applyFont="1" applyFill="1" applyAlignment="1" applyProtection="1">
      <protection locked="0"/>
    </xf>
    <xf numFmtId="1" fontId="4" fillId="0" borderId="0" xfId="5" applyNumberFormat="1" applyFont="1" applyFill="1" applyProtection="1">
      <protection locked="0"/>
    </xf>
    <xf numFmtId="174" fontId="4" fillId="0" borderId="0" xfId="5" applyNumberFormat="1" applyFont="1" applyFill="1" applyBorder="1" applyProtection="1">
      <protection locked="0"/>
    </xf>
    <xf numFmtId="38" fontId="4" fillId="0" borderId="0" xfId="5" applyNumberFormat="1" applyFont="1" applyAlignment="1" applyProtection="1">
      <protection locked="0"/>
    </xf>
    <xf numFmtId="164" fontId="4" fillId="0" borderId="0" xfId="5" applyFont="1" applyBorder="1" applyAlignment="1" applyProtection="1">
      <protection locked="0"/>
    </xf>
    <xf numFmtId="0" fontId="4" fillId="0" borderId="1" xfId="5" applyNumberFormat="1" applyFont="1" applyBorder="1" applyProtection="1">
      <protection locked="0"/>
    </xf>
    <xf numFmtId="164" fontId="4" fillId="0" borderId="1" xfId="5" applyFont="1" applyBorder="1" applyAlignment="1" applyProtection="1">
      <protection locked="0"/>
    </xf>
    <xf numFmtId="164" fontId="13" fillId="0" borderId="0" xfId="5" applyFont="1" applyAlignment="1" applyProtection="1">
      <protection locked="0"/>
    </xf>
    <xf numFmtId="0" fontId="4" fillId="0" borderId="27" xfId="40" applyFont="1" applyBorder="1" applyAlignment="1" applyProtection="1">
      <protection locked="0"/>
    </xf>
    <xf numFmtId="0" fontId="4" fillId="0" borderId="3" xfId="40" applyFont="1" applyBorder="1" applyAlignment="1" applyProtection="1">
      <protection locked="0"/>
    </xf>
    <xf numFmtId="0" fontId="4" fillId="0" borderId="7" xfId="40" applyFont="1" applyBorder="1" applyAlignment="1" applyProtection="1">
      <protection locked="0"/>
    </xf>
    <xf numFmtId="10" fontId="59" fillId="4" borderId="25" xfId="23" applyNumberFormat="1" applyFont="1" applyFill="1" applyBorder="1" applyAlignment="1" applyProtection="1">
      <protection locked="0"/>
    </xf>
    <xf numFmtId="0" fontId="4" fillId="0" borderId="0" xfId="40" applyFont="1" applyBorder="1" applyAlignment="1" applyProtection="1">
      <protection locked="0"/>
    </xf>
    <xf numFmtId="0" fontId="4" fillId="0" borderId="9" xfId="40" applyFont="1" applyBorder="1" applyAlignment="1" applyProtection="1">
      <protection locked="0"/>
    </xf>
    <xf numFmtId="3" fontId="4" fillId="0" borderId="0" xfId="5" quotePrefix="1" applyNumberFormat="1" applyFont="1" applyAlignment="1" applyProtection="1">
      <protection locked="0"/>
    </xf>
    <xf numFmtId="168" fontId="4" fillId="0" borderId="0" xfId="5" applyNumberFormat="1" applyFont="1" applyAlignment="1" applyProtection="1"/>
    <xf numFmtId="3" fontId="4" fillId="0" borderId="0" xfId="5" applyNumberFormat="1" applyFont="1" applyFill="1" applyAlignment="1" applyProtection="1">
      <alignment horizontal="center"/>
    </xf>
    <xf numFmtId="168" fontId="4" fillId="0" borderId="1" xfId="5" applyNumberFormat="1" applyFont="1" applyBorder="1" applyAlignment="1" applyProtection="1"/>
    <xf numFmtId="168" fontId="4" fillId="3" borderId="0" xfId="5" applyNumberFormat="1" applyFont="1" applyFill="1" applyAlignment="1" applyProtection="1"/>
    <xf numFmtId="168" fontId="4" fillId="0" borderId="0" xfId="5" applyNumberFormat="1" applyFont="1" applyAlignment="1" applyProtection="1">
      <protection locked="0"/>
    </xf>
    <xf numFmtId="9" fontId="4" fillId="0" borderId="0" xfId="5" applyNumberFormat="1" applyFont="1" applyAlignment="1" applyProtection="1">
      <protection locked="0"/>
    </xf>
    <xf numFmtId="3" fontId="4" fillId="0" borderId="1" xfId="5" applyNumberFormat="1" applyFont="1" applyBorder="1" applyAlignment="1" applyProtection="1">
      <alignment horizontal="center"/>
      <protection locked="0"/>
    </xf>
    <xf numFmtId="0" fontId="4" fillId="0" borderId="25" xfId="40" applyFont="1" applyBorder="1" applyAlignment="1" applyProtection="1">
      <protection locked="0"/>
    </xf>
    <xf numFmtId="168" fontId="4" fillId="5" borderId="0" xfId="40" applyNumberFormat="1" applyFont="1" applyFill="1" applyAlignment="1" applyProtection="1">
      <protection locked="0"/>
    </xf>
    <xf numFmtId="3" fontId="4" fillId="3" borderId="0" xfId="5" applyNumberFormat="1" applyFont="1" applyFill="1" applyAlignment="1" applyProtection="1">
      <alignment horizontal="center"/>
      <protection locked="0"/>
    </xf>
    <xf numFmtId="0" fontId="4" fillId="0" borderId="28" xfId="40" applyFont="1" applyBorder="1" applyAlignment="1" applyProtection="1">
      <protection locked="0"/>
    </xf>
    <xf numFmtId="0" fontId="4" fillId="0" borderId="5" xfId="40" applyFont="1" applyBorder="1" applyAlignment="1" applyProtection="1">
      <protection locked="0"/>
    </xf>
    <xf numFmtId="0" fontId="4" fillId="0" borderId="14" xfId="40" applyFont="1" applyBorder="1" applyAlignment="1" applyProtection="1">
      <protection locked="0"/>
    </xf>
    <xf numFmtId="3" fontId="4" fillId="5" borderId="0" xfId="5" applyNumberFormat="1" applyFont="1" applyFill="1" applyAlignment="1" applyProtection="1">
      <alignment horizontal="center"/>
      <protection locked="0"/>
    </xf>
    <xf numFmtId="3" fontId="4" fillId="3" borderId="1" xfId="5" applyNumberFormat="1" applyFont="1" applyFill="1" applyBorder="1" applyAlignment="1" applyProtection="1">
      <alignment horizontal="center"/>
      <protection locked="0"/>
    </xf>
    <xf numFmtId="42" fontId="4" fillId="3" borderId="0" xfId="5" applyNumberFormat="1" applyFont="1" applyFill="1" applyAlignment="1" applyProtection="1">
      <alignment horizontal="center"/>
      <protection locked="0"/>
    </xf>
    <xf numFmtId="174" fontId="4" fillId="3" borderId="0" xfId="5" applyNumberFormat="1" applyFont="1" applyFill="1" applyAlignment="1" applyProtection="1">
      <alignment horizontal="center"/>
      <protection locked="0"/>
    </xf>
    <xf numFmtId="3" fontId="4" fillId="0" borderId="0" xfId="40" applyNumberFormat="1" applyFont="1" applyAlignment="1" applyProtection="1"/>
    <xf numFmtId="3" fontId="4" fillId="3" borderId="1" xfId="5" applyNumberFormat="1" applyFont="1" applyFill="1" applyBorder="1" applyAlignment="1" applyProtection="1">
      <protection locked="0"/>
    </xf>
    <xf numFmtId="3" fontId="4" fillId="0" borderId="1" xfId="5" applyNumberFormat="1" applyFont="1" applyBorder="1" applyAlignment="1" applyProtection="1">
      <protection locked="0"/>
    </xf>
    <xf numFmtId="0" fontId="4" fillId="0" borderId="1" xfId="5" applyNumberFormat="1" applyFont="1" applyBorder="1" applyAlignment="1" applyProtection="1">
      <protection locked="0"/>
    </xf>
    <xf numFmtId="165" fontId="4" fillId="0" borderId="0" xfId="40" applyNumberFormat="1" applyFont="1" applyAlignment="1" applyProtection="1"/>
    <xf numFmtId="165" fontId="4" fillId="0" borderId="0" xfId="5" applyNumberFormat="1" applyFont="1" applyAlignment="1" applyProtection="1"/>
    <xf numFmtId="3" fontId="4" fillId="3" borderId="0" xfId="5" applyNumberFormat="1" applyFont="1" applyFill="1" applyAlignment="1" applyProtection="1">
      <protection locked="0"/>
    </xf>
    <xf numFmtId="171" fontId="4" fillId="0" borderId="0" xfId="5" applyNumberFormat="1" applyFont="1" applyAlignment="1" applyProtection="1">
      <alignment horizontal="center"/>
      <protection locked="0"/>
    </xf>
    <xf numFmtId="3" fontId="9" fillId="0" borderId="0" xfId="5" applyNumberFormat="1" applyFont="1" applyAlignment="1" applyProtection="1">
      <alignment horizontal="center"/>
      <protection locked="0"/>
    </xf>
    <xf numFmtId="169" fontId="4" fillId="0" borderId="0" xfId="40" applyNumberFormat="1" applyFont="1" applyAlignment="1" applyProtection="1"/>
    <xf numFmtId="0" fontId="4" fillId="0" borderId="1" xfId="40" applyNumberFormat="1" applyFont="1" applyBorder="1" applyAlignment="1" applyProtection="1">
      <alignment horizontal="center"/>
      <protection locked="0"/>
    </xf>
    <xf numFmtId="3" fontId="4" fillId="0" borderId="0" xfId="40" applyNumberFormat="1" applyFont="1" applyAlignment="1" applyProtection="1">
      <protection locked="0"/>
    </xf>
    <xf numFmtId="3" fontId="4" fillId="0" borderId="1" xfId="40" applyNumberFormat="1" applyFont="1" applyBorder="1" applyAlignment="1" applyProtection="1"/>
    <xf numFmtId="4" fontId="4" fillId="0" borderId="0" xfId="5" applyNumberFormat="1" applyFont="1" applyAlignment="1" applyProtection="1">
      <protection locked="0"/>
    </xf>
    <xf numFmtId="3" fontId="4" fillId="0" borderId="0" xfId="40" applyNumberFormat="1" applyFont="1" applyBorder="1" applyAlignment="1" applyProtection="1">
      <alignment horizontal="center"/>
      <protection locked="0"/>
    </xf>
    <xf numFmtId="4" fontId="4" fillId="0" borderId="0" xfId="40" applyNumberFormat="1" applyFont="1" applyAlignment="1" applyProtection="1"/>
    <xf numFmtId="165" fontId="4" fillId="0" borderId="0" xfId="40" applyNumberFormat="1" applyFont="1" applyFill="1" applyProtection="1"/>
    <xf numFmtId="169" fontId="4" fillId="0" borderId="0" xfId="40" applyNumberFormat="1" applyFont="1" applyFill="1" applyProtection="1"/>
    <xf numFmtId="169" fontId="4" fillId="0" borderId="0" xfId="40" applyNumberFormat="1" applyFont="1" applyFill="1" applyAlignment="1" applyProtection="1"/>
    <xf numFmtId="3" fontId="4" fillId="0" borderId="0" xfId="40" applyNumberFormat="1" applyFont="1" applyFill="1" applyAlignment="1" applyProtection="1"/>
    <xf numFmtId="49" fontId="4" fillId="0" borderId="0" xfId="5" applyNumberFormat="1" applyFont="1" applyFill="1" applyAlignment="1" applyProtection="1">
      <protection locked="0"/>
    </xf>
    <xf numFmtId="49" fontId="4" fillId="0" borderId="0" xfId="5" applyNumberFormat="1" applyFont="1" applyFill="1" applyAlignment="1" applyProtection="1">
      <alignment horizontal="center"/>
      <protection locked="0"/>
    </xf>
    <xf numFmtId="49" fontId="4" fillId="0" borderId="0" xfId="5" applyNumberFormat="1" applyFont="1" applyFill="1" applyProtection="1">
      <protection locked="0"/>
    </xf>
    <xf numFmtId="3" fontId="4" fillId="0" borderId="0" xfId="5" applyNumberFormat="1" applyFont="1" applyFill="1" applyBorder="1" applyAlignment="1" applyProtection="1">
      <protection locked="0"/>
    </xf>
    <xf numFmtId="164" fontId="13" fillId="0" borderId="0" xfId="5" applyFont="1" applyFill="1" applyAlignment="1" applyProtection="1">
      <protection locked="0"/>
    </xf>
    <xf numFmtId="169" fontId="4" fillId="0" borderId="0" xfId="40" applyNumberFormat="1" applyFont="1" applyFill="1" applyAlignment="1" applyProtection="1">
      <alignment horizontal="right"/>
    </xf>
    <xf numFmtId="0" fontId="9" fillId="0" borderId="0" xfId="5" applyNumberFormat="1" applyFont="1" applyAlignment="1" applyProtection="1">
      <protection locked="0"/>
    </xf>
    <xf numFmtId="164" fontId="4" fillId="0" borderId="0" xfId="5" applyFont="1" applyAlignment="1" applyProtection="1">
      <alignment horizontal="right"/>
    </xf>
    <xf numFmtId="3" fontId="4" fillId="0" borderId="0" xfId="40" applyNumberFormat="1" applyFont="1" applyBorder="1" applyAlignment="1" applyProtection="1">
      <protection locked="0"/>
    </xf>
    <xf numFmtId="171" fontId="4" fillId="0" borderId="0" xfId="40" applyNumberFormat="1" applyFont="1" applyAlignment="1" applyProtection="1">
      <alignment horizontal="center"/>
      <protection locked="0"/>
    </xf>
    <xf numFmtId="0" fontId="13" fillId="0" borderId="0" xfId="40" applyNumberFormat="1" applyFont="1" applyFill="1" applyProtection="1">
      <protection locked="0"/>
    </xf>
    <xf numFmtId="0" fontId="13" fillId="0" borderId="0" xfId="40" applyNumberFormat="1" applyFont="1" applyProtection="1">
      <protection locked="0"/>
    </xf>
    <xf numFmtId="3" fontId="13" fillId="0" borderId="0" xfId="40" applyNumberFormat="1" applyFont="1" applyBorder="1" applyAlignment="1" applyProtection="1">
      <protection locked="0"/>
    </xf>
    <xf numFmtId="3" fontId="13" fillId="0" borderId="0" xfId="40" applyNumberFormat="1" applyFont="1" applyAlignment="1" applyProtection="1">
      <protection locked="0"/>
    </xf>
    <xf numFmtId="0" fontId="4" fillId="0" borderId="0" xfId="40" applyNumberFormat="1" applyFont="1" applyAlignment="1" applyProtection="1">
      <protection locked="0"/>
    </xf>
    <xf numFmtId="3" fontId="4" fillId="0" borderId="2" xfId="40" applyNumberFormat="1" applyFont="1" applyBorder="1" applyAlignment="1" applyProtection="1"/>
    <xf numFmtId="3" fontId="4" fillId="3" borderId="1" xfId="40" applyNumberFormat="1" applyFont="1" applyFill="1" applyBorder="1" applyAlignment="1" applyProtection="1">
      <protection locked="0"/>
    </xf>
    <xf numFmtId="3" fontId="4" fillId="3" borderId="0" xfId="40" applyNumberFormat="1" applyFont="1" applyFill="1" applyBorder="1" applyAlignment="1" applyProtection="1">
      <protection locked="0"/>
    </xf>
    <xf numFmtId="3" fontId="4" fillId="0" borderId="0" xfId="40" applyNumberFormat="1" applyFont="1" applyBorder="1" applyAlignment="1" applyProtection="1"/>
    <xf numFmtId="165" fontId="4" fillId="0" borderId="0" xfId="40" applyNumberFormat="1" applyFont="1" applyAlignment="1" applyProtection="1">
      <alignment horizontal="center"/>
      <protection locked="0"/>
    </xf>
    <xf numFmtId="170" fontId="4" fillId="0" borderId="0" xfId="21" applyNumberFormat="1" applyFont="1" applyAlignment="1" applyProtection="1">
      <protection locked="0"/>
    </xf>
    <xf numFmtId="165" fontId="4" fillId="0" borderId="0" xfId="5" applyNumberFormat="1" applyFont="1" applyAlignment="1" applyProtection="1">
      <protection locked="0"/>
    </xf>
    <xf numFmtId="173" fontId="4" fillId="0" borderId="0" xfId="5" applyNumberFormat="1" applyFont="1" applyAlignment="1" applyProtection="1">
      <protection locked="0"/>
    </xf>
    <xf numFmtId="3" fontId="4" fillId="0" borderId="0" xfId="40" applyNumberFormat="1" applyFont="1" applyFill="1" applyAlignment="1" applyProtection="1">
      <alignment horizontal="right"/>
    </xf>
    <xf numFmtId="165" fontId="4" fillId="0" borderId="0" xfId="40" applyNumberFormat="1" applyFont="1" applyAlignment="1" applyProtection="1">
      <protection locked="0"/>
    </xf>
    <xf numFmtId="3" fontId="4" fillId="0" borderId="0" xfId="5" applyNumberFormat="1" applyFont="1" applyAlignment="1" applyProtection="1">
      <alignment horizontal="left"/>
      <protection locked="0"/>
    </xf>
    <xf numFmtId="10" fontId="4" fillId="0" borderId="0" xfId="5" applyNumberFormat="1" applyFont="1" applyAlignment="1" applyProtection="1">
      <alignment horizontal="left"/>
      <protection locked="0"/>
    </xf>
    <xf numFmtId="170" fontId="4" fillId="0" borderId="0" xfId="21" applyNumberFormat="1" applyFont="1" applyBorder="1" applyAlignment="1" applyProtection="1">
      <protection locked="0"/>
    </xf>
    <xf numFmtId="168" fontId="4" fillId="0" borderId="0" xfId="40" applyNumberFormat="1" applyFont="1" applyFill="1" applyAlignment="1" applyProtection="1">
      <alignment horizontal="right"/>
    </xf>
    <xf numFmtId="10" fontId="4" fillId="0" borderId="0" xfId="40" applyNumberFormat="1" applyFont="1" applyFill="1" applyAlignment="1" applyProtection="1">
      <alignment horizontal="right"/>
    </xf>
    <xf numFmtId="0" fontId="4" fillId="0" borderId="0" xfId="5" applyNumberFormat="1" applyFont="1" applyAlignment="1" applyProtection="1">
      <alignment horizontal="fill"/>
      <protection locked="0"/>
    </xf>
    <xf numFmtId="165" fontId="4" fillId="0" borderId="0" xfId="40" applyNumberFormat="1" applyFont="1" applyFill="1" applyAlignment="1" applyProtection="1">
      <alignment horizontal="right"/>
      <protection locked="0"/>
    </xf>
    <xf numFmtId="3" fontId="4" fillId="0" borderId="0" xfId="5" quotePrefix="1" applyNumberFormat="1" applyFont="1" applyAlignment="1" applyProtection="1">
      <alignment horizontal="left"/>
      <protection locked="0"/>
    </xf>
    <xf numFmtId="0" fontId="4" fillId="0" borderId="0" xfId="5" quotePrefix="1" applyNumberFormat="1" applyFont="1" applyAlignment="1" applyProtection="1">
      <alignment horizontal="left"/>
      <protection locked="0"/>
    </xf>
    <xf numFmtId="169" fontId="4" fillId="0" borderId="0" xfId="40" applyNumberFormat="1" applyFont="1" applyAlignment="1" applyProtection="1">
      <protection locked="0"/>
    </xf>
    <xf numFmtId="172" fontId="4" fillId="0" borderId="0" xfId="5" applyNumberFormat="1" applyFont="1" applyFill="1" applyAlignment="1" applyProtection="1">
      <alignment horizontal="left"/>
      <protection locked="0"/>
    </xf>
    <xf numFmtId="169" fontId="4" fillId="0" borderId="0" xfId="40" applyNumberFormat="1" applyFont="1" applyFill="1" applyAlignment="1" applyProtection="1">
      <protection locked="0"/>
    </xf>
    <xf numFmtId="3" fontId="12" fillId="0" borderId="0" xfId="5" applyNumberFormat="1" applyFont="1" applyFill="1" applyAlignment="1" applyProtection="1">
      <protection locked="0"/>
    </xf>
    <xf numFmtId="3" fontId="9" fillId="0" borderId="0" xfId="5" applyNumberFormat="1" applyFont="1" applyAlignment="1" applyProtection="1">
      <protection locked="0"/>
    </xf>
    <xf numFmtId="164" fontId="9" fillId="0" borderId="0" xfId="5" applyFont="1" applyAlignment="1" applyProtection="1">
      <alignment horizontal="center"/>
      <protection locked="0"/>
    </xf>
    <xf numFmtId="49" fontId="4" fillId="0" borderId="0" xfId="5" applyNumberFormat="1" applyFont="1" applyAlignment="1" applyProtection="1">
      <alignment horizontal="left"/>
      <protection locked="0"/>
    </xf>
    <xf numFmtId="3" fontId="4" fillId="0" borderId="0" xfId="5" applyNumberFormat="1" applyFont="1" applyAlignment="1" applyProtection="1">
      <alignment horizontal="right"/>
    </xf>
    <xf numFmtId="3" fontId="4" fillId="0" borderId="0" xfId="40" applyNumberFormat="1" applyFont="1" applyFill="1" applyAlignment="1" applyProtection="1">
      <protection locked="0"/>
    </xf>
    <xf numFmtId="170" fontId="4" fillId="0" borderId="0" xfId="21" applyNumberFormat="1" applyFont="1" applyAlignment="1" applyProtection="1"/>
    <xf numFmtId="169" fontId="4" fillId="0" borderId="0" xfId="40" applyNumberFormat="1" applyFont="1" applyFill="1" applyAlignment="1" applyProtection="1">
      <alignment horizontal="right"/>
      <protection locked="0"/>
    </xf>
    <xf numFmtId="3" fontId="4" fillId="0" borderId="0" xfId="5" applyNumberFormat="1" applyFont="1" applyAlignment="1" applyProtection="1">
      <alignment horizontal="fill"/>
      <protection locked="0"/>
    </xf>
    <xf numFmtId="171" fontId="4" fillId="0" borderId="0" xfId="40" applyNumberFormat="1" applyFont="1" applyAlignment="1" applyProtection="1">
      <alignment horizontal="center"/>
    </xf>
    <xf numFmtId="3" fontId="4" fillId="0" borderId="0" xfId="21" applyNumberFormat="1" applyFont="1" applyAlignment="1" applyProtection="1"/>
    <xf numFmtId="169" fontId="4" fillId="0" borderId="0" xfId="5" applyNumberFormat="1" applyFont="1" applyAlignment="1" applyProtection="1">
      <protection locked="0"/>
    </xf>
    <xf numFmtId="0" fontId="4" fillId="0" borderId="0" xfId="5" applyNumberFormat="1" applyFont="1" applyAlignment="1" applyProtection="1">
      <alignment horizontal="right"/>
    </xf>
    <xf numFmtId="0" fontId="4" fillId="0" borderId="0" xfId="5" applyNumberFormat="1" applyFont="1" applyAlignment="1" applyProtection="1">
      <alignment horizontal="right"/>
      <protection locked="0"/>
    </xf>
    <xf numFmtId="168" fontId="4" fillId="0" borderId="0" xfId="5" applyNumberFormat="1" applyFont="1" applyProtection="1">
      <protection locked="0"/>
    </xf>
    <xf numFmtId="167" fontId="4" fillId="0" borderId="0" xfId="40" applyNumberFormat="1" applyFont="1" applyAlignment="1" applyProtection="1"/>
    <xf numFmtId="166" fontId="4" fillId="0" borderId="0" xfId="40" applyNumberFormat="1" applyFont="1" applyProtection="1"/>
    <xf numFmtId="164" fontId="4" fillId="0" borderId="0" xfId="5" applyFont="1" applyAlignment="1" applyProtection="1">
      <alignment horizontal="center"/>
      <protection locked="0"/>
    </xf>
    <xf numFmtId="166" fontId="4" fillId="0" borderId="0" xfId="5" applyNumberFormat="1" applyFont="1" applyAlignment="1" applyProtection="1">
      <alignment horizontal="center"/>
      <protection locked="0"/>
    </xf>
    <xf numFmtId="3" fontId="4" fillId="0" borderId="0" xfId="5" applyNumberFormat="1" applyFont="1" applyProtection="1">
      <protection locked="0"/>
    </xf>
    <xf numFmtId="3" fontId="4" fillId="0" borderId="0" xfId="5" applyNumberFormat="1" applyFont="1" applyProtection="1"/>
    <xf numFmtId="3" fontId="4" fillId="3" borderId="1" xfId="5" applyNumberFormat="1" applyFont="1" applyFill="1" applyBorder="1" applyProtection="1">
      <protection locked="0"/>
    </xf>
    <xf numFmtId="3" fontId="4" fillId="0" borderId="0" xfId="5" applyNumberFormat="1" applyFont="1" applyFill="1" applyBorder="1" applyProtection="1">
      <protection locked="0"/>
    </xf>
    <xf numFmtId="3" fontId="4" fillId="3" borderId="0" xfId="5" applyNumberFormat="1" applyFont="1" applyFill="1" applyBorder="1" applyProtection="1">
      <protection locked="0"/>
    </xf>
    <xf numFmtId="3" fontId="4" fillId="3" borderId="0" xfId="5" applyNumberFormat="1" applyFont="1" applyFill="1" applyProtection="1">
      <protection locked="0"/>
    </xf>
    <xf numFmtId="42" fontId="4" fillId="0" borderId="2" xfId="5" applyNumberFormat="1" applyFont="1" applyBorder="1" applyAlignment="1" applyProtection="1">
      <alignment horizontal="right"/>
    </xf>
    <xf numFmtId="42" fontId="4" fillId="0" borderId="0" xfId="40" applyNumberFormat="1" applyFont="1" applyProtection="1"/>
    <xf numFmtId="49" fontId="4" fillId="0" borderId="0" xfId="5" applyNumberFormat="1" applyFont="1" applyProtection="1">
      <protection locked="0"/>
    </xf>
    <xf numFmtId="0" fontId="7" fillId="0" borderId="0" xfId="5" applyNumberFormat="1" applyFont="1" applyProtection="1">
      <protection locked="0"/>
    </xf>
    <xf numFmtId="0" fontId="11" fillId="0" borderId="0" xfId="40" applyFont="1" applyBorder="1" applyAlignment="1" applyProtection="1">
      <alignment vertical="center" wrapText="1"/>
      <protection locked="0"/>
    </xf>
    <xf numFmtId="0" fontId="4" fillId="3" borderId="0" xfId="40" applyNumberFormat="1" applyFont="1" applyFill="1" applyAlignment="1" applyProtection="1">
      <alignment horizontal="right"/>
      <protection locked="0"/>
    </xf>
    <xf numFmtId="0" fontId="4" fillId="3" borderId="0" xfId="40" applyFont="1" applyFill="1" applyProtection="1">
      <protection locked="0"/>
    </xf>
    <xf numFmtId="0" fontId="4" fillId="0" borderId="0" xfId="40" applyFont="1" applyAlignment="1" applyProtection="1">
      <alignment horizontal="right"/>
      <protection locked="0"/>
    </xf>
    <xf numFmtId="3" fontId="4" fillId="0" borderId="0" xfId="40" applyNumberFormat="1" applyFont="1" applyFill="1" applyBorder="1" applyAlignment="1" applyProtection="1"/>
    <xf numFmtId="3" fontId="4" fillId="0" borderId="0" xfId="40" applyNumberFormat="1" applyFont="1" applyFill="1" applyBorder="1" applyAlignment="1" applyProtection="1">
      <protection locked="0"/>
    </xf>
    <xf numFmtId="3" fontId="13" fillId="0" borderId="0" xfId="40" applyNumberFormat="1" applyFont="1" applyFill="1" applyBorder="1" applyAlignment="1" applyProtection="1">
      <protection locked="0"/>
    </xf>
    <xf numFmtId="0" fontId="13" fillId="0" borderId="0" xfId="40" applyFont="1" applyFill="1" applyAlignment="1" applyProtection="1">
      <protection locked="0"/>
    </xf>
    <xf numFmtId="3" fontId="4" fillId="0" borderId="1" xfId="40" applyNumberFormat="1" applyFont="1" applyFill="1" applyBorder="1" applyAlignment="1" applyProtection="1"/>
    <xf numFmtId="0" fontId="11" fillId="0" borderId="0" xfId="40" applyFont="1" applyBorder="1" applyAlignment="1" applyProtection="1">
      <alignment vertical="center"/>
      <protection locked="0"/>
    </xf>
    <xf numFmtId="0" fontId="8" fillId="0" borderId="0" xfId="40" applyFont="1" applyAlignment="1" applyProtection="1">
      <alignment horizontal="center"/>
      <protection locked="0"/>
    </xf>
    <xf numFmtId="1" fontId="31" fillId="9" borderId="0" xfId="9" applyNumberFormat="1" applyFont="1" applyFill="1" applyBorder="1" applyAlignment="1">
      <alignment horizontal="center" vertical="top" wrapText="1"/>
    </xf>
    <xf numFmtId="0" fontId="32" fillId="9" borderId="0" xfId="16" applyFont="1" applyFill="1" applyBorder="1" applyAlignment="1">
      <alignment vertical="top"/>
    </xf>
    <xf numFmtId="0" fontId="3" fillId="0" borderId="0" xfId="25" applyAlignment="1">
      <alignment vertical="top"/>
    </xf>
    <xf numFmtId="0" fontId="30" fillId="6" borderId="0" xfId="26" applyFill="1" applyAlignment="1">
      <alignment vertical="top"/>
    </xf>
    <xf numFmtId="170" fontId="4" fillId="0" borderId="0" xfId="1" applyNumberFormat="1" applyFont="1" applyBorder="1"/>
    <xf numFmtId="170" fontId="4" fillId="0" borderId="0" xfId="3" applyNumberFormat="1" applyFont="1" applyBorder="1"/>
    <xf numFmtId="3" fontId="8" fillId="0" borderId="0" xfId="5" applyNumberFormat="1" applyFont="1" applyFill="1" applyAlignment="1">
      <alignment horizontal="center"/>
    </xf>
    <xf numFmtId="188" fontId="8" fillId="0" borderId="0" xfId="1" applyNumberFormat="1" applyFont="1" applyFill="1" applyAlignment="1">
      <alignment horizontal="center"/>
    </xf>
    <xf numFmtId="0" fontId="8" fillId="0" borderId="0" xfId="40" applyFont="1" applyFill="1" applyAlignment="1" applyProtection="1">
      <alignment horizontal="center"/>
      <protection locked="0"/>
    </xf>
    <xf numFmtId="0" fontId="27" fillId="0" borderId="0" xfId="24" applyNumberFormat="1" applyFont="1" applyFill="1" applyBorder="1" applyAlignment="1">
      <alignment vertical="center"/>
    </xf>
    <xf numFmtId="0" fontId="6" fillId="0" borderId="9" xfId="21" applyNumberFormat="1" applyFont="1" applyFill="1" applyBorder="1" applyAlignment="1">
      <alignment horizontal="center" vertical="top" wrapText="1"/>
    </xf>
    <xf numFmtId="164" fontId="6" fillId="0" borderId="0" xfId="24" applyFill="1" applyBorder="1" applyAlignment="1">
      <alignment vertical="top" wrapText="1"/>
    </xf>
    <xf numFmtId="164" fontId="25" fillId="0" borderId="7" xfId="24" applyFont="1" applyFill="1" applyBorder="1" applyAlignment="1">
      <alignment horizontal="center" vertical="top" wrapText="1"/>
    </xf>
    <xf numFmtId="164" fontId="25" fillId="0" borderId="3" xfId="24" applyFont="1" applyFill="1" applyBorder="1" applyAlignment="1">
      <alignment vertical="top" wrapText="1"/>
    </xf>
    <xf numFmtId="174" fontId="6" fillId="0" borderId="8" xfId="24" applyNumberFormat="1" applyFill="1" applyBorder="1" applyAlignment="1">
      <alignment vertical="top"/>
    </xf>
    <xf numFmtId="175" fontId="6" fillId="4" borderId="0" xfId="27" applyNumberFormat="1" applyFont="1" applyFill="1" applyBorder="1" applyAlignment="1">
      <alignment vertical="top"/>
    </xf>
    <xf numFmtId="175" fontId="27" fillId="0" borderId="8" xfId="27" applyNumberFormat="1" applyFont="1" applyFill="1" applyBorder="1" applyAlignment="1">
      <alignment vertical="top"/>
    </xf>
    <xf numFmtId="10" fontId="6" fillId="0" borderId="8" xfId="23" applyNumberFormat="1" applyFont="1" applyFill="1" applyBorder="1" applyAlignment="1">
      <alignment vertical="top"/>
    </xf>
    <xf numFmtId="164" fontId="25" fillId="0" borderId="0" xfId="24" applyFont="1" applyFill="1" applyBorder="1" applyAlignment="1">
      <alignment vertical="top"/>
    </xf>
    <xf numFmtId="10" fontId="6" fillId="0" borderId="0" xfId="23" applyNumberFormat="1" applyFont="1" applyFill="1" applyBorder="1" applyAlignment="1">
      <alignment vertical="top"/>
    </xf>
    <xf numFmtId="3" fontId="6" fillId="0" borderId="8" xfId="24" applyNumberFormat="1" applyFill="1" applyBorder="1" applyAlignment="1">
      <alignment vertical="top"/>
    </xf>
    <xf numFmtId="175" fontId="6" fillId="0" borderId="9" xfId="27" applyNumberFormat="1" applyFont="1" applyFill="1" applyBorder="1" applyAlignment="1">
      <alignment vertical="top"/>
    </xf>
    <xf numFmtId="164" fontId="25" fillId="0" borderId="6" xfId="24" applyFont="1" applyFill="1" applyBorder="1" applyAlignment="1">
      <alignment vertical="top"/>
    </xf>
    <xf numFmtId="164" fontId="25" fillId="0" borderId="7" xfId="24" applyFont="1" applyFill="1" applyBorder="1" applyAlignment="1">
      <alignment vertical="top"/>
    </xf>
    <xf numFmtId="164" fontId="25" fillId="0" borderId="3" xfId="24" applyFont="1" applyFill="1" applyBorder="1" applyAlignment="1">
      <alignment vertical="top"/>
    </xf>
    <xf numFmtId="4" fontId="25" fillId="0" borderId="6" xfId="24" applyNumberFormat="1" applyFont="1" applyFill="1" applyBorder="1" applyAlignment="1">
      <alignment vertical="top"/>
    </xf>
    <xf numFmtId="4" fontId="6" fillId="0" borderId="8" xfId="24" applyNumberFormat="1" applyFill="1" applyBorder="1" applyAlignment="1">
      <alignment vertical="top"/>
    </xf>
    <xf numFmtId="170" fontId="28" fillId="0" borderId="0" xfId="36" applyNumberFormat="1" applyFont="1" applyFill="1" applyBorder="1"/>
    <xf numFmtId="170" fontId="28" fillId="0" borderId="0" xfId="1" applyNumberFormat="1" applyFont="1" applyFill="1" applyBorder="1"/>
    <xf numFmtId="170" fontId="28" fillId="0" borderId="0" xfId="0" applyNumberFormat="1" applyFont="1" applyFill="1"/>
    <xf numFmtId="175" fontId="0" fillId="0" borderId="0" xfId="1" applyNumberFormat="1" applyFont="1"/>
    <xf numFmtId="175" fontId="6" fillId="4" borderId="8" xfId="27" applyNumberFormat="1" applyFont="1" applyFill="1" applyBorder="1" applyAlignment="1">
      <alignment vertical="top"/>
    </xf>
    <xf numFmtId="3" fontId="27" fillId="11" borderId="0" xfId="33" applyNumberFormat="1" applyFont="1" applyFill="1" applyBorder="1" applyAlignment="1"/>
    <xf numFmtId="10" fontId="6" fillId="11" borderId="0" xfId="23" applyNumberFormat="1" applyFont="1" applyFill="1" applyBorder="1" applyAlignment="1"/>
    <xf numFmtId="175" fontId="6" fillId="11" borderId="9" xfId="27" applyNumberFormat="1" applyFont="1" applyFill="1" applyBorder="1" applyAlignment="1">
      <alignment vertical="top"/>
    </xf>
    <xf numFmtId="175" fontId="6" fillId="11" borderId="0" xfId="27" applyNumberFormat="1" applyFont="1" applyFill="1" applyBorder="1" applyAlignment="1">
      <alignment vertical="top"/>
    </xf>
    <xf numFmtId="175" fontId="27" fillId="11" borderId="0" xfId="27" applyNumberFormat="1" applyFont="1" applyFill="1" applyBorder="1" applyAlignment="1"/>
    <xf numFmtId="10" fontId="27" fillId="11" borderId="0" xfId="23" applyNumberFormat="1" applyFont="1" applyFill="1" applyBorder="1" applyAlignment="1">
      <alignment horizontal="center"/>
    </xf>
    <xf numFmtId="170" fontId="27" fillId="11" borderId="0" xfId="21" applyNumberFormat="1" applyFont="1" applyFill="1" applyBorder="1" applyAlignment="1"/>
    <xf numFmtId="170" fontId="27" fillId="11" borderId="3" xfId="21" applyNumberFormat="1" applyFont="1" applyFill="1" applyBorder="1" applyAlignment="1"/>
    <xf numFmtId="43" fontId="43" fillId="0" borderId="0" xfId="1" applyFont="1"/>
    <xf numFmtId="6" fontId="3" fillId="0" borderId="0" xfId="25" applyNumberFormat="1" applyFont="1" applyFill="1"/>
    <xf numFmtId="0" fontId="24" fillId="0" borderId="0" xfId="36" applyFont="1" applyFill="1" applyBorder="1"/>
    <xf numFmtId="164" fontId="4" fillId="0" borderId="0" xfId="5" applyNumberFormat="1" applyFont="1" applyFill="1" applyBorder="1" applyProtection="1">
      <protection locked="0"/>
    </xf>
    <xf numFmtId="175" fontId="6" fillId="4" borderId="0" xfId="27" applyNumberFormat="1" applyFont="1" applyFill="1" applyBorder="1" applyAlignment="1"/>
    <xf numFmtId="0" fontId="0" fillId="0" borderId="0" xfId="0" applyFont="1" applyFill="1" applyAlignment="1">
      <alignment horizontal="right" indent="1"/>
    </xf>
    <xf numFmtId="0" fontId="28" fillId="0" borderId="0" xfId="0" applyFont="1" applyAlignment="1">
      <alignment horizontal="right" indent="1"/>
    </xf>
    <xf numFmtId="180" fontId="28" fillId="0" borderId="0" xfId="0" applyNumberFormat="1" applyFont="1"/>
    <xf numFmtId="0" fontId="3" fillId="0" borderId="0" xfId="7" applyFont="1" applyFill="1"/>
    <xf numFmtId="0" fontId="3" fillId="0" borderId="0" xfId="7" applyFont="1" applyFill="1" applyAlignment="1">
      <alignment horizontal="right"/>
    </xf>
    <xf numFmtId="0" fontId="3" fillId="0" borderId="0" xfId="7" applyFont="1" applyFill="1" applyAlignment="1">
      <alignment vertical="center"/>
    </xf>
    <xf numFmtId="0" fontId="3" fillId="0" borderId="3" xfId="7" applyFont="1" applyFill="1" applyBorder="1" applyAlignment="1">
      <alignment vertical="center"/>
    </xf>
    <xf numFmtId="0" fontId="3" fillId="0" borderId="3" xfId="7" applyFont="1" applyFill="1" applyBorder="1" applyAlignment="1">
      <alignment horizontal="center" vertical="center" wrapText="1"/>
    </xf>
    <xf numFmtId="0" fontId="3" fillId="0" borderId="3" xfId="7" applyFont="1" applyFill="1" applyBorder="1" applyAlignment="1">
      <alignment horizontal="center" vertical="center"/>
    </xf>
    <xf numFmtId="41" fontId="3" fillId="0" borderId="0" xfId="7" applyNumberFormat="1" applyFont="1" applyFill="1"/>
    <xf numFmtId="37" fontId="3" fillId="0" borderId="4" xfId="7" applyNumberFormat="1" applyFont="1" applyFill="1" applyBorder="1"/>
    <xf numFmtId="37" fontId="3" fillId="0" borderId="0" xfId="7" applyNumberFormat="1" applyFont="1" applyFill="1"/>
    <xf numFmtId="0" fontId="3" fillId="0" borderId="0" xfId="7" applyFont="1" applyFill="1" applyBorder="1"/>
    <xf numFmtId="164" fontId="6" fillId="0" borderId="0" xfId="8" applyFont="1" applyFill="1" applyBorder="1" applyAlignment="1"/>
    <xf numFmtId="170" fontId="3" fillId="0" borderId="0" xfId="1" applyNumberFormat="1" applyFont="1" applyFill="1" applyBorder="1" applyAlignment="1"/>
    <xf numFmtId="41" fontId="3" fillId="0" borderId="0" xfId="7" applyNumberFormat="1" applyFont="1" applyFill="1" applyBorder="1"/>
    <xf numFmtId="175" fontId="3" fillId="0" borderId="0" xfId="13" applyNumberFormat="1" applyFont="1" applyFill="1"/>
    <xf numFmtId="0" fontId="3" fillId="0" borderId="0" xfId="13" applyNumberFormat="1" applyFont="1" applyFill="1"/>
    <xf numFmtId="0" fontId="3" fillId="0" borderId="5" xfId="12" applyFont="1" applyFill="1" applyBorder="1"/>
    <xf numFmtId="175" fontId="28" fillId="0" borderId="5" xfId="13" applyNumberFormat="1" applyFont="1" applyFill="1" applyBorder="1"/>
    <xf numFmtId="0" fontId="3" fillId="0" borderId="0" xfId="12" applyFont="1" applyFill="1"/>
    <xf numFmtId="42" fontId="3" fillId="0" borderId="0" xfId="1" applyNumberFormat="1" applyFont="1" applyFill="1"/>
    <xf numFmtId="41" fontId="28" fillId="0" borderId="0" xfId="1" applyNumberFormat="1" applyFont="1" applyFill="1"/>
    <xf numFmtId="41" fontId="3" fillId="0" borderId="5" xfId="1" applyNumberFormat="1" applyFont="1" applyFill="1" applyBorder="1"/>
    <xf numFmtId="42" fontId="28" fillId="0" borderId="0" xfId="1" applyNumberFormat="1" applyFont="1" applyFill="1"/>
    <xf numFmtId="10" fontId="3" fillId="0" borderId="0" xfId="12" applyNumberFormat="1" applyFont="1" applyFill="1"/>
    <xf numFmtId="10" fontId="3" fillId="0" borderId="0" xfId="15" applyNumberFormat="1" applyFont="1" applyFill="1"/>
    <xf numFmtId="170" fontId="3" fillId="0" borderId="0" xfId="1" applyNumberFormat="1" applyFont="1" applyFill="1"/>
    <xf numFmtId="41" fontId="3" fillId="0" borderId="0" xfId="15" applyNumberFormat="1" applyFont="1" applyFill="1"/>
    <xf numFmtId="41" fontId="3" fillId="0" borderId="0" xfId="1" applyNumberFormat="1" applyFont="1" applyFill="1"/>
    <xf numFmtId="1" fontId="3" fillId="0" borderId="0" xfId="12" applyNumberFormat="1" applyFont="1" applyFill="1"/>
    <xf numFmtId="0" fontId="3" fillId="0" borderId="0" xfId="6" applyFont="1" applyFill="1" applyBorder="1"/>
    <xf numFmtId="171" fontId="3" fillId="0" borderId="0" xfId="6" applyNumberFormat="1" applyFont="1" applyFill="1" applyBorder="1"/>
    <xf numFmtId="171" fontId="3" fillId="0" borderId="0" xfId="6" applyNumberFormat="1" applyFont="1" applyFill="1" applyBorder="1" applyAlignment="1">
      <alignment horizontal="center" vertical="center" wrapText="1"/>
    </xf>
    <xf numFmtId="0" fontId="3" fillId="0" borderId="0" xfId="6" applyFont="1" applyFill="1" applyBorder="1" applyAlignment="1">
      <alignment horizontal="center" vertical="center" wrapText="1"/>
    </xf>
    <xf numFmtId="176" fontId="3" fillId="0" borderId="0" xfId="15" applyNumberFormat="1" applyFont="1" applyFill="1"/>
    <xf numFmtId="0" fontId="3" fillId="0" borderId="0" xfId="6" applyFont="1" applyFill="1" applyBorder="1" applyAlignment="1">
      <alignment horizontal="right"/>
    </xf>
    <xf numFmtId="176" fontId="3" fillId="0" borderId="0" xfId="15" applyNumberFormat="1" applyFont="1" applyFill="1" applyBorder="1"/>
    <xf numFmtId="176" fontId="3" fillId="0" borderId="4" xfId="15" applyNumberFormat="1" applyFont="1" applyFill="1" applyBorder="1"/>
    <xf numFmtId="10" fontId="3" fillId="0" borderId="3" xfId="15" applyNumberFormat="1" applyFont="1" applyFill="1" applyBorder="1"/>
    <xf numFmtId="42" fontId="3" fillId="0" borderId="3" xfId="1" applyNumberFormat="1" applyFont="1" applyFill="1" applyBorder="1"/>
    <xf numFmtId="0" fontId="3" fillId="0" borderId="3" xfId="25" applyFont="1" applyFill="1" applyBorder="1" applyAlignment="1">
      <alignment horizontal="center"/>
    </xf>
    <xf numFmtId="0" fontId="3" fillId="0" borderId="6" xfId="7" quotePrefix="1" applyFont="1" applyFill="1" applyBorder="1" applyAlignment="1">
      <alignment horizontal="left"/>
    </xf>
    <xf numFmtId="0" fontId="3" fillId="8" borderId="0" xfId="25" applyFont="1" applyFill="1"/>
    <xf numFmtId="0" fontId="60" fillId="9" borderId="0" xfId="16" applyFont="1" applyFill="1" applyAlignment="1"/>
    <xf numFmtId="174" fontId="4" fillId="3" borderId="0" xfId="5" applyNumberFormat="1" applyFont="1" applyFill="1" applyBorder="1" applyProtection="1"/>
    <xf numFmtId="174" fontId="4" fillId="3" borderId="0" xfId="5" applyNumberFormat="1" applyFont="1" applyFill="1" applyBorder="1" applyAlignment="1" applyProtection="1">
      <protection locked="0"/>
    </xf>
    <xf numFmtId="174" fontId="4" fillId="3" borderId="1" xfId="40" applyNumberFormat="1" applyFont="1" applyFill="1" applyBorder="1" applyAlignment="1" applyProtection="1">
      <protection locked="0"/>
    </xf>
    <xf numFmtId="174" fontId="4" fillId="0" borderId="0" xfId="5" applyNumberFormat="1" applyFont="1" applyFill="1" applyBorder="1" applyAlignment="1" applyProtection="1"/>
    <xf numFmtId="189" fontId="3" fillId="0" borderId="0" xfId="7" applyNumberFormat="1" applyFont="1" applyFill="1" applyBorder="1"/>
    <xf numFmtId="43" fontId="3" fillId="0" borderId="0" xfId="1" applyFont="1" applyFill="1"/>
    <xf numFmtId="0" fontId="6" fillId="0" borderId="0" xfId="24" applyNumberFormat="1" applyAlignment="1">
      <alignment horizontal="center" vertical="top"/>
    </xf>
    <xf numFmtId="1" fontId="31" fillId="9" borderId="0" xfId="9" quotePrefix="1" applyNumberFormat="1" applyFont="1" applyFill="1" applyBorder="1" applyAlignment="1">
      <alignment horizontal="center" vertical="top" wrapText="1"/>
    </xf>
    <xf numFmtId="14" fontId="3" fillId="0" borderId="16" xfId="25" applyNumberFormat="1" applyFont="1" applyFill="1" applyBorder="1" applyAlignment="1">
      <alignment horizontal="center" vertical="top" wrapText="1"/>
    </xf>
    <xf numFmtId="0" fontId="3" fillId="0" borderId="16" xfId="25" applyFont="1" applyFill="1" applyBorder="1" applyAlignment="1">
      <alignment horizontal="left" vertical="top" wrapText="1"/>
    </xf>
    <xf numFmtId="0" fontId="3" fillId="0" borderId="16" xfId="25" applyNumberFormat="1" applyFont="1" applyFill="1" applyBorder="1" applyAlignment="1">
      <alignment horizontal="left" vertical="top" wrapText="1"/>
    </xf>
    <xf numFmtId="0" fontId="6" fillId="0" borderId="0" xfId="20" applyNumberFormat="1" applyFont="1" applyFill="1" applyBorder="1" applyAlignment="1">
      <alignment horizontal="left" vertical="center" wrapText="1"/>
    </xf>
    <xf numFmtId="0" fontId="6" fillId="0" borderId="0" xfId="20" applyNumberFormat="1" applyFont="1" applyFill="1" applyBorder="1" applyAlignment="1">
      <alignment horizontal="center" vertical="center" wrapText="1"/>
    </xf>
    <xf numFmtId="175" fontId="27" fillId="3" borderId="0" xfId="27" applyNumberFormat="1" applyFont="1" applyFill="1" applyBorder="1" applyAlignment="1">
      <alignment vertical="center"/>
    </xf>
    <xf numFmtId="10" fontId="27" fillId="0" borderId="0" xfId="23" applyNumberFormat="1" applyFont="1" applyFill="1" applyBorder="1" applyAlignment="1">
      <alignment vertical="center"/>
    </xf>
    <xf numFmtId="175" fontId="27" fillId="0" borderId="0" xfId="27" applyNumberFormat="1" applyFont="1" applyFill="1" applyBorder="1" applyAlignment="1">
      <alignment vertical="center"/>
    </xf>
    <xf numFmtId="175" fontId="27" fillId="0" borderId="8" xfId="27" applyNumberFormat="1" applyFont="1" applyFill="1" applyBorder="1" applyAlignment="1">
      <alignment vertical="center"/>
    </xf>
    <xf numFmtId="164" fontId="6" fillId="0" borderId="9" xfId="19" applyFont="1" applyFill="1" applyBorder="1" applyAlignment="1">
      <alignment vertical="center"/>
    </xf>
    <xf numFmtId="164" fontId="6" fillId="0" borderId="0" xfId="19" applyFont="1" applyFill="1" applyBorder="1" applyAlignment="1">
      <alignment vertical="center"/>
    </xf>
    <xf numFmtId="0" fontId="6" fillId="0" borderId="0" xfId="24" applyNumberFormat="1" applyFill="1" applyBorder="1" applyAlignment="1">
      <alignment horizontal="left" vertical="center" wrapText="1"/>
    </xf>
    <xf numFmtId="0" fontId="6" fillId="0" borderId="0" xfId="24" applyNumberFormat="1" applyFill="1" applyBorder="1" applyAlignment="1">
      <alignment horizontal="center" vertical="center"/>
    </xf>
    <xf numFmtId="175" fontId="6" fillId="3" borderId="0" xfId="22" applyNumberFormat="1" applyFont="1" applyFill="1" applyBorder="1" applyAlignment="1">
      <alignment vertical="center"/>
    </xf>
    <xf numFmtId="175" fontId="6" fillId="0" borderId="8" xfId="22" applyNumberFormat="1" applyFont="1" applyFill="1" applyBorder="1" applyAlignment="1">
      <alignment vertical="center"/>
    </xf>
    <xf numFmtId="175" fontId="27" fillId="3" borderId="0" xfId="22" applyNumberFormat="1" applyFont="1" applyFill="1" applyBorder="1" applyAlignment="1">
      <alignment vertical="center"/>
    </xf>
    <xf numFmtId="0" fontId="6" fillId="0" borderId="0" xfId="24" applyNumberFormat="1" applyFill="1" applyBorder="1" applyAlignment="1">
      <alignment horizontal="center" vertical="center" wrapText="1"/>
    </xf>
    <xf numFmtId="0" fontId="6" fillId="0" borderId="0" xfId="24" applyNumberFormat="1" applyFont="1" applyFill="1" applyBorder="1" applyAlignment="1">
      <alignment horizontal="left" vertical="center" wrapText="1"/>
    </xf>
    <xf numFmtId="0" fontId="6" fillId="0" borderId="0" xfId="24" applyNumberFormat="1" applyFont="1" applyFill="1" applyBorder="1" applyAlignment="1">
      <alignment horizontal="center" vertical="center"/>
    </xf>
    <xf numFmtId="175" fontId="6" fillId="0" borderId="0" xfId="22" applyNumberFormat="1" applyFont="1" applyFill="1" applyBorder="1" applyAlignment="1">
      <alignment vertical="center"/>
    </xf>
    <xf numFmtId="175" fontId="27" fillId="0" borderId="0" xfId="22" applyNumberFormat="1" applyFont="1" applyFill="1" applyBorder="1" applyAlignment="1">
      <alignment vertical="center"/>
    </xf>
    <xf numFmtId="164" fontId="6" fillId="0" borderId="7" xfId="19" applyFont="1" applyFill="1" applyBorder="1" applyAlignment="1">
      <alignment vertical="center"/>
    </xf>
    <xf numFmtId="164" fontId="6" fillId="0" borderId="3" xfId="19" applyFont="1" applyFill="1" applyBorder="1" applyAlignment="1">
      <alignment vertical="center"/>
    </xf>
    <xf numFmtId="164" fontId="25" fillId="0" borderId="3" xfId="19" applyFont="1" applyFill="1" applyBorder="1" applyAlignment="1">
      <alignment vertical="center"/>
    </xf>
    <xf numFmtId="164" fontId="25" fillId="0" borderId="6" xfId="19" applyFont="1" applyFill="1" applyBorder="1" applyAlignment="1">
      <alignment vertical="center"/>
    </xf>
    <xf numFmtId="164" fontId="6" fillId="0" borderId="9" xfId="20" applyFont="1" applyFill="1" applyBorder="1" applyAlignment="1">
      <alignment vertical="center"/>
    </xf>
    <xf numFmtId="164" fontId="6" fillId="0" borderId="0" xfId="20" applyFont="1" applyFill="1" applyBorder="1" applyAlignment="1">
      <alignment vertical="center"/>
    </xf>
    <xf numFmtId="41" fontId="3" fillId="0" borderId="0" xfId="1" applyNumberFormat="1" applyFont="1" applyFill="1" applyAlignment="1"/>
    <xf numFmtId="41" fontId="3" fillId="0" borderId="4" xfId="7" applyNumberFormat="1" applyFont="1" applyFill="1" applyBorder="1"/>
    <xf numFmtId="170" fontId="3" fillId="0" borderId="0" xfId="1" applyNumberFormat="1" applyFont="1" applyFill="1" applyAlignment="1"/>
    <xf numFmtId="170" fontId="3" fillId="0" borderId="4" xfId="7" applyNumberFormat="1" applyFont="1" applyFill="1" applyBorder="1"/>
    <xf numFmtId="175" fontId="5" fillId="0" borderId="0" xfId="13" applyNumberFormat="1" applyFont="1" applyFill="1"/>
    <xf numFmtId="175" fontId="0" fillId="0" borderId="5" xfId="13" applyNumberFormat="1" applyFont="1" applyBorder="1"/>
    <xf numFmtId="49" fontId="4" fillId="0" borderId="0" xfId="5" applyNumberFormat="1" applyFont="1" applyAlignment="1" applyProtection="1">
      <alignment horizontal="center"/>
      <protection locked="0"/>
    </xf>
    <xf numFmtId="164" fontId="4" fillId="0" borderId="0" xfId="5" applyFont="1" applyAlignment="1" applyProtection="1">
      <alignment horizontal="center"/>
    </xf>
    <xf numFmtId="49" fontId="4" fillId="0" borderId="0" xfId="5" applyNumberFormat="1" applyFont="1" applyAlignment="1" applyProtection="1">
      <alignment horizontal="center"/>
    </xf>
    <xf numFmtId="0" fontId="4" fillId="0" borderId="0" xfId="5" applyNumberFormat="1" applyFont="1" applyFill="1" applyAlignment="1" applyProtection="1">
      <alignment vertical="top" wrapText="1"/>
      <protection locked="0"/>
    </xf>
    <xf numFmtId="0" fontId="4" fillId="0" borderId="0" xfId="40" applyNumberFormat="1" applyFont="1" applyAlignment="1" applyProtection="1">
      <alignment horizontal="left" wrapText="1"/>
      <protection locked="0"/>
    </xf>
    <xf numFmtId="0" fontId="4" fillId="0" borderId="0" xfId="40" quotePrefix="1" applyNumberFormat="1" applyFont="1" applyFill="1" applyAlignment="1" applyProtection="1">
      <alignment horizontal="left" vertical="top" wrapText="1"/>
      <protection locked="0"/>
    </xf>
    <xf numFmtId="0" fontId="4" fillId="0" borderId="0" xfId="40" applyNumberFormat="1" applyFont="1" applyFill="1" applyAlignment="1" applyProtection="1">
      <alignment vertical="top" wrapText="1"/>
      <protection locked="0"/>
    </xf>
    <xf numFmtId="0" fontId="4" fillId="0" borderId="0" xfId="5" quotePrefix="1" applyNumberFormat="1" applyFont="1" applyFill="1" applyAlignment="1" applyProtection="1">
      <alignment horizontal="left" vertical="top" wrapText="1"/>
      <protection locked="0"/>
    </xf>
    <xf numFmtId="0" fontId="14" fillId="0" borderId="0" xfId="5" applyNumberFormat="1" applyFont="1" applyFill="1" applyAlignment="1" applyProtection="1">
      <alignment vertical="top" wrapText="1"/>
      <protection locked="0"/>
    </xf>
    <xf numFmtId="0" fontId="0" fillId="0" borderId="0" xfId="0" applyNumberFormat="1" applyAlignment="1">
      <alignment horizontal="left" vertical="top" wrapText="1"/>
    </xf>
    <xf numFmtId="164" fontId="6" fillId="0" borderId="0" xfId="19" applyFont="1" applyFill="1" applyBorder="1" applyAlignment="1">
      <alignment horizontal="left"/>
    </xf>
    <xf numFmtId="164" fontId="6" fillId="0" borderId="0" xfId="20" applyFont="1" applyFill="1" applyBorder="1" applyAlignment="1">
      <alignment horizontal="left" vertical="top" wrapText="1"/>
    </xf>
    <xf numFmtId="164" fontId="6" fillId="0" borderId="0" xfId="19" applyFont="1" applyFill="1" applyBorder="1" applyAlignment="1">
      <alignment horizontal="left" vertical="top" wrapText="1"/>
    </xf>
    <xf numFmtId="164" fontId="6" fillId="0" borderId="0" xfId="19" applyFont="1" applyFill="1" applyBorder="1" applyAlignment="1">
      <alignment horizontal="left" wrapText="1"/>
    </xf>
    <xf numFmtId="164" fontId="26" fillId="0" borderId="11" xfId="24" applyFont="1" applyFill="1" applyBorder="1" applyAlignment="1">
      <alignment horizontal="center"/>
    </xf>
    <xf numFmtId="3" fontId="18" fillId="0" borderId="11" xfId="24" applyNumberFormat="1" applyFont="1" applyFill="1" applyBorder="1" applyAlignment="1">
      <alignment horizontal="center"/>
    </xf>
    <xf numFmtId="164" fontId="18" fillId="0" borderId="11" xfId="24" applyFont="1" applyFill="1" applyBorder="1" applyAlignment="1">
      <alignment horizontal="center"/>
    </xf>
    <xf numFmtId="164" fontId="6" fillId="0" borderId="0" xfId="20" applyFont="1" applyFill="1" applyBorder="1" applyAlignment="1">
      <alignment horizontal="left"/>
    </xf>
    <xf numFmtId="3" fontId="27" fillId="0" borderId="0" xfId="20" applyNumberFormat="1" applyFont="1" applyFill="1" applyBorder="1" applyAlignment="1">
      <alignment horizontal="center" wrapText="1"/>
    </xf>
    <xf numFmtId="164" fontId="6" fillId="0" borderId="0" xfId="20" applyFont="1" applyFill="1" applyBorder="1" applyAlignment="1">
      <alignment horizontal="left" wrapText="1"/>
    </xf>
    <xf numFmtId="164" fontId="6" fillId="0" borderId="0" xfId="20" applyFill="1" applyBorder="1" applyAlignment="1">
      <alignment horizontal="left"/>
    </xf>
    <xf numFmtId="43" fontId="3" fillId="0" borderId="24" xfId="21" applyNumberFormat="1" applyFont="1" applyFill="1" applyBorder="1" applyAlignment="1">
      <alignment horizontal="center"/>
    </xf>
    <xf numFmtId="43" fontId="3" fillId="0" borderId="23" xfId="21" applyNumberFormat="1" applyFont="1" applyFill="1" applyBorder="1" applyAlignment="1">
      <alignment horizontal="center"/>
    </xf>
    <xf numFmtId="0" fontId="16" fillId="0" borderId="0" xfId="25" applyFont="1" applyAlignment="1">
      <alignment horizontal="center"/>
    </xf>
    <xf numFmtId="0" fontId="43" fillId="0" borderId="0" xfId="30" applyAlignment="1">
      <alignment vertical="top" wrapText="1"/>
    </xf>
    <xf numFmtId="0" fontId="43" fillId="0" borderId="0" xfId="30" applyFill="1" applyAlignment="1">
      <alignment horizontal="left" vertical="top" wrapText="1"/>
    </xf>
    <xf numFmtId="0" fontId="43" fillId="0" borderId="0" xfId="30" applyAlignment="1">
      <alignment horizontal="left" vertical="top" wrapText="1"/>
    </xf>
  </cellXfs>
  <cellStyles count="43">
    <cellStyle name="Accent5" xfId="31" builtinId="45"/>
    <cellStyle name="Comma" xfId="1" builtinId="3"/>
    <cellStyle name="Comma 2" xfId="21" xr:uid="{00000000-0005-0000-0000-000002000000}"/>
    <cellStyle name="Comma 2 2" xfId="38" xr:uid="{00000000-0005-0000-0000-000003000000}"/>
    <cellStyle name="Comma 21 2" xfId="11" xr:uid="{00000000-0005-0000-0000-000004000000}"/>
    <cellStyle name="Comma 21 3" xfId="41" xr:uid="{1CCBB944-36F3-4EB1-814A-596F6C8658F1}"/>
    <cellStyle name="Currency 10" xfId="13" xr:uid="{00000000-0005-0000-0000-000005000000}"/>
    <cellStyle name="Currency 10 2" xfId="27" xr:uid="{00000000-0005-0000-0000-000006000000}"/>
    <cellStyle name="Currency 2" xfId="22" xr:uid="{00000000-0005-0000-0000-000007000000}"/>
    <cellStyle name="Normal" xfId="0" builtinId="0"/>
    <cellStyle name="Normal 2" xfId="3" xr:uid="{00000000-0005-0000-0000-000009000000}"/>
    <cellStyle name="Normal 2 3" xfId="30" xr:uid="{00000000-0005-0000-0000-00000A000000}"/>
    <cellStyle name="Normal 2_Trial Bal Download" xfId="6" xr:uid="{00000000-0005-0000-0000-00000B000000}"/>
    <cellStyle name="Normal 20" xfId="19" xr:uid="{00000000-0005-0000-0000-00000C000000}"/>
    <cellStyle name="Normal 22 2" xfId="29" xr:uid="{00000000-0005-0000-0000-00000D000000}"/>
    <cellStyle name="Normal 23" xfId="17" xr:uid="{00000000-0005-0000-0000-00000E000000}"/>
    <cellStyle name="Normal 27 2" xfId="36" xr:uid="{00000000-0005-0000-0000-00000F000000}"/>
    <cellStyle name="Normal 28 2" xfId="10" xr:uid="{00000000-0005-0000-0000-000010000000}"/>
    <cellStyle name="Normal 3" xfId="14" xr:uid="{00000000-0005-0000-0000-000011000000}"/>
    <cellStyle name="Normal 3 2" xfId="25" xr:uid="{00000000-0005-0000-0000-000012000000}"/>
    <cellStyle name="Normal 3_Attach O, GG, Support -New Method 2-14-11" xfId="4" xr:uid="{00000000-0005-0000-0000-000013000000}"/>
    <cellStyle name="Normal 4" xfId="39" xr:uid="{E3C718EF-6246-418A-98F3-D391E6CA0C94}"/>
    <cellStyle name="Normal 5" xfId="12" xr:uid="{00000000-0005-0000-0000-000014000000}"/>
    <cellStyle name="Normal 5 2" xfId="18" xr:uid="{00000000-0005-0000-0000-000015000000}"/>
    <cellStyle name="Normal 6" xfId="40" xr:uid="{F8D904F5-72F3-4C29-AA5F-74F2B48B4D84}"/>
    <cellStyle name="Normal 6 2 2" xfId="34" xr:uid="{00000000-0005-0000-0000-000016000000}"/>
    <cellStyle name="Normal 6 2 2 2" xfId="37" xr:uid="{00000000-0005-0000-0000-000017000000}"/>
    <cellStyle name="Normal 6 3 2" xfId="35" xr:uid="{00000000-0005-0000-0000-000018000000}"/>
    <cellStyle name="Normal 7" xfId="20" xr:uid="{00000000-0005-0000-0000-000019000000}"/>
    <cellStyle name="Normal 8" xfId="42" xr:uid="{E90DB7E0-BA88-44BA-AD9B-743626D85488}"/>
    <cellStyle name="Normal_ATC Projected 2008 Monthly Plant Balances for Attachment O 2 (2)" xfId="8" xr:uid="{00000000-0005-0000-0000-00001A000000}"/>
    <cellStyle name="Normal_Attachment GG (2)" xfId="9" xr:uid="{00000000-0005-0000-0000-00001B000000}"/>
    <cellStyle name="Normal_Attachment GG Example 8 26 09" xfId="32" xr:uid="{00000000-0005-0000-0000-00001C000000}"/>
    <cellStyle name="Normal_Attachment GG Template ER09-1657" xfId="33" xr:uid="{00000000-0005-0000-0000-00001D000000}"/>
    <cellStyle name="Normal_Attachment GG Template ER11-28 11-18-10" xfId="24" xr:uid="{00000000-0005-0000-0000-00001E000000}"/>
    <cellStyle name="Normal_Attachment Os for 2002 True-up" xfId="5" xr:uid="{00000000-0005-0000-0000-00001F000000}"/>
    <cellStyle name="Normal_Schedule O Info for Mike" xfId="7" xr:uid="{00000000-0005-0000-0000-000020000000}"/>
    <cellStyle name="Normal_Schedule O Info for Mike 2" xfId="16" xr:uid="{00000000-0005-0000-0000-000021000000}"/>
    <cellStyle name="Normal_Sheet1" xfId="28" xr:uid="{00000000-0005-0000-0000-000022000000}"/>
    <cellStyle name="Normal_Sheet3" xfId="26" xr:uid="{00000000-0005-0000-0000-000023000000}"/>
    <cellStyle name="Percent" xfId="2" builtinId="5"/>
    <cellStyle name="Percent 2" xfId="15" xr:uid="{00000000-0005-0000-0000-000025000000}"/>
    <cellStyle name="Percent 3" xfId="23" xr:uid="{00000000-0005-0000-0000-000026000000}"/>
  </cellStyles>
  <dxfs count="2">
    <dxf>
      <numFmt numFmtId="1" formatCode="0"/>
    </dxf>
    <dxf>
      <numFmt numFmtId="190" formatCode="0.0"/>
    </dxf>
  </dxfs>
  <tableStyles count="0" defaultTableStyle="TableStyleMedium2" defaultPivotStyle="PivotStyleLight16"/>
  <colors>
    <mruColors>
      <color rgb="FF00FFFF"/>
      <color rgb="FF6666FF"/>
      <color rgb="FF666699"/>
      <color rgb="FF0000CC"/>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externalLink" Target="externalLinks/externalLink4.xml"/><Relationship Id="rId35"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Financing%20Plan\2009\Documents%20and%20Settings\pkettles\My%20Documents\By%20State\Minnesota\Documents%20and%20Settings\mnguyen\My%20Documents\ca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2009%20transmission%20rate%20case\Last%20File%20Schedules%20(version%2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Financing%20Plan\2009\Documents%20and%20Settings\pkettles\My%20Documents\By%20State\Minnesota\Documents%20and%20Settings\pkettles\Local%20Settings\Temporary%20Internet%20Files\OLKE\GF%202003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mpfrang\Desktop\LRS%20Data%20for%202010%20%20Billing%20Period%20with%20AE%20Adj.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Service%20Billings\Customer%20Billing\2009\Load\2010%20LRS%20Calculations%20and%20Billing%20Information\LRS%20Data%20for%202010%20%20Billing%20Perio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ummary"/>
      <sheetName val="Detail"/>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2"/>
      <sheetName val="AB2"/>
      <sheetName val="AC2"/>
      <sheetName val="AD2"/>
      <sheetName val="AE1"/>
      <sheetName val="AE2"/>
      <sheetName val="AF2 253"/>
      <sheetName val="AF2 254"/>
      <sheetName val="AF2 255"/>
      <sheetName val="AF2 ADIT New"/>
      <sheetName val="AF 253"/>
      <sheetName val="AF 255"/>
      <sheetName val="AF ADIT New"/>
      <sheetName val="AG2 114"/>
      <sheetName val="AG2 182.3"/>
      <sheetName val="AG2 186"/>
      <sheetName val="AG2 190 New"/>
      <sheetName val="AG 114"/>
      <sheetName val="AG 182.3"/>
      <sheetName val="AG 186"/>
      <sheetName val="AG 190 New"/>
      <sheetName val="AH2 Summary"/>
      <sheetName val="AH2 Prod"/>
      <sheetName val="AH2 Prod (2)"/>
      <sheetName val="AH2 Def Fuel"/>
      <sheetName val="AH2 930"/>
      <sheetName val="AH2 Fuel"/>
      <sheetName val="AH2 PurchPower"/>
      <sheetName val="AH Summary"/>
      <sheetName val="AH Prod"/>
      <sheetName val="AH Prod (2)"/>
      <sheetName val="AH Def Fuel"/>
      <sheetName val="AH 930"/>
      <sheetName val="AH Fuel"/>
      <sheetName val="AH PurchPower"/>
      <sheetName val="AI2 P1"/>
      <sheetName val="AI2 P2"/>
      <sheetName val="AI2 P3"/>
      <sheetName val="AI P1"/>
      <sheetName val="AI P2"/>
      <sheetName val="AI P3"/>
      <sheetName val="AI Labor WP"/>
      <sheetName val="AJ2"/>
      <sheetName val="AK2 P1"/>
      <sheetName val="AK2 PropTax"/>
      <sheetName val="AL2 Summary"/>
      <sheetName val="AL2 151"/>
      <sheetName val="AL2 120"/>
      <sheetName val="AL2 154"/>
      <sheetName val="AL2 163"/>
      <sheetName val="AL2 165"/>
      <sheetName val="AL Summary"/>
      <sheetName val="AL 151"/>
      <sheetName val="AL 120"/>
      <sheetName val="AL154"/>
      <sheetName val="AL 163"/>
      <sheetName val="AL 165"/>
      <sheetName val="AM 2"/>
      <sheetName val="AN 2"/>
      <sheetName val="AN"/>
      <sheetName val="AO2 AFUDC"/>
      <sheetName val="AO2 S-T"/>
      <sheetName val="AO2 L-T and Pref rate"/>
      <sheetName val="AO AFUDC"/>
      <sheetName val="AO S-T"/>
      <sheetName val="AO L-T and Pref rate"/>
      <sheetName val="AP-Period II"/>
      <sheetName val="AP"/>
      <sheetName val="AQ 2 AQ 1"/>
      <sheetName val="AQ 2 AQ2"/>
      <sheetName val="AQ AQ 1"/>
      <sheetName val="AQ AQ"/>
      <sheetName val="AR 2 A"/>
      <sheetName val="AR 2 ITC"/>
      <sheetName val="AR A"/>
      <sheetName val="AR ITC"/>
      <sheetName val="AS 2 AS"/>
      <sheetName val="AS AS"/>
      <sheetName val="AT 2 A"/>
      <sheetName val="AT A"/>
      <sheetName val="AU 2 AU"/>
      <sheetName val="AU AU"/>
      <sheetName val="AU AU (2)"/>
      <sheetName val="AV 2 COC"/>
      <sheetName val="AV 2 LTD"/>
      <sheetName val="AV 2 SUN"/>
      <sheetName val="AV 2 PCB"/>
      <sheetName val="AV 2 FMB"/>
      <sheetName val="AV 2 Prfd"/>
      <sheetName val="AV 2 Sheet1"/>
      <sheetName val="AV 2 Common"/>
      <sheetName val="AV 2 Cash Flow"/>
      <sheetName val="AV COC"/>
      <sheetName val="AV LTD"/>
      <sheetName val="AV SUN"/>
      <sheetName val="AV PCB"/>
      <sheetName val="AV FMB"/>
      <sheetName val="AV Prfd"/>
      <sheetName val="AV Sheet1"/>
      <sheetName val="AV Common"/>
      <sheetName val="AW 2 AW-Period II"/>
      <sheetName val="AW AW"/>
      <sheetName val="AW ST Debt Bal"/>
      <sheetName val="AX 2 AX"/>
      <sheetName val="AX AX"/>
      <sheetName val="AY 2 AY"/>
      <sheetName val="AY AY"/>
      <sheetName val="BA 2 BA"/>
      <sheetName val="BA BA"/>
      <sheetName val="BB 2 p1"/>
      <sheetName val="BB p1"/>
      <sheetName val="BC 2 2005BC"/>
      <sheetName val="BC 2000_2003"/>
      <sheetName val="BD 2 BD"/>
      <sheetName val="BD BD"/>
      <sheetName val="BD_6-12-06"/>
      <sheetName val="BG 2 p2"/>
      <sheetName val="BG p2"/>
      <sheetName val="BH 2 p1"/>
      <sheetName val="BH 2 p2"/>
      <sheetName val="BH p1"/>
      <sheetName val="BH p2"/>
      <sheetName val="BI 2 BI"/>
      <sheetName val="BI BI"/>
      <sheetName val="BK 2 BK"/>
      <sheetName val="BL 2 Rate design-Schedule BL"/>
      <sheetName val="BL BI"/>
      <sheetName val="CAPST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 Capacity 2003"/>
      <sheetName val="Levy Limit"/>
      <sheetName val="Rev Summary"/>
      <sheetName val="Rev Detail"/>
      <sheetName val="2003 Summary"/>
      <sheetName val="Exp Summary"/>
      <sheetName val="Exp Detail"/>
      <sheetName val="Dept Summary (2)"/>
      <sheetName val="$200K Home"/>
      <sheetName val="Per Capita"/>
    </sheetNames>
    <sheetDataSet>
      <sheetData sheetId="0"/>
      <sheetData sheetId="1"/>
      <sheetData sheetId="2"/>
      <sheetData sheetId="3"/>
      <sheetData sheetId="4"/>
      <sheetData sheetId="5"/>
      <sheetData sheetId="6" refreshError="1"/>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ad Calc with RECandDPC Adj"/>
      <sheetName val="w_RECandDPC Adj_LRS Calc"/>
      <sheetName val="LRS Comparison w_RECandDPC Adj"/>
      <sheetName val="Load Calc with REC Adj"/>
      <sheetName val="w_REC Adj_LRS Calc"/>
      <sheetName val="LRS Comparison w_REC Adj"/>
      <sheetName val="Load Calc with AE_DPC Adj"/>
      <sheetName val="w_AE_DPC Adj LRS Calc"/>
      <sheetName val="LRS Comparison w_AE_DPC Adj"/>
    </sheetNames>
    <sheetDataSet>
      <sheetData sheetId="0" refreshError="1"/>
      <sheetData sheetId="1" refreshError="1"/>
      <sheetData sheetId="2" refreshError="1"/>
      <sheetData sheetId="3"/>
      <sheetData sheetId="4" refreshError="1"/>
      <sheetData sheetId="5" refreshError="1"/>
      <sheetData sheetId="6">
        <row r="1">
          <cell r="F1">
            <v>12</v>
          </cell>
        </row>
      </sheetData>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j Load Calc 1_6_10"/>
      <sheetName val="Adj LRS Calc 1_6_10"/>
      <sheetName val="1_6 comparison to 12_10&amp;10_14"/>
      <sheetName val="Adj Load Calc 12_10_09"/>
      <sheetName val="Adj LRS Calc 12_10_09"/>
      <sheetName val="12_10 comparison to 10_14"/>
      <sheetName val="Adj LRS Comp to 2008 12_10_09"/>
      <sheetName val="Adj Load Calc 10_14_09"/>
      <sheetName val="Adj LRS Calc 10_14_09"/>
      <sheetName val="Adj LRS Comparison to 2008"/>
      <sheetName val="Adjustments Comparison-Internal"/>
      <sheetName val="Customer Communication 10_15_09"/>
      <sheetName val="Org Load Calc 10_1_09"/>
      <sheetName val="Org LRS Calc 10_1_09"/>
      <sheetName val="Org LRS Comp to 2008  10_1_09"/>
      <sheetName val="Org LRS Customer Info 10_1_09"/>
    </sheetNames>
    <sheetDataSet>
      <sheetData sheetId="0"/>
      <sheetData sheetId="1"/>
      <sheetData sheetId="2"/>
      <sheetData sheetId="3"/>
      <sheetData sheetId="4"/>
      <sheetData sheetId="5"/>
      <sheetData sheetId="6"/>
      <sheetData sheetId="7">
        <row r="1">
          <cell r="F1">
            <v>12</v>
          </cell>
        </row>
      </sheetData>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F6734-847F-4954-8484-9A7BDB03473C}">
  <sheetPr>
    <tabColor rgb="FF00FFFF"/>
  </sheetPr>
  <dimension ref="A1:T337"/>
  <sheetViews>
    <sheetView tabSelected="1" zoomScale="96" zoomScaleNormal="96" zoomScaleSheetLayoutView="100" workbookViewId="0">
      <selection activeCell="I20" sqref="I20"/>
    </sheetView>
  </sheetViews>
  <sheetFormatPr defaultColWidth="9.140625" defaultRowHeight="15.75"/>
  <cols>
    <col min="1" max="1" width="5.7109375" style="673" customWidth="1"/>
    <col min="2" max="2" width="35.42578125" style="673" customWidth="1"/>
    <col min="3" max="3" width="42.5703125" style="673" customWidth="1"/>
    <col min="4" max="4" width="16.28515625" style="673" customWidth="1"/>
    <col min="5" max="5" width="5.7109375" style="673" customWidth="1"/>
    <col min="6" max="6" width="7.28515625" style="673" customWidth="1"/>
    <col min="7" max="7" width="13.140625" style="673" customWidth="1"/>
    <col min="8" max="8" width="4.85546875" style="673" customWidth="1"/>
    <col min="9" max="9" width="16.28515625" style="673" customWidth="1"/>
    <col min="10" max="10" width="2.5703125" style="673" customWidth="1"/>
    <col min="11" max="11" width="11.42578125" style="673" customWidth="1"/>
    <col min="12" max="12" width="27.5703125" style="673" customWidth="1"/>
    <col min="13" max="13" width="13.28515625" style="673" customWidth="1"/>
    <col min="14" max="18" width="10.28515625" style="673" customWidth="1"/>
    <col min="19" max="16384" width="9.140625" style="673"/>
  </cols>
  <sheetData>
    <row r="1" spans="1:17">
      <c r="K1" s="823" t="s">
        <v>0</v>
      </c>
      <c r="N1" s="820"/>
      <c r="O1" s="820"/>
      <c r="P1" s="820"/>
      <c r="Q1" s="820"/>
    </row>
    <row r="2" spans="1:17">
      <c r="M2" s="829"/>
      <c r="N2" s="820"/>
      <c r="O2" s="820"/>
      <c r="P2" s="820"/>
      <c r="Q2" s="820"/>
    </row>
    <row r="3" spans="1:17">
      <c r="A3" s="699"/>
      <c r="B3" s="2" t="s">
        <v>1</v>
      </c>
      <c r="C3" s="2"/>
      <c r="D3" s="3" t="s">
        <v>2</v>
      </c>
      <c r="E3" s="2"/>
      <c r="F3" s="2"/>
      <c r="G3" s="4"/>
      <c r="H3" s="5"/>
      <c r="I3" s="822"/>
      <c r="J3" s="5"/>
      <c r="K3" s="821" t="s">
        <v>985</v>
      </c>
      <c r="L3" s="7"/>
      <c r="M3" s="820"/>
      <c r="N3" s="820"/>
      <c r="O3" s="820"/>
      <c r="P3" s="820"/>
      <c r="Q3" s="820"/>
    </row>
    <row r="4" spans="1:17">
      <c r="A4" s="699"/>
      <c r="B4" s="2"/>
      <c r="C4" s="675" t="s">
        <v>3</v>
      </c>
      <c r="D4" s="675" t="s">
        <v>4</v>
      </c>
      <c r="E4" s="675"/>
      <c r="F4" s="675"/>
      <c r="G4" s="675"/>
      <c r="H4" s="7"/>
      <c r="I4" s="7"/>
      <c r="J4" s="7"/>
      <c r="K4" s="7"/>
      <c r="L4" s="7"/>
      <c r="M4" s="820"/>
      <c r="N4" s="820"/>
      <c r="O4" s="820"/>
      <c r="P4" s="820"/>
      <c r="Q4" s="820"/>
    </row>
    <row r="5" spans="1:17">
      <c r="A5" s="699"/>
      <c r="B5" s="7"/>
      <c r="C5" s="7"/>
      <c r="D5" s="7"/>
      <c r="E5" s="7"/>
      <c r="F5" s="7"/>
      <c r="G5" s="7"/>
      <c r="H5" s="7"/>
      <c r="I5" s="7"/>
      <c r="J5" s="7"/>
      <c r="K5" s="7"/>
      <c r="L5" s="7"/>
    </row>
    <row r="6" spans="1:17">
      <c r="A6" s="962" t="s">
        <v>5</v>
      </c>
      <c r="B6" s="962"/>
      <c r="C6" s="962"/>
      <c r="D6" s="962"/>
      <c r="E6" s="962"/>
      <c r="F6" s="962"/>
      <c r="G6" s="962"/>
      <c r="H6" s="962"/>
      <c r="I6" s="962"/>
      <c r="J6" s="962"/>
      <c r="K6" s="962"/>
      <c r="L6" s="7"/>
    </row>
    <row r="7" spans="1:17">
      <c r="A7" s="8"/>
      <c r="B7" s="819" t="s">
        <v>6</v>
      </c>
      <c r="C7" s="7"/>
      <c r="D7" s="672"/>
      <c r="E7" s="7"/>
      <c r="F7" s="7"/>
      <c r="G7" s="7"/>
      <c r="H7" s="7"/>
      <c r="I7" s="7"/>
      <c r="J7" s="7"/>
      <c r="K7" s="7"/>
      <c r="L7" s="7"/>
    </row>
    <row r="8" spans="1:17">
      <c r="A8" s="8"/>
      <c r="B8" s="819" t="s">
        <v>7</v>
      </c>
      <c r="C8" s="7"/>
      <c r="D8" s="818"/>
      <c r="E8" s="7"/>
      <c r="F8" s="7"/>
      <c r="G8" s="7"/>
      <c r="H8" s="7"/>
      <c r="I8" s="7"/>
      <c r="J8" s="7"/>
      <c r="K8" s="7"/>
      <c r="L8" s="7"/>
    </row>
    <row r="9" spans="1:17">
      <c r="A9" s="8" t="s">
        <v>8</v>
      </c>
      <c r="B9" s="7"/>
      <c r="C9" s="7"/>
      <c r="D9" s="818"/>
      <c r="E9" s="7"/>
      <c r="F9" s="7"/>
      <c r="G9" s="7"/>
      <c r="H9" s="7"/>
      <c r="I9" s="8" t="s">
        <v>9</v>
      </c>
      <c r="J9" s="7"/>
      <c r="K9" s="7"/>
      <c r="L9" s="7"/>
    </row>
    <row r="10" spans="1:17" ht="16.5" thickBot="1">
      <c r="A10" s="9" t="s">
        <v>10</v>
      </c>
      <c r="B10" s="7"/>
      <c r="C10" s="7"/>
      <c r="D10" s="7"/>
      <c r="E10" s="7"/>
      <c r="F10" s="7"/>
      <c r="G10" s="7"/>
      <c r="H10" s="7"/>
      <c r="I10" s="9" t="s">
        <v>11</v>
      </c>
      <c r="J10" s="7"/>
      <c r="K10" s="7"/>
      <c r="L10" s="7"/>
    </row>
    <row r="11" spans="1:17">
      <c r="A11" s="8">
        <v>1</v>
      </c>
      <c r="B11" s="7" t="s">
        <v>12</v>
      </c>
      <c r="C11" s="7"/>
      <c r="D11" s="810"/>
      <c r="E11" s="7"/>
      <c r="F11" s="7"/>
      <c r="G11" s="7"/>
      <c r="H11" s="7"/>
      <c r="I11" s="817">
        <f>+I211</f>
        <v>618931728.99732327</v>
      </c>
      <c r="J11" s="7"/>
      <c r="K11" s="7"/>
      <c r="L11" s="7"/>
    </row>
    <row r="12" spans="1:17">
      <c r="A12" s="8"/>
      <c r="B12" s="7"/>
      <c r="C12" s="7"/>
      <c r="D12" s="7"/>
      <c r="E12" s="7"/>
      <c r="F12" s="7"/>
      <c r="G12" s="7"/>
      <c r="H12" s="7"/>
      <c r="I12" s="810"/>
      <c r="J12" s="7"/>
      <c r="K12" s="7"/>
      <c r="L12" s="7"/>
    </row>
    <row r="13" spans="1:17" ht="16.5" thickBot="1">
      <c r="A13" s="8" t="s">
        <v>3</v>
      </c>
      <c r="B13" s="2" t="s">
        <v>13</v>
      </c>
      <c r="C13" s="674" t="s">
        <v>14</v>
      </c>
      <c r="D13" s="9" t="s">
        <v>15</v>
      </c>
      <c r="E13" s="675"/>
      <c r="F13" s="10" t="s">
        <v>16</v>
      </c>
      <c r="G13" s="10"/>
      <c r="H13" s="7"/>
      <c r="I13" s="810"/>
      <c r="J13" s="7"/>
      <c r="K13" s="7"/>
      <c r="L13" s="7"/>
    </row>
    <row r="14" spans="1:17">
      <c r="A14" s="8">
        <v>2</v>
      </c>
      <c r="B14" s="2" t="s">
        <v>17</v>
      </c>
      <c r="C14" s="675" t="s">
        <v>18</v>
      </c>
      <c r="D14" s="37">
        <f>I280</f>
        <v>1600000</v>
      </c>
      <c r="E14" s="675"/>
      <c r="F14" s="675" t="s">
        <v>19</v>
      </c>
      <c r="G14" s="738">
        <f>I231</f>
        <v>1</v>
      </c>
      <c r="H14" s="745"/>
      <c r="I14" s="734">
        <f>+G14*D14</f>
        <v>1600000</v>
      </c>
      <c r="J14" s="7"/>
      <c r="K14" s="7"/>
      <c r="L14" s="7"/>
    </row>
    <row r="15" spans="1:17">
      <c r="A15" s="8">
        <v>3</v>
      </c>
      <c r="B15" s="2" t="s">
        <v>20</v>
      </c>
      <c r="C15" s="675" t="s">
        <v>21</v>
      </c>
      <c r="D15" s="37">
        <f>I287</f>
        <v>8400000</v>
      </c>
      <c r="E15" s="675"/>
      <c r="F15" s="675" t="s">
        <v>19</v>
      </c>
      <c r="G15" s="738">
        <f>+G14</f>
        <v>1</v>
      </c>
      <c r="H15" s="745"/>
      <c r="I15" s="734">
        <f>+G15*D15</f>
        <v>8400000</v>
      </c>
      <c r="J15" s="7"/>
      <c r="K15" s="7"/>
      <c r="L15" s="7"/>
    </row>
    <row r="16" spans="1:17">
      <c r="A16" s="8">
        <v>4</v>
      </c>
      <c r="B16" s="813" t="s">
        <v>22</v>
      </c>
      <c r="C16" s="675"/>
      <c r="D16" s="740">
        <v>0</v>
      </c>
      <c r="E16" s="675"/>
      <c r="F16" s="675" t="s">
        <v>19</v>
      </c>
      <c r="G16" s="738">
        <f>+G15</f>
        <v>1</v>
      </c>
      <c r="H16" s="745"/>
      <c r="I16" s="734">
        <f>+G16*D16</f>
        <v>0</v>
      </c>
      <c r="J16" s="7"/>
      <c r="K16" s="7"/>
      <c r="L16" s="7"/>
    </row>
    <row r="17" spans="1:12" ht="16.5" thickBot="1">
      <c r="A17" s="8">
        <v>5</v>
      </c>
      <c r="B17" s="813" t="s">
        <v>23</v>
      </c>
      <c r="C17" s="675"/>
      <c r="D17" s="740">
        <v>0</v>
      </c>
      <c r="E17" s="675"/>
      <c r="F17" s="675" t="s">
        <v>19</v>
      </c>
      <c r="G17" s="738">
        <f>+G16</f>
        <v>1</v>
      </c>
      <c r="H17" s="745"/>
      <c r="I17" s="746">
        <f>+G17*D17</f>
        <v>0</v>
      </c>
      <c r="J17" s="7"/>
      <c r="K17" s="7"/>
      <c r="L17" s="7"/>
    </row>
    <row r="18" spans="1:12">
      <c r="A18" s="8">
        <v>6</v>
      </c>
      <c r="B18" s="2" t="s">
        <v>24</v>
      </c>
      <c r="C18" s="7"/>
      <c r="D18" s="799" t="s">
        <v>3</v>
      </c>
      <c r="E18" s="675"/>
      <c r="F18" s="675"/>
      <c r="G18" s="778"/>
      <c r="H18" s="745"/>
      <c r="I18" s="734">
        <f>SUM(I14:I17)</f>
        <v>10000000</v>
      </c>
      <c r="J18" s="7"/>
      <c r="K18" s="7"/>
      <c r="L18" s="7"/>
    </row>
    <row r="19" spans="1:12">
      <c r="A19" s="8"/>
      <c r="B19" s="699"/>
      <c r="C19" s="7"/>
      <c r="D19" s="675" t="s">
        <v>3</v>
      </c>
      <c r="E19" s="7"/>
      <c r="F19" s="7"/>
      <c r="G19" s="775"/>
      <c r="H19" s="7"/>
      <c r="I19" s="699"/>
      <c r="J19" s="7"/>
      <c r="K19" s="7"/>
      <c r="L19" s="7"/>
    </row>
    <row r="20" spans="1:12" ht="16.5" thickBot="1">
      <c r="A20" s="8">
        <v>7</v>
      </c>
      <c r="B20" s="2" t="s">
        <v>25</v>
      </c>
      <c r="C20" s="7" t="s">
        <v>26</v>
      </c>
      <c r="D20" s="799" t="s">
        <v>3</v>
      </c>
      <c r="E20" s="675"/>
      <c r="F20" s="675"/>
      <c r="G20" s="675"/>
      <c r="H20" s="675"/>
      <c r="I20" s="816">
        <f>I11-I18</f>
        <v>608931728.99732327</v>
      </c>
      <c r="J20" s="7"/>
      <c r="K20" s="7"/>
      <c r="L20" s="7"/>
    </row>
    <row r="21" spans="1:12" ht="16.5" thickTop="1">
      <c r="A21" s="8"/>
      <c r="B21" s="699"/>
      <c r="C21" s="7"/>
      <c r="D21" s="799"/>
      <c r="E21" s="675"/>
      <c r="F21" s="675"/>
      <c r="G21" s="675"/>
      <c r="H21" s="675"/>
      <c r="I21" s="699"/>
      <c r="J21" s="7"/>
      <c r="K21" s="7"/>
      <c r="L21" s="7"/>
    </row>
    <row r="22" spans="1:12">
      <c r="A22" s="8"/>
      <c r="B22" s="2" t="s">
        <v>27</v>
      </c>
      <c r="C22" s="7"/>
      <c r="D22" s="810"/>
      <c r="E22" s="7"/>
      <c r="F22" s="7"/>
      <c r="G22" s="7"/>
      <c r="H22" s="7"/>
      <c r="I22" s="810"/>
      <c r="J22" s="7"/>
      <c r="K22" s="7"/>
      <c r="L22" s="7"/>
    </row>
    <row r="23" spans="1:12">
      <c r="A23" s="8">
        <v>8</v>
      </c>
      <c r="B23" s="2" t="s">
        <v>28</v>
      </c>
      <c r="C23" s="699"/>
      <c r="D23" s="810"/>
      <c r="E23" s="7"/>
      <c r="F23" s="7"/>
      <c r="G23" s="12" t="s">
        <v>29</v>
      </c>
      <c r="H23" s="7"/>
      <c r="I23" s="815">
        <v>9564297.0961807556</v>
      </c>
      <c r="J23" s="7"/>
      <c r="K23" s="7"/>
      <c r="L23" s="699"/>
    </row>
    <row r="24" spans="1:12">
      <c r="A24" s="8">
        <v>9</v>
      </c>
      <c r="B24" s="2" t="s">
        <v>30</v>
      </c>
      <c r="C24" s="675"/>
      <c r="D24" s="675"/>
      <c r="E24" s="675"/>
      <c r="F24" s="675"/>
      <c r="G24" s="674" t="s">
        <v>31</v>
      </c>
      <c r="H24" s="675"/>
      <c r="I24" s="815">
        <v>0</v>
      </c>
      <c r="J24" s="7"/>
      <c r="K24" s="7"/>
      <c r="L24" s="699"/>
    </row>
    <row r="25" spans="1:12">
      <c r="A25" s="8">
        <v>10</v>
      </c>
      <c r="B25" s="813" t="s">
        <v>32</v>
      </c>
      <c r="C25" s="7"/>
      <c r="D25" s="7"/>
      <c r="E25" s="7"/>
      <c r="F25" s="699"/>
      <c r="G25" s="12" t="s">
        <v>33</v>
      </c>
      <c r="H25" s="7"/>
      <c r="I25" s="815">
        <v>0</v>
      </c>
      <c r="J25" s="7"/>
      <c r="K25" s="7"/>
      <c r="L25" s="699"/>
    </row>
    <row r="26" spans="1:12">
      <c r="A26" s="8">
        <v>11</v>
      </c>
      <c r="B26" s="2" t="s">
        <v>34</v>
      </c>
      <c r="C26" s="7"/>
      <c r="D26" s="7"/>
      <c r="E26" s="7"/>
      <c r="F26" s="699"/>
      <c r="G26" s="12" t="s">
        <v>35</v>
      </c>
      <c r="H26" s="7"/>
      <c r="I26" s="814">
        <v>0</v>
      </c>
      <c r="J26" s="7"/>
      <c r="K26" s="7"/>
      <c r="L26" s="699"/>
    </row>
    <row r="27" spans="1:12">
      <c r="A27" s="8">
        <v>12</v>
      </c>
      <c r="B27" s="813" t="s">
        <v>36</v>
      </c>
      <c r="C27" s="7"/>
      <c r="D27" s="7"/>
      <c r="E27" s="7"/>
      <c r="F27" s="7"/>
      <c r="G27" s="7"/>
      <c r="H27" s="7"/>
      <c r="I27" s="814">
        <v>0</v>
      </c>
      <c r="J27" s="7"/>
      <c r="K27" s="7"/>
      <c r="L27" s="699"/>
    </row>
    <row r="28" spans="1:12">
      <c r="A28" s="8">
        <v>13</v>
      </c>
      <c r="B28" s="813" t="s">
        <v>37</v>
      </c>
      <c r="C28" s="7"/>
      <c r="D28" s="7"/>
      <c r="E28" s="7"/>
      <c r="F28" s="7"/>
      <c r="G28" s="12"/>
      <c r="H28" s="7"/>
      <c r="I28" s="814">
        <v>0</v>
      </c>
      <c r="J28" s="7"/>
      <c r="K28" s="7"/>
      <c r="L28" s="699"/>
    </row>
    <row r="29" spans="1:12" ht="16.5" thickBot="1">
      <c r="A29" s="8">
        <v>14</v>
      </c>
      <c r="B29" s="813" t="s">
        <v>38</v>
      </c>
      <c r="C29" s="7"/>
      <c r="D29" s="7"/>
      <c r="E29" s="7"/>
      <c r="F29" s="7"/>
      <c r="G29" s="7"/>
      <c r="H29" s="7"/>
      <c r="I29" s="812">
        <v>0</v>
      </c>
      <c r="J29" s="7"/>
      <c r="K29" s="7"/>
      <c r="L29" s="699"/>
    </row>
    <row r="30" spans="1:12">
      <c r="A30" s="8">
        <v>15</v>
      </c>
      <c r="B30" s="2" t="s">
        <v>39</v>
      </c>
      <c r="C30" s="7"/>
      <c r="D30" s="7"/>
      <c r="E30" s="7"/>
      <c r="F30" s="7"/>
      <c r="G30" s="7"/>
      <c r="H30" s="7"/>
      <c r="I30" s="811">
        <f>SUM(I23:I29)</f>
        <v>9564297.0961807556</v>
      </c>
      <c r="J30" s="7"/>
      <c r="K30" s="7"/>
      <c r="L30" s="7"/>
    </row>
    <row r="31" spans="1:12">
      <c r="A31" s="8"/>
      <c r="B31" s="2"/>
      <c r="C31" s="7"/>
      <c r="D31" s="7"/>
      <c r="E31" s="7"/>
      <c r="F31" s="7"/>
      <c r="G31" s="7"/>
      <c r="H31" s="7"/>
      <c r="I31" s="810"/>
      <c r="J31" s="7"/>
      <c r="K31" s="7"/>
      <c r="L31" s="7"/>
    </row>
    <row r="32" spans="1:12">
      <c r="A32" s="8">
        <v>16</v>
      </c>
      <c r="B32" s="2" t="s">
        <v>40</v>
      </c>
      <c r="C32" s="7" t="s">
        <v>41</v>
      </c>
      <c r="D32" s="807">
        <f>IF(I30&gt;0,I20/I30,0)</f>
        <v>63.667169983718274</v>
      </c>
      <c r="E32" s="7"/>
      <c r="F32" s="7"/>
      <c r="G32" s="7"/>
      <c r="H32" s="7"/>
      <c r="I32" s="699"/>
      <c r="J32" s="7"/>
      <c r="K32" s="7"/>
      <c r="L32" s="7"/>
    </row>
    <row r="33" spans="1:12">
      <c r="A33" s="8">
        <v>17</v>
      </c>
      <c r="B33" s="2" t="s">
        <v>42</v>
      </c>
      <c r="C33" s="7" t="s">
        <v>43</v>
      </c>
      <c r="D33" s="807">
        <f>+D32/12</f>
        <v>5.3055974986431895</v>
      </c>
      <c r="E33" s="7"/>
      <c r="F33" s="7"/>
      <c r="G33" s="7"/>
      <c r="H33" s="7"/>
      <c r="I33" s="699"/>
      <c r="J33" s="7"/>
      <c r="K33" s="7"/>
      <c r="L33" s="7"/>
    </row>
    <row r="34" spans="1:12">
      <c r="A34" s="8"/>
      <c r="B34" s="2"/>
      <c r="C34" s="7"/>
      <c r="D34" s="33"/>
      <c r="E34" s="7"/>
      <c r="F34" s="7"/>
      <c r="G34" s="7"/>
      <c r="H34" s="7"/>
      <c r="I34" s="699"/>
      <c r="J34" s="7"/>
      <c r="K34" s="7"/>
      <c r="L34" s="7"/>
    </row>
    <row r="35" spans="1:12">
      <c r="A35" s="8"/>
      <c r="B35" s="2"/>
      <c r="C35" s="7"/>
      <c r="D35" s="809" t="s">
        <v>44</v>
      </c>
      <c r="E35" s="7"/>
      <c r="F35" s="7"/>
      <c r="G35" s="7"/>
      <c r="H35" s="7"/>
      <c r="I35" s="808" t="s">
        <v>45</v>
      </c>
      <c r="J35" s="7"/>
      <c r="K35" s="7"/>
      <c r="L35" s="7"/>
    </row>
    <row r="36" spans="1:12">
      <c r="A36" s="8">
        <v>18</v>
      </c>
      <c r="B36" s="2" t="s">
        <v>46</v>
      </c>
      <c r="C36" s="3" t="s">
        <v>47</v>
      </c>
      <c r="D36" s="807">
        <f>+D32/52</f>
        <v>1.2243686535330438</v>
      </c>
      <c r="E36" s="7"/>
      <c r="F36" s="7"/>
      <c r="G36" s="7"/>
      <c r="H36" s="7"/>
      <c r="I36" s="806">
        <f>+D32/52</f>
        <v>1.2243686535330438</v>
      </c>
      <c r="J36" s="7"/>
      <c r="K36" s="7"/>
      <c r="L36" s="7"/>
    </row>
    <row r="37" spans="1:12">
      <c r="A37" s="8">
        <v>19</v>
      </c>
      <c r="B37" s="2" t="s">
        <v>48</v>
      </c>
      <c r="C37" s="3" t="s">
        <v>49</v>
      </c>
      <c r="D37" s="807">
        <f>+D36/5</f>
        <v>0.24487373070660876</v>
      </c>
      <c r="E37" s="7" t="s">
        <v>50</v>
      </c>
      <c r="F37" s="699"/>
      <c r="G37" s="7"/>
      <c r="H37" s="7"/>
      <c r="I37" s="806">
        <f>+D32/365</f>
        <v>0.17443060269511856</v>
      </c>
      <c r="J37" s="7"/>
      <c r="K37" s="7"/>
      <c r="L37" s="7"/>
    </row>
    <row r="38" spans="1:12">
      <c r="A38" s="8">
        <v>20</v>
      </c>
      <c r="B38" s="2" t="s">
        <v>51</v>
      </c>
      <c r="C38" s="3" t="s">
        <v>52</v>
      </c>
      <c r="D38" s="807">
        <f>+D37/16*1000</f>
        <v>15.304608169163048</v>
      </c>
      <c r="E38" s="7" t="s">
        <v>53</v>
      </c>
      <c r="F38" s="699"/>
      <c r="G38" s="7"/>
      <c r="H38" s="7"/>
      <c r="I38" s="806">
        <f>+I37/24*1000</f>
        <v>7.267941778963273</v>
      </c>
      <c r="J38" s="7"/>
      <c r="K38" s="7" t="s">
        <v>3</v>
      </c>
      <c r="L38" s="7"/>
    </row>
    <row r="39" spans="1:12">
      <c r="A39" s="8"/>
      <c r="B39" s="2"/>
      <c r="C39" s="7" t="s">
        <v>54</v>
      </c>
      <c r="D39" s="7"/>
      <c r="E39" s="7" t="s">
        <v>55</v>
      </c>
      <c r="F39" s="699"/>
      <c r="G39" s="7"/>
      <c r="H39" s="7"/>
      <c r="I39" s="699"/>
      <c r="J39" s="7"/>
      <c r="K39" s="7" t="s">
        <v>3</v>
      </c>
      <c r="L39" s="7"/>
    </row>
    <row r="40" spans="1:12">
      <c r="A40" s="8"/>
      <c r="B40" s="2"/>
      <c r="C40" s="7"/>
      <c r="D40" s="7"/>
      <c r="E40" s="7"/>
      <c r="F40" s="699"/>
      <c r="G40" s="7"/>
      <c r="H40" s="7"/>
      <c r="I40" s="699"/>
      <c r="J40" s="7"/>
      <c r="K40" s="7" t="s">
        <v>3</v>
      </c>
      <c r="L40" s="7"/>
    </row>
    <row r="41" spans="1:12">
      <c r="A41" s="8">
        <v>21</v>
      </c>
      <c r="B41" s="2" t="s">
        <v>56</v>
      </c>
      <c r="C41" s="7" t="s">
        <v>57</v>
      </c>
      <c r="D41" s="13">
        <v>0</v>
      </c>
      <c r="E41" s="14" t="s">
        <v>58</v>
      </c>
      <c r="F41" s="14"/>
      <c r="G41" s="14"/>
      <c r="H41" s="14"/>
      <c r="I41" s="14">
        <v>0</v>
      </c>
      <c r="J41" s="14" t="s">
        <v>58</v>
      </c>
      <c r="K41" s="7"/>
      <c r="L41" s="7"/>
    </row>
    <row r="42" spans="1:12">
      <c r="A42" s="8">
        <v>22</v>
      </c>
      <c r="B42" s="2"/>
      <c r="C42" s="7"/>
      <c r="D42" s="13">
        <v>0</v>
      </c>
      <c r="E42" s="14" t="s">
        <v>59</v>
      </c>
      <c r="F42" s="14"/>
      <c r="G42" s="14"/>
      <c r="H42" s="14"/>
      <c r="I42" s="14">
        <v>0</v>
      </c>
      <c r="J42" s="14" t="s">
        <v>59</v>
      </c>
      <c r="K42" s="7"/>
      <c r="L42" s="7"/>
    </row>
    <row r="43" spans="1:12">
      <c r="A43" s="8"/>
      <c r="B43" s="2"/>
      <c r="C43" s="7"/>
      <c r="D43" s="15"/>
      <c r="E43" s="14"/>
      <c r="F43" s="14"/>
      <c r="G43" s="14"/>
      <c r="H43" s="14"/>
      <c r="I43" s="14"/>
      <c r="J43" s="14"/>
      <c r="K43" s="7"/>
      <c r="L43" s="7"/>
    </row>
    <row r="44" spans="1:12">
      <c r="A44" s="8"/>
      <c r="B44" s="2"/>
      <c r="C44" s="7"/>
      <c r="D44" s="15"/>
      <c r="E44" s="14"/>
      <c r="F44" s="14"/>
      <c r="G44" s="14"/>
      <c r="H44" s="14"/>
      <c r="I44" s="14"/>
      <c r="J44" s="14"/>
      <c r="K44" s="7"/>
      <c r="L44" s="7"/>
    </row>
    <row r="45" spans="1:12">
      <c r="A45" s="8"/>
      <c r="B45" s="2"/>
      <c r="C45" s="7"/>
      <c r="D45" s="15"/>
      <c r="E45" s="14"/>
      <c r="F45" s="14"/>
      <c r="G45" s="14"/>
      <c r="H45" s="14"/>
      <c r="I45" s="14"/>
      <c r="J45" s="14"/>
      <c r="K45" s="7"/>
      <c r="L45" s="7"/>
    </row>
    <row r="46" spans="1:12">
      <c r="A46" s="8"/>
      <c r="B46" s="2"/>
      <c r="C46" s="7"/>
      <c r="D46" s="15"/>
      <c r="E46" s="14"/>
      <c r="F46" s="14"/>
      <c r="G46" s="14"/>
      <c r="H46" s="14"/>
      <c r="I46" s="14"/>
      <c r="J46" s="14"/>
      <c r="K46" s="7"/>
      <c r="L46" s="7"/>
    </row>
    <row r="47" spans="1:12">
      <c r="A47" s="8"/>
      <c r="B47" s="2"/>
      <c r="C47" s="7"/>
      <c r="D47" s="15"/>
      <c r="E47" s="14"/>
      <c r="F47" s="14"/>
      <c r="G47" s="14"/>
      <c r="H47" s="14"/>
      <c r="I47" s="14"/>
      <c r="J47" s="14"/>
      <c r="K47" s="7"/>
      <c r="L47" s="7"/>
    </row>
    <row r="48" spans="1:12">
      <c r="A48" s="8"/>
      <c r="B48" s="2"/>
      <c r="C48" s="7"/>
      <c r="D48" s="15"/>
      <c r="E48" s="14"/>
      <c r="F48" s="14"/>
      <c r="G48" s="14"/>
      <c r="H48" s="14"/>
      <c r="I48" s="14"/>
      <c r="J48" s="14"/>
      <c r="K48" s="7"/>
      <c r="L48" s="7"/>
    </row>
    <row r="49" spans="1:12">
      <c r="A49" s="8"/>
      <c r="B49" s="2"/>
      <c r="C49" s="7"/>
      <c r="D49" s="15"/>
      <c r="E49" s="14"/>
      <c r="F49" s="14"/>
      <c r="G49" s="14"/>
      <c r="H49" s="14"/>
      <c r="I49" s="14"/>
      <c r="J49" s="14"/>
      <c r="K49" s="7"/>
      <c r="L49" s="7"/>
    </row>
    <row r="50" spans="1:12">
      <c r="A50" s="8"/>
      <c r="B50" s="2"/>
      <c r="C50" s="7"/>
      <c r="D50" s="15"/>
      <c r="E50" s="14"/>
      <c r="F50" s="14"/>
      <c r="G50" s="14"/>
      <c r="H50" s="14"/>
      <c r="I50" s="14"/>
      <c r="J50" s="14"/>
      <c r="K50" s="7"/>
      <c r="L50" s="7"/>
    </row>
    <row r="51" spans="1:12">
      <c r="A51" s="8"/>
      <c r="B51" s="2"/>
      <c r="C51" s="7"/>
      <c r="D51" s="15"/>
      <c r="E51" s="14"/>
      <c r="F51" s="14"/>
      <c r="G51" s="14"/>
      <c r="H51" s="14"/>
      <c r="I51" s="14"/>
      <c r="J51" s="14"/>
      <c r="K51" s="7"/>
      <c r="L51" s="7"/>
    </row>
    <row r="52" spans="1:12">
      <c r="A52" s="8"/>
      <c r="B52" s="2"/>
      <c r="C52" s="7"/>
      <c r="D52" s="15"/>
      <c r="E52" s="14"/>
      <c r="F52" s="14"/>
      <c r="G52" s="14"/>
      <c r="H52" s="14"/>
      <c r="I52" s="14"/>
      <c r="J52" s="14"/>
      <c r="K52" s="7"/>
      <c r="L52" s="7"/>
    </row>
    <row r="53" spans="1:12">
      <c r="A53" s="8"/>
      <c r="B53" s="2"/>
      <c r="C53" s="7"/>
      <c r="D53" s="15"/>
      <c r="E53" s="14"/>
      <c r="F53" s="14"/>
      <c r="G53" s="14"/>
      <c r="H53" s="14"/>
      <c r="I53" s="14"/>
      <c r="J53" s="14"/>
      <c r="K53" s="7"/>
      <c r="L53" s="7"/>
    </row>
    <row r="54" spans="1:12">
      <c r="A54" s="8"/>
      <c r="B54" s="2"/>
      <c r="C54" s="7"/>
      <c r="D54" s="15"/>
      <c r="E54" s="14"/>
      <c r="F54" s="14"/>
      <c r="G54" s="14"/>
      <c r="H54" s="14"/>
      <c r="I54" s="14"/>
      <c r="J54" s="14"/>
      <c r="K54" s="7"/>
      <c r="L54" s="7"/>
    </row>
    <row r="55" spans="1:12">
      <c r="A55" s="8"/>
      <c r="B55" s="2"/>
      <c r="C55" s="7"/>
      <c r="D55" s="15"/>
      <c r="E55" s="14"/>
      <c r="F55" s="14"/>
      <c r="G55" s="14"/>
      <c r="H55" s="14"/>
      <c r="I55" s="14"/>
      <c r="J55" s="14"/>
      <c r="K55" s="7"/>
      <c r="L55" s="7"/>
    </row>
    <row r="56" spans="1:12">
      <c r="A56" s="8"/>
      <c r="B56" s="2"/>
      <c r="C56" s="7"/>
      <c r="D56" s="15"/>
      <c r="E56" s="14"/>
      <c r="F56" s="14"/>
      <c r="G56" s="14"/>
      <c r="H56" s="14"/>
      <c r="I56" s="14"/>
      <c r="J56" s="14"/>
      <c r="K56" s="7"/>
      <c r="L56" s="7"/>
    </row>
    <row r="57" spans="1:12">
      <c r="A57" s="8"/>
      <c r="B57" s="2"/>
      <c r="C57" s="7"/>
      <c r="D57" s="15"/>
      <c r="E57" s="14"/>
      <c r="F57" s="14"/>
      <c r="G57" s="14"/>
      <c r="H57" s="14"/>
      <c r="I57" s="14"/>
      <c r="J57" s="14"/>
      <c r="K57" s="7"/>
      <c r="L57" s="7"/>
    </row>
    <row r="58" spans="1:12">
      <c r="A58" s="8"/>
      <c r="B58" s="2"/>
      <c r="C58" s="7"/>
      <c r="D58" s="15"/>
      <c r="E58" s="14"/>
      <c r="F58" s="14"/>
      <c r="G58" s="14"/>
      <c r="H58" s="14"/>
      <c r="I58" s="14"/>
      <c r="J58" s="14"/>
      <c r="K58" s="7"/>
      <c r="L58" s="7"/>
    </row>
    <row r="59" spans="1:12">
      <c r="A59" s="8"/>
      <c r="B59" s="2"/>
      <c r="C59" s="7"/>
      <c r="D59" s="15"/>
      <c r="E59" s="14"/>
      <c r="F59" s="14"/>
      <c r="G59" s="14"/>
      <c r="H59" s="14"/>
      <c r="I59" s="14"/>
      <c r="J59" s="14"/>
      <c r="K59" s="7"/>
      <c r="L59" s="7"/>
    </row>
    <row r="60" spans="1:12">
      <c r="A60" s="8"/>
      <c r="B60" s="2"/>
      <c r="C60" s="7"/>
      <c r="D60" s="15"/>
      <c r="E60" s="14"/>
      <c r="F60" s="14"/>
      <c r="G60" s="14"/>
      <c r="H60" s="14"/>
      <c r="I60" s="14"/>
      <c r="J60" s="14"/>
      <c r="K60" s="7"/>
      <c r="L60" s="7"/>
    </row>
    <row r="61" spans="1:12">
      <c r="A61" s="8"/>
      <c r="B61" s="2"/>
      <c r="C61" s="7"/>
      <c r="D61" s="15"/>
      <c r="E61" s="14"/>
      <c r="F61" s="14"/>
      <c r="G61" s="14"/>
      <c r="H61" s="14"/>
      <c r="I61" s="14"/>
      <c r="J61" s="14"/>
      <c r="K61" s="7"/>
      <c r="L61" s="7"/>
    </row>
    <row r="62" spans="1:12">
      <c r="A62" s="8"/>
      <c r="B62" s="2"/>
      <c r="C62" s="7"/>
      <c r="D62" s="15"/>
      <c r="E62" s="14"/>
      <c r="F62" s="14"/>
      <c r="G62" s="14"/>
      <c r="H62" s="14"/>
      <c r="I62" s="14"/>
      <c r="J62" s="14"/>
      <c r="K62" s="7"/>
      <c r="L62" s="7"/>
    </row>
    <row r="63" spans="1:12">
      <c r="A63" s="8"/>
      <c r="B63" s="2"/>
      <c r="C63" s="7"/>
      <c r="D63" s="15"/>
      <c r="E63" s="14"/>
      <c r="F63" s="14"/>
      <c r="G63" s="14"/>
      <c r="H63" s="14"/>
      <c r="I63" s="14"/>
      <c r="J63" s="14"/>
      <c r="K63" s="7"/>
      <c r="L63" s="7"/>
    </row>
    <row r="64" spans="1:12">
      <c r="A64" s="8"/>
      <c r="B64" s="2"/>
      <c r="C64" s="7"/>
      <c r="D64" s="15"/>
      <c r="E64" s="14"/>
      <c r="F64" s="14"/>
      <c r="G64" s="14"/>
      <c r="H64" s="14"/>
      <c r="I64" s="14"/>
      <c r="J64" s="14"/>
      <c r="K64" s="7"/>
      <c r="L64" s="7"/>
    </row>
    <row r="65" spans="1:12">
      <c r="A65" s="8"/>
      <c r="B65" s="2"/>
      <c r="C65" s="7"/>
      <c r="D65" s="15"/>
      <c r="E65" s="14"/>
      <c r="F65" s="14"/>
      <c r="G65" s="14"/>
      <c r="H65" s="14"/>
      <c r="I65" s="14"/>
      <c r="J65" s="14"/>
      <c r="K65" s="7"/>
      <c r="L65" s="7"/>
    </row>
    <row r="66" spans="1:12">
      <c r="A66" s="8"/>
      <c r="B66" s="2"/>
      <c r="C66" s="7"/>
      <c r="D66" s="15"/>
      <c r="E66" s="14"/>
      <c r="F66" s="14"/>
      <c r="G66" s="14"/>
      <c r="H66" s="14"/>
      <c r="I66" s="14"/>
      <c r="J66" s="14"/>
      <c r="K66" s="7"/>
      <c r="L66" s="7"/>
    </row>
    <row r="67" spans="1:12">
      <c r="A67" s="8"/>
      <c r="B67" s="2"/>
      <c r="C67" s="7"/>
      <c r="D67" s="15"/>
      <c r="E67" s="14"/>
      <c r="F67" s="14"/>
      <c r="G67" s="14"/>
      <c r="H67" s="14"/>
      <c r="I67" s="14"/>
      <c r="J67" s="14"/>
      <c r="K67" s="7"/>
      <c r="L67" s="7"/>
    </row>
    <row r="68" spans="1:12">
      <c r="A68" s="8"/>
      <c r="B68" s="2"/>
      <c r="C68" s="7"/>
      <c r="D68" s="15"/>
      <c r="E68" s="14"/>
      <c r="F68" s="14"/>
      <c r="G68" s="14"/>
      <c r="H68" s="14"/>
      <c r="I68" s="14"/>
      <c r="J68" s="14"/>
      <c r="K68" s="7"/>
      <c r="L68" s="7"/>
    </row>
    <row r="69" spans="1:12">
      <c r="A69" s="8"/>
      <c r="B69" s="2"/>
      <c r="C69" s="7"/>
      <c r="D69" s="15"/>
      <c r="E69" s="14"/>
      <c r="F69" s="14"/>
      <c r="G69" s="14"/>
      <c r="H69" s="14"/>
      <c r="I69" s="14"/>
      <c r="J69" s="14"/>
      <c r="K69" s="7"/>
      <c r="L69" s="7"/>
    </row>
    <row r="70" spans="1:12">
      <c r="A70" s="8"/>
      <c r="B70" s="2"/>
      <c r="C70" s="7"/>
      <c r="D70" s="15"/>
      <c r="E70" s="14"/>
      <c r="F70" s="14"/>
      <c r="G70" s="14"/>
      <c r="H70" s="14"/>
      <c r="I70" s="14"/>
      <c r="J70" s="14"/>
      <c r="K70" s="7"/>
      <c r="L70" s="7"/>
    </row>
    <row r="71" spans="1:12">
      <c r="A71" s="8"/>
      <c r="B71" s="2"/>
      <c r="C71" s="7"/>
      <c r="D71" s="15"/>
      <c r="E71" s="14"/>
      <c r="F71" s="14"/>
      <c r="G71" s="14"/>
      <c r="H71" s="14"/>
      <c r="I71" s="14"/>
      <c r="J71" s="14"/>
      <c r="K71" s="7"/>
      <c r="L71" s="7"/>
    </row>
    <row r="72" spans="1:12">
      <c r="A72" s="8"/>
      <c r="B72" s="2"/>
      <c r="C72" s="7"/>
      <c r="D72" s="15"/>
      <c r="E72" s="14"/>
      <c r="F72" s="14"/>
      <c r="G72" s="14"/>
      <c r="H72" s="14"/>
      <c r="I72" s="14"/>
      <c r="J72" s="14"/>
      <c r="K72" s="7"/>
      <c r="L72" s="7"/>
    </row>
    <row r="73" spans="1:12">
      <c r="A73" s="8"/>
      <c r="B73" s="2"/>
      <c r="C73" s="7"/>
      <c r="D73" s="15"/>
      <c r="E73" s="14"/>
      <c r="F73" s="14"/>
      <c r="G73" s="14"/>
      <c r="H73" s="14"/>
      <c r="I73" s="14"/>
      <c r="J73" s="14"/>
      <c r="K73" s="7"/>
      <c r="L73" s="7"/>
    </row>
    <row r="74" spans="1:12">
      <c r="A74" s="8"/>
      <c r="B74" s="2"/>
      <c r="C74" s="7"/>
      <c r="D74" s="15"/>
      <c r="E74" s="14"/>
      <c r="F74" s="14"/>
      <c r="G74" s="14"/>
      <c r="H74" s="14"/>
      <c r="I74" s="14"/>
      <c r="J74" s="14"/>
      <c r="K74" s="7"/>
      <c r="L74" s="7"/>
    </row>
    <row r="75" spans="1:12">
      <c r="A75" s="699"/>
      <c r="B75" s="2"/>
      <c r="C75" s="7"/>
      <c r="D75" s="7"/>
      <c r="E75" s="7"/>
      <c r="F75" s="7"/>
      <c r="G75" s="7"/>
      <c r="H75" s="7"/>
      <c r="I75" s="805"/>
      <c r="J75" s="7"/>
      <c r="K75" s="804" t="s">
        <v>60</v>
      </c>
      <c r="L75" s="7"/>
    </row>
    <row r="76" spans="1:12">
      <c r="A76" s="699"/>
      <c r="B76" s="7"/>
      <c r="C76" s="7"/>
      <c r="D76" s="7"/>
      <c r="E76" s="7"/>
      <c r="F76" s="7"/>
      <c r="G76" s="7"/>
      <c r="H76" s="7"/>
      <c r="I76" s="7"/>
      <c r="J76" s="7"/>
      <c r="K76" s="7"/>
      <c r="L76" s="7"/>
    </row>
    <row r="77" spans="1:12">
      <c r="A77" s="699"/>
      <c r="B77" s="2" t="s">
        <v>1</v>
      </c>
      <c r="C77" s="2"/>
      <c r="D77" s="3" t="s">
        <v>2</v>
      </c>
      <c r="E77" s="2"/>
      <c r="F77" s="2"/>
      <c r="G77" s="2"/>
      <c r="H77" s="2"/>
      <c r="J77" s="2"/>
      <c r="K77" s="803" t="str">
        <f>K3</f>
        <v>For the 12 months ended 12/31/2022</v>
      </c>
      <c r="L77" s="2"/>
    </row>
    <row r="78" spans="1:12">
      <c r="A78" s="699"/>
      <c r="B78" s="2" t="s">
        <v>61</v>
      </c>
      <c r="C78" s="675"/>
      <c r="D78" s="675" t="s">
        <v>4</v>
      </c>
      <c r="E78" s="675"/>
      <c r="F78" s="675"/>
      <c r="G78" s="675"/>
      <c r="H78" s="675"/>
      <c r="I78" s="675"/>
      <c r="J78" s="675"/>
      <c r="K78" s="675"/>
      <c r="L78" s="7"/>
    </row>
    <row r="79" spans="1:12">
      <c r="A79" s="699"/>
      <c r="B79" s="2"/>
      <c r="C79" s="675" t="s">
        <v>3</v>
      </c>
      <c r="D79" s="675" t="s">
        <v>3</v>
      </c>
      <c r="E79" s="675"/>
      <c r="F79" s="675"/>
      <c r="G79" s="675" t="s">
        <v>3</v>
      </c>
      <c r="H79" s="675"/>
      <c r="I79" s="675"/>
      <c r="J79" s="675"/>
      <c r="K79" s="675"/>
      <c r="L79" s="675"/>
    </row>
    <row r="80" spans="1:12">
      <c r="A80" s="963" t="str">
        <f>A6</f>
        <v>American Transmission Company LLC</v>
      </c>
      <c r="B80" s="963"/>
      <c r="C80" s="963"/>
      <c r="D80" s="963"/>
      <c r="E80" s="963"/>
      <c r="F80" s="963"/>
      <c r="G80" s="963"/>
      <c r="H80" s="963"/>
      <c r="I80" s="963"/>
      <c r="J80" s="963"/>
      <c r="K80" s="963"/>
      <c r="L80" s="675"/>
    </row>
    <row r="81" spans="1:12">
      <c r="A81" s="699"/>
      <c r="B81" s="8" t="s">
        <v>62</v>
      </c>
      <c r="C81" s="8" t="s">
        <v>63</v>
      </c>
      <c r="D81" s="8" t="s">
        <v>64</v>
      </c>
      <c r="E81" s="675" t="s">
        <v>3</v>
      </c>
      <c r="F81" s="675"/>
      <c r="G81" s="794" t="s">
        <v>65</v>
      </c>
      <c r="H81" s="675"/>
      <c r="I81" s="672" t="s">
        <v>66</v>
      </c>
      <c r="J81" s="675"/>
      <c r="K81" s="8"/>
      <c r="L81" s="8"/>
    </row>
    <row r="82" spans="1:12">
      <c r="A82" s="699"/>
      <c r="B82" s="2"/>
      <c r="C82" s="742" t="s">
        <v>67</v>
      </c>
      <c r="D82" s="675"/>
      <c r="E82" s="675"/>
      <c r="F82" s="675"/>
      <c r="G82" s="8"/>
      <c r="H82" s="675"/>
      <c r="I82" s="16" t="s">
        <v>68</v>
      </c>
      <c r="J82" s="675"/>
      <c r="K82" s="8"/>
      <c r="L82" s="8"/>
    </row>
    <row r="83" spans="1:12">
      <c r="A83" s="8" t="s">
        <v>8</v>
      </c>
      <c r="B83" s="2"/>
      <c r="C83" s="793" t="s">
        <v>69</v>
      </c>
      <c r="D83" s="16" t="s">
        <v>70</v>
      </c>
      <c r="E83" s="792"/>
      <c r="F83" s="16" t="s">
        <v>71</v>
      </c>
      <c r="G83" s="699"/>
      <c r="H83" s="792"/>
      <c r="I83" s="8" t="s">
        <v>72</v>
      </c>
      <c r="J83" s="675"/>
      <c r="K83" s="8"/>
      <c r="L83" s="8"/>
    </row>
    <row r="84" spans="1:12" ht="16.5" thickBot="1">
      <c r="A84" s="9" t="s">
        <v>10</v>
      </c>
      <c r="B84" s="760" t="s">
        <v>73</v>
      </c>
      <c r="C84" s="675"/>
      <c r="D84" s="675"/>
      <c r="E84" s="675"/>
      <c r="F84" s="675"/>
      <c r="G84" s="675"/>
      <c r="H84" s="675"/>
      <c r="I84" s="675"/>
      <c r="J84" s="675"/>
      <c r="K84" s="675"/>
      <c r="L84" s="675"/>
    </row>
    <row r="85" spans="1:12">
      <c r="A85" s="8"/>
      <c r="B85" s="2" t="s">
        <v>74</v>
      </c>
      <c r="C85" s="675"/>
      <c r="D85" s="675"/>
      <c r="E85" s="675"/>
      <c r="F85" s="675"/>
      <c r="G85" s="675"/>
      <c r="H85" s="675"/>
      <c r="I85" s="675"/>
      <c r="J85" s="675"/>
      <c r="K85" s="675"/>
      <c r="L85" s="675"/>
    </row>
    <row r="86" spans="1:12">
      <c r="A86" s="8">
        <v>1</v>
      </c>
      <c r="B86" s="2" t="s">
        <v>75</v>
      </c>
      <c r="C86" s="745" t="s">
        <v>76</v>
      </c>
      <c r="D86" s="11">
        <v>0</v>
      </c>
      <c r="E86" s="675"/>
      <c r="F86" s="675" t="s">
        <v>77</v>
      </c>
      <c r="G86" s="802" t="s">
        <v>3</v>
      </c>
      <c r="H86" s="675"/>
      <c r="I86" s="675">
        <v>0</v>
      </c>
      <c r="J86" s="675"/>
      <c r="K86" s="675"/>
      <c r="L86" s="675"/>
    </row>
    <row r="87" spans="1:12">
      <c r="A87" s="8" t="s">
        <v>78</v>
      </c>
      <c r="B87" s="2" t="s">
        <v>79</v>
      </c>
      <c r="C87" s="745" t="s">
        <v>80</v>
      </c>
      <c r="D87" s="11">
        <f>ROUND('Plant Balances (pg. 2) '!C22,0)</f>
        <v>6961784581</v>
      </c>
      <c r="E87" s="675"/>
      <c r="F87" s="675" t="s">
        <v>19</v>
      </c>
      <c r="G87" s="743">
        <f>I231</f>
        <v>1</v>
      </c>
      <c r="H87" s="745"/>
      <c r="I87" s="734">
        <f>+G87*D87</f>
        <v>6961784581</v>
      </c>
      <c r="J87" s="675"/>
      <c r="K87" s="675"/>
      <c r="L87" s="675"/>
    </row>
    <row r="88" spans="1:12">
      <c r="A88" s="8" t="s">
        <v>81</v>
      </c>
      <c r="B88" s="3" t="s">
        <v>82</v>
      </c>
      <c r="C88" s="675"/>
      <c r="D88" s="11">
        <f>ROUND('Plant Balances (pg. 2) '!D22,0)</f>
        <v>256560756</v>
      </c>
      <c r="E88" s="675"/>
      <c r="F88" s="675" t="s">
        <v>19</v>
      </c>
      <c r="G88" s="743">
        <f>G87</f>
        <v>1</v>
      </c>
      <c r="H88" s="745"/>
      <c r="I88" s="734">
        <f>+G88*D88</f>
        <v>256560756</v>
      </c>
      <c r="J88" s="675"/>
      <c r="K88" s="675"/>
      <c r="L88" s="675"/>
    </row>
    <row r="89" spans="1:12">
      <c r="A89" s="8">
        <v>3</v>
      </c>
      <c r="B89" s="2" t="s">
        <v>83</v>
      </c>
      <c r="C89" s="745" t="s">
        <v>84</v>
      </c>
      <c r="D89" s="11">
        <v>0</v>
      </c>
      <c r="E89" s="675"/>
      <c r="F89" s="675" t="s">
        <v>77</v>
      </c>
      <c r="G89" s="788" t="s">
        <v>3</v>
      </c>
      <c r="H89" s="745"/>
      <c r="I89" s="745">
        <v>0</v>
      </c>
      <c r="J89" s="675"/>
      <c r="K89" s="675"/>
      <c r="L89" s="675"/>
    </row>
    <row r="90" spans="1:12">
      <c r="A90" s="8">
        <v>4</v>
      </c>
      <c r="B90" s="2" t="s">
        <v>85</v>
      </c>
      <c r="C90" s="745" t="s">
        <v>86</v>
      </c>
      <c r="D90" s="11">
        <f>ROUND('Plant Balances (pg. 2) '!E22,0)</f>
        <v>254877371</v>
      </c>
      <c r="E90" s="675"/>
      <c r="F90" s="675" t="s">
        <v>87</v>
      </c>
      <c r="G90" s="743">
        <f>I248</f>
        <v>1</v>
      </c>
      <c r="H90" s="745"/>
      <c r="I90" s="734">
        <f>+G90*D90</f>
        <v>254877371</v>
      </c>
      <c r="J90" s="675"/>
      <c r="K90" s="675"/>
      <c r="L90" s="675"/>
    </row>
    <row r="91" spans="1:12" ht="16.5" thickBot="1">
      <c r="A91" s="8">
        <v>5</v>
      </c>
      <c r="B91" s="2" t="s">
        <v>88</v>
      </c>
      <c r="C91" s="675" t="s">
        <v>89</v>
      </c>
      <c r="D91" s="17">
        <v>0</v>
      </c>
      <c r="E91" s="675"/>
      <c r="F91" s="675" t="s">
        <v>90</v>
      </c>
      <c r="G91" s="743">
        <f>K252</f>
        <v>1</v>
      </c>
      <c r="H91" s="745"/>
      <c r="I91" s="746">
        <f>+G91*D91</f>
        <v>0</v>
      </c>
      <c r="J91" s="675"/>
      <c r="K91" s="675"/>
      <c r="L91" s="675"/>
    </row>
    <row r="92" spans="1:12">
      <c r="A92" s="8">
        <v>6</v>
      </c>
      <c r="B92" s="2" t="s">
        <v>91</v>
      </c>
      <c r="C92" s="675"/>
      <c r="D92" s="34">
        <f>SUM(D86:D91)</f>
        <v>7473222708</v>
      </c>
      <c r="E92" s="675"/>
      <c r="F92" s="675" t="s">
        <v>92</v>
      </c>
      <c r="G92" s="800">
        <f>IF(I92&gt;0,I92/D92,0)</f>
        <v>1</v>
      </c>
      <c r="H92" s="745"/>
      <c r="I92" s="734">
        <f>SUM(I86:I91)</f>
        <v>7473222708</v>
      </c>
      <c r="J92" s="675"/>
      <c r="K92" s="741"/>
      <c r="L92" s="675"/>
    </row>
    <row r="93" spans="1:12">
      <c r="A93" s="699"/>
      <c r="B93" s="2"/>
      <c r="C93" s="675"/>
      <c r="D93" s="675"/>
      <c r="E93" s="675"/>
      <c r="F93" s="675"/>
      <c r="G93" s="741"/>
      <c r="H93" s="675"/>
      <c r="I93" s="675"/>
      <c r="J93" s="675"/>
      <c r="K93" s="741"/>
      <c r="L93" s="675"/>
    </row>
    <row r="94" spans="1:12">
      <c r="A94" s="699"/>
      <c r="B94" s="2" t="s">
        <v>93</v>
      </c>
      <c r="C94" s="675"/>
      <c r="D94" s="675"/>
      <c r="E94" s="675"/>
      <c r="F94" s="675"/>
      <c r="G94" s="675"/>
      <c r="H94" s="675"/>
      <c r="I94" s="675"/>
      <c r="J94" s="675"/>
      <c r="K94" s="675"/>
      <c r="L94" s="675"/>
    </row>
    <row r="95" spans="1:12">
      <c r="A95" s="8">
        <v>7</v>
      </c>
      <c r="B95" s="2" t="s">
        <v>75</v>
      </c>
      <c r="C95" s="675" t="s">
        <v>94</v>
      </c>
      <c r="D95" s="11">
        <v>0</v>
      </c>
      <c r="E95" s="675"/>
      <c r="F95" s="675" t="s">
        <v>77</v>
      </c>
      <c r="G95" s="802" t="s">
        <v>3</v>
      </c>
      <c r="H95" s="675"/>
      <c r="I95" s="675">
        <v>0</v>
      </c>
      <c r="J95" s="675"/>
      <c r="K95" s="675"/>
      <c r="L95" s="675"/>
    </row>
    <row r="96" spans="1:12">
      <c r="A96" s="8" t="s">
        <v>95</v>
      </c>
      <c r="B96" s="2" t="s">
        <v>79</v>
      </c>
      <c r="C96" s="675" t="s">
        <v>96</v>
      </c>
      <c r="D96" s="18">
        <f>ROUND(-'Plant Balances (pg. 2) '!C41,0)</f>
        <v>2018956919</v>
      </c>
      <c r="E96" s="675"/>
      <c r="F96" s="675" t="s">
        <v>19</v>
      </c>
      <c r="G96" s="743">
        <f>+G87</f>
        <v>1</v>
      </c>
      <c r="H96" s="745"/>
      <c r="I96" s="734">
        <f>+G96*D96</f>
        <v>2018956919</v>
      </c>
      <c r="J96" s="675"/>
      <c r="K96" s="675"/>
      <c r="L96" s="675"/>
    </row>
    <row r="97" spans="1:12">
      <c r="A97" s="8" t="s">
        <v>97</v>
      </c>
      <c r="B97" s="3" t="s">
        <v>82</v>
      </c>
      <c r="C97" s="675"/>
      <c r="D97" s="18">
        <v>0</v>
      </c>
      <c r="E97" s="675"/>
      <c r="F97" s="675" t="s">
        <v>19</v>
      </c>
      <c r="G97" s="743">
        <f>G96</f>
        <v>1</v>
      </c>
      <c r="H97" s="745"/>
      <c r="I97" s="734">
        <f>+G97*D97</f>
        <v>0</v>
      </c>
      <c r="J97" s="675"/>
      <c r="K97" s="675"/>
      <c r="L97" s="675"/>
    </row>
    <row r="98" spans="1:12">
      <c r="A98" s="8">
        <v>9</v>
      </c>
      <c r="B98" s="2" t="s">
        <v>83</v>
      </c>
      <c r="C98" s="675" t="s">
        <v>98</v>
      </c>
      <c r="D98" s="11">
        <v>0</v>
      </c>
      <c r="E98" s="675"/>
      <c r="F98" s="675" t="s">
        <v>77</v>
      </c>
      <c r="G98" s="743" t="str">
        <f>+G89</f>
        <v xml:space="preserve"> </v>
      </c>
      <c r="H98" s="745"/>
      <c r="I98" s="745" t="s">
        <v>3</v>
      </c>
      <c r="J98" s="675"/>
      <c r="K98" s="675"/>
      <c r="L98" s="675"/>
    </row>
    <row r="99" spans="1:12">
      <c r="A99" s="8">
        <v>10</v>
      </c>
      <c r="B99" s="2" t="s">
        <v>85</v>
      </c>
      <c r="C99" s="675" t="s">
        <v>99</v>
      </c>
      <c r="D99" s="11">
        <f>ROUND(-'Plant Balances (pg. 2) '!E41,0)</f>
        <v>102871133</v>
      </c>
      <c r="E99" s="675"/>
      <c r="F99" s="675" t="s">
        <v>87</v>
      </c>
      <c r="G99" s="743">
        <f>+G90</f>
        <v>1</v>
      </c>
      <c r="H99" s="745"/>
      <c r="I99" s="734">
        <f>+G99*D99</f>
        <v>102871133</v>
      </c>
      <c r="J99" s="675"/>
      <c r="K99" s="675"/>
      <c r="L99" s="675"/>
    </row>
    <row r="100" spans="1:12" ht="16.5" thickBot="1">
      <c r="A100" s="8">
        <v>11</v>
      </c>
      <c r="B100" s="2" t="s">
        <v>88</v>
      </c>
      <c r="C100" s="675" t="s">
        <v>89</v>
      </c>
      <c r="D100" s="17">
        <v>0</v>
      </c>
      <c r="E100" s="675"/>
      <c r="F100" s="675" t="s">
        <v>90</v>
      </c>
      <c r="G100" s="743">
        <f>+G91</f>
        <v>1</v>
      </c>
      <c r="H100" s="745"/>
      <c r="I100" s="746">
        <f>+G100*D100</f>
        <v>0</v>
      </c>
      <c r="J100" s="675"/>
      <c r="K100" s="675"/>
      <c r="L100" s="675"/>
    </row>
    <row r="101" spans="1:12">
      <c r="A101" s="8">
        <v>12</v>
      </c>
      <c r="B101" s="2" t="s">
        <v>100</v>
      </c>
      <c r="C101" s="675"/>
      <c r="D101" s="801">
        <f>SUM(D95:D100)</f>
        <v>2121828052</v>
      </c>
      <c r="E101" s="675"/>
      <c r="F101" s="675"/>
      <c r="G101" s="745"/>
      <c r="H101" s="745"/>
      <c r="I101" s="734">
        <f>SUM(I95:I100)</f>
        <v>2121828052</v>
      </c>
      <c r="J101" s="675"/>
      <c r="K101" s="675"/>
      <c r="L101" s="675"/>
    </row>
    <row r="102" spans="1:12">
      <c r="A102" s="8"/>
      <c r="B102" s="699"/>
      <c r="C102" s="675" t="s">
        <v>3</v>
      </c>
      <c r="D102" s="699"/>
      <c r="E102" s="675"/>
      <c r="F102" s="675"/>
      <c r="G102" s="741"/>
      <c r="H102" s="675"/>
      <c r="I102" s="699"/>
      <c r="J102" s="675"/>
      <c r="K102" s="741"/>
      <c r="L102" s="675"/>
    </row>
    <row r="103" spans="1:12">
      <c r="A103" s="8"/>
      <c r="B103" s="2" t="s">
        <v>101</v>
      </c>
      <c r="C103" s="675"/>
      <c r="D103" s="675"/>
      <c r="E103" s="675"/>
      <c r="F103" s="675"/>
      <c r="G103" s="675"/>
      <c r="H103" s="675"/>
      <c r="I103" s="675"/>
      <c r="J103" s="675"/>
      <c r="K103" s="675"/>
      <c r="L103" s="675"/>
    </row>
    <row r="104" spans="1:12">
      <c r="A104" s="8">
        <v>13</v>
      </c>
      <c r="B104" s="2" t="s">
        <v>75</v>
      </c>
      <c r="C104" s="675" t="s">
        <v>102</v>
      </c>
      <c r="D104" s="734">
        <f t="shared" ref="D104:D109" si="0">D86-D95</f>
        <v>0</v>
      </c>
      <c r="E104" s="745"/>
      <c r="F104" s="745"/>
      <c r="G104" s="763"/>
      <c r="H104" s="745"/>
      <c r="I104" s="745" t="s">
        <v>3</v>
      </c>
      <c r="J104" s="675"/>
      <c r="K104" s="741"/>
      <c r="L104" s="675"/>
    </row>
    <row r="105" spans="1:12">
      <c r="A105" s="8" t="s">
        <v>103</v>
      </c>
      <c r="B105" s="2" t="s">
        <v>79</v>
      </c>
      <c r="C105" s="675" t="s">
        <v>104</v>
      </c>
      <c r="D105" s="734">
        <f t="shared" si="0"/>
        <v>4942827662</v>
      </c>
      <c r="E105" s="745"/>
      <c r="F105" s="745"/>
      <c r="G105" s="788"/>
      <c r="H105" s="745"/>
      <c r="I105" s="734">
        <f>I87-I96</f>
        <v>4942827662</v>
      </c>
      <c r="J105" s="675"/>
      <c r="K105" s="741"/>
      <c r="L105" s="675"/>
    </row>
    <row r="106" spans="1:12">
      <c r="A106" s="8" t="s">
        <v>105</v>
      </c>
      <c r="B106" s="3" t="s">
        <v>82</v>
      </c>
      <c r="C106" s="675"/>
      <c r="D106" s="734">
        <f t="shared" si="0"/>
        <v>256560756</v>
      </c>
      <c r="E106" s="745"/>
      <c r="F106" s="745"/>
      <c r="G106" s="788"/>
      <c r="H106" s="745"/>
      <c r="I106" s="734">
        <f>I88-I97</f>
        <v>256560756</v>
      </c>
      <c r="J106" s="675"/>
      <c r="K106" s="741"/>
      <c r="L106" s="675"/>
    </row>
    <row r="107" spans="1:12">
      <c r="A107" s="8">
        <v>15</v>
      </c>
      <c r="B107" s="2" t="s">
        <v>83</v>
      </c>
      <c r="C107" s="675" t="s">
        <v>106</v>
      </c>
      <c r="D107" s="734">
        <f t="shared" si="0"/>
        <v>0</v>
      </c>
      <c r="E107" s="745"/>
      <c r="F107" s="745"/>
      <c r="G107" s="763"/>
      <c r="H107" s="745"/>
      <c r="I107" s="745" t="s">
        <v>3</v>
      </c>
      <c r="J107" s="675"/>
      <c r="K107" s="741"/>
      <c r="L107" s="675"/>
    </row>
    <row r="108" spans="1:12">
      <c r="A108" s="8">
        <v>16</v>
      </c>
      <c r="B108" s="2" t="s">
        <v>107</v>
      </c>
      <c r="C108" s="675" t="s">
        <v>108</v>
      </c>
      <c r="D108" s="734">
        <f t="shared" si="0"/>
        <v>152006238</v>
      </c>
      <c r="E108" s="745"/>
      <c r="F108" s="745"/>
      <c r="G108" s="763"/>
      <c r="H108" s="745"/>
      <c r="I108" s="734">
        <f>I90-I99</f>
        <v>152006238</v>
      </c>
      <c r="J108" s="675"/>
      <c r="K108" s="741"/>
      <c r="L108" s="675"/>
    </row>
    <row r="109" spans="1:12" ht="16.5" thickBot="1">
      <c r="A109" s="8">
        <v>17</v>
      </c>
      <c r="B109" s="2" t="s">
        <v>88</v>
      </c>
      <c r="C109" s="675" t="s">
        <v>109</v>
      </c>
      <c r="D109" s="746">
        <f t="shared" si="0"/>
        <v>0</v>
      </c>
      <c r="E109" s="745"/>
      <c r="F109" s="745"/>
      <c r="G109" s="763"/>
      <c r="H109" s="745"/>
      <c r="I109" s="746">
        <f>I91-I100</f>
        <v>0</v>
      </c>
      <c r="J109" s="675"/>
      <c r="K109" s="741"/>
      <c r="L109" s="675"/>
    </row>
    <row r="110" spans="1:12">
      <c r="A110" s="8">
        <v>18</v>
      </c>
      <c r="B110" s="2" t="s">
        <v>110</v>
      </c>
      <c r="C110" s="675"/>
      <c r="D110" s="734">
        <f>SUM(D104:D109)</f>
        <v>5351394656</v>
      </c>
      <c r="E110" s="745"/>
      <c r="F110" s="745" t="s">
        <v>111</v>
      </c>
      <c r="G110" s="800">
        <f>IF(I110&gt;0,I110/D110,0)</f>
        <v>1</v>
      </c>
      <c r="H110" s="745"/>
      <c r="I110" s="734">
        <f>SUM(I104:I109)</f>
        <v>5351394656</v>
      </c>
      <c r="J110" s="675"/>
      <c r="K110" s="675"/>
      <c r="L110" s="799"/>
    </row>
    <row r="111" spans="1:12">
      <c r="A111" s="8"/>
      <c r="B111" s="699"/>
      <c r="C111" s="675"/>
      <c r="D111" s="699"/>
      <c r="E111" s="675"/>
      <c r="F111" s="699"/>
      <c r="G111" s="699"/>
      <c r="H111" s="675"/>
      <c r="I111" s="699"/>
      <c r="J111" s="675"/>
      <c r="K111" s="741"/>
      <c r="L111" s="675"/>
    </row>
    <row r="112" spans="1:12">
      <c r="A112" s="8"/>
      <c r="B112" s="2" t="s">
        <v>112</v>
      </c>
      <c r="C112" s="675"/>
      <c r="D112" s="675"/>
      <c r="E112" s="675"/>
      <c r="F112" s="675"/>
      <c r="G112" s="675"/>
      <c r="H112" s="675"/>
      <c r="I112" s="675"/>
      <c r="J112" s="675"/>
      <c r="K112" s="675"/>
      <c r="L112" s="675"/>
    </row>
    <row r="113" spans="1:12">
      <c r="A113" s="8">
        <v>19</v>
      </c>
      <c r="B113" s="2" t="s">
        <v>113</v>
      </c>
      <c r="C113" s="675" t="s">
        <v>114</v>
      </c>
      <c r="D113" s="11">
        <v>0</v>
      </c>
      <c r="E113" s="674"/>
      <c r="F113" s="674" t="s">
        <v>77</v>
      </c>
      <c r="G113" s="798" t="s">
        <v>115</v>
      </c>
      <c r="H113" s="745"/>
      <c r="I113" s="745">
        <v>0</v>
      </c>
      <c r="J113" s="675"/>
      <c r="K113" s="741"/>
      <c r="L113" s="741"/>
    </row>
    <row r="114" spans="1:12">
      <c r="A114" s="8">
        <v>20</v>
      </c>
      <c r="B114" s="2" t="s">
        <v>116</v>
      </c>
      <c r="C114" s="675" t="s">
        <v>117</v>
      </c>
      <c r="D114" s="19">
        <f>ROUND(-'Deferred Taxes (pg. 2)'!H17,0)</f>
        <v>-984375209</v>
      </c>
      <c r="E114" s="675"/>
      <c r="F114" s="675" t="s">
        <v>118</v>
      </c>
      <c r="G114" s="743">
        <f>+G110</f>
        <v>1</v>
      </c>
      <c r="H114" s="745"/>
      <c r="I114" s="734">
        <f>D114*G114</f>
        <v>-984375209</v>
      </c>
      <c r="J114" s="675"/>
      <c r="K114" s="741"/>
      <c r="L114" s="741"/>
    </row>
    <row r="115" spans="1:12">
      <c r="A115" s="8">
        <v>21</v>
      </c>
      <c r="B115" s="2" t="s">
        <v>119</v>
      </c>
      <c r="C115" s="675" t="s">
        <v>120</v>
      </c>
      <c r="D115" s="19">
        <v>0</v>
      </c>
      <c r="E115" s="675"/>
      <c r="F115" s="675" t="s">
        <v>118</v>
      </c>
      <c r="G115" s="743">
        <f>+G114</f>
        <v>1</v>
      </c>
      <c r="H115" s="745"/>
      <c r="I115" s="734">
        <f>D115*G115</f>
        <v>0</v>
      </c>
      <c r="J115" s="675"/>
      <c r="K115" s="741"/>
      <c r="L115" s="741"/>
    </row>
    <row r="116" spans="1:12">
      <c r="A116" s="8">
        <v>22</v>
      </c>
      <c r="B116" s="2" t="s">
        <v>121</v>
      </c>
      <c r="C116" s="675" t="s">
        <v>122</v>
      </c>
      <c r="D116" s="20">
        <v>0</v>
      </c>
      <c r="E116" s="675"/>
      <c r="F116" s="675" t="s">
        <v>118</v>
      </c>
      <c r="G116" s="743">
        <f>+G115</f>
        <v>1</v>
      </c>
      <c r="H116" s="745"/>
      <c r="I116" s="734">
        <f>D116*G116</f>
        <v>0</v>
      </c>
      <c r="J116" s="675"/>
      <c r="K116" s="741"/>
      <c r="L116" s="741"/>
    </row>
    <row r="117" spans="1:12" ht="16.5" thickBot="1">
      <c r="A117" s="8">
        <v>23</v>
      </c>
      <c r="B117" s="699" t="s">
        <v>123</v>
      </c>
      <c r="C117" s="699" t="s">
        <v>124</v>
      </c>
      <c r="D117" s="17">
        <v>0</v>
      </c>
      <c r="E117" s="675"/>
      <c r="F117" s="675" t="s">
        <v>118</v>
      </c>
      <c r="G117" s="743">
        <f>+G115</f>
        <v>1</v>
      </c>
      <c r="H117" s="745"/>
      <c r="I117" s="746">
        <f>D117*G117</f>
        <v>0</v>
      </c>
      <c r="J117" s="675"/>
      <c r="K117" s="741"/>
      <c r="L117" s="741"/>
    </row>
    <row r="118" spans="1:12">
      <c r="A118" s="8">
        <v>24</v>
      </c>
      <c r="B118" s="2" t="s">
        <v>125</v>
      </c>
      <c r="C118" s="675"/>
      <c r="D118" s="797">
        <f>SUM(D113:D117)</f>
        <v>-984375209</v>
      </c>
      <c r="E118" s="675"/>
      <c r="F118" s="675"/>
      <c r="G118" s="745"/>
      <c r="H118" s="745"/>
      <c r="I118" s="734">
        <f>SUM(I113:I117)</f>
        <v>-984375209</v>
      </c>
      <c r="J118" s="675"/>
      <c r="K118" s="675"/>
      <c r="L118" s="784"/>
    </row>
    <row r="119" spans="1:12">
      <c r="A119" s="8"/>
      <c r="B119" s="699"/>
      <c r="C119" s="675"/>
      <c r="D119" s="699"/>
      <c r="E119" s="675"/>
      <c r="F119" s="675"/>
      <c r="G119" s="741"/>
      <c r="H119" s="675"/>
      <c r="I119" s="699"/>
      <c r="J119" s="675"/>
      <c r="K119" s="741"/>
      <c r="L119" s="675"/>
    </row>
    <row r="120" spans="1:12">
      <c r="A120" s="8">
        <v>25</v>
      </c>
      <c r="B120" s="2" t="s">
        <v>126</v>
      </c>
      <c r="C120" s="786" t="s">
        <v>127</v>
      </c>
      <c r="D120" s="11">
        <f>ROUND('Plant Balances (pg. 2) '!F22,0)</f>
        <v>15942940</v>
      </c>
      <c r="E120" s="675"/>
      <c r="F120" s="675" t="s">
        <v>19</v>
      </c>
      <c r="G120" s="743">
        <f>+G96</f>
        <v>1</v>
      </c>
      <c r="H120" s="745"/>
      <c r="I120" s="734">
        <f>+G120*D120</f>
        <v>15942940</v>
      </c>
      <c r="J120" s="675"/>
      <c r="K120" s="675"/>
      <c r="L120" s="675"/>
    </row>
    <row r="121" spans="1:12">
      <c r="A121" s="8"/>
      <c r="B121" s="2"/>
      <c r="C121" s="675"/>
      <c r="D121" s="675"/>
      <c r="E121" s="675"/>
      <c r="F121" s="675"/>
      <c r="G121" s="745"/>
      <c r="H121" s="745"/>
      <c r="I121" s="745"/>
      <c r="J121" s="675"/>
      <c r="K121" s="675"/>
      <c r="L121" s="675"/>
    </row>
    <row r="122" spans="1:12">
      <c r="A122" s="8"/>
      <c r="B122" s="2" t="s">
        <v>128</v>
      </c>
      <c r="C122" s="675" t="s">
        <v>3</v>
      </c>
      <c r="D122" s="675"/>
      <c r="E122" s="675"/>
      <c r="F122" s="675"/>
      <c r="G122" s="745"/>
      <c r="H122" s="745"/>
      <c r="I122" s="745"/>
      <c r="J122" s="675"/>
      <c r="K122" s="675"/>
      <c r="L122" s="675"/>
    </row>
    <row r="123" spans="1:12">
      <c r="A123" s="8">
        <v>26</v>
      </c>
      <c r="B123" s="2" t="s">
        <v>129</v>
      </c>
      <c r="C123" s="699" t="s">
        <v>130</v>
      </c>
      <c r="D123" s="37">
        <f>+D165/8</f>
        <v>18344997.5</v>
      </c>
      <c r="E123" s="674"/>
      <c r="F123" s="674"/>
      <c r="G123" s="790"/>
      <c r="H123" s="796"/>
      <c r="I123" s="753">
        <f>+I165/8</f>
        <v>16548880.404845409</v>
      </c>
      <c r="J123" s="7"/>
      <c r="K123" s="741"/>
      <c r="L123" s="701"/>
    </row>
    <row r="124" spans="1:12">
      <c r="A124" s="8">
        <v>27</v>
      </c>
      <c r="B124" s="2" t="s">
        <v>131</v>
      </c>
      <c r="C124" s="786" t="s">
        <v>132</v>
      </c>
      <c r="D124" s="11">
        <f>ROUND('Plant Balances (pg. 2) '!G22,0)</f>
        <v>3493761</v>
      </c>
      <c r="E124" s="675"/>
      <c r="F124" s="675" t="s">
        <v>133</v>
      </c>
      <c r="G124" s="743">
        <f>I240</f>
        <v>0.86712997909350764</v>
      </c>
      <c r="H124" s="745"/>
      <c r="I124" s="734">
        <f>+G124*D124</f>
        <v>3029544.9028877122</v>
      </c>
      <c r="J124" s="675" t="s">
        <v>3</v>
      </c>
      <c r="K124" s="741"/>
      <c r="L124" s="701"/>
    </row>
    <row r="125" spans="1:12" ht="16.5" thickBot="1">
      <c r="A125" s="8">
        <v>28</v>
      </c>
      <c r="B125" s="2" t="s">
        <v>134</v>
      </c>
      <c r="C125" s="745" t="s">
        <v>135</v>
      </c>
      <c r="D125" s="17">
        <f>ROUND('Plant Balances (pg. 2) '!H22,0)</f>
        <v>11070532</v>
      </c>
      <c r="E125" s="675"/>
      <c r="F125" s="675" t="s">
        <v>136</v>
      </c>
      <c r="G125" s="743">
        <f>+G92</f>
        <v>1</v>
      </c>
      <c r="H125" s="745"/>
      <c r="I125" s="746">
        <f>+G125*D125</f>
        <v>11070532</v>
      </c>
      <c r="J125" s="675"/>
      <c r="K125" s="741"/>
      <c r="L125" s="701"/>
    </row>
    <row r="126" spans="1:12">
      <c r="A126" s="8">
        <v>29</v>
      </c>
      <c r="B126" s="2" t="s">
        <v>137</v>
      </c>
      <c r="C126" s="7"/>
      <c r="D126" s="34">
        <f>SUM(D123:D125)</f>
        <v>32909290.5</v>
      </c>
      <c r="E126" s="7"/>
      <c r="F126" s="7"/>
      <c r="G126" s="676"/>
      <c r="H126" s="676"/>
      <c r="I126" s="734">
        <f>I123+I124+I125</f>
        <v>30648957.307733122</v>
      </c>
      <c r="J126" s="7"/>
      <c r="K126" s="7"/>
      <c r="L126" s="784"/>
    </row>
    <row r="127" spans="1:12" ht="16.5" thickBot="1">
      <c r="A127" s="699"/>
      <c r="B127" s="699"/>
      <c r="C127" s="675"/>
      <c r="D127" s="708"/>
      <c r="E127" s="675"/>
      <c r="F127" s="675"/>
      <c r="G127" s="675"/>
      <c r="H127" s="675"/>
      <c r="I127" s="708"/>
      <c r="J127" s="675"/>
      <c r="K127" s="675"/>
      <c r="L127" s="784"/>
    </row>
    <row r="128" spans="1:12" ht="16.5" thickBot="1">
      <c r="A128" s="8">
        <v>30</v>
      </c>
      <c r="B128" s="2" t="s">
        <v>138</v>
      </c>
      <c r="C128" s="675"/>
      <c r="D128" s="769">
        <f>+D126+D120+D118+D110</f>
        <v>4415871677.5</v>
      </c>
      <c r="E128" s="745"/>
      <c r="F128" s="745"/>
      <c r="G128" s="763"/>
      <c r="H128" s="745"/>
      <c r="I128" s="769">
        <f>+I126+I120+I118+I110</f>
        <v>4413611344.3077335</v>
      </c>
      <c r="J128" s="675"/>
      <c r="K128" s="741"/>
      <c r="L128" s="784"/>
    </row>
    <row r="129" spans="1:12" ht="16.5" thickTop="1">
      <c r="A129" s="8"/>
      <c r="B129" s="2"/>
      <c r="C129" s="675"/>
      <c r="D129" s="762"/>
      <c r="E129" s="745"/>
      <c r="F129" s="745"/>
      <c r="G129" s="763"/>
      <c r="H129" s="745"/>
      <c r="I129" s="762"/>
      <c r="J129" s="675"/>
      <c r="K129" s="741"/>
      <c r="L129" s="675"/>
    </row>
    <row r="130" spans="1:12">
      <c r="A130" s="8"/>
      <c r="B130" s="2"/>
      <c r="C130" s="675"/>
      <c r="D130" s="762"/>
      <c r="E130" s="745"/>
      <c r="F130" s="745"/>
      <c r="G130" s="763"/>
      <c r="H130" s="745"/>
      <c r="I130" s="762"/>
      <c r="J130" s="675"/>
      <c r="K130" s="741"/>
      <c r="L130" s="675"/>
    </row>
    <row r="131" spans="1:12">
      <c r="A131" s="8"/>
      <c r="B131" s="2"/>
      <c r="C131" s="675"/>
      <c r="D131" s="762"/>
      <c r="E131" s="745"/>
      <c r="F131" s="745"/>
      <c r="G131" s="763"/>
      <c r="H131" s="745"/>
      <c r="I131" s="762"/>
      <c r="J131" s="675"/>
      <c r="K131" s="741"/>
      <c r="L131" s="675"/>
    </row>
    <row r="132" spans="1:12">
      <c r="A132" s="8"/>
      <c r="B132" s="2"/>
      <c r="C132" s="675"/>
      <c r="D132" s="762"/>
      <c r="E132" s="745"/>
      <c r="F132" s="745"/>
      <c r="G132" s="763"/>
      <c r="H132" s="745"/>
      <c r="I132" s="762"/>
      <c r="J132" s="675"/>
      <c r="K132" s="741"/>
      <c r="L132" s="675"/>
    </row>
    <row r="133" spans="1:12">
      <c r="A133" s="8"/>
      <c r="B133" s="2"/>
      <c r="C133" s="675"/>
      <c r="D133" s="762"/>
      <c r="E133" s="745"/>
      <c r="F133" s="745"/>
      <c r="G133" s="763"/>
      <c r="H133" s="745"/>
      <c r="I133" s="762"/>
      <c r="J133" s="675"/>
      <c r="K133" s="741"/>
      <c r="L133" s="675"/>
    </row>
    <row r="134" spans="1:12">
      <c r="A134" s="8"/>
      <c r="B134" s="2"/>
      <c r="C134" s="675"/>
      <c r="D134" s="762"/>
      <c r="E134" s="745"/>
      <c r="F134" s="745"/>
      <c r="G134" s="763"/>
      <c r="H134" s="745"/>
      <c r="I134" s="762"/>
      <c r="J134" s="675"/>
      <c r="K134" s="741"/>
      <c r="L134" s="675"/>
    </row>
    <row r="135" spans="1:12">
      <c r="A135" s="8"/>
      <c r="B135" s="2"/>
      <c r="C135" s="675"/>
      <c r="D135" s="762"/>
      <c r="E135" s="745"/>
      <c r="F135" s="745"/>
      <c r="G135" s="763"/>
      <c r="H135" s="745"/>
      <c r="I135" s="762"/>
      <c r="J135" s="675"/>
      <c r="K135" s="741"/>
      <c r="L135" s="675"/>
    </row>
    <row r="136" spans="1:12">
      <c r="A136" s="8"/>
      <c r="B136" s="2"/>
      <c r="C136" s="675"/>
      <c r="D136" s="762"/>
      <c r="E136" s="745"/>
      <c r="F136" s="745"/>
      <c r="G136" s="763"/>
      <c r="H136" s="745"/>
      <c r="I136" s="762"/>
      <c r="J136" s="675"/>
      <c r="K136" s="741"/>
      <c r="L136" s="675"/>
    </row>
    <row r="137" spans="1:12">
      <c r="A137" s="8"/>
      <c r="B137" s="2"/>
      <c r="C137" s="675"/>
      <c r="D137" s="762"/>
      <c r="E137" s="745"/>
      <c r="F137" s="745"/>
      <c r="G137" s="763"/>
      <c r="H137" s="745"/>
      <c r="I137" s="762"/>
      <c r="J137" s="675"/>
      <c r="K137" s="741"/>
      <c r="L137" s="675"/>
    </row>
    <row r="138" spans="1:12">
      <c r="A138" s="8"/>
      <c r="B138" s="2"/>
      <c r="C138" s="675"/>
      <c r="D138" s="762"/>
      <c r="E138" s="745"/>
      <c r="F138" s="745"/>
      <c r="G138" s="763"/>
      <c r="H138" s="745"/>
      <c r="I138" s="762"/>
      <c r="J138" s="675"/>
      <c r="K138" s="741"/>
      <c r="L138" s="675"/>
    </row>
    <row r="139" spans="1:12">
      <c r="A139" s="8"/>
      <c r="B139" s="2"/>
      <c r="C139" s="675"/>
      <c r="D139" s="762"/>
      <c r="E139" s="745"/>
      <c r="F139" s="745"/>
      <c r="G139" s="763"/>
      <c r="H139" s="745"/>
      <c r="I139" s="762"/>
      <c r="J139" s="675"/>
      <c r="K139" s="741"/>
      <c r="L139" s="675"/>
    </row>
    <row r="140" spans="1:12">
      <c r="A140" s="8"/>
      <c r="B140" s="2"/>
      <c r="C140" s="675"/>
      <c r="D140" s="762"/>
      <c r="E140" s="745"/>
      <c r="F140" s="745"/>
      <c r="G140" s="763"/>
      <c r="H140" s="745"/>
      <c r="I140" s="762"/>
      <c r="J140" s="675"/>
      <c r="K140" s="741"/>
      <c r="L140" s="675"/>
    </row>
    <row r="141" spans="1:12">
      <c r="A141" s="8"/>
      <c r="B141" s="2"/>
      <c r="C141" s="675"/>
      <c r="D141" s="762"/>
      <c r="E141" s="745"/>
      <c r="F141" s="745"/>
      <c r="G141" s="763"/>
      <c r="H141" s="745"/>
      <c r="I141" s="762"/>
      <c r="J141" s="675"/>
      <c r="K141" s="741"/>
      <c r="L141" s="675"/>
    </row>
    <row r="142" spans="1:12">
      <c r="A142" s="8"/>
      <c r="B142" s="2"/>
      <c r="C142" s="675"/>
      <c r="D142" s="762"/>
      <c r="E142" s="745"/>
      <c r="F142" s="745"/>
      <c r="G142" s="763"/>
      <c r="H142" s="745"/>
      <c r="I142" s="762"/>
      <c r="J142" s="675"/>
      <c r="K142" s="741"/>
      <c r="L142" s="675"/>
    </row>
    <row r="143" spans="1:12">
      <c r="A143" s="8"/>
      <c r="B143" s="2"/>
      <c r="C143" s="675"/>
      <c r="D143" s="762"/>
      <c r="E143" s="745"/>
      <c r="F143" s="745"/>
      <c r="G143" s="763"/>
      <c r="H143" s="745"/>
      <c r="I143" s="762"/>
      <c r="J143" s="675"/>
      <c r="K143" s="741"/>
      <c r="L143" s="675"/>
    </row>
    <row r="144" spans="1:12">
      <c r="A144" s="8"/>
      <c r="B144" s="2"/>
      <c r="C144" s="675"/>
      <c r="D144" s="762"/>
      <c r="E144" s="745"/>
      <c r="F144" s="745"/>
      <c r="G144" s="763"/>
      <c r="H144" s="745"/>
      <c r="I144" s="762"/>
      <c r="J144" s="675"/>
      <c r="K144" s="741"/>
      <c r="L144" s="675"/>
    </row>
    <row r="145" spans="1:17">
      <c r="A145" s="8"/>
      <c r="B145" s="2"/>
      <c r="C145" s="675"/>
      <c r="D145" s="762"/>
      <c r="E145" s="745"/>
      <c r="F145" s="745"/>
      <c r="G145" s="763"/>
      <c r="H145" s="745"/>
      <c r="I145" s="762"/>
      <c r="J145" s="675"/>
      <c r="K145" s="741"/>
      <c r="L145" s="675"/>
    </row>
    <row r="146" spans="1:17">
      <c r="A146" s="8"/>
      <c r="B146" s="2"/>
      <c r="C146" s="675"/>
      <c r="D146" s="675"/>
      <c r="E146" s="675"/>
      <c r="F146" s="675"/>
      <c r="G146" s="675"/>
      <c r="H146" s="675"/>
      <c r="I146" s="675"/>
      <c r="J146" s="675"/>
      <c r="K146" s="691" t="s">
        <v>139</v>
      </c>
      <c r="L146" s="675"/>
    </row>
    <row r="147" spans="1:17">
      <c r="A147" s="8"/>
      <c r="B147" s="2"/>
      <c r="C147" s="675"/>
      <c r="D147" s="675"/>
      <c r="E147" s="675"/>
      <c r="F147" s="675"/>
      <c r="G147" s="675"/>
      <c r="H147" s="675"/>
      <c r="I147" s="675"/>
      <c r="J147" s="675"/>
      <c r="K147" s="691"/>
      <c r="L147" s="675"/>
    </row>
    <row r="148" spans="1:17">
      <c r="A148" s="8"/>
      <c r="B148" s="2" t="s">
        <v>1</v>
      </c>
      <c r="C148" s="675"/>
      <c r="D148" s="675" t="s">
        <v>2</v>
      </c>
      <c r="E148" s="675"/>
      <c r="F148" s="675"/>
      <c r="G148" s="675"/>
      <c r="H148" s="675"/>
      <c r="J148" s="675"/>
      <c r="K148" s="795" t="str">
        <f>K3</f>
        <v>For the 12 months ended 12/31/2022</v>
      </c>
      <c r="L148" s="675"/>
    </row>
    <row r="149" spans="1:17">
      <c r="A149" s="8"/>
      <c r="B149" s="2"/>
      <c r="C149" s="675"/>
      <c r="D149" s="675" t="s">
        <v>4</v>
      </c>
      <c r="E149" s="675"/>
      <c r="F149" s="675"/>
      <c r="G149" s="675"/>
      <c r="H149" s="675"/>
      <c r="I149" s="675"/>
      <c r="J149" s="675"/>
      <c r="K149" s="675"/>
      <c r="L149" s="675"/>
    </row>
    <row r="150" spans="1:17">
      <c r="A150" s="8"/>
      <c r="B150" s="699"/>
      <c r="C150" s="675"/>
      <c r="D150" s="675"/>
      <c r="E150" s="675"/>
      <c r="F150" s="675"/>
      <c r="G150" s="675"/>
      <c r="H150" s="675"/>
      <c r="I150" s="675"/>
      <c r="J150" s="675"/>
      <c r="K150" s="675"/>
      <c r="L150" s="675"/>
    </row>
    <row r="151" spans="1:17">
      <c r="A151" s="964" t="str">
        <f>A6</f>
        <v>American Transmission Company LLC</v>
      </c>
      <c r="B151" s="964"/>
      <c r="C151" s="964"/>
      <c r="D151" s="964"/>
      <c r="E151" s="964"/>
      <c r="F151" s="964"/>
      <c r="G151" s="964"/>
      <c r="H151" s="964"/>
      <c r="I151" s="964"/>
      <c r="J151" s="964"/>
      <c r="K151" s="964"/>
      <c r="L151" s="675"/>
    </row>
    <row r="152" spans="1:17">
      <c r="A152" s="8"/>
      <c r="B152" s="8" t="s">
        <v>62</v>
      </c>
      <c r="C152" s="8" t="s">
        <v>63</v>
      </c>
      <c r="D152" s="8" t="s">
        <v>64</v>
      </c>
      <c r="E152" s="675" t="s">
        <v>3</v>
      </c>
      <c r="F152" s="675"/>
      <c r="G152" s="794" t="s">
        <v>65</v>
      </c>
      <c r="H152" s="675"/>
      <c r="I152" s="672" t="s">
        <v>66</v>
      </c>
      <c r="J152" s="675"/>
      <c r="K152" s="675"/>
      <c r="L152" s="7"/>
    </row>
    <row r="153" spans="1:17">
      <c r="A153" s="8" t="s">
        <v>8</v>
      </c>
      <c r="B153" s="2"/>
      <c r="C153" s="742" t="s">
        <v>67</v>
      </c>
      <c r="D153" s="675"/>
      <c r="E153" s="675"/>
      <c r="F153" s="675"/>
      <c r="G153" s="8"/>
      <c r="H153" s="675"/>
      <c r="I153" s="16" t="s">
        <v>68</v>
      </c>
      <c r="J153" s="675"/>
      <c r="K153" s="16"/>
      <c r="L153" s="8"/>
    </row>
    <row r="154" spans="1:17" ht="16.5" thickBot="1">
      <c r="A154" s="9" t="s">
        <v>10</v>
      </c>
      <c r="B154" s="2"/>
      <c r="C154" s="793" t="s">
        <v>69</v>
      </c>
      <c r="D154" s="16" t="s">
        <v>70</v>
      </c>
      <c r="E154" s="792"/>
      <c r="F154" s="16" t="s">
        <v>71</v>
      </c>
      <c r="G154" s="699"/>
      <c r="H154" s="792"/>
      <c r="I154" s="8" t="s">
        <v>72</v>
      </c>
      <c r="J154" s="675"/>
      <c r="K154" s="16"/>
      <c r="L154" s="16"/>
    </row>
    <row r="155" spans="1:17">
      <c r="A155" s="8"/>
      <c r="B155" s="2" t="s">
        <v>140</v>
      </c>
      <c r="C155" s="675"/>
      <c r="D155" s="675"/>
      <c r="E155" s="675"/>
      <c r="F155" s="675"/>
      <c r="G155" s="675"/>
      <c r="H155" s="675"/>
      <c r="I155" s="675"/>
      <c r="J155" s="675"/>
      <c r="K155" s="675"/>
      <c r="L155" s="675"/>
    </row>
    <row r="156" spans="1:17">
      <c r="A156" s="8">
        <v>1</v>
      </c>
      <c r="B156" s="2" t="s">
        <v>141</v>
      </c>
      <c r="C156" s="675" t="s">
        <v>142</v>
      </c>
      <c r="D156" s="11">
        <f>ROUND('Expense (pg. 3) '!B17,0)</f>
        <v>107777525</v>
      </c>
      <c r="E156" s="675"/>
      <c r="F156" s="675" t="s">
        <v>133</v>
      </c>
      <c r="G156" s="743">
        <f>I240</f>
        <v>0.86712997909350764</v>
      </c>
      <c r="H156" s="745"/>
      <c r="I156" s="734">
        <f t="shared" ref="I156:I164" si="1">+G156*D156</f>
        <v>93457123</v>
      </c>
      <c r="J156" s="7"/>
      <c r="K156" s="675"/>
      <c r="L156" s="675"/>
    </row>
    <row r="157" spans="1:17">
      <c r="A157" s="8" t="s">
        <v>143</v>
      </c>
      <c r="B157" s="22" t="s">
        <v>144</v>
      </c>
      <c r="C157" s="674"/>
      <c r="D157" s="11">
        <v>0</v>
      </c>
      <c r="E157" s="675"/>
      <c r="F157" s="791"/>
      <c r="G157" s="790">
        <v>1</v>
      </c>
      <c r="H157" s="745"/>
      <c r="I157" s="734">
        <f t="shared" si="1"/>
        <v>0</v>
      </c>
      <c r="J157" s="7"/>
      <c r="K157" s="675"/>
      <c r="L157" s="675"/>
    </row>
    <row r="158" spans="1:17">
      <c r="A158" s="8">
        <v>2</v>
      </c>
      <c r="B158" s="2" t="s">
        <v>145</v>
      </c>
      <c r="C158" s="675" t="s">
        <v>146</v>
      </c>
      <c r="D158" s="11">
        <v>0</v>
      </c>
      <c r="E158" s="675"/>
      <c r="F158" s="675" t="s">
        <v>3</v>
      </c>
      <c r="G158" s="788">
        <v>1</v>
      </c>
      <c r="H158" s="745"/>
      <c r="I158" s="734">
        <f t="shared" si="1"/>
        <v>0</v>
      </c>
      <c r="J158" s="7"/>
      <c r="K158" s="675"/>
      <c r="L158" s="675"/>
    </row>
    <row r="159" spans="1:17">
      <c r="A159" s="8">
        <v>3</v>
      </c>
      <c r="B159" s="2" t="s">
        <v>147</v>
      </c>
      <c r="C159" s="675" t="s">
        <v>148</v>
      </c>
      <c r="D159" s="11">
        <f>ROUND('Expense (pg. 3) '!C17,0)</f>
        <v>39321479</v>
      </c>
      <c r="E159" s="675"/>
      <c r="F159" s="675" t="s">
        <v>87</v>
      </c>
      <c r="G159" s="743">
        <f>+G99</f>
        <v>1</v>
      </c>
      <c r="H159" s="745"/>
      <c r="I159" s="734">
        <f t="shared" si="1"/>
        <v>39321479</v>
      </c>
      <c r="J159" s="675"/>
      <c r="K159" s="675" t="s">
        <v>3</v>
      </c>
      <c r="L159" s="675"/>
      <c r="O159" s="122"/>
      <c r="P159" s="1"/>
      <c r="Q159" s="1"/>
    </row>
    <row r="160" spans="1:17">
      <c r="A160" s="8">
        <v>4</v>
      </c>
      <c r="B160" s="2" t="s">
        <v>149</v>
      </c>
      <c r="C160" s="675"/>
      <c r="D160" s="18">
        <v>0</v>
      </c>
      <c r="E160" s="675"/>
      <c r="F160" s="675" t="s">
        <v>87</v>
      </c>
      <c r="G160" s="743">
        <f>+G159</f>
        <v>1</v>
      </c>
      <c r="H160" s="745"/>
      <c r="I160" s="734">
        <f t="shared" si="1"/>
        <v>0</v>
      </c>
      <c r="J160" s="675"/>
      <c r="K160" s="675"/>
      <c r="L160" s="675"/>
      <c r="O160" s="1"/>
      <c r="P160" s="1"/>
      <c r="Q160" s="1"/>
    </row>
    <row r="161" spans="1:17">
      <c r="A161" s="8">
        <v>5</v>
      </c>
      <c r="B161" s="22" t="s">
        <v>150</v>
      </c>
      <c r="C161" s="674"/>
      <c r="D161" s="11">
        <f>ROUND('Expense (pg. 3) '!D17,0)</f>
        <v>704304</v>
      </c>
      <c r="E161" s="675"/>
      <c r="F161" s="675" t="s">
        <v>87</v>
      </c>
      <c r="G161" s="743">
        <f>+G160</f>
        <v>1</v>
      </c>
      <c r="H161" s="745"/>
      <c r="I161" s="734">
        <f t="shared" si="1"/>
        <v>704304</v>
      </c>
      <c r="J161" s="675"/>
      <c r="K161" s="675"/>
      <c r="L161" s="675"/>
      <c r="O161" s="835"/>
      <c r="P161" s="836"/>
      <c r="Q161" s="836"/>
    </row>
    <row r="162" spans="1:17">
      <c r="A162" s="8" t="s">
        <v>151</v>
      </c>
      <c r="B162" s="22" t="s">
        <v>152</v>
      </c>
      <c r="C162" s="674"/>
      <c r="D162" s="11">
        <f>ROUND('Expense (pg. 3) '!E17,0)</f>
        <v>365280</v>
      </c>
      <c r="E162" s="675"/>
      <c r="F162" s="789" t="s">
        <v>133</v>
      </c>
      <c r="G162" s="752">
        <f>+G156</f>
        <v>0.86712997909350764</v>
      </c>
      <c r="H162" s="745"/>
      <c r="I162" s="734">
        <f t="shared" si="1"/>
        <v>316745.23876327649</v>
      </c>
      <c r="J162" s="675"/>
      <c r="K162" s="675"/>
      <c r="L162" s="675"/>
      <c r="O162" s="835"/>
      <c r="P162" s="836"/>
      <c r="Q162" s="836"/>
    </row>
    <row r="163" spans="1:17">
      <c r="A163" s="8">
        <v>6</v>
      </c>
      <c r="B163" s="2" t="s">
        <v>88</v>
      </c>
      <c r="C163" s="675" t="s">
        <v>89</v>
      </c>
      <c r="D163" s="11">
        <v>0</v>
      </c>
      <c r="E163" s="675"/>
      <c r="F163" s="675" t="s">
        <v>90</v>
      </c>
      <c r="G163" s="743">
        <f>+G100</f>
        <v>1</v>
      </c>
      <c r="H163" s="745"/>
      <c r="I163" s="734">
        <f t="shared" si="1"/>
        <v>0</v>
      </c>
      <c r="J163" s="675"/>
      <c r="K163" s="675"/>
      <c r="L163" s="675"/>
      <c r="O163" s="835"/>
      <c r="P163" s="835"/>
      <c r="Q163" s="836"/>
    </row>
    <row r="164" spans="1:17" ht="16.5" thickBot="1">
      <c r="A164" s="8">
        <v>7</v>
      </c>
      <c r="B164" s="2" t="s">
        <v>153</v>
      </c>
      <c r="C164" s="675"/>
      <c r="D164" s="17">
        <v>0</v>
      </c>
      <c r="E164" s="675"/>
      <c r="F164" s="675" t="s">
        <v>3</v>
      </c>
      <c r="G164" s="788">
        <v>1</v>
      </c>
      <c r="H164" s="745"/>
      <c r="I164" s="746">
        <f t="shared" si="1"/>
        <v>0</v>
      </c>
      <c r="J164" s="675"/>
      <c r="K164" s="675"/>
      <c r="L164" s="675"/>
    </row>
    <row r="165" spans="1:17">
      <c r="A165" s="8">
        <v>8</v>
      </c>
      <c r="B165" s="2" t="s">
        <v>154</v>
      </c>
      <c r="C165" s="675"/>
      <c r="D165" s="34">
        <f>D156+D159+D162+D163+D164-D158-D160-D161-D157</f>
        <v>146759980</v>
      </c>
      <c r="E165" s="675"/>
      <c r="F165" s="675"/>
      <c r="G165" s="745"/>
      <c r="H165" s="745"/>
      <c r="I165" s="734">
        <f>+I156-I158+I159-I160-I161+I163+I164+I162-I157</f>
        <v>132391043.23876327</v>
      </c>
      <c r="J165" s="675"/>
      <c r="K165" s="675"/>
      <c r="L165" s="784"/>
    </row>
    <row r="166" spans="1:17">
      <c r="A166" s="8"/>
      <c r="B166" s="699"/>
      <c r="C166" s="675"/>
      <c r="D166" s="699"/>
      <c r="E166" s="675"/>
      <c r="F166" s="675"/>
      <c r="G166" s="675"/>
      <c r="H166" s="675"/>
      <c r="I166" s="699"/>
      <c r="J166" s="675"/>
      <c r="K166" s="675"/>
      <c r="L166" s="675"/>
    </row>
    <row r="167" spans="1:17">
      <c r="A167" s="8"/>
      <c r="B167" s="2" t="s">
        <v>155</v>
      </c>
      <c r="C167" s="675"/>
      <c r="D167" s="675"/>
      <c r="E167" s="675"/>
      <c r="F167" s="675"/>
      <c r="G167" s="675"/>
      <c r="H167" s="675"/>
      <c r="I167" s="675"/>
      <c r="J167" s="675"/>
      <c r="K167" s="675"/>
      <c r="L167" s="675"/>
    </row>
    <row r="168" spans="1:17">
      <c r="A168" s="8">
        <v>9</v>
      </c>
      <c r="B168" s="2" t="s">
        <v>79</v>
      </c>
      <c r="C168" s="786" t="s">
        <v>156</v>
      </c>
      <c r="D168" s="11">
        <f>ROUND('Expense (pg. 3) '!F17,0)</f>
        <v>182941800</v>
      </c>
      <c r="E168" s="675"/>
      <c r="F168" s="675" t="s">
        <v>19</v>
      </c>
      <c r="G168" s="743">
        <f>+G120</f>
        <v>1</v>
      </c>
      <c r="H168" s="745"/>
      <c r="I168" s="734">
        <f>+G168*D168</f>
        <v>182941800</v>
      </c>
      <c r="J168" s="675"/>
      <c r="K168" s="741"/>
      <c r="L168" s="675"/>
    </row>
    <row r="169" spans="1:17">
      <c r="A169" s="8">
        <v>10</v>
      </c>
      <c r="B169" s="787" t="s">
        <v>85</v>
      </c>
      <c r="C169" s="786" t="s">
        <v>157</v>
      </c>
      <c r="D169" s="11">
        <f>ROUND('Expense (pg. 3) '!G17,0)</f>
        <v>21713387</v>
      </c>
      <c r="E169" s="675"/>
      <c r="F169" s="675" t="s">
        <v>87</v>
      </c>
      <c r="G169" s="743">
        <f>+G159</f>
        <v>1</v>
      </c>
      <c r="H169" s="745"/>
      <c r="I169" s="734">
        <f>+G169*D169</f>
        <v>21713387</v>
      </c>
      <c r="J169" s="675"/>
      <c r="K169" s="741"/>
      <c r="L169" s="675"/>
    </row>
    <row r="170" spans="1:17" ht="16.5" thickBot="1">
      <c r="A170" s="8">
        <v>11</v>
      </c>
      <c r="B170" s="2" t="s">
        <v>88</v>
      </c>
      <c r="C170" s="786" t="s">
        <v>158</v>
      </c>
      <c r="D170" s="17">
        <v>0</v>
      </c>
      <c r="E170" s="675"/>
      <c r="F170" s="675" t="s">
        <v>90</v>
      </c>
      <c r="G170" s="743">
        <f>+G163</f>
        <v>1</v>
      </c>
      <c r="H170" s="745"/>
      <c r="I170" s="746">
        <f>+G170*D170</f>
        <v>0</v>
      </c>
      <c r="J170" s="675"/>
      <c r="K170" s="741"/>
      <c r="L170" s="675"/>
    </row>
    <row r="171" spans="1:17">
      <c r="A171" s="8">
        <v>12</v>
      </c>
      <c r="B171" s="2" t="s">
        <v>159</v>
      </c>
      <c r="C171" s="675"/>
      <c r="D171" s="34">
        <f>SUM(D168:D170)</f>
        <v>204655187</v>
      </c>
      <c r="E171" s="675"/>
      <c r="F171" s="675"/>
      <c r="G171" s="745"/>
      <c r="H171" s="745"/>
      <c r="I171" s="734">
        <f>SUM(I168:I170)</f>
        <v>204655187</v>
      </c>
      <c r="J171" s="675"/>
      <c r="K171" s="675"/>
      <c r="L171" s="675"/>
    </row>
    <row r="172" spans="1:17">
      <c r="A172" s="8"/>
      <c r="B172" s="2"/>
      <c r="C172" s="675"/>
      <c r="D172" s="675"/>
      <c r="E172" s="675"/>
      <c r="F172" s="675"/>
      <c r="G172" s="745"/>
      <c r="H172" s="745"/>
      <c r="I172" s="745"/>
      <c r="J172" s="675"/>
      <c r="K172" s="675"/>
      <c r="L172" s="675"/>
    </row>
    <row r="173" spans="1:17">
      <c r="A173" s="8" t="s">
        <v>3</v>
      </c>
      <c r="B173" s="2" t="s">
        <v>160</v>
      </c>
      <c r="C173" s="699"/>
      <c r="D173" s="675"/>
      <c r="E173" s="675"/>
      <c r="F173" s="675"/>
      <c r="G173" s="745"/>
      <c r="H173" s="745"/>
      <c r="I173" s="745"/>
      <c r="J173" s="675"/>
      <c r="K173" s="675"/>
      <c r="L173" s="675"/>
    </row>
    <row r="174" spans="1:17">
      <c r="A174" s="8"/>
      <c r="B174" s="2" t="s">
        <v>161</v>
      </c>
      <c r="C174" s="699"/>
      <c r="D174" s="699"/>
      <c r="E174" s="675"/>
      <c r="F174" s="675"/>
      <c r="G174" s="692"/>
      <c r="H174" s="745"/>
      <c r="I174" s="692"/>
      <c r="J174" s="675"/>
      <c r="K174" s="741"/>
      <c r="L174" s="701"/>
    </row>
    <row r="175" spans="1:17">
      <c r="A175" s="8">
        <v>13</v>
      </c>
      <c r="B175" s="2" t="s">
        <v>162</v>
      </c>
      <c r="C175" s="675" t="s">
        <v>163</v>
      </c>
      <c r="D175" s="11">
        <f>ROUND('Expense (pg. 3) '!H17,0)</f>
        <v>4391364</v>
      </c>
      <c r="E175" s="675"/>
      <c r="F175" s="675" t="s">
        <v>87</v>
      </c>
      <c r="G175" s="738">
        <f>+G169</f>
        <v>1</v>
      </c>
      <c r="H175" s="745"/>
      <c r="I175" s="734">
        <f>+G175*D175</f>
        <v>4391364</v>
      </c>
      <c r="J175" s="675"/>
      <c r="K175" s="741"/>
      <c r="L175" s="701"/>
    </row>
    <row r="176" spans="1:17">
      <c r="A176" s="8">
        <v>14</v>
      </c>
      <c r="B176" s="2" t="s">
        <v>164</v>
      </c>
      <c r="C176" s="675" t="s">
        <v>163</v>
      </c>
      <c r="D176" s="11">
        <v>0</v>
      </c>
      <c r="E176" s="675"/>
      <c r="F176" s="675" t="s">
        <v>87</v>
      </c>
      <c r="G176" s="738">
        <f>+G175</f>
        <v>1</v>
      </c>
      <c r="H176" s="745"/>
      <c r="I176" s="734">
        <f>+G176*D176</f>
        <v>0</v>
      </c>
      <c r="J176" s="675"/>
      <c r="K176" s="741"/>
      <c r="L176" s="701"/>
    </row>
    <row r="177" spans="1:12">
      <c r="A177" s="8">
        <v>15</v>
      </c>
      <c r="B177" s="2" t="s">
        <v>165</v>
      </c>
      <c r="C177" s="675" t="s">
        <v>3</v>
      </c>
      <c r="D177" s="699"/>
      <c r="E177" s="675"/>
      <c r="F177" s="675"/>
      <c r="G177" s="692"/>
      <c r="H177" s="745"/>
      <c r="I177" s="692"/>
      <c r="J177" s="675"/>
      <c r="K177" s="741"/>
      <c r="L177" s="701"/>
    </row>
    <row r="178" spans="1:12">
      <c r="A178" s="8">
        <v>16</v>
      </c>
      <c r="B178" s="2" t="s">
        <v>166</v>
      </c>
      <c r="C178" s="675" t="s">
        <v>163</v>
      </c>
      <c r="D178" s="11">
        <f>ROUND('Expense (pg. 3) '!I17,0)</f>
        <v>18110529</v>
      </c>
      <c r="E178" s="675"/>
      <c r="F178" s="675" t="s">
        <v>136</v>
      </c>
      <c r="G178" s="738">
        <f>+G92</f>
        <v>1</v>
      </c>
      <c r="H178" s="745"/>
      <c r="I178" s="734">
        <f>+G178*D178</f>
        <v>18110529</v>
      </c>
      <c r="J178" s="675"/>
      <c r="K178" s="741"/>
      <c r="L178" s="701"/>
    </row>
    <row r="179" spans="1:12">
      <c r="A179" s="8">
        <v>17</v>
      </c>
      <c r="B179" s="2" t="s">
        <v>167</v>
      </c>
      <c r="C179" s="675" t="s">
        <v>163</v>
      </c>
      <c r="D179" s="11">
        <v>0</v>
      </c>
      <c r="E179" s="675"/>
      <c r="F179" s="674" t="s">
        <v>77</v>
      </c>
      <c r="G179" s="785" t="s">
        <v>115</v>
      </c>
      <c r="H179" s="745"/>
      <c r="I179" s="745">
        <v>0</v>
      </c>
      <c r="J179" s="675"/>
      <c r="K179" s="741"/>
      <c r="L179" s="701"/>
    </row>
    <row r="180" spans="1:12">
      <c r="A180" s="8">
        <v>18</v>
      </c>
      <c r="B180" s="2" t="s">
        <v>168</v>
      </c>
      <c r="C180" s="675" t="s">
        <v>163</v>
      </c>
      <c r="D180" s="11">
        <f>ROUND('Expense (pg. 3) '!J17,0)</f>
        <v>8332842</v>
      </c>
      <c r="E180" s="675"/>
      <c r="F180" s="675" t="s">
        <v>136</v>
      </c>
      <c r="G180" s="738">
        <f>+G178</f>
        <v>1</v>
      </c>
      <c r="H180" s="745"/>
      <c r="I180" s="734">
        <f>+G180*D180</f>
        <v>8332842</v>
      </c>
      <c r="J180" s="675"/>
      <c r="K180" s="741"/>
      <c r="L180" s="701"/>
    </row>
    <row r="181" spans="1:12" ht="16.5" thickBot="1">
      <c r="A181" s="8">
        <v>19</v>
      </c>
      <c r="B181" s="2" t="s">
        <v>169</v>
      </c>
      <c r="C181" s="675"/>
      <c r="D181" s="17">
        <v>0</v>
      </c>
      <c r="E181" s="675"/>
      <c r="F181" s="675" t="s">
        <v>136</v>
      </c>
      <c r="G181" s="738">
        <f>+G178</f>
        <v>1</v>
      </c>
      <c r="H181" s="745"/>
      <c r="I181" s="746">
        <f>+G181*D181</f>
        <v>0</v>
      </c>
      <c r="J181" s="675"/>
      <c r="K181" s="741"/>
      <c r="L181" s="701"/>
    </row>
    <row r="182" spans="1:12">
      <c r="A182" s="8">
        <v>20</v>
      </c>
      <c r="B182" s="2" t="s">
        <v>170</v>
      </c>
      <c r="C182" s="675"/>
      <c r="D182" s="34">
        <f>SUM(D175:D181)</f>
        <v>30834735</v>
      </c>
      <c r="E182" s="675"/>
      <c r="F182" s="675"/>
      <c r="G182" s="778"/>
      <c r="H182" s="745"/>
      <c r="I182" s="734">
        <f>SUM(I175:I181)</f>
        <v>30834735</v>
      </c>
      <c r="J182" s="675"/>
      <c r="K182" s="675"/>
      <c r="L182" s="701"/>
    </row>
    <row r="183" spans="1:12">
      <c r="A183" s="8"/>
      <c r="B183" s="2"/>
      <c r="C183" s="675"/>
      <c r="D183" s="675"/>
      <c r="E183" s="675"/>
      <c r="F183" s="675"/>
      <c r="G183" s="775"/>
      <c r="H183" s="675"/>
      <c r="I183" s="675"/>
      <c r="J183" s="675"/>
      <c r="K183" s="675"/>
      <c r="L183" s="701"/>
    </row>
    <row r="184" spans="1:12">
      <c r="A184" s="8" t="s">
        <v>3</v>
      </c>
      <c r="B184" s="2" t="s">
        <v>171</v>
      </c>
      <c r="C184" s="675" t="s">
        <v>172</v>
      </c>
      <c r="D184" s="675"/>
      <c r="E184" s="675"/>
      <c r="F184" s="699"/>
      <c r="G184" s="24"/>
      <c r="H184" s="675"/>
      <c r="I184" s="699"/>
      <c r="J184" s="675"/>
      <c r="K184" s="699"/>
      <c r="L184" s="701"/>
    </row>
    <row r="185" spans="1:12">
      <c r="A185" s="8">
        <v>21</v>
      </c>
      <c r="B185" s="21" t="s">
        <v>173</v>
      </c>
      <c r="C185" s="675"/>
      <c r="D185" s="783">
        <f>IF(D312&gt;0,(1-((1-D313)*(1-D312))/(1-D313*D312*D314))*(1-D315),0)</f>
        <v>0.24444311346058334</v>
      </c>
      <c r="E185" s="675"/>
      <c r="F185" s="699"/>
      <c r="G185" s="24"/>
      <c r="H185" s="675"/>
      <c r="I185" s="699"/>
      <c r="J185" s="675"/>
      <c r="K185" s="699"/>
      <c r="L185" s="675"/>
    </row>
    <row r="186" spans="1:12">
      <c r="A186" s="8">
        <v>22</v>
      </c>
      <c r="B186" s="699" t="s">
        <v>174</v>
      </c>
      <c r="C186" s="675"/>
      <c r="D186" s="783">
        <f>IF(I271&gt;0,(D185/(1-D185))*(1-I268/I271),0)</f>
        <v>0.23468314190367978</v>
      </c>
      <c r="E186" s="675"/>
      <c r="F186" s="699"/>
      <c r="G186" s="24"/>
      <c r="H186" s="675"/>
      <c r="I186" s="699"/>
      <c r="J186" s="675"/>
      <c r="K186" s="699"/>
      <c r="L186" s="675"/>
    </row>
    <row r="187" spans="1:12">
      <c r="A187" s="8"/>
      <c r="B187" s="2" t="s">
        <v>175</v>
      </c>
      <c r="C187" s="675"/>
      <c r="D187" s="675"/>
      <c r="E187" s="675"/>
      <c r="F187" s="699"/>
      <c r="G187" s="24"/>
      <c r="H187" s="675"/>
      <c r="I187" s="699"/>
      <c r="J187" s="675"/>
      <c r="K187" s="699"/>
      <c r="L187" s="675"/>
    </row>
    <row r="188" spans="1:12">
      <c r="A188" s="8"/>
      <c r="B188" s="2" t="s">
        <v>176</v>
      </c>
      <c r="C188" s="675"/>
      <c r="D188" s="675"/>
      <c r="E188" s="675"/>
      <c r="F188" s="699"/>
      <c r="G188" s="24"/>
      <c r="H188" s="675"/>
      <c r="I188" s="699"/>
      <c r="J188" s="675"/>
      <c r="K188" s="699"/>
      <c r="L188" s="675"/>
    </row>
    <row r="189" spans="1:12">
      <c r="A189" s="8">
        <v>23</v>
      </c>
      <c r="B189" s="21" t="s">
        <v>177</v>
      </c>
      <c r="C189" s="675"/>
      <c r="D189" s="782">
        <f>IF(D185&gt;0,1/(1-D185),0)</f>
        <v>1.323527080244316</v>
      </c>
      <c r="E189" s="675"/>
      <c r="F189" s="699"/>
      <c r="G189" s="24"/>
      <c r="H189" s="675"/>
      <c r="I189" s="699"/>
      <c r="J189" s="675"/>
      <c r="K189" s="699"/>
      <c r="L189" s="675"/>
    </row>
    <row r="190" spans="1:12">
      <c r="A190" s="8">
        <v>24</v>
      </c>
      <c r="B190" s="2" t="s">
        <v>178</v>
      </c>
      <c r="C190" s="675"/>
      <c r="D190" s="18">
        <f>ROUND(-'Expense (pg. 3) '!B25,0)</f>
        <v>-124111</v>
      </c>
      <c r="E190" s="675"/>
      <c r="F190" s="699"/>
      <c r="G190" s="24"/>
      <c r="H190" s="675"/>
      <c r="I190" s="699"/>
      <c r="J190" s="675"/>
      <c r="K190" s="699"/>
      <c r="L190" s="675"/>
    </row>
    <row r="191" spans="1:12">
      <c r="A191" s="8" t="s">
        <v>179</v>
      </c>
      <c r="B191" s="2" t="s">
        <v>180</v>
      </c>
      <c r="C191" s="675"/>
      <c r="D191" s="18">
        <f>ROUND(-'Expense (pg. 3) '!K17,0)</f>
        <v>-3968163</v>
      </c>
      <c r="E191" s="675"/>
      <c r="F191" s="699"/>
      <c r="G191" s="781"/>
      <c r="H191" s="675"/>
      <c r="I191" s="699"/>
      <c r="J191" s="675"/>
      <c r="K191" s="699"/>
      <c r="L191" s="675"/>
    </row>
    <row r="192" spans="1:12">
      <c r="A192" s="8" t="s">
        <v>181</v>
      </c>
      <c r="B192" s="2" t="s">
        <v>182</v>
      </c>
      <c r="C192" s="675"/>
      <c r="D192" s="18">
        <f>ROUND('Expense (pg. 3) '!L17,0)</f>
        <v>190288</v>
      </c>
      <c r="E192" s="675"/>
      <c r="F192" s="699"/>
      <c r="G192" s="24"/>
      <c r="H192" s="675"/>
      <c r="I192" s="699"/>
      <c r="J192" s="675"/>
      <c r="K192" s="699"/>
      <c r="L192" s="675"/>
    </row>
    <row r="193" spans="1:15">
      <c r="A193" s="8">
        <v>25</v>
      </c>
      <c r="B193" s="21" t="s">
        <v>183</v>
      </c>
      <c r="C193" s="780"/>
      <c r="D193" s="734">
        <f>D186*D199</f>
        <v>75147204.111200601</v>
      </c>
      <c r="E193" s="745"/>
      <c r="F193" s="745" t="s">
        <v>77</v>
      </c>
      <c r="G193" s="778"/>
      <c r="H193" s="745"/>
      <c r="I193" s="734">
        <f>D186*I199</f>
        <v>75108738.835901946</v>
      </c>
      <c r="J193" s="675"/>
      <c r="K193" s="779" t="s">
        <v>3</v>
      </c>
      <c r="L193" s="675"/>
    </row>
    <row r="194" spans="1:15">
      <c r="A194" s="8">
        <v>26</v>
      </c>
      <c r="B194" s="699" t="s">
        <v>184</v>
      </c>
      <c r="C194" s="780"/>
      <c r="D194" s="772">
        <f>D189*D190</f>
        <v>-164264.26945620231</v>
      </c>
      <c r="E194" s="745"/>
      <c r="F194" s="692" t="s">
        <v>118</v>
      </c>
      <c r="G194" s="738">
        <f>G110</f>
        <v>1</v>
      </c>
      <c r="H194" s="745"/>
      <c r="I194" s="772">
        <f>G194*D194</f>
        <v>-164264.26945620231</v>
      </c>
      <c r="J194" s="675"/>
      <c r="K194" s="779"/>
      <c r="L194" s="675"/>
    </row>
    <row r="195" spans="1:15">
      <c r="A195" s="8" t="s">
        <v>185</v>
      </c>
      <c r="B195" s="699" t="s">
        <v>186</v>
      </c>
      <c r="C195" s="780"/>
      <c r="D195" s="772">
        <f>D189*D191</f>
        <v>-5251971.1893235259</v>
      </c>
      <c r="E195" s="745"/>
      <c r="F195" s="692" t="s">
        <v>118</v>
      </c>
      <c r="G195" s="738">
        <f>G194</f>
        <v>1</v>
      </c>
      <c r="H195" s="745"/>
      <c r="I195" s="772">
        <f>G195*D195</f>
        <v>-5251971.1893235259</v>
      </c>
      <c r="J195" s="675"/>
      <c r="K195" s="779"/>
      <c r="L195" s="675"/>
    </row>
    <row r="196" spans="1:15" ht="16.5" thickBot="1">
      <c r="A196" s="8" t="s">
        <v>187</v>
      </c>
      <c r="B196" s="699" t="s">
        <v>188</v>
      </c>
      <c r="C196" s="780"/>
      <c r="D196" s="746">
        <f>D189*D192</f>
        <v>251851.32104553041</v>
      </c>
      <c r="E196" s="745"/>
      <c r="F196" s="692" t="s">
        <v>118</v>
      </c>
      <c r="G196" s="738">
        <f>G195</f>
        <v>1</v>
      </c>
      <c r="H196" s="745"/>
      <c r="I196" s="746">
        <f>G196*D196</f>
        <v>251851.32104553041</v>
      </c>
      <c r="J196" s="675"/>
      <c r="K196" s="779"/>
      <c r="L196" s="675"/>
    </row>
    <row r="197" spans="1:15">
      <c r="A197" s="8">
        <v>27</v>
      </c>
      <c r="B197" s="21" t="s">
        <v>189</v>
      </c>
      <c r="C197" s="699"/>
      <c r="D197" s="777">
        <f>SUM(D193:D196)</f>
        <v>69982819.973466396</v>
      </c>
      <c r="E197" s="745"/>
      <c r="F197" s="745" t="s">
        <v>3</v>
      </c>
      <c r="G197" s="778" t="s">
        <v>3</v>
      </c>
      <c r="H197" s="745"/>
      <c r="I197" s="777">
        <f>SUM(I193:I196)</f>
        <v>69944354.698167741</v>
      </c>
      <c r="J197" s="675"/>
      <c r="K197" s="675"/>
      <c r="L197" s="675"/>
      <c r="O197" s="837"/>
    </row>
    <row r="198" spans="1:15">
      <c r="A198" s="8" t="s">
        <v>3</v>
      </c>
      <c r="B198" s="699"/>
      <c r="C198" s="776"/>
      <c r="D198" s="774"/>
      <c r="E198" s="675"/>
      <c r="F198" s="675"/>
      <c r="G198" s="775"/>
      <c r="H198" s="675"/>
      <c r="I198" s="774"/>
      <c r="J198" s="675"/>
      <c r="K198" s="675"/>
      <c r="L198" s="675"/>
      <c r="O198" s="46"/>
    </row>
    <row r="199" spans="1:15">
      <c r="A199" s="8">
        <v>28</v>
      </c>
      <c r="B199" s="2" t="s">
        <v>190</v>
      </c>
      <c r="C199" s="741"/>
      <c r="D199" s="734">
        <f>+$I271*D128</f>
        <v>320207082.20296037</v>
      </c>
      <c r="E199" s="745"/>
      <c r="F199" s="745" t="s">
        <v>77</v>
      </c>
      <c r="G199" s="773"/>
      <c r="H199" s="745"/>
      <c r="I199" s="734">
        <f>+$I271*I128</f>
        <v>320043179.18467522</v>
      </c>
      <c r="J199" s="675"/>
      <c r="K199" s="699"/>
      <c r="L199" s="675"/>
      <c r="O199" s="837"/>
    </row>
    <row r="200" spans="1:15">
      <c r="A200" s="8"/>
      <c r="B200" s="21" t="s">
        <v>191</v>
      </c>
      <c r="C200" s="699"/>
      <c r="D200" s="745"/>
      <c r="E200" s="745"/>
      <c r="F200" s="745"/>
      <c r="G200" s="773"/>
      <c r="H200" s="745"/>
      <c r="I200" s="745"/>
      <c r="J200" s="675"/>
      <c r="K200" s="741"/>
      <c r="L200" s="675"/>
    </row>
    <row r="201" spans="1:15">
      <c r="A201" s="8"/>
      <c r="B201" s="2"/>
      <c r="C201" s="699"/>
      <c r="D201" s="762"/>
      <c r="E201" s="745"/>
      <c r="F201" s="745"/>
      <c r="G201" s="773"/>
      <c r="H201" s="745"/>
      <c r="I201" s="762"/>
      <c r="J201" s="675"/>
      <c r="K201" s="741"/>
      <c r="L201" s="675"/>
    </row>
    <row r="202" spans="1:15">
      <c r="A202" s="8">
        <v>29</v>
      </c>
      <c r="B202" s="2" t="s">
        <v>192</v>
      </c>
      <c r="C202" s="675"/>
      <c r="D202" s="772">
        <f>+D199+D197+D182+D171+D165</f>
        <v>772439804.17642677</v>
      </c>
      <c r="E202" s="745"/>
      <c r="F202" s="745"/>
      <c r="G202" s="745"/>
      <c r="H202" s="745"/>
      <c r="I202" s="772">
        <f>+I199+I197+I182+I171+I165</f>
        <v>757868499.12160635</v>
      </c>
      <c r="J202" s="7"/>
      <c r="K202" s="7"/>
      <c r="L202" s="675"/>
    </row>
    <row r="203" spans="1:15">
      <c r="A203" s="8"/>
      <c r="B203" s="2"/>
      <c r="C203" s="675"/>
      <c r="D203" s="762"/>
      <c r="E203" s="745"/>
      <c r="F203" s="745"/>
      <c r="G203" s="745"/>
      <c r="H203" s="745"/>
      <c r="I203" s="762"/>
      <c r="J203" s="7"/>
      <c r="K203" s="7"/>
      <c r="L203" s="675"/>
    </row>
    <row r="204" spans="1:15">
      <c r="A204" s="698">
        <v>30</v>
      </c>
      <c r="B204" s="768" t="s">
        <v>193</v>
      </c>
      <c r="C204" s="745"/>
      <c r="D204" s="766"/>
      <c r="E204" s="767"/>
      <c r="F204" s="767"/>
      <c r="G204" s="767"/>
      <c r="H204" s="767"/>
      <c r="I204" s="766"/>
      <c r="J204" s="7"/>
      <c r="K204" s="7"/>
      <c r="L204" s="7"/>
    </row>
    <row r="205" spans="1:15">
      <c r="A205" s="698"/>
      <c r="B205" s="966" t="s">
        <v>194</v>
      </c>
      <c r="C205" s="966"/>
      <c r="D205" s="693"/>
      <c r="E205" s="693"/>
      <c r="F205" s="693"/>
      <c r="G205" s="693"/>
      <c r="H205" s="693"/>
      <c r="I205" s="693"/>
      <c r="J205" s="7"/>
      <c r="K205" s="7"/>
      <c r="L205" s="7"/>
    </row>
    <row r="206" spans="1:15">
      <c r="A206" s="698"/>
      <c r="B206" s="768" t="s">
        <v>195</v>
      </c>
      <c r="C206" s="745"/>
      <c r="D206" s="771">
        <f>'ATC Att GG'!M110</f>
        <v>94230025.465601161</v>
      </c>
      <c r="E206" s="745"/>
      <c r="F206" s="745"/>
      <c r="G206" s="745"/>
      <c r="H206" s="745"/>
      <c r="I206" s="824">
        <f>D206</f>
        <v>94230025.465601161</v>
      </c>
      <c r="J206" s="7"/>
      <c r="K206" s="7"/>
      <c r="L206" s="7"/>
    </row>
    <row r="207" spans="1:15">
      <c r="A207" s="8"/>
      <c r="B207" s="2"/>
      <c r="C207" s="675"/>
      <c r="D207" s="762"/>
      <c r="E207" s="745"/>
      <c r="F207" s="745"/>
      <c r="G207" s="745"/>
      <c r="H207" s="745"/>
      <c r="I207" s="825"/>
      <c r="J207" s="7"/>
      <c r="K207" s="7"/>
      <c r="L207" s="7"/>
    </row>
    <row r="208" spans="1:15" s="693" customFormat="1" ht="15.75" customHeight="1">
      <c r="A208" s="698" t="s">
        <v>196</v>
      </c>
      <c r="B208" s="768" t="s">
        <v>197</v>
      </c>
      <c r="C208" s="745"/>
      <c r="D208" s="766"/>
      <c r="E208" s="767"/>
      <c r="F208" s="767"/>
      <c r="G208" s="767"/>
      <c r="H208" s="767"/>
      <c r="I208" s="826"/>
      <c r="J208" s="765"/>
      <c r="K208" s="764"/>
    </row>
    <row r="209" spans="1:12" s="693" customFormat="1">
      <c r="A209" s="698"/>
      <c r="B209" s="966" t="s">
        <v>194</v>
      </c>
      <c r="C209" s="966"/>
      <c r="I209" s="827"/>
      <c r="J209" s="765"/>
      <c r="K209" s="764"/>
    </row>
    <row r="210" spans="1:12" s="693" customFormat="1" ht="16.5" thickBot="1">
      <c r="A210" s="698"/>
      <c r="B210" s="768" t="s">
        <v>198</v>
      </c>
      <c r="C210" s="745"/>
      <c r="D210" s="770">
        <f>'ATC Att MM'!Q100</f>
        <v>44706744.658681892</v>
      </c>
      <c r="E210" s="745"/>
      <c r="F210" s="745"/>
      <c r="G210" s="745"/>
      <c r="H210" s="745"/>
      <c r="I210" s="828">
        <f>D210</f>
        <v>44706744.658681892</v>
      </c>
      <c r="J210" s="765"/>
      <c r="K210" s="764"/>
    </row>
    <row r="211" spans="1:12" s="693" customFormat="1" ht="16.5" thickBot="1">
      <c r="A211" s="698">
        <v>31</v>
      </c>
      <c r="B211" s="692" t="s">
        <v>199</v>
      </c>
      <c r="C211" s="767"/>
      <c r="D211" s="769">
        <f>+D202-D206-D210</f>
        <v>633503034.05214369</v>
      </c>
      <c r="E211" s="745"/>
      <c r="F211" s="745"/>
      <c r="G211" s="745"/>
      <c r="H211" s="745"/>
      <c r="I211" s="769">
        <f>+I202-I206-I210</f>
        <v>618931728.99732327</v>
      </c>
      <c r="J211" s="765"/>
      <c r="K211" s="764"/>
    </row>
    <row r="212" spans="1:12" s="693" customFormat="1" ht="16.5" thickTop="1">
      <c r="A212" s="698"/>
      <c r="B212" s="768" t="s">
        <v>200</v>
      </c>
      <c r="C212" s="767"/>
      <c r="D212" s="766"/>
      <c r="E212" s="767"/>
      <c r="F212" s="767"/>
      <c r="G212" s="767"/>
      <c r="H212" s="767"/>
      <c r="I212" s="766"/>
      <c r="J212" s="765"/>
      <c r="K212" s="764"/>
    </row>
    <row r="213" spans="1:12">
      <c r="A213" s="8"/>
      <c r="B213" s="2"/>
      <c r="C213" s="675"/>
      <c r="D213" s="762"/>
      <c r="E213" s="745"/>
      <c r="F213" s="745"/>
      <c r="G213" s="763"/>
      <c r="H213" s="745"/>
      <c r="I213" s="762"/>
      <c r="J213" s="675"/>
      <c r="K213" s="741"/>
      <c r="L213" s="675"/>
    </row>
    <row r="214" spans="1:12">
      <c r="A214" s="8"/>
      <c r="B214" s="2"/>
      <c r="C214" s="675"/>
      <c r="D214" s="762"/>
      <c r="E214" s="745"/>
      <c r="F214" s="745"/>
      <c r="G214" s="763"/>
      <c r="H214" s="745"/>
      <c r="I214" s="762"/>
      <c r="J214" s="675"/>
      <c r="K214" s="741"/>
      <c r="L214" s="675"/>
    </row>
    <row r="215" spans="1:12">
      <c r="A215" s="8"/>
      <c r="B215" s="2"/>
      <c r="C215" s="675"/>
      <c r="D215" s="762"/>
      <c r="E215" s="745"/>
      <c r="F215" s="745"/>
      <c r="G215" s="763"/>
      <c r="H215" s="745"/>
      <c r="I215" s="762"/>
      <c r="J215" s="675"/>
      <c r="K215" s="741"/>
      <c r="L215" s="675"/>
    </row>
    <row r="216" spans="1:12">
      <c r="A216" s="8"/>
      <c r="B216" s="699"/>
      <c r="C216" s="699"/>
      <c r="D216" s="699"/>
      <c r="E216" s="699"/>
      <c r="F216" s="699"/>
      <c r="G216" s="699"/>
      <c r="H216" s="699"/>
      <c r="I216" s="699"/>
      <c r="J216" s="675"/>
      <c r="K216" s="691" t="s">
        <v>201</v>
      </c>
      <c r="L216" s="675"/>
    </row>
    <row r="217" spans="1:12">
      <c r="A217" s="8"/>
      <c r="B217" s="699"/>
      <c r="C217" s="699"/>
      <c r="D217" s="699"/>
      <c r="E217" s="699"/>
      <c r="F217" s="699"/>
      <c r="G217" s="699"/>
      <c r="H217" s="699"/>
      <c r="I217" s="699"/>
      <c r="J217" s="675"/>
      <c r="K217" s="675"/>
      <c r="L217" s="675"/>
    </row>
    <row r="218" spans="1:12">
      <c r="A218" s="8"/>
      <c r="B218" s="2" t="s">
        <v>1</v>
      </c>
      <c r="C218" s="699"/>
      <c r="D218" s="699" t="s">
        <v>2</v>
      </c>
      <c r="E218" s="699"/>
      <c r="F218" s="699"/>
      <c r="G218" s="699"/>
      <c r="H218" s="699"/>
      <c r="J218" s="675"/>
      <c r="K218" s="761" t="str">
        <f>K3</f>
        <v>For the 12 months ended 12/31/2022</v>
      </c>
      <c r="L218" s="675"/>
    </row>
    <row r="219" spans="1:12">
      <c r="A219" s="8"/>
      <c r="B219" s="2"/>
      <c r="C219" s="699"/>
      <c r="D219" s="699" t="s">
        <v>4</v>
      </c>
      <c r="E219" s="699"/>
      <c r="F219" s="699"/>
      <c r="G219" s="699"/>
      <c r="H219" s="699"/>
      <c r="I219" s="699"/>
      <c r="J219" s="675"/>
      <c r="K219" s="675"/>
      <c r="L219" s="675"/>
    </row>
    <row r="220" spans="1:12">
      <c r="A220" s="8"/>
      <c r="B220" s="699"/>
      <c r="C220" s="699"/>
      <c r="D220" s="699"/>
      <c r="E220" s="699"/>
      <c r="F220" s="699"/>
      <c r="G220" s="699"/>
      <c r="H220" s="699"/>
      <c r="I220" s="699"/>
      <c r="J220" s="675"/>
      <c r="K220" s="675"/>
      <c r="L220" s="675"/>
    </row>
    <row r="221" spans="1:12">
      <c r="A221" s="964" t="str">
        <f>A6</f>
        <v>American Transmission Company LLC</v>
      </c>
      <c r="B221" s="964"/>
      <c r="C221" s="964"/>
      <c r="D221" s="964"/>
      <c r="E221" s="964"/>
      <c r="F221" s="964"/>
      <c r="G221" s="964"/>
      <c r="H221" s="964"/>
      <c r="I221" s="964"/>
      <c r="J221" s="964"/>
      <c r="K221" s="964"/>
      <c r="L221" s="675"/>
    </row>
    <row r="222" spans="1:12">
      <c r="A222" s="8"/>
      <c r="B222" s="699"/>
      <c r="C222" s="2"/>
      <c r="D222" s="2"/>
      <c r="E222" s="2"/>
      <c r="F222" s="2"/>
      <c r="G222" s="2"/>
      <c r="H222" s="2"/>
      <c r="I222" s="2"/>
      <c r="J222" s="2"/>
      <c r="K222" s="2"/>
      <c r="L222" s="2"/>
    </row>
    <row r="223" spans="1:12">
      <c r="A223" s="8"/>
      <c r="B223" s="699"/>
      <c r="C223" s="760" t="s">
        <v>202</v>
      </c>
      <c r="D223" s="699"/>
      <c r="E223" s="7"/>
      <c r="F223" s="7"/>
      <c r="G223" s="7"/>
      <c r="H223" s="7"/>
      <c r="I223" s="7"/>
      <c r="J223" s="675"/>
      <c r="K223" s="675"/>
      <c r="L223" s="7"/>
    </row>
    <row r="224" spans="1:12">
      <c r="A224" s="8" t="s">
        <v>8</v>
      </c>
      <c r="B224" s="760"/>
      <c r="C224" s="7"/>
      <c r="D224" s="7"/>
      <c r="E224" s="7"/>
      <c r="F224" s="7"/>
      <c r="G224" s="7"/>
      <c r="H224" s="7"/>
      <c r="I224" s="7"/>
      <c r="J224" s="675"/>
      <c r="K224" s="675"/>
      <c r="L224" s="7"/>
    </row>
    <row r="225" spans="1:12" ht="16.5" thickBot="1">
      <c r="A225" s="9" t="s">
        <v>10</v>
      </c>
      <c r="B225" s="22" t="s">
        <v>203</v>
      </c>
      <c r="C225" s="12"/>
      <c r="D225" s="12"/>
      <c r="E225" s="12"/>
      <c r="F225" s="12"/>
      <c r="G225" s="12"/>
      <c r="H225" s="689"/>
      <c r="I225" s="689"/>
      <c r="J225" s="674"/>
      <c r="K225" s="675"/>
      <c r="L225" s="7"/>
    </row>
    <row r="226" spans="1:12">
      <c r="A226" s="8">
        <v>1</v>
      </c>
      <c r="B226" s="12" t="s">
        <v>204</v>
      </c>
      <c r="C226" s="12"/>
      <c r="D226" s="674"/>
      <c r="E226" s="674"/>
      <c r="F226" s="674"/>
      <c r="G226" s="674"/>
      <c r="H226" s="674"/>
      <c r="I226" s="753">
        <f>D87</f>
        <v>6961784581</v>
      </c>
      <c r="J226" s="674"/>
      <c r="K226" s="675"/>
      <c r="L226" s="7"/>
    </row>
    <row r="227" spans="1:12">
      <c r="A227" s="8">
        <v>2</v>
      </c>
      <c r="B227" s="12" t="s">
        <v>205</v>
      </c>
      <c r="C227" s="689"/>
      <c r="D227" s="689"/>
      <c r="E227" s="689"/>
      <c r="F227" s="689"/>
      <c r="G227" s="689"/>
      <c r="H227" s="689"/>
      <c r="I227" s="740">
        <v>0</v>
      </c>
      <c r="J227" s="674"/>
      <c r="K227" s="675"/>
      <c r="L227" s="7"/>
    </row>
    <row r="228" spans="1:12" ht="16.5" thickBot="1">
      <c r="A228" s="8">
        <v>3</v>
      </c>
      <c r="B228" s="23" t="s">
        <v>206</v>
      </c>
      <c r="C228" s="23"/>
      <c r="E228" s="674"/>
      <c r="F228" s="674"/>
      <c r="G228" s="25"/>
      <c r="H228" s="674"/>
      <c r="I228" s="735">
        <v>0</v>
      </c>
      <c r="J228" s="674"/>
      <c r="K228" s="675"/>
      <c r="L228" s="7"/>
    </row>
    <row r="229" spans="1:12">
      <c r="A229" s="8">
        <v>4</v>
      </c>
      <c r="B229" s="12" t="s">
        <v>207</v>
      </c>
      <c r="C229" s="12"/>
      <c r="D229" s="674"/>
      <c r="E229" s="674"/>
      <c r="F229" s="674"/>
      <c r="G229" s="25"/>
      <c r="H229" s="674"/>
      <c r="I229" s="753">
        <f>I226-I227-I228</f>
        <v>6961784581</v>
      </c>
      <c r="J229" s="674"/>
      <c r="K229" s="675"/>
      <c r="L229" s="7"/>
    </row>
    <row r="230" spans="1:12" ht="11.25" customHeight="1">
      <c r="A230" s="8"/>
      <c r="B230" s="689"/>
      <c r="C230" s="12"/>
      <c r="D230" s="674"/>
      <c r="E230" s="674"/>
      <c r="F230" s="674"/>
      <c r="G230" s="25"/>
      <c r="H230" s="674"/>
      <c r="I230" s="689"/>
      <c r="J230" s="674"/>
      <c r="K230" s="675"/>
      <c r="L230" s="7"/>
    </row>
    <row r="231" spans="1:12">
      <c r="A231" s="8">
        <v>5</v>
      </c>
      <c r="B231" s="12" t="s">
        <v>208</v>
      </c>
      <c r="C231" s="756"/>
      <c r="D231" s="754"/>
      <c r="E231" s="754"/>
      <c r="F231" s="754"/>
      <c r="G231" s="755"/>
      <c r="H231" s="674" t="s">
        <v>209</v>
      </c>
      <c r="I231" s="759">
        <f>IF(I226&gt;0,I229/I226,0)</f>
        <v>1</v>
      </c>
      <c r="J231" s="674"/>
      <c r="K231" s="675"/>
      <c r="L231" s="7"/>
    </row>
    <row r="232" spans="1:12" ht="11.25" customHeight="1">
      <c r="A232" s="8"/>
      <c r="B232" s="689"/>
      <c r="C232" s="689"/>
      <c r="D232" s="689"/>
      <c r="E232" s="689"/>
      <c r="F232" s="689"/>
      <c r="G232" s="689"/>
      <c r="H232" s="689"/>
      <c r="I232" s="689"/>
      <c r="J232" s="674"/>
      <c r="K232" s="675"/>
      <c r="L232" s="7"/>
    </row>
    <row r="233" spans="1:12">
      <c r="A233" s="8"/>
      <c r="B233" s="22" t="s">
        <v>210</v>
      </c>
      <c r="C233" s="689"/>
      <c r="D233" s="689"/>
      <c r="E233" s="689"/>
      <c r="F233" s="689"/>
      <c r="G233" s="689"/>
      <c r="H233" s="689"/>
      <c r="I233" s="689"/>
      <c r="J233" s="674"/>
      <c r="K233" s="675"/>
      <c r="L233" s="7"/>
    </row>
    <row r="234" spans="1:12">
      <c r="A234" s="8">
        <v>6</v>
      </c>
      <c r="B234" s="689" t="s">
        <v>211</v>
      </c>
      <c r="C234" s="758"/>
      <c r="D234" s="12"/>
      <c r="E234" s="12"/>
      <c r="F234" s="12"/>
      <c r="G234" s="648"/>
      <c r="H234" s="12"/>
      <c r="I234" s="753">
        <f>D156</f>
        <v>107777525</v>
      </c>
      <c r="J234" s="674"/>
      <c r="K234" s="675"/>
      <c r="L234" s="675"/>
    </row>
    <row r="235" spans="1:12" ht="16.5" thickBot="1">
      <c r="A235" s="8">
        <v>7</v>
      </c>
      <c r="B235" s="23" t="s">
        <v>212</v>
      </c>
      <c r="C235" s="23"/>
      <c r="E235" s="757"/>
      <c r="F235" s="674"/>
      <c r="G235" s="674"/>
      <c r="H235" s="674"/>
      <c r="I235" s="17">
        <f>ROUND('Revenue (pg.4)'!I18,0)</f>
        <v>14320402</v>
      </c>
      <c r="J235" s="674"/>
      <c r="K235" s="675"/>
      <c r="L235" s="675"/>
    </row>
    <row r="236" spans="1:12">
      <c r="A236" s="8">
        <v>8</v>
      </c>
      <c r="B236" s="12" t="s">
        <v>213</v>
      </c>
      <c r="C236" s="756"/>
      <c r="D236" s="754"/>
      <c r="E236" s="754"/>
      <c r="F236" s="754"/>
      <c r="G236" s="755"/>
      <c r="H236" s="754"/>
      <c r="I236" s="753">
        <f>+I234-I235</f>
        <v>93457123</v>
      </c>
      <c r="J236" s="689"/>
      <c r="K236" s="699"/>
      <c r="L236" s="675"/>
    </row>
    <row r="237" spans="1:12" ht="11.25" customHeight="1">
      <c r="A237" s="8"/>
      <c r="B237" s="12"/>
      <c r="C237" s="12"/>
      <c r="D237" s="674"/>
      <c r="E237" s="674"/>
      <c r="F237" s="674"/>
      <c r="G237" s="674"/>
      <c r="H237" s="689"/>
      <c r="I237" s="689"/>
      <c r="J237" s="689"/>
      <c r="K237" s="699"/>
      <c r="L237" s="675"/>
    </row>
    <row r="238" spans="1:12">
      <c r="A238" s="8">
        <v>9</v>
      </c>
      <c r="B238" s="12" t="s">
        <v>214</v>
      </c>
      <c r="C238" s="12"/>
      <c r="D238" s="674"/>
      <c r="E238" s="674"/>
      <c r="F238" s="674"/>
      <c r="G238" s="674"/>
      <c r="H238" s="674"/>
      <c r="I238" s="752">
        <f>IF(I234&gt;0,I236/I234,0)</f>
        <v>0.86712997909350764</v>
      </c>
      <c r="J238" s="689"/>
      <c r="K238" s="699"/>
      <c r="L238" s="675"/>
    </row>
    <row r="239" spans="1:12">
      <c r="A239" s="8">
        <v>10</v>
      </c>
      <c r="B239" s="12" t="s">
        <v>215</v>
      </c>
      <c r="C239" s="12"/>
      <c r="D239" s="674"/>
      <c r="E239" s="674"/>
      <c r="F239" s="674"/>
      <c r="G239" s="674"/>
      <c r="H239" s="12" t="s">
        <v>19</v>
      </c>
      <c r="I239" s="751">
        <f>I231</f>
        <v>1</v>
      </c>
      <c r="J239" s="689"/>
      <c r="K239" s="699"/>
      <c r="L239" s="675"/>
    </row>
    <row r="240" spans="1:12">
      <c r="A240" s="8">
        <v>11</v>
      </c>
      <c r="B240" s="12" t="s">
        <v>216</v>
      </c>
      <c r="C240" s="12"/>
      <c r="D240" s="12"/>
      <c r="E240" s="12"/>
      <c r="F240" s="12"/>
      <c r="G240" s="12"/>
      <c r="H240" s="12" t="s">
        <v>217</v>
      </c>
      <c r="I240" s="750">
        <f>+I239*I238</f>
        <v>0.86712997909350764</v>
      </c>
      <c r="J240" s="689"/>
      <c r="K240" s="699"/>
      <c r="L240" s="675"/>
    </row>
    <row r="241" spans="1:12" ht="11.25" customHeight="1">
      <c r="A241" s="8"/>
      <c r="B241" s="699"/>
      <c r="C241" s="699"/>
      <c r="D241" s="699"/>
      <c r="E241" s="699"/>
      <c r="F241" s="699"/>
      <c r="G241" s="699"/>
      <c r="H241" s="699"/>
      <c r="I241" s="699"/>
      <c r="J241" s="699"/>
      <c r="K241" s="699"/>
      <c r="L241" s="675"/>
    </row>
    <row r="242" spans="1:12">
      <c r="A242" s="8" t="s">
        <v>3</v>
      </c>
      <c r="B242" s="2" t="s">
        <v>218</v>
      </c>
      <c r="C242" s="675"/>
      <c r="D242" s="675"/>
      <c r="E242" s="675"/>
      <c r="F242" s="675"/>
      <c r="G242" s="675"/>
      <c r="H242" s="675"/>
      <c r="I242" s="675"/>
      <c r="J242" s="675"/>
      <c r="K242" s="675"/>
      <c r="L242" s="675"/>
    </row>
    <row r="243" spans="1:12" ht="16.5" thickBot="1">
      <c r="A243" s="8" t="s">
        <v>3</v>
      </c>
      <c r="B243" s="2"/>
      <c r="C243" s="736" t="s">
        <v>219</v>
      </c>
      <c r="D243" s="723" t="s">
        <v>220</v>
      </c>
      <c r="E243" s="723" t="s">
        <v>19</v>
      </c>
      <c r="F243" s="675"/>
      <c r="G243" s="723" t="s">
        <v>221</v>
      </c>
      <c r="H243" s="675"/>
      <c r="I243" s="675"/>
      <c r="J243" s="675"/>
      <c r="K243" s="675"/>
      <c r="L243" s="675"/>
    </row>
    <row r="244" spans="1:12">
      <c r="A244" s="8">
        <v>12</v>
      </c>
      <c r="B244" s="2" t="s">
        <v>75</v>
      </c>
      <c r="C244" s="675" t="s">
        <v>222</v>
      </c>
      <c r="D244" s="11">
        <v>0</v>
      </c>
      <c r="E244" s="747">
        <v>0</v>
      </c>
      <c r="F244" s="747"/>
      <c r="G244" s="734">
        <f>D244*E244</f>
        <v>0</v>
      </c>
      <c r="H244" s="745"/>
      <c r="I244" s="745"/>
      <c r="J244" s="675"/>
      <c r="K244" s="675"/>
      <c r="L244" s="675"/>
    </row>
    <row r="245" spans="1:12">
      <c r="A245" s="8">
        <v>13</v>
      </c>
      <c r="B245" s="2" t="s">
        <v>223</v>
      </c>
      <c r="C245" s="675" t="s">
        <v>224</v>
      </c>
      <c r="D245" s="11">
        <f>ROUND('Wages &amp; Salaries (pg. 4)'!B18,0)</f>
        <v>33404983</v>
      </c>
      <c r="E245" s="749">
        <f>+I231</f>
        <v>1</v>
      </c>
      <c r="F245" s="747"/>
      <c r="G245" s="734">
        <f>D245*E245</f>
        <v>33404983</v>
      </c>
      <c r="H245" s="745"/>
      <c r="I245" s="745"/>
      <c r="J245" s="675"/>
      <c r="K245" s="675"/>
      <c r="L245" s="675"/>
    </row>
    <row r="246" spans="1:12">
      <c r="A246" s="8">
        <v>14</v>
      </c>
      <c r="B246" s="2" t="s">
        <v>83</v>
      </c>
      <c r="C246" s="675" t="s">
        <v>225</v>
      </c>
      <c r="D246" s="11">
        <v>0</v>
      </c>
      <c r="E246" s="747">
        <v>0</v>
      </c>
      <c r="F246" s="747"/>
      <c r="G246" s="734">
        <f>D246*E246</f>
        <v>0</v>
      </c>
      <c r="H246" s="745"/>
      <c r="I246" s="748" t="s">
        <v>226</v>
      </c>
      <c r="J246" s="675"/>
      <c r="K246" s="675"/>
      <c r="L246" s="675"/>
    </row>
    <row r="247" spans="1:12" ht="16.5" thickBot="1">
      <c r="A247" s="8">
        <v>15</v>
      </c>
      <c r="B247" s="2" t="s">
        <v>227</v>
      </c>
      <c r="C247" s="675" t="s">
        <v>228</v>
      </c>
      <c r="D247" s="17">
        <v>0</v>
      </c>
      <c r="E247" s="747">
        <v>0</v>
      </c>
      <c r="F247" s="747"/>
      <c r="G247" s="746">
        <f>D247*E247</f>
        <v>0</v>
      </c>
      <c r="H247" s="745"/>
      <c r="I247" s="744" t="s">
        <v>229</v>
      </c>
      <c r="J247" s="675"/>
      <c r="K247" s="675"/>
      <c r="L247" s="675"/>
    </row>
    <row r="248" spans="1:12">
      <c r="A248" s="8">
        <v>16</v>
      </c>
      <c r="B248" s="2" t="s">
        <v>230</v>
      </c>
      <c r="C248" s="675"/>
      <c r="D248" s="734">
        <f>SUM(D244:D247)</f>
        <v>33404983</v>
      </c>
      <c r="E248" s="675"/>
      <c r="F248" s="675"/>
      <c r="G248" s="734">
        <f>SUM(G244:G247)</f>
        <v>33404983</v>
      </c>
      <c r="H248" s="698" t="s">
        <v>231</v>
      </c>
      <c r="I248" s="743">
        <f>IF(G248&gt;0,G248/D248,0)</f>
        <v>1</v>
      </c>
      <c r="J248" s="701" t="s">
        <v>231</v>
      </c>
      <c r="K248" s="675" t="s">
        <v>232</v>
      </c>
      <c r="L248" s="675"/>
    </row>
    <row r="249" spans="1:12">
      <c r="A249" s="8" t="s">
        <v>3</v>
      </c>
      <c r="B249" s="2" t="s">
        <v>3</v>
      </c>
      <c r="C249" s="675" t="s">
        <v>3</v>
      </c>
      <c r="D249" s="699"/>
      <c r="E249" s="675"/>
      <c r="F249" s="675"/>
      <c r="G249" s="699"/>
      <c r="H249" s="699"/>
      <c r="I249" s="699"/>
      <c r="J249" s="699"/>
      <c r="K249" s="675"/>
      <c r="L249" s="675"/>
    </row>
    <row r="250" spans="1:12">
      <c r="A250" s="8"/>
      <c r="B250" s="2" t="s">
        <v>233</v>
      </c>
      <c r="C250" s="675"/>
      <c r="D250" s="742" t="s">
        <v>220</v>
      </c>
      <c r="E250" s="675"/>
      <c r="F250" s="675"/>
      <c r="G250" s="701" t="s">
        <v>234</v>
      </c>
      <c r="H250" s="24"/>
      <c r="I250" s="741" t="s">
        <v>226</v>
      </c>
      <c r="J250" s="675"/>
      <c r="K250" s="675"/>
      <c r="L250" s="675"/>
    </row>
    <row r="251" spans="1:12">
      <c r="A251" s="8">
        <v>17</v>
      </c>
      <c r="B251" s="2" t="s">
        <v>235</v>
      </c>
      <c r="C251" s="675" t="s">
        <v>236</v>
      </c>
      <c r="D251" s="11">
        <f>D105</f>
        <v>4942827662</v>
      </c>
      <c r="E251" s="675"/>
      <c r="F251" s="699"/>
      <c r="G251" s="8" t="s">
        <v>237</v>
      </c>
      <c r="H251" s="24"/>
      <c r="I251" s="8" t="s">
        <v>238</v>
      </c>
      <c r="J251" s="675"/>
      <c r="K251" s="8" t="s">
        <v>90</v>
      </c>
      <c r="L251" s="675"/>
    </row>
    <row r="252" spans="1:12">
      <c r="A252" s="8">
        <v>18</v>
      </c>
      <c r="B252" s="2" t="s">
        <v>239</v>
      </c>
      <c r="C252" s="675" t="s">
        <v>240</v>
      </c>
      <c r="D252" s="11">
        <v>0</v>
      </c>
      <c r="E252" s="675"/>
      <c r="F252" s="699"/>
      <c r="G252" s="738">
        <f>IF(D254&gt;0,D251/D254,0)</f>
        <v>1</v>
      </c>
      <c r="H252" s="701" t="s">
        <v>241</v>
      </c>
      <c r="I252" s="739">
        <f>I248</f>
        <v>1</v>
      </c>
      <c r="J252" s="24" t="s">
        <v>231</v>
      </c>
      <c r="K252" s="738">
        <f>I252*G252</f>
        <v>1</v>
      </c>
      <c r="L252" s="675"/>
    </row>
    <row r="253" spans="1:12" ht="16.5" thickBot="1">
      <c r="A253" s="8">
        <v>19</v>
      </c>
      <c r="B253" s="737" t="s">
        <v>242</v>
      </c>
      <c r="C253" s="736" t="s">
        <v>243</v>
      </c>
      <c r="D253" s="17">
        <v>0</v>
      </c>
      <c r="E253" s="675"/>
      <c r="F253" s="675"/>
      <c r="G253" s="675" t="s">
        <v>3</v>
      </c>
      <c r="H253" s="675"/>
      <c r="I253" s="675"/>
      <c r="J253" s="675"/>
      <c r="K253" s="675"/>
      <c r="L253" s="675"/>
    </row>
    <row r="254" spans="1:12">
      <c r="A254" s="8">
        <v>20</v>
      </c>
      <c r="B254" s="2" t="s">
        <v>244</v>
      </c>
      <c r="C254" s="675"/>
      <c r="D254" s="734">
        <f>D251+D252+D253</f>
        <v>4942827662</v>
      </c>
      <c r="E254" s="675"/>
      <c r="F254" s="675"/>
      <c r="G254" s="675"/>
      <c r="H254" s="675"/>
      <c r="I254" s="675"/>
      <c r="J254" s="675"/>
      <c r="K254" s="675"/>
      <c r="L254" s="675"/>
    </row>
    <row r="255" spans="1:12" ht="11.25" customHeight="1">
      <c r="A255" s="8"/>
      <c r="B255" s="2"/>
      <c r="C255" s="675"/>
      <c r="D255" s="699"/>
      <c r="E255" s="675"/>
      <c r="F255" s="675"/>
      <c r="G255" s="675"/>
      <c r="H255" s="675"/>
      <c r="I255" s="675"/>
      <c r="J255" s="675"/>
      <c r="K255" s="675"/>
      <c r="L255" s="675"/>
    </row>
    <row r="256" spans="1:12" ht="16.5" thickBot="1">
      <c r="A256" s="8"/>
      <c r="B256" s="2" t="s">
        <v>245</v>
      </c>
      <c r="C256" s="675"/>
      <c r="D256" s="675"/>
      <c r="E256" s="675"/>
      <c r="F256" s="675"/>
      <c r="G256" s="675"/>
      <c r="H256" s="675"/>
      <c r="I256" s="723" t="s">
        <v>220</v>
      </c>
      <c r="J256" s="675"/>
      <c r="K256" s="675"/>
      <c r="L256" s="675"/>
    </row>
    <row r="257" spans="1:20">
      <c r="A257" s="8">
        <v>21</v>
      </c>
      <c r="B257" s="7"/>
      <c r="C257" s="675" t="s">
        <v>246</v>
      </c>
      <c r="D257" s="675"/>
      <c r="E257" s="675"/>
      <c r="F257" s="675"/>
      <c r="G257" s="675"/>
      <c r="H257" s="675"/>
      <c r="I257" s="733" t="s">
        <v>247</v>
      </c>
      <c r="J257" s="675"/>
      <c r="K257" s="675"/>
      <c r="L257" s="675"/>
    </row>
    <row r="258" spans="1:20" ht="11.25" customHeight="1">
      <c r="A258" s="8"/>
      <c r="B258" s="2"/>
      <c r="C258" s="675"/>
      <c r="D258" s="675"/>
      <c r="E258" s="675"/>
      <c r="F258" s="675"/>
      <c r="G258" s="675"/>
      <c r="H258" s="675"/>
      <c r="I258" s="701"/>
      <c r="J258" s="675"/>
      <c r="K258" s="675"/>
      <c r="L258" s="675"/>
    </row>
    <row r="259" spans="1:20">
      <c r="A259" s="8">
        <v>22</v>
      </c>
      <c r="B259" s="2"/>
      <c r="C259" s="675" t="s">
        <v>248</v>
      </c>
      <c r="D259" s="675"/>
      <c r="E259" s="675"/>
      <c r="F259" s="675"/>
      <c r="G259" s="675"/>
      <c r="H259" s="674"/>
      <c r="I259" s="732" t="s">
        <v>247</v>
      </c>
      <c r="J259" s="675"/>
      <c r="K259" s="675"/>
      <c r="L259" s="675"/>
    </row>
    <row r="260" spans="1:20" ht="11.25" customHeight="1">
      <c r="A260" s="8"/>
      <c r="B260" s="2"/>
      <c r="C260" s="675"/>
      <c r="D260" s="675"/>
      <c r="E260" s="675"/>
      <c r="F260" s="675"/>
      <c r="G260" s="675"/>
      <c r="H260" s="675"/>
      <c r="I260" s="675"/>
      <c r="J260" s="675"/>
      <c r="K260" s="675"/>
      <c r="L260" s="675"/>
    </row>
    <row r="261" spans="1:20">
      <c r="A261" s="8"/>
      <c r="B261" s="2" t="s">
        <v>249</v>
      </c>
      <c r="C261" s="675"/>
      <c r="D261" s="675"/>
      <c r="E261" s="675"/>
      <c r="F261" s="675"/>
      <c r="G261" s="675"/>
      <c r="H261" s="675"/>
      <c r="I261" s="675"/>
      <c r="J261" s="675"/>
      <c r="K261" s="675"/>
      <c r="L261" s="675"/>
    </row>
    <row r="262" spans="1:20">
      <c r="A262" s="8">
        <v>23</v>
      </c>
      <c r="B262" s="2"/>
      <c r="C262" s="675" t="s">
        <v>250</v>
      </c>
      <c r="D262" s="7"/>
      <c r="E262" s="675"/>
      <c r="F262" s="675"/>
      <c r="G262" s="675"/>
      <c r="H262" s="675"/>
      <c r="I262" s="726" t="s">
        <v>247</v>
      </c>
      <c r="J262" s="675"/>
      <c r="K262" s="675"/>
      <c r="L262" s="675"/>
    </row>
    <row r="263" spans="1:20">
      <c r="A263" s="8">
        <v>24</v>
      </c>
      <c r="B263" s="2"/>
      <c r="C263" s="675" t="s">
        <v>251</v>
      </c>
      <c r="D263" s="675"/>
      <c r="E263" s="675"/>
      <c r="F263" s="675"/>
      <c r="G263" s="675"/>
      <c r="H263" s="675"/>
      <c r="I263" s="25" t="s">
        <v>247</v>
      </c>
      <c r="J263" s="675"/>
      <c r="K263" s="675"/>
      <c r="L263" s="675"/>
    </row>
    <row r="264" spans="1:20" ht="16.5" thickBot="1">
      <c r="A264" s="8">
        <v>25</v>
      </c>
      <c r="B264" s="2"/>
      <c r="C264" s="675" t="s">
        <v>252</v>
      </c>
      <c r="D264" s="675"/>
      <c r="E264" s="675"/>
      <c r="F264" s="675"/>
      <c r="G264" s="675"/>
      <c r="H264" s="675"/>
      <c r="I264" s="731" t="s">
        <v>247</v>
      </c>
      <c r="J264" s="675"/>
      <c r="K264" s="675"/>
      <c r="L264" s="675"/>
    </row>
    <row r="265" spans="1:20">
      <c r="A265" s="8">
        <v>26</v>
      </c>
      <c r="B265" s="7"/>
      <c r="C265" s="675" t="s">
        <v>253</v>
      </c>
      <c r="D265" s="7" t="s">
        <v>254</v>
      </c>
      <c r="E265" s="7"/>
      <c r="F265" s="7"/>
      <c r="G265" s="7"/>
      <c r="H265" s="7"/>
      <c r="I265" s="701" t="s">
        <v>247</v>
      </c>
      <c r="J265" s="675"/>
      <c r="K265" s="675"/>
      <c r="L265" s="675"/>
    </row>
    <row r="266" spans="1:20">
      <c r="A266" s="8"/>
      <c r="B266" s="2"/>
      <c r="C266" s="675"/>
      <c r="D266" s="675"/>
      <c r="E266" s="675"/>
      <c r="F266" s="675"/>
      <c r="G266" s="701" t="s">
        <v>255</v>
      </c>
      <c r="H266" s="675"/>
      <c r="I266" s="675"/>
      <c r="J266" s="675"/>
      <c r="K266" s="675"/>
      <c r="L266" s="675"/>
    </row>
    <row r="267" spans="1:20" ht="16.5" thickBot="1">
      <c r="A267" s="8"/>
      <c r="B267" s="2"/>
      <c r="C267" s="675"/>
      <c r="D267" s="9" t="s">
        <v>220</v>
      </c>
      <c r="E267" s="9" t="s">
        <v>256</v>
      </c>
      <c r="F267" s="675"/>
      <c r="G267" s="9" t="s">
        <v>257</v>
      </c>
      <c r="H267" s="675"/>
      <c r="I267" s="9" t="s">
        <v>258</v>
      </c>
      <c r="J267" s="675"/>
      <c r="K267" s="675"/>
      <c r="L267" s="830"/>
    </row>
    <row r="268" spans="1:20">
      <c r="A268" s="8">
        <v>27</v>
      </c>
      <c r="B268" s="2" t="s">
        <v>259</v>
      </c>
      <c r="C268" s="699"/>
      <c r="D268" s="730">
        <v>0</v>
      </c>
      <c r="E268" s="722">
        <v>0.5</v>
      </c>
      <c r="F268" s="721"/>
      <c r="G268" s="26">
        <f>'Wgt. Avg Debt Rate (pg.4)'!H57</f>
        <v>3.9825537691458586E-2</v>
      </c>
      <c r="H268" s="699"/>
      <c r="I268" s="717">
        <f>E268*G268</f>
        <v>1.9912768845729293E-2</v>
      </c>
      <c r="J268" s="716" t="s">
        <v>260</v>
      </c>
      <c r="K268" s="699"/>
      <c r="L268" s="838"/>
      <c r="M268" s="729"/>
      <c r="N268" s="728"/>
      <c r="O268" s="728"/>
      <c r="P268" s="728"/>
      <c r="Q268" s="727"/>
    </row>
    <row r="269" spans="1:20">
      <c r="A269" s="8">
        <v>28</v>
      </c>
      <c r="B269" s="2" t="s">
        <v>261</v>
      </c>
      <c r="C269" s="699"/>
      <c r="D269" s="726">
        <v>0</v>
      </c>
      <c r="E269" s="722">
        <v>0</v>
      </c>
      <c r="F269" s="721"/>
      <c r="G269" s="725">
        <v>0</v>
      </c>
      <c r="H269" s="699"/>
      <c r="I269" s="717">
        <f>E269*G269</f>
        <v>0</v>
      </c>
      <c r="J269" s="675"/>
      <c r="K269" s="699"/>
      <c r="L269" s="683"/>
      <c r="M269" s="715" t="s">
        <v>909</v>
      </c>
      <c r="N269" s="714"/>
      <c r="O269" s="714"/>
      <c r="P269" s="714"/>
      <c r="Q269" s="724"/>
      <c r="T269" s="1"/>
    </row>
    <row r="270" spans="1:20" ht="16.5" thickBot="1">
      <c r="A270" s="8">
        <v>29</v>
      </c>
      <c r="B270" s="2" t="s">
        <v>262</v>
      </c>
      <c r="C270" s="699"/>
      <c r="D270" s="723">
        <v>0</v>
      </c>
      <c r="E270" s="722">
        <v>0.5</v>
      </c>
      <c r="F270" s="721"/>
      <c r="G270" s="720">
        <f>Q270+Q271</f>
        <v>0.1052</v>
      </c>
      <c r="H270" s="699"/>
      <c r="I270" s="719">
        <f>E270*G270</f>
        <v>5.2600000000000001E-2</v>
      </c>
      <c r="J270" s="675"/>
      <c r="K270" s="699"/>
      <c r="L270" s="839"/>
      <c r="M270" s="715" t="s">
        <v>915</v>
      </c>
      <c r="N270" s="714"/>
      <c r="O270" s="714"/>
      <c r="P270" s="714"/>
      <c r="Q270" s="713">
        <v>0.1002</v>
      </c>
      <c r="T270" s="1"/>
    </row>
    <row r="271" spans="1:20">
      <c r="A271" s="8">
        <v>30</v>
      </c>
      <c r="B271" s="2" t="s">
        <v>263</v>
      </c>
      <c r="C271" s="699"/>
      <c r="D271" s="718">
        <f>SUM(D268:D270)</f>
        <v>0</v>
      </c>
      <c r="E271" s="675" t="s">
        <v>3</v>
      </c>
      <c r="F271" s="675"/>
      <c r="G271" s="675"/>
      <c r="H271" s="675"/>
      <c r="I271" s="717">
        <f>SUM(I268:I270)</f>
        <v>7.2512768845729297E-2</v>
      </c>
      <c r="J271" s="716" t="s">
        <v>264</v>
      </c>
      <c r="K271" s="699"/>
      <c r="L271" s="838"/>
      <c r="M271" s="715" t="s">
        <v>914</v>
      </c>
      <c r="N271" s="714"/>
      <c r="O271" s="714"/>
      <c r="P271" s="714"/>
      <c r="Q271" s="713">
        <v>5.0000000000000001E-3</v>
      </c>
    </row>
    <row r="272" spans="1:20" ht="11.25" customHeight="1">
      <c r="A272" s="699"/>
      <c r="B272" s="699"/>
      <c r="C272" s="699"/>
      <c r="D272" s="699"/>
      <c r="E272" s="675"/>
      <c r="F272" s="675"/>
      <c r="G272" s="675"/>
      <c r="H272" s="675"/>
      <c r="I272" s="699"/>
      <c r="J272" s="699"/>
      <c r="K272" s="699"/>
      <c r="M272" s="712"/>
      <c r="N272" s="711"/>
      <c r="O272" s="711"/>
      <c r="P272" s="711"/>
      <c r="Q272" s="710"/>
    </row>
    <row r="273" spans="1:20">
      <c r="A273" s="8"/>
      <c r="B273" s="2" t="s">
        <v>265</v>
      </c>
      <c r="C273" s="7"/>
      <c r="D273" s="7"/>
      <c r="E273" s="7"/>
      <c r="F273" s="7"/>
      <c r="G273" s="7"/>
      <c r="H273" s="7"/>
      <c r="I273" s="7"/>
      <c r="J273" s="7"/>
      <c r="K273" s="7"/>
    </row>
    <row r="274" spans="1:20" ht="11.25" customHeight="1" thickBot="1">
      <c r="A274" s="8"/>
      <c r="B274" s="2"/>
      <c r="C274" s="2"/>
      <c r="D274" s="2"/>
      <c r="E274" s="2"/>
      <c r="F274" s="2"/>
      <c r="G274" s="2"/>
      <c r="H274" s="2"/>
      <c r="I274" s="9" t="s">
        <v>266</v>
      </c>
      <c r="J274" s="27"/>
      <c r="K274" s="699"/>
    </row>
    <row r="275" spans="1:20">
      <c r="A275" s="8"/>
      <c r="B275" s="2" t="s">
        <v>267</v>
      </c>
      <c r="C275" s="7"/>
      <c r="D275" s="7" t="s">
        <v>268</v>
      </c>
      <c r="E275" s="7" t="s">
        <v>269</v>
      </c>
      <c r="F275" s="7"/>
      <c r="G275" s="28" t="s">
        <v>3</v>
      </c>
      <c r="H275" s="709"/>
      <c r="I275" s="689"/>
      <c r="J275" s="689"/>
      <c r="K275" s="699"/>
      <c r="L275" s="693"/>
      <c r="M275" s="693"/>
      <c r="N275" s="693"/>
      <c r="O275" s="693"/>
      <c r="P275" s="693"/>
      <c r="Q275" s="693"/>
      <c r="R275" s="693"/>
      <c r="S275" s="693"/>
      <c r="T275" s="693"/>
    </row>
    <row r="276" spans="1:20">
      <c r="A276" s="8">
        <v>31</v>
      </c>
      <c r="B276" s="699" t="s">
        <v>270</v>
      </c>
      <c r="C276" s="7"/>
      <c r="D276" s="7"/>
      <c r="E276" s="699"/>
      <c r="F276" s="7"/>
      <c r="G276" s="699"/>
      <c r="H276" s="709"/>
      <c r="I276" s="29">
        <v>0</v>
      </c>
      <c r="J276" s="705"/>
      <c r="K276" s="699"/>
    </row>
    <row r="277" spans="1:20" ht="16.5" thickBot="1">
      <c r="A277" s="8">
        <v>32</v>
      </c>
      <c r="B277" s="708" t="s">
        <v>271</v>
      </c>
      <c r="C277" s="707"/>
      <c r="D277" s="706"/>
      <c r="E277" s="30"/>
      <c r="F277" s="30"/>
      <c r="G277" s="30"/>
      <c r="H277" s="7"/>
      <c r="I277" s="31">
        <v>0</v>
      </c>
      <c r="J277" s="705"/>
      <c r="K277" s="699"/>
    </row>
    <row r="278" spans="1:20">
      <c r="A278" s="8">
        <v>33</v>
      </c>
      <c r="B278" s="699" t="s">
        <v>272</v>
      </c>
      <c r="C278" s="7"/>
      <c r="D278" s="699"/>
      <c r="E278" s="7"/>
      <c r="F278" s="7"/>
      <c r="G278" s="7"/>
      <c r="H278" s="7"/>
      <c r="I278" s="32">
        <f>I276-I277</f>
        <v>0</v>
      </c>
      <c r="J278" s="705"/>
      <c r="K278" s="699"/>
    </row>
    <row r="279" spans="1:20" ht="11.25" customHeight="1">
      <c r="A279" s="8"/>
      <c r="B279" s="699"/>
      <c r="C279" s="7"/>
      <c r="D279" s="699"/>
      <c r="E279" s="7"/>
      <c r="F279" s="7"/>
      <c r="G279" s="7"/>
      <c r="H279" s="7"/>
      <c r="I279" s="704"/>
      <c r="J279" s="689"/>
      <c r="K279" s="699"/>
      <c r="L279" s="699"/>
    </row>
    <row r="280" spans="1:20">
      <c r="A280" s="8">
        <v>34</v>
      </c>
      <c r="B280" s="2" t="s">
        <v>273</v>
      </c>
      <c r="C280" s="7"/>
      <c r="D280" s="699"/>
      <c r="E280" s="7"/>
      <c r="F280" s="7"/>
      <c r="G280" s="33"/>
      <c r="H280" s="7"/>
      <c r="I280" s="921">
        <f>ROUND('Revenue (pg.4)'!G18,0)</f>
        <v>1600000</v>
      </c>
      <c r="J280" s="689"/>
      <c r="K280" s="703"/>
      <c r="L280" s="701"/>
    </row>
    <row r="281" spans="1:20" ht="11.25" customHeight="1">
      <c r="A281" s="8"/>
      <c r="B281" s="699"/>
      <c r="C281" s="7"/>
      <c r="D281" s="7"/>
      <c r="E281" s="7"/>
      <c r="F281" s="7"/>
      <c r="G281" s="7"/>
      <c r="H281" s="7"/>
      <c r="I281" s="874"/>
      <c r="J281" s="689"/>
      <c r="K281" s="703"/>
      <c r="L281" s="701"/>
    </row>
    <row r="282" spans="1:20">
      <c r="A282" s="699"/>
      <c r="B282" s="2" t="s">
        <v>274</v>
      </c>
      <c r="C282" s="7"/>
      <c r="D282" s="7" t="s">
        <v>275</v>
      </c>
      <c r="E282" s="7"/>
      <c r="F282" s="7"/>
      <c r="G282" s="7"/>
      <c r="H282" s="7"/>
      <c r="I282" s="38"/>
      <c r="J282" s="699"/>
      <c r="K282" s="702"/>
      <c r="L282" s="701"/>
    </row>
    <row r="283" spans="1:20">
      <c r="A283" s="8">
        <v>35</v>
      </c>
      <c r="B283" s="2" t="s">
        <v>276</v>
      </c>
      <c r="C283" s="675"/>
      <c r="D283" s="675"/>
      <c r="E283" s="675"/>
      <c r="F283" s="675"/>
      <c r="G283" s="675"/>
      <c r="H283" s="675"/>
      <c r="I283" s="922">
        <f>ROUND('Revenue (pg.4)'!F18,0)</f>
        <v>756268499</v>
      </c>
      <c r="J283" s="675"/>
      <c r="K283" s="702"/>
      <c r="L283" s="701"/>
    </row>
    <row r="284" spans="1:20">
      <c r="A284" s="8">
        <v>36</v>
      </c>
      <c r="B284" s="35" t="s">
        <v>277</v>
      </c>
      <c r="C284" s="30"/>
      <c r="D284" s="30"/>
      <c r="E284" s="30"/>
      <c r="F284" s="30"/>
      <c r="G284" s="7"/>
      <c r="H284" s="7"/>
      <c r="I284" s="922">
        <f>ROUND('Revenue (pg.4)'!B18,0)</f>
        <v>608931729</v>
      </c>
      <c r="J284" s="699"/>
      <c r="K284" s="36"/>
      <c r="L284" s="701"/>
    </row>
    <row r="285" spans="1:20">
      <c r="A285" s="698" t="s">
        <v>278</v>
      </c>
      <c r="B285" s="700" t="s">
        <v>279</v>
      </c>
      <c r="C285" s="695"/>
      <c r="D285" s="30"/>
      <c r="E285" s="30"/>
      <c r="F285" s="30"/>
      <c r="G285" s="7"/>
      <c r="H285" s="7"/>
      <c r="I285" s="922">
        <f>ROUND('ATC Att GG'!M110,0)</f>
        <v>94230025</v>
      </c>
      <c r="J285" s="699"/>
      <c r="K285" s="36"/>
      <c r="L285" s="701"/>
    </row>
    <row r="286" spans="1:20" s="693" customFormat="1" ht="16.5" thickBot="1">
      <c r="A286" s="698" t="s">
        <v>280</v>
      </c>
      <c r="B286" s="697" t="s">
        <v>281</v>
      </c>
      <c r="C286" s="696"/>
      <c r="D286" s="695"/>
      <c r="E286" s="695"/>
      <c r="F286" s="695"/>
      <c r="G286" s="695"/>
      <c r="H286" s="676"/>
      <c r="I286" s="923">
        <f>ROUND('ATC Att MM'!Q100,0)</f>
        <v>44706745</v>
      </c>
      <c r="J286" s="692"/>
      <c r="K286" s="694"/>
      <c r="L286" s="701"/>
      <c r="M286" s="673"/>
    </row>
    <row r="287" spans="1:20">
      <c r="A287" s="8">
        <v>37</v>
      </c>
      <c r="B287" s="692" t="s">
        <v>282</v>
      </c>
      <c r="C287" s="8"/>
      <c r="D287" s="675"/>
      <c r="E287" s="675"/>
      <c r="F287" s="675"/>
      <c r="G287" s="675"/>
      <c r="H287" s="7"/>
      <c r="I287" s="924">
        <f>I283-I284-I285-I286</f>
        <v>8400000</v>
      </c>
      <c r="J287" s="675"/>
      <c r="K287" s="674"/>
      <c r="L287" s="701"/>
    </row>
    <row r="288" spans="1:20">
      <c r="A288" s="8"/>
      <c r="B288" s="38"/>
      <c r="C288" s="8"/>
      <c r="D288" s="675"/>
      <c r="E288" s="675"/>
      <c r="F288" s="675"/>
      <c r="G288" s="675"/>
      <c r="H288" s="7"/>
      <c r="I288" s="657"/>
      <c r="J288" s="675"/>
      <c r="K288" s="674"/>
      <c r="L288" s="701"/>
    </row>
    <row r="289" spans="1:12">
      <c r="A289" s="8"/>
      <c r="B289" s="38"/>
      <c r="C289" s="8"/>
      <c r="D289" s="675"/>
      <c r="E289" s="675"/>
      <c r="F289" s="675"/>
      <c r="G289" s="675"/>
      <c r="H289" s="7"/>
      <c r="I289" s="657"/>
      <c r="J289" s="675"/>
      <c r="K289" s="674"/>
      <c r="L289" s="8"/>
    </row>
    <row r="290" spans="1:12">
      <c r="A290" s="8"/>
      <c r="B290" s="2"/>
      <c r="C290" s="7"/>
      <c r="D290" s="675"/>
      <c r="E290" s="675"/>
      <c r="F290" s="675"/>
      <c r="G290" s="675"/>
      <c r="H290" s="7"/>
      <c r="I290" s="675"/>
      <c r="J290" s="7"/>
      <c r="K290" s="691" t="s">
        <v>283</v>
      </c>
      <c r="L290" s="7"/>
    </row>
    <row r="291" spans="1:12">
      <c r="A291" s="8"/>
      <c r="B291" s="2"/>
      <c r="C291" s="7"/>
      <c r="D291" s="675"/>
      <c r="E291" s="675"/>
      <c r="F291" s="675"/>
      <c r="G291" s="675"/>
      <c r="H291" s="7"/>
      <c r="I291" s="675"/>
      <c r="J291" s="7"/>
      <c r="K291" s="675"/>
      <c r="L291" s="7"/>
    </row>
    <row r="292" spans="1:12">
      <c r="A292" s="8"/>
      <c r="B292" s="38" t="s">
        <v>1</v>
      </c>
      <c r="C292" s="8"/>
      <c r="D292" s="675" t="s">
        <v>2</v>
      </c>
      <c r="E292" s="675"/>
      <c r="F292" s="675"/>
      <c r="G292" s="675"/>
      <c r="H292" s="7"/>
      <c r="J292" s="689"/>
      <c r="K292" s="690" t="str">
        <f>K3</f>
        <v>For the 12 months ended 12/31/2022</v>
      </c>
      <c r="L292" s="8"/>
    </row>
    <row r="293" spans="1:12">
      <c r="A293" s="8"/>
      <c r="B293" s="38"/>
      <c r="C293" s="8"/>
      <c r="D293" s="675" t="s">
        <v>4</v>
      </c>
      <c r="E293" s="675"/>
      <c r="F293" s="675"/>
      <c r="G293" s="675"/>
      <c r="H293" s="7"/>
      <c r="I293" s="39"/>
      <c r="J293" s="689"/>
      <c r="K293" s="674"/>
      <c r="L293" s="8"/>
    </row>
    <row r="294" spans="1:12">
      <c r="A294" s="8"/>
      <c r="B294" s="38"/>
      <c r="C294" s="8"/>
      <c r="D294" s="675"/>
      <c r="E294" s="675"/>
      <c r="F294" s="675"/>
      <c r="G294" s="675"/>
      <c r="H294" s="7"/>
      <c r="I294" s="39"/>
      <c r="J294" s="689"/>
      <c r="K294" s="674"/>
      <c r="L294" s="8"/>
    </row>
    <row r="295" spans="1:12">
      <c r="A295" s="964" t="str">
        <f>A6</f>
        <v>American Transmission Company LLC</v>
      </c>
      <c r="B295" s="964"/>
      <c r="C295" s="964"/>
      <c r="D295" s="964"/>
      <c r="E295" s="964"/>
      <c r="F295" s="964"/>
      <c r="G295" s="964"/>
      <c r="H295" s="964"/>
      <c r="I295" s="964"/>
      <c r="J295" s="964"/>
      <c r="K295" s="964"/>
      <c r="L295" s="8"/>
    </row>
    <row r="296" spans="1:12">
      <c r="A296" s="8"/>
      <c r="B296" s="38"/>
      <c r="C296" s="8"/>
      <c r="D296" s="675"/>
      <c r="E296" s="675"/>
      <c r="F296" s="675"/>
      <c r="G296" s="675"/>
      <c r="H296" s="7"/>
      <c r="I296" s="39"/>
      <c r="J296" s="689"/>
      <c r="K296" s="674"/>
      <c r="L296" s="8"/>
    </row>
    <row r="297" spans="1:12">
      <c r="A297" s="8"/>
      <c r="B297" s="2" t="s">
        <v>284</v>
      </c>
      <c r="C297" s="8"/>
      <c r="D297" s="675"/>
      <c r="E297" s="675"/>
      <c r="F297" s="675"/>
      <c r="G297" s="675"/>
      <c r="H297" s="7"/>
      <c r="I297" s="675"/>
      <c r="J297" s="7"/>
      <c r="K297" s="675"/>
      <c r="L297" s="8"/>
    </row>
    <row r="298" spans="1:12">
      <c r="A298" s="8"/>
      <c r="B298" s="40" t="s">
        <v>285</v>
      </c>
      <c r="C298" s="8"/>
      <c r="D298" s="675"/>
      <c r="E298" s="675"/>
      <c r="F298" s="675"/>
      <c r="G298" s="675"/>
      <c r="H298" s="7"/>
      <c r="I298" s="675"/>
      <c r="J298" s="7"/>
      <c r="K298" s="675"/>
      <c r="L298" s="8"/>
    </row>
    <row r="299" spans="1:12">
      <c r="A299" s="8" t="s">
        <v>286</v>
      </c>
      <c r="B299" s="2"/>
      <c r="C299" s="7"/>
      <c r="D299" s="675"/>
      <c r="E299" s="675"/>
      <c r="F299" s="675"/>
      <c r="G299" s="675"/>
      <c r="H299" s="7"/>
      <c r="I299" s="675"/>
      <c r="J299" s="7"/>
      <c r="K299" s="675"/>
      <c r="L299" s="8"/>
    </row>
    <row r="300" spans="1:12" ht="16.5" thickBot="1">
      <c r="A300" s="9" t="s">
        <v>287</v>
      </c>
      <c r="B300" s="970"/>
      <c r="C300" s="970"/>
      <c r="D300" s="688"/>
      <c r="E300" s="688"/>
      <c r="F300" s="688"/>
      <c r="G300" s="688"/>
      <c r="H300" s="41"/>
      <c r="I300" s="688"/>
      <c r="J300" s="41"/>
      <c r="K300" s="688"/>
      <c r="L300" s="8"/>
    </row>
    <row r="301" spans="1:12" s="686" customFormat="1">
      <c r="A301" s="42" t="s">
        <v>288</v>
      </c>
      <c r="B301" s="965" t="s">
        <v>289</v>
      </c>
      <c r="C301" s="965"/>
      <c r="D301" s="965"/>
      <c r="E301" s="965"/>
      <c r="F301" s="965"/>
      <c r="G301" s="965"/>
      <c r="H301" s="965"/>
      <c r="I301" s="965"/>
      <c r="J301" s="965"/>
      <c r="K301" s="965"/>
      <c r="L301" s="45"/>
    </row>
    <row r="302" spans="1:12" s="686" customFormat="1">
      <c r="A302" s="42" t="s">
        <v>290</v>
      </c>
      <c r="B302" s="965" t="s">
        <v>291</v>
      </c>
      <c r="C302" s="965"/>
      <c r="D302" s="965"/>
      <c r="E302" s="965"/>
      <c r="F302" s="965"/>
      <c r="G302" s="965"/>
      <c r="H302" s="965"/>
      <c r="I302" s="965"/>
      <c r="J302" s="965"/>
      <c r="K302" s="965"/>
      <c r="L302" s="45"/>
    </row>
    <row r="303" spans="1:12" s="686" customFormat="1">
      <c r="A303" s="42" t="s">
        <v>292</v>
      </c>
      <c r="B303" s="965" t="s">
        <v>293</v>
      </c>
      <c r="C303" s="965"/>
      <c r="D303" s="965"/>
      <c r="E303" s="965"/>
      <c r="F303" s="965"/>
      <c r="G303" s="965"/>
      <c r="H303" s="965"/>
      <c r="I303" s="965"/>
      <c r="J303" s="965"/>
      <c r="K303" s="965"/>
      <c r="L303" s="687"/>
    </row>
    <row r="304" spans="1:12" s="686" customFormat="1">
      <c r="A304" s="42" t="s">
        <v>294</v>
      </c>
      <c r="B304" s="965" t="s">
        <v>293</v>
      </c>
      <c r="C304" s="965"/>
      <c r="D304" s="965"/>
      <c r="E304" s="965"/>
      <c r="F304" s="965"/>
      <c r="G304" s="965"/>
      <c r="H304" s="965"/>
      <c r="I304" s="965"/>
      <c r="J304" s="965"/>
      <c r="K304" s="965"/>
      <c r="L304" s="687"/>
    </row>
    <row r="305" spans="1:16" s="686" customFormat="1">
      <c r="A305" s="42" t="s">
        <v>295</v>
      </c>
      <c r="B305" s="965" t="s">
        <v>296</v>
      </c>
      <c r="C305" s="965"/>
      <c r="D305" s="965"/>
      <c r="E305" s="965"/>
      <c r="F305" s="965"/>
      <c r="G305" s="965"/>
      <c r="H305" s="965"/>
      <c r="I305" s="965"/>
      <c r="J305" s="965"/>
      <c r="K305" s="965"/>
      <c r="L305" s="45"/>
    </row>
    <row r="306" spans="1:16" s="686" customFormat="1" ht="66.75" customHeight="1">
      <c r="A306" s="42" t="s">
        <v>297</v>
      </c>
      <c r="B306" s="965" t="s">
        <v>298</v>
      </c>
      <c r="C306" s="965"/>
      <c r="D306" s="965"/>
      <c r="E306" s="965"/>
      <c r="F306" s="965"/>
      <c r="G306" s="965"/>
      <c r="H306" s="965"/>
      <c r="I306" s="965"/>
      <c r="J306" s="965"/>
      <c r="K306" s="965"/>
      <c r="L306" s="45"/>
    </row>
    <row r="307" spans="1:16" s="686" customFormat="1">
      <c r="A307" s="42" t="s">
        <v>299</v>
      </c>
      <c r="B307" s="965" t="s">
        <v>300</v>
      </c>
      <c r="C307" s="965"/>
      <c r="D307" s="965"/>
      <c r="E307" s="965"/>
      <c r="F307" s="965"/>
      <c r="G307" s="965"/>
      <c r="H307" s="965"/>
      <c r="I307" s="965"/>
      <c r="J307" s="965"/>
      <c r="K307" s="965"/>
      <c r="L307" s="45"/>
    </row>
    <row r="308" spans="1:16" s="686" customFormat="1" ht="32.25" customHeight="1">
      <c r="A308" s="42" t="s">
        <v>301</v>
      </c>
      <c r="B308" s="965" t="s">
        <v>302</v>
      </c>
      <c r="C308" s="965"/>
      <c r="D308" s="965"/>
      <c r="E308" s="965"/>
      <c r="F308" s="965"/>
      <c r="G308" s="965"/>
      <c r="H308" s="965"/>
      <c r="I308" s="965"/>
      <c r="J308" s="965"/>
      <c r="K308" s="965"/>
      <c r="L308" s="45"/>
    </row>
    <row r="309" spans="1:16" s="686" customFormat="1" ht="32.25" customHeight="1">
      <c r="A309" s="42" t="s">
        <v>303</v>
      </c>
      <c r="B309" s="965" t="s">
        <v>304</v>
      </c>
      <c r="C309" s="965"/>
      <c r="D309" s="965"/>
      <c r="E309" s="965"/>
      <c r="F309" s="965"/>
      <c r="G309" s="965"/>
      <c r="H309" s="965"/>
      <c r="I309" s="965"/>
      <c r="J309" s="965"/>
      <c r="K309" s="965"/>
      <c r="L309" s="45"/>
    </row>
    <row r="310" spans="1:16" s="686" customFormat="1" ht="32.25" customHeight="1">
      <c r="A310" s="42" t="s">
        <v>305</v>
      </c>
      <c r="B310" s="965" t="s">
        <v>306</v>
      </c>
      <c r="C310" s="965"/>
      <c r="D310" s="965"/>
      <c r="E310" s="965"/>
      <c r="F310" s="965"/>
      <c r="G310" s="965"/>
      <c r="H310" s="965"/>
      <c r="I310" s="965"/>
      <c r="J310" s="965"/>
      <c r="K310" s="965"/>
      <c r="L310" s="45"/>
    </row>
    <row r="311" spans="1:16" s="686" customFormat="1" ht="94.5" customHeight="1">
      <c r="A311" s="42" t="s">
        <v>307</v>
      </c>
      <c r="B311" s="965" t="s">
        <v>908</v>
      </c>
      <c r="C311" s="965"/>
      <c r="D311" s="965"/>
      <c r="E311" s="965"/>
      <c r="F311" s="965"/>
      <c r="G311" s="965"/>
      <c r="H311" s="965"/>
      <c r="I311" s="965"/>
      <c r="J311" s="965"/>
      <c r="K311" s="965"/>
      <c r="L311" s="45"/>
    </row>
    <row r="312" spans="1:16">
      <c r="A312" s="8" t="s">
        <v>3</v>
      </c>
      <c r="B312" s="12" t="s">
        <v>308</v>
      </c>
      <c r="C312" s="12" t="s">
        <v>309</v>
      </c>
      <c r="D312" s="43">
        <f>'SIT (pg. 5)'!C24</f>
        <v>0.21</v>
      </c>
      <c r="E312" s="12"/>
      <c r="F312" s="12"/>
      <c r="G312" s="12"/>
      <c r="H312" s="12"/>
      <c r="I312" s="12"/>
      <c r="J312" s="12"/>
      <c r="K312" s="12"/>
      <c r="L312" s="648"/>
      <c r="P312" s="44"/>
    </row>
    <row r="313" spans="1:16">
      <c r="A313" s="8"/>
      <c r="B313" s="12"/>
      <c r="C313" s="12" t="s">
        <v>310</v>
      </c>
      <c r="D313" s="43">
        <f>'SIT (pg. 5)'!C35</f>
        <v>7.4981467100000004E-2</v>
      </c>
      <c r="E313" s="12" t="s">
        <v>311</v>
      </c>
      <c r="F313" s="12"/>
      <c r="G313" s="12"/>
      <c r="H313" s="12"/>
      <c r="I313" s="12"/>
      <c r="J313" s="12"/>
      <c r="K313" s="12"/>
      <c r="L313" s="648"/>
      <c r="P313" s="44"/>
    </row>
    <row r="314" spans="1:16">
      <c r="A314" s="8"/>
      <c r="B314" s="12"/>
      <c r="C314" s="12" t="s">
        <v>312</v>
      </c>
      <c r="D314" s="43">
        <v>0</v>
      </c>
      <c r="E314" s="12" t="s">
        <v>313</v>
      </c>
      <c r="F314" s="12"/>
      <c r="G314" s="12"/>
      <c r="H314" s="12"/>
      <c r="I314" s="12"/>
      <c r="J314" s="12"/>
      <c r="K314" s="12"/>
      <c r="L314" s="648"/>
      <c r="P314" s="44"/>
    </row>
    <row r="315" spans="1:16">
      <c r="A315" s="8"/>
      <c r="B315" s="12"/>
      <c r="C315" s="12" t="s">
        <v>314</v>
      </c>
      <c r="D315" s="43">
        <f>'TEP (pg. 5)'!D24</f>
        <v>9.2083913642219239E-2</v>
      </c>
      <c r="E315" s="12" t="s">
        <v>315</v>
      </c>
      <c r="F315" s="12"/>
      <c r="G315" s="12"/>
      <c r="H315" s="12"/>
      <c r="I315" s="12"/>
      <c r="J315" s="12"/>
      <c r="K315" s="12"/>
      <c r="L315" s="648"/>
      <c r="P315" s="44"/>
    </row>
    <row r="316" spans="1:16" s="683" customFormat="1" ht="50.25" customHeight="1">
      <c r="A316" s="45" t="s">
        <v>316</v>
      </c>
      <c r="B316" s="965" t="s">
        <v>317</v>
      </c>
      <c r="C316" s="965"/>
      <c r="D316" s="965"/>
      <c r="E316" s="965"/>
      <c r="F316" s="965"/>
      <c r="G316" s="965"/>
      <c r="H316" s="965"/>
      <c r="I316" s="965"/>
      <c r="J316" s="965"/>
      <c r="K316" s="965"/>
      <c r="L316" s="648"/>
    </row>
    <row r="317" spans="1:16" s="683" customFormat="1" ht="32.25" customHeight="1">
      <c r="A317" s="45" t="s">
        <v>318</v>
      </c>
      <c r="B317" s="965" t="s">
        <v>319</v>
      </c>
      <c r="C317" s="965"/>
      <c r="D317" s="965"/>
      <c r="E317" s="965"/>
      <c r="F317" s="965"/>
      <c r="G317" s="965"/>
      <c r="H317" s="965"/>
      <c r="I317" s="965"/>
      <c r="J317" s="965"/>
      <c r="K317" s="965"/>
      <c r="L317" s="648"/>
    </row>
    <row r="318" spans="1:16" s="683" customFormat="1" ht="51" customHeight="1">
      <c r="A318" s="45" t="s">
        <v>320</v>
      </c>
      <c r="B318" s="965" t="s">
        <v>321</v>
      </c>
      <c r="C318" s="965"/>
      <c r="D318" s="965"/>
      <c r="E318" s="965"/>
      <c r="F318" s="965"/>
      <c r="G318" s="965"/>
      <c r="H318" s="965"/>
      <c r="I318" s="965"/>
      <c r="J318" s="965"/>
      <c r="K318" s="965"/>
      <c r="L318" s="648"/>
    </row>
    <row r="319" spans="1:16" s="683" customFormat="1">
      <c r="A319" s="45" t="s">
        <v>322</v>
      </c>
      <c r="B319" s="965" t="s">
        <v>323</v>
      </c>
      <c r="C319" s="965"/>
      <c r="D319" s="965"/>
      <c r="E319" s="965"/>
      <c r="F319" s="965"/>
      <c r="G319" s="965"/>
      <c r="H319" s="965"/>
      <c r="I319" s="965"/>
      <c r="J319" s="965"/>
      <c r="K319" s="965"/>
      <c r="L319" s="648"/>
    </row>
    <row r="320" spans="1:16" s="683" customFormat="1" ht="51" customHeight="1">
      <c r="A320" s="45" t="s">
        <v>324</v>
      </c>
      <c r="B320" s="965" t="s">
        <v>325</v>
      </c>
      <c r="C320" s="965"/>
      <c r="D320" s="965"/>
      <c r="E320" s="965"/>
      <c r="F320" s="965"/>
      <c r="G320" s="965"/>
      <c r="H320" s="965"/>
      <c r="I320" s="965"/>
      <c r="J320" s="965"/>
      <c r="K320" s="965"/>
      <c r="L320" s="648"/>
    </row>
    <row r="321" spans="1:12" s="683" customFormat="1" ht="32.25" customHeight="1">
      <c r="A321" s="45" t="s">
        <v>326</v>
      </c>
      <c r="B321" s="965" t="s">
        <v>327</v>
      </c>
      <c r="C321" s="965"/>
      <c r="D321" s="965"/>
      <c r="E321" s="965"/>
      <c r="F321" s="965"/>
      <c r="G321" s="965"/>
      <c r="H321" s="965"/>
      <c r="I321" s="965"/>
      <c r="J321" s="965"/>
      <c r="K321" s="965"/>
      <c r="L321" s="648"/>
    </row>
    <row r="322" spans="1:12" s="683" customFormat="1">
      <c r="A322" s="45" t="s">
        <v>328</v>
      </c>
      <c r="B322" s="965" t="s">
        <v>329</v>
      </c>
      <c r="C322" s="965"/>
      <c r="D322" s="965"/>
      <c r="E322" s="965"/>
      <c r="F322" s="965"/>
      <c r="G322" s="965"/>
      <c r="H322" s="965"/>
      <c r="I322" s="965"/>
      <c r="J322" s="965"/>
      <c r="K322" s="965"/>
      <c r="L322" s="648"/>
    </row>
    <row r="323" spans="1:12" s="683" customFormat="1" ht="48" customHeight="1">
      <c r="A323" s="45" t="s">
        <v>330</v>
      </c>
      <c r="B323" s="965" t="s">
        <v>331</v>
      </c>
      <c r="C323" s="965"/>
      <c r="D323" s="965"/>
      <c r="E323" s="965"/>
      <c r="F323" s="965"/>
      <c r="G323" s="965"/>
      <c r="H323" s="965"/>
      <c r="I323" s="965"/>
      <c r="J323" s="965"/>
      <c r="K323" s="965"/>
      <c r="L323" s="648"/>
    </row>
    <row r="324" spans="1:12" s="683" customFormat="1" ht="62.25" customHeight="1">
      <c r="A324" s="685" t="s">
        <v>332</v>
      </c>
      <c r="B324" s="969" t="s">
        <v>333</v>
      </c>
      <c r="C324" s="965"/>
      <c r="D324" s="965"/>
      <c r="E324" s="965"/>
      <c r="F324" s="965"/>
      <c r="G324" s="965"/>
      <c r="H324" s="965"/>
      <c r="I324" s="965"/>
      <c r="J324" s="965"/>
      <c r="K324" s="965"/>
      <c r="L324" s="12"/>
    </row>
    <row r="325" spans="1:12" s="683" customFormat="1" ht="32.25" customHeight="1">
      <c r="A325" s="685" t="s">
        <v>334</v>
      </c>
      <c r="B325" s="965" t="s">
        <v>335</v>
      </c>
      <c r="C325" s="965"/>
      <c r="D325" s="965"/>
      <c r="E325" s="965"/>
      <c r="F325" s="965"/>
      <c r="G325" s="965"/>
      <c r="H325" s="965"/>
      <c r="I325" s="965"/>
      <c r="J325" s="965"/>
      <c r="K325" s="965"/>
      <c r="L325" s="12"/>
    </row>
    <row r="326" spans="1:12" s="683" customFormat="1">
      <c r="A326" s="684" t="s">
        <v>336</v>
      </c>
      <c r="B326" s="967" t="s">
        <v>337</v>
      </c>
      <c r="C326" s="968"/>
      <c r="D326" s="968"/>
      <c r="E326" s="968"/>
      <c r="F326" s="968"/>
      <c r="G326" s="968"/>
      <c r="H326" s="968"/>
      <c r="I326" s="968"/>
      <c r="J326" s="968"/>
      <c r="K326" s="968"/>
      <c r="L326" s="648"/>
    </row>
    <row r="327" spans="1:12" s="683" customFormat="1">
      <c r="A327" s="684" t="s">
        <v>338</v>
      </c>
      <c r="B327" s="968" t="s">
        <v>339</v>
      </c>
      <c r="C327" s="968"/>
      <c r="D327" s="968"/>
      <c r="E327" s="968"/>
      <c r="F327" s="968"/>
      <c r="G327" s="968"/>
      <c r="H327" s="968"/>
      <c r="I327" s="968"/>
      <c r="J327" s="968"/>
      <c r="K327" s="968"/>
      <c r="L327" s="648"/>
    </row>
    <row r="328" spans="1:12" s="682" customFormat="1" ht="32.25" customHeight="1">
      <c r="A328" s="679" t="s">
        <v>340</v>
      </c>
      <c r="B328" s="968" t="s">
        <v>341</v>
      </c>
      <c r="C328" s="968"/>
      <c r="D328" s="968"/>
      <c r="E328" s="968"/>
      <c r="F328" s="968"/>
      <c r="G328" s="968"/>
      <c r="H328" s="968"/>
      <c r="I328" s="968"/>
      <c r="J328" s="968"/>
      <c r="K328" s="968"/>
      <c r="L328" s="681"/>
    </row>
    <row r="329" spans="1:12" s="681" customFormat="1" ht="32.25" customHeight="1">
      <c r="A329" s="679" t="s">
        <v>342</v>
      </c>
      <c r="B329" s="968" t="s">
        <v>343</v>
      </c>
      <c r="C329" s="968"/>
      <c r="D329" s="968"/>
      <c r="E329" s="968"/>
      <c r="F329" s="968"/>
      <c r="G329" s="968"/>
      <c r="H329" s="968"/>
      <c r="I329" s="968"/>
      <c r="J329" s="968"/>
      <c r="K329" s="968"/>
    </row>
    <row r="330" spans="1:12" ht="36.75" customHeight="1">
      <c r="A330" s="680" t="s">
        <v>344</v>
      </c>
      <c r="B330" s="968" t="s">
        <v>913</v>
      </c>
      <c r="C330" s="968"/>
      <c r="D330" s="968"/>
      <c r="E330" s="968"/>
      <c r="F330" s="968"/>
      <c r="G330" s="968"/>
      <c r="H330" s="968"/>
      <c r="I330" s="968"/>
      <c r="J330" s="968"/>
      <c r="K330" s="968"/>
      <c r="L330" s="8"/>
    </row>
    <row r="331" spans="1:12" ht="33.75" customHeight="1">
      <c r="A331" s="679" t="s">
        <v>345</v>
      </c>
      <c r="B331" s="968" t="s">
        <v>346</v>
      </c>
      <c r="C331" s="968"/>
      <c r="D331" s="968"/>
      <c r="E331" s="968"/>
      <c r="F331" s="968"/>
      <c r="G331" s="968"/>
      <c r="H331" s="968"/>
      <c r="I331" s="968"/>
      <c r="J331" s="968"/>
      <c r="K331" s="968"/>
      <c r="L331" s="8"/>
    </row>
    <row r="332" spans="1:12" ht="36" customHeight="1">
      <c r="A332" s="679" t="s">
        <v>347</v>
      </c>
      <c r="B332" s="968" t="s">
        <v>348</v>
      </c>
      <c r="C332" s="968"/>
      <c r="D332" s="968"/>
      <c r="E332" s="968"/>
      <c r="F332" s="968"/>
      <c r="G332" s="968"/>
      <c r="H332" s="968"/>
      <c r="I332" s="968"/>
      <c r="J332" s="968"/>
      <c r="K332" s="968"/>
      <c r="L332" s="8"/>
    </row>
    <row r="333" spans="1:12">
      <c r="A333" s="678" t="s">
        <v>349</v>
      </c>
      <c r="B333" s="677" t="s">
        <v>350</v>
      </c>
      <c r="C333" s="676"/>
      <c r="D333" s="676"/>
      <c r="E333" s="676"/>
      <c r="F333" s="676"/>
      <c r="G333" s="676"/>
      <c r="H333" s="7"/>
      <c r="I333" s="657"/>
      <c r="J333" s="675"/>
      <c r="K333" s="674"/>
      <c r="L333" s="8"/>
    </row>
    <row r="334" spans="1:12">
      <c r="A334" s="678"/>
      <c r="B334" s="677"/>
      <c r="C334" s="676"/>
      <c r="D334" s="676"/>
      <c r="E334" s="676"/>
      <c r="F334" s="676"/>
      <c r="G334" s="676"/>
      <c r="H334" s="7"/>
      <c r="I334" s="657"/>
      <c r="J334" s="675"/>
      <c r="K334" s="674"/>
      <c r="L334" s="8"/>
    </row>
    <row r="335" spans="1:12">
      <c r="A335" s="678"/>
      <c r="B335" s="677"/>
      <c r="C335" s="676"/>
      <c r="D335" s="676"/>
      <c r="E335" s="676"/>
      <c r="F335" s="676"/>
      <c r="G335" s="676"/>
      <c r="H335" s="7"/>
      <c r="I335" s="657"/>
      <c r="J335" s="675"/>
      <c r="K335" s="674"/>
      <c r="L335" s="8"/>
    </row>
    <row r="336" spans="1:12">
      <c r="A336" s="678"/>
      <c r="B336" s="677"/>
      <c r="C336" s="676"/>
      <c r="D336" s="676"/>
      <c r="E336" s="676"/>
      <c r="F336" s="676"/>
      <c r="G336" s="676"/>
      <c r="H336" s="7"/>
      <c r="I336" s="657"/>
      <c r="J336" s="675"/>
      <c r="K336" s="674"/>
      <c r="L336" s="8"/>
    </row>
    <row r="337" spans="1:12">
      <c r="A337" s="678"/>
      <c r="B337" s="677"/>
      <c r="C337" s="676"/>
      <c r="D337" s="676"/>
      <c r="E337" s="676"/>
      <c r="F337" s="676"/>
      <c r="G337" s="676"/>
      <c r="H337" s="7"/>
      <c r="I337" s="657"/>
      <c r="J337" s="675"/>
      <c r="K337" s="674"/>
      <c r="L337" s="8"/>
    </row>
  </sheetData>
  <sheetProtection formatCells="0" formatColumns="0"/>
  <mergeCells count="36">
    <mergeCell ref="B332:K332"/>
    <mergeCell ref="B308:K308"/>
    <mergeCell ref="B205:C205"/>
    <mergeCell ref="B331:K331"/>
    <mergeCell ref="B300:C300"/>
    <mergeCell ref="B319:K319"/>
    <mergeCell ref="B307:K307"/>
    <mergeCell ref="B318:K318"/>
    <mergeCell ref="B329:K329"/>
    <mergeCell ref="B328:K328"/>
    <mergeCell ref="B327:K327"/>
    <mergeCell ref="B323:K323"/>
    <mergeCell ref="B322:K322"/>
    <mergeCell ref="B320:K320"/>
    <mergeCell ref="B317:K317"/>
    <mergeCell ref="B310:K310"/>
    <mergeCell ref="B326:K326"/>
    <mergeCell ref="B330:K330"/>
    <mergeCell ref="B325:K325"/>
    <mergeCell ref="B324:K324"/>
    <mergeCell ref="B321:K321"/>
    <mergeCell ref="B316:K316"/>
    <mergeCell ref="B311:K311"/>
    <mergeCell ref="B303:K303"/>
    <mergeCell ref="B209:C209"/>
    <mergeCell ref="B302:K302"/>
    <mergeCell ref="B309:K309"/>
    <mergeCell ref="B301:K301"/>
    <mergeCell ref="B306:K306"/>
    <mergeCell ref="B305:K305"/>
    <mergeCell ref="B304:K304"/>
    <mergeCell ref="A6:K6"/>
    <mergeCell ref="A80:K80"/>
    <mergeCell ref="A151:K151"/>
    <mergeCell ref="A221:K221"/>
    <mergeCell ref="A295:K295"/>
  </mergeCells>
  <pageMargins left="0.5" right="0.5" top="0.75" bottom="0.75" header="0.5" footer="0.5"/>
  <pageSetup scale="59" fitToHeight="0" orientation="portrait" r:id="rId1"/>
  <headerFooter alignWithMargins="0">
    <oddFooter>&amp;RV34
EFF 06.27.18</oddFooter>
  </headerFooter>
  <rowBreaks count="4" manualBreakCount="4">
    <brk id="74" max="10" man="1"/>
    <brk id="145" max="10" man="1"/>
    <brk id="215" max="10" man="1"/>
    <brk id="289" max="1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
    <pageSetUpPr fitToPage="1"/>
  </sheetPr>
  <dimension ref="A1:C19"/>
  <sheetViews>
    <sheetView zoomScaleNormal="100" zoomScaleSheetLayoutView="100" workbookViewId="0">
      <selection activeCell="B19" sqref="B19"/>
    </sheetView>
  </sheetViews>
  <sheetFormatPr defaultRowHeight="12.75"/>
  <cols>
    <col min="1" max="1" width="30" style="98" bestFit="1" customWidth="1"/>
    <col min="2" max="2" width="21" style="98" customWidth="1"/>
    <col min="3" max="3" width="14" style="98" bestFit="1" customWidth="1"/>
    <col min="4" max="16384" width="9.140625" style="98"/>
  </cols>
  <sheetData>
    <row r="1" spans="1:3">
      <c r="C1" s="99"/>
    </row>
    <row r="2" spans="1:3">
      <c r="A2" s="100" t="s">
        <v>437</v>
      </c>
      <c r="B2" s="91"/>
    </row>
    <row r="3" spans="1:3">
      <c r="A3" s="100" t="s">
        <v>438</v>
      </c>
      <c r="B3" s="91"/>
    </row>
    <row r="5" spans="1:3" ht="25.5">
      <c r="A5" s="91"/>
      <c r="B5" s="91" t="s">
        <v>439</v>
      </c>
    </row>
    <row r="6" spans="1:3">
      <c r="A6" s="50"/>
      <c r="B6" s="84"/>
    </row>
    <row r="7" spans="1:3">
      <c r="A7" s="668" t="e">
        <f>"January '"&amp;RIGHT(#REF!,2)</f>
        <v>#REF!</v>
      </c>
      <c r="B7" s="892">
        <v>349694</v>
      </c>
    </row>
    <row r="8" spans="1:3">
      <c r="A8" s="879" t="s">
        <v>366</v>
      </c>
      <c r="B8" s="892">
        <v>339198</v>
      </c>
    </row>
    <row r="9" spans="1:3">
      <c r="A9" s="879" t="s">
        <v>367</v>
      </c>
      <c r="B9" s="892">
        <v>332420</v>
      </c>
    </row>
    <row r="10" spans="1:3">
      <c r="A10" s="879" t="s">
        <v>368</v>
      </c>
      <c r="B10" s="892">
        <v>328958</v>
      </c>
    </row>
    <row r="11" spans="1:3">
      <c r="A11" s="879" t="s">
        <v>362</v>
      </c>
      <c r="B11" s="892">
        <v>266479</v>
      </c>
    </row>
    <row r="12" spans="1:3">
      <c r="A12" s="879" t="s">
        <v>369</v>
      </c>
      <c r="B12" s="892">
        <v>261435</v>
      </c>
    </row>
    <row r="13" spans="1:3">
      <c r="A13" s="879" t="s">
        <v>370</v>
      </c>
      <c r="B13" s="892">
        <v>249095</v>
      </c>
    </row>
    <row r="14" spans="1:3">
      <c r="A14" s="879" t="s">
        <v>371</v>
      </c>
      <c r="B14" s="892">
        <v>251130</v>
      </c>
    </row>
    <row r="15" spans="1:3">
      <c r="A15" s="879" t="s">
        <v>372</v>
      </c>
      <c r="B15" s="892">
        <v>220039</v>
      </c>
    </row>
    <row r="16" spans="1:3">
      <c r="A16" s="879" t="s">
        <v>373</v>
      </c>
      <c r="B16" s="892">
        <v>214834</v>
      </c>
    </row>
    <row r="17" spans="1:2">
      <c r="A17" s="879" t="s">
        <v>374</v>
      </c>
      <c r="B17" s="892">
        <v>203250</v>
      </c>
    </row>
    <row r="18" spans="1:2">
      <c r="A18" s="668" t="e">
        <f>"December '"&amp;RIGHT(#REF!,2)</f>
        <v>#REF!</v>
      </c>
      <c r="B18" s="892">
        <v>204351</v>
      </c>
    </row>
    <row r="19" spans="1:2" ht="15">
      <c r="A19" s="894" t="s">
        <v>15</v>
      </c>
      <c r="B19" s="895">
        <f>SUM(B7:B18)</f>
        <v>3220883</v>
      </c>
    </row>
  </sheetData>
  <pageMargins left="0.7" right="0.7" top="0.75" bottom="0.75" header="0.3" footer="0.3"/>
  <pageSetup orientation="portrait" r:id="rId1"/>
  <headerFooter>
    <oddHeader>&amp;R&amp;A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rgb="FF00FFFF"/>
  </sheetPr>
  <dimension ref="A1:V321"/>
  <sheetViews>
    <sheetView showGridLines="0" topLeftCell="A73" zoomScale="70" zoomScaleNormal="70" zoomScaleSheetLayoutView="70" workbookViewId="0">
      <selection activeCell="M110" sqref="M110"/>
    </sheetView>
  </sheetViews>
  <sheetFormatPr defaultRowHeight="15"/>
  <cols>
    <col min="1" max="1" width="7.7109375" style="123" customWidth="1"/>
    <col min="2" max="2" width="1.85546875" style="123" customWidth="1"/>
    <col min="3" max="3" width="73.5703125" style="123" customWidth="1"/>
    <col min="4" max="4" width="18.140625" style="123" customWidth="1"/>
    <col min="5" max="5" width="21.7109375" style="123" customWidth="1"/>
    <col min="6" max="7" width="18.140625" style="123" customWidth="1"/>
    <col min="8" max="8" width="17.85546875" style="123" customWidth="1"/>
    <col min="9" max="10" width="16.42578125" style="123" customWidth="1"/>
    <col min="11" max="12" width="17.42578125" style="123" customWidth="1"/>
    <col min="13" max="13" width="20.5703125" style="123" customWidth="1"/>
    <col min="14" max="14" width="16.42578125" style="123" customWidth="1"/>
    <col min="15" max="15" width="17.85546875" style="123" customWidth="1"/>
    <col min="16" max="16" width="12.28515625" style="123" customWidth="1"/>
    <col min="17" max="17" width="16.7109375" style="124" customWidth="1"/>
    <col min="18" max="18" width="9.140625" style="123"/>
    <col min="19" max="22" width="16" style="123" customWidth="1"/>
    <col min="23" max="23" width="15.42578125" style="123" customWidth="1"/>
    <col min="24" max="16384" width="9.140625" style="123"/>
  </cols>
  <sheetData>
    <row r="1" spans="1:19">
      <c r="O1" s="184"/>
    </row>
    <row r="2" spans="1:19">
      <c r="O2" s="184"/>
    </row>
    <row r="4" spans="1:19">
      <c r="O4" s="184" t="s">
        <v>555</v>
      </c>
    </row>
    <row r="5" spans="1:19" ht="15.75">
      <c r="C5" s="222" t="s">
        <v>605</v>
      </c>
      <c r="D5" s="222"/>
      <c r="E5" s="222"/>
      <c r="F5" s="222"/>
      <c r="G5" s="224" t="s">
        <v>604</v>
      </c>
      <c r="H5" s="222"/>
      <c r="I5" s="222"/>
      <c r="J5" s="222"/>
      <c r="K5" s="221"/>
      <c r="L5" s="221"/>
      <c r="M5" s="223"/>
      <c r="N5" s="219"/>
      <c r="O5" s="6" t="s">
        <v>985</v>
      </c>
      <c r="P5" s="202"/>
      <c r="Q5" s="154"/>
      <c r="R5" s="202"/>
      <c r="S5" s="202"/>
    </row>
    <row r="6" spans="1:19">
      <c r="C6" s="222"/>
      <c r="D6" s="222"/>
      <c r="E6" s="128" t="s">
        <v>3</v>
      </c>
      <c r="F6" s="128"/>
      <c r="G6" s="128" t="s">
        <v>554</v>
      </c>
      <c r="H6" s="128"/>
      <c r="I6" s="128"/>
      <c r="J6" s="128"/>
      <c r="K6" s="221"/>
      <c r="L6" s="221"/>
      <c r="N6" s="158"/>
      <c r="O6" s="221"/>
      <c r="P6" s="202"/>
      <c r="Q6" s="214"/>
      <c r="R6" s="202"/>
      <c r="S6" s="202"/>
    </row>
    <row r="7" spans="1:19">
      <c r="C7" s="158"/>
      <c r="D7" s="158"/>
      <c r="E7" s="158"/>
      <c r="F7" s="158"/>
      <c r="G7" s="158"/>
      <c r="H7" s="158"/>
      <c r="I7" s="158"/>
      <c r="J7" s="158"/>
      <c r="K7" s="158"/>
      <c r="L7" s="158"/>
      <c r="N7" s="158"/>
      <c r="O7" s="158" t="s">
        <v>603</v>
      </c>
      <c r="P7" s="202"/>
      <c r="Q7" s="154"/>
      <c r="R7" s="202"/>
      <c r="S7" s="202"/>
    </row>
    <row r="8" spans="1:19">
      <c r="A8" s="180"/>
      <c r="C8" s="158"/>
      <c r="D8" s="158"/>
      <c r="E8" s="158"/>
      <c r="F8" s="219"/>
      <c r="G8" s="220" t="s">
        <v>5</v>
      </c>
      <c r="H8" s="219"/>
      <c r="I8" s="158"/>
      <c r="J8" s="158"/>
      <c r="K8" s="158"/>
      <c r="L8" s="158"/>
      <c r="M8" s="158"/>
      <c r="N8" s="158"/>
      <c r="O8" s="158"/>
      <c r="P8" s="202"/>
      <c r="Q8" s="154"/>
      <c r="R8" s="202"/>
      <c r="S8" s="202"/>
    </row>
    <row r="9" spans="1:19">
      <c r="A9" s="180"/>
      <c r="C9" s="158"/>
      <c r="D9" s="158"/>
      <c r="E9" s="158"/>
      <c r="F9" s="158"/>
      <c r="G9" s="218"/>
      <c r="H9" s="158"/>
      <c r="I9" s="158"/>
      <c r="J9" s="158"/>
      <c r="K9" s="158"/>
      <c r="L9" s="158"/>
      <c r="M9" s="158"/>
      <c r="N9" s="158"/>
      <c r="O9" s="158"/>
      <c r="P9" s="202"/>
      <c r="Q9" s="154"/>
      <c r="R9" s="202"/>
      <c r="S9" s="202"/>
    </row>
    <row r="10" spans="1:19">
      <c r="A10" s="180"/>
      <c r="C10" s="158" t="s">
        <v>602</v>
      </c>
      <c r="D10" s="158"/>
      <c r="E10" s="158"/>
      <c r="F10" s="158"/>
      <c r="G10" s="218"/>
      <c r="H10" s="158"/>
      <c r="I10" s="158"/>
      <c r="J10" s="158"/>
      <c r="K10" s="158"/>
      <c r="L10" s="158"/>
      <c r="M10" s="158"/>
      <c r="N10" s="158"/>
      <c r="O10" s="158"/>
      <c r="P10" s="202"/>
      <c r="Q10" s="154"/>
      <c r="R10" s="202"/>
      <c r="S10" s="202"/>
    </row>
    <row r="11" spans="1:19">
      <c r="A11" s="180"/>
      <c r="C11" s="158"/>
      <c r="D11" s="158"/>
      <c r="E11" s="158"/>
      <c r="F11" s="158"/>
      <c r="G11" s="218"/>
      <c r="M11" s="158"/>
      <c r="N11" s="158"/>
      <c r="O11" s="158"/>
      <c r="P11" s="202"/>
      <c r="Q11" s="154"/>
      <c r="R11" s="202"/>
      <c r="S11" s="202"/>
    </row>
    <row r="12" spans="1:19">
      <c r="A12" s="180"/>
      <c r="C12" s="158"/>
      <c r="D12" s="158"/>
      <c r="E12" s="158"/>
      <c r="F12" s="158"/>
      <c r="G12" s="158"/>
      <c r="M12" s="217"/>
      <c r="N12" s="158"/>
      <c r="O12" s="158"/>
      <c r="P12" s="202"/>
      <c r="Q12" s="154"/>
      <c r="R12" s="202"/>
      <c r="S12" s="202"/>
    </row>
    <row r="13" spans="1:19">
      <c r="C13" s="216" t="s">
        <v>62</v>
      </c>
      <c r="D13" s="216"/>
      <c r="E13" s="216" t="s">
        <v>63</v>
      </c>
      <c r="F13" s="216"/>
      <c r="G13" s="216" t="s">
        <v>64</v>
      </c>
      <c r="M13" s="149" t="s">
        <v>65</v>
      </c>
      <c r="N13" s="128"/>
      <c r="O13" s="149"/>
      <c r="P13" s="153"/>
      <c r="Q13" s="215"/>
      <c r="R13" s="153"/>
      <c r="S13" s="152"/>
    </row>
    <row r="14" spans="1:19" ht="15.75">
      <c r="C14" s="148"/>
      <c r="D14" s="148"/>
      <c r="E14" s="194" t="s">
        <v>601</v>
      </c>
      <c r="F14" s="194"/>
      <c r="G14" s="128"/>
      <c r="N14" s="128"/>
      <c r="P14" s="153"/>
      <c r="Q14" s="214"/>
      <c r="R14" s="185"/>
      <c r="S14" s="152"/>
    </row>
    <row r="15" spans="1:19" ht="15.75">
      <c r="A15" s="180" t="s">
        <v>8</v>
      </c>
      <c r="C15" s="148"/>
      <c r="D15" s="148"/>
      <c r="E15" s="213" t="s">
        <v>69</v>
      </c>
      <c r="F15" s="213"/>
      <c r="G15" s="212" t="s">
        <v>68</v>
      </c>
      <c r="M15" s="212" t="s">
        <v>16</v>
      </c>
      <c r="N15" s="128"/>
      <c r="P15" s="202"/>
      <c r="Q15" s="211"/>
      <c r="R15" s="185"/>
      <c r="S15" s="152"/>
    </row>
    <row r="16" spans="1:19" ht="15.75">
      <c r="A16" s="180" t="s">
        <v>10</v>
      </c>
      <c r="C16" s="181"/>
      <c r="D16" s="181"/>
      <c r="E16" s="128"/>
      <c r="F16" s="128"/>
      <c r="G16" s="128"/>
      <c r="M16" s="128"/>
      <c r="N16" s="128"/>
      <c r="O16" s="128"/>
      <c r="P16" s="202"/>
      <c r="Q16" s="186"/>
      <c r="R16" s="153"/>
      <c r="S16" s="152"/>
    </row>
    <row r="17" spans="1:19" ht="15.75">
      <c r="A17" s="210"/>
      <c r="C17" s="148"/>
      <c r="D17" s="148"/>
      <c r="E17" s="128"/>
      <c r="F17" s="128"/>
      <c r="G17" s="128"/>
      <c r="M17" s="128"/>
      <c r="N17" s="128"/>
      <c r="O17" s="128"/>
      <c r="P17" s="202"/>
      <c r="Q17" s="186"/>
      <c r="R17" s="153"/>
      <c r="S17" s="152"/>
    </row>
    <row r="18" spans="1:19">
      <c r="A18" s="187">
        <v>1</v>
      </c>
      <c r="C18" s="148" t="s">
        <v>600</v>
      </c>
      <c r="D18" s="148"/>
      <c r="E18" s="197" t="s">
        <v>599</v>
      </c>
      <c r="F18" s="197"/>
      <c r="G18" s="201">
        <f>'ATC Att O'!I87+'ATC Att O'!I88</f>
        <v>7218345337</v>
      </c>
      <c r="N18" s="128"/>
      <c r="O18" s="128"/>
      <c r="P18" s="202"/>
      <c r="Q18" s="186"/>
      <c r="R18" s="153"/>
      <c r="S18" s="152"/>
    </row>
    <row r="19" spans="1:19">
      <c r="A19" s="187">
        <v>2</v>
      </c>
      <c r="C19" s="148" t="s">
        <v>598</v>
      </c>
      <c r="D19" s="148"/>
      <c r="E19" s="197" t="s">
        <v>597</v>
      </c>
      <c r="F19" s="197"/>
      <c r="G19" s="201">
        <f>'ATC Att O'!I105+'ATC Att O'!I106</f>
        <v>5199388418</v>
      </c>
      <c r="N19" s="128"/>
      <c r="O19" s="128"/>
      <c r="P19" s="202"/>
      <c r="Q19" s="186"/>
      <c r="R19" s="153"/>
      <c r="S19" s="152"/>
    </row>
    <row r="20" spans="1:19">
      <c r="A20" s="187"/>
      <c r="E20" s="197"/>
      <c r="F20" s="197"/>
      <c r="G20" s="153"/>
      <c r="N20" s="128"/>
      <c r="O20" s="128"/>
      <c r="P20" s="202"/>
      <c r="Q20" s="186"/>
      <c r="R20" s="153"/>
      <c r="S20" s="152"/>
    </row>
    <row r="21" spans="1:19">
      <c r="A21" s="187"/>
      <c r="C21" s="148" t="s">
        <v>596</v>
      </c>
      <c r="D21" s="148"/>
      <c r="E21" s="197"/>
      <c r="F21" s="197"/>
      <c r="G21" s="128"/>
      <c r="M21" s="128"/>
      <c r="N21" s="128"/>
      <c r="O21" s="128"/>
      <c r="P21" s="153"/>
      <c r="Q21" s="186"/>
      <c r="R21" s="153"/>
      <c r="S21" s="152"/>
    </row>
    <row r="22" spans="1:19">
      <c r="A22" s="187">
        <v>3</v>
      </c>
      <c r="C22" s="148" t="s">
        <v>595</v>
      </c>
      <c r="D22" s="148"/>
      <c r="E22" s="197" t="s">
        <v>594</v>
      </c>
      <c r="F22" s="197"/>
      <c r="G22" s="201">
        <f>'ATC Att O'!I165</f>
        <v>132391043.23876327</v>
      </c>
      <c r="M22" s="128"/>
      <c r="N22" s="128"/>
      <c r="O22" s="128"/>
      <c r="P22" s="153"/>
      <c r="Q22" s="186"/>
      <c r="R22" s="153"/>
      <c r="S22" s="152"/>
    </row>
    <row r="23" spans="1:19">
      <c r="A23" s="187" t="s">
        <v>593</v>
      </c>
      <c r="C23" s="148" t="s">
        <v>592</v>
      </c>
      <c r="D23" s="148"/>
      <c r="E23" s="197" t="s">
        <v>591</v>
      </c>
      <c r="F23" s="197"/>
      <c r="G23" s="209">
        <f>'Precert Exp'!B19</f>
        <v>3220883</v>
      </c>
      <c r="M23" s="128"/>
      <c r="N23" s="128"/>
      <c r="O23" s="128"/>
      <c r="P23" s="153"/>
      <c r="Q23" s="186"/>
      <c r="R23" s="153"/>
      <c r="S23" s="152"/>
    </row>
    <row r="24" spans="1:19">
      <c r="A24" s="187" t="s">
        <v>590</v>
      </c>
      <c r="C24" s="148" t="s">
        <v>589</v>
      </c>
      <c r="D24" s="148"/>
      <c r="E24" s="197" t="s">
        <v>588</v>
      </c>
      <c r="F24" s="197"/>
      <c r="G24" s="208">
        <f>+G22-G23</f>
        <v>129170160.23876327</v>
      </c>
      <c r="N24" s="128"/>
      <c r="O24" s="128"/>
      <c r="P24" s="153"/>
      <c r="Q24" s="186"/>
      <c r="R24" s="153"/>
      <c r="S24" s="152"/>
    </row>
    <row r="25" spans="1:19" ht="15.75">
      <c r="A25" s="187">
        <v>4</v>
      </c>
      <c r="C25" s="148" t="s">
        <v>587</v>
      </c>
      <c r="D25" s="148"/>
      <c r="E25" s="197" t="s">
        <v>586</v>
      </c>
      <c r="F25" s="197"/>
      <c r="G25" s="130">
        <f>IF(G24=0,0,G24/G18)</f>
        <v>1.7894704978530077E-2</v>
      </c>
      <c r="M25" s="199">
        <f>G25</f>
        <v>1.7894704978530077E-2</v>
      </c>
      <c r="N25" s="128"/>
      <c r="O25" s="127"/>
      <c r="P25" s="170"/>
      <c r="Q25" s="204"/>
      <c r="R25" s="153"/>
      <c r="S25" s="152"/>
    </row>
    <row r="26" spans="1:19" ht="15.75">
      <c r="A26" s="187"/>
      <c r="C26" s="148"/>
      <c r="D26" s="148"/>
      <c r="E26" s="197"/>
      <c r="F26" s="197"/>
      <c r="G26" s="130"/>
      <c r="M26" s="199"/>
      <c r="N26" s="128"/>
      <c r="O26" s="127"/>
      <c r="P26" s="170"/>
      <c r="Q26" s="204"/>
      <c r="R26" s="153"/>
      <c r="S26" s="152"/>
    </row>
    <row r="27" spans="1:19" ht="15.75">
      <c r="A27" s="132"/>
      <c r="C27" s="148" t="s">
        <v>585</v>
      </c>
      <c r="D27" s="148"/>
      <c r="E27" s="131"/>
      <c r="F27" s="131"/>
      <c r="G27" s="128"/>
      <c r="M27" s="128"/>
      <c r="N27" s="128"/>
      <c r="O27" s="127"/>
      <c r="P27" s="170"/>
      <c r="Q27" s="204"/>
      <c r="R27" s="153"/>
      <c r="S27" s="152"/>
    </row>
    <row r="28" spans="1:19" ht="15.75">
      <c r="A28" s="132" t="s">
        <v>584</v>
      </c>
      <c r="C28" s="148" t="s">
        <v>583</v>
      </c>
      <c r="D28" s="148"/>
      <c r="E28" s="197" t="s">
        <v>582</v>
      </c>
      <c r="F28" s="197"/>
      <c r="G28" s="201">
        <f>'ATC Att O'!I169+'ATC Att O'!I170</f>
        <v>21713387</v>
      </c>
      <c r="N28" s="128"/>
      <c r="O28" s="127"/>
      <c r="P28" s="170"/>
      <c r="Q28" s="204"/>
      <c r="R28" s="153"/>
      <c r="S28" s="152"/>
    </row>
    <row r="29" spans="1:19" ht="15.75">
      <c r="A29" s="132" t="s">
        <v>581</v>
      </c>
      <c r="C29" s="148" t="s">
        <v>580</v>
      </c>
      <c r="D29" s="148"/>
      <c r="E29" s="197" t="s">
        <v>579</v>
      </c>
      <c r="F29" s="197"/>
      <c r="G29" s="130">
        <f>IF(G28=0,0,G28/G18)</f>
        <v>3.0080837070375261E-3</v>
      </c>
      <c r="M29" s="199">
        <f>G29</f>
        <v>3.0080837070375261E-3</v>
      </c>
      <c r="N29" s="128"/>
      <c r="O29" s="127"/>
      <c r="P29" s="170"/>
      <c r="Q29" s="204"/>
      <c r="R29" s="153"/>
      <c r="S29" s="152"/>
    </row>
    <row r="30" spans="1:19" ht="15.75">
      <c r="A30" s="187"/>
      <c r="C30" s="148"/>
      <c r="D30" s="148"/>
      <c r="E30" s="197"/>
      <c r="F30" s="197"/>
      <c r="G30" s="130"/>
      <c r="M30" s="199"/>
      <c r="N30" s="128"/>
      <c r="O30" s="127"/>
      <c r="P30" s="170"/>
      <c r="Q30" s="204"/>
      <c r="R30" s="153"/>
      <c r="S30" s="152"/>
    </row>
    <row r="31" spans="1:19">
      <c r="A31" s="132"/>
      <c r="C31" s="148" t="s">
        <v>578</v>
      </c>
      <c r="D31" s="148"/>
      <c r="E31" s="131"/>
      <c r="F31" s="131"/>
      <c r="G31" s="128"/>
      <c r="M31" s="128"/>
      <c r="N31" s="128"/>
      <c r="O31" s="128"/>
      <c r="P31" s="153"/>
      <c r="Q31" s="207"/>
      <c r="R31" s="153"/>
      <c r="S31" s="152"/>
    </row>
    <row r="32" spans="1:19" ht="15.75">
      <c r="A32" s="132" t="s">
        <v>577</v>
      </c>
      <c r="C32" s="148" t="s">
        <v>576</v>
      </c>
      <c r="D32" s="148"/>
      <c r="E32" s="197" t="s">
        <v>575</v>
      </c>
      <c r="F32" s="197"/>
      <c r="G32" s="201">
        <f>'ATC Att O'!I182</f>
        <v>30834735</v>
      </c>
      <c r="N32" s="128"/>
      <c r="O32" s="206"/>
      <c r="P32" s="153"/>
      <c r="Q32" s="205"/>
      <c r="R32" s="185"/>
      <c r="S32" s="152"/>
    </row>
    <row r="33" spans="1:19" ht="15.75">
      <c r="A33" s="132" t="s">
        <v>574</v>
      </c>
      <c r="C33" s="148" t="s">
        <v>573</v>
      </c>
      <c r="D33" s="148"/>
      <c r="E33" s="197" t="s">
        <v>572</v>
      </c>
      <c r="F33" s="197"/>
      <c r="G33" s="130">
        <f>IF(G32=0,0,G32/G18)</f>
        <v>4.2717179021550047E-3</v>
      </c>
      <c r="M33" s="199">
        <f>G33</f>
        <v>4.2717179021550047E-3</v>
      </c>
      <c r="N33" s="128"/>
      <c r="O33" s="127"/>
      <c r="P33" s="153"/>
      <c r="Q33" s="204"/>
      <c r="R33" s="185"/>
      <c r="S33" s="152"/>
    </row>
    <row r="34" spans="1:19">
      <c r="A34" s="132"/>
      <c r="C34" s="148"/>
      <c r="D34" s="148"/>
      <c r="E34" s="197"/>
      <c r="F34" s="197"/>
      <c r="G34" s="128"/>
      <c r="M34" s="128"/>
      <c r="N34" s="128"/>
      <c r="R34" s="153"/>
      <c r="S34" s="152"/>
    </row>
    <row r="35" spans="1:19" ht="15.75">
      <c r="A35" s="196" t="s">
        <v>571</v>
      </c>
      <c r="B35" s="195"/>
      <c r="C35" s="181" t="s">
        <v>546</v>
      </c>
      <c r="D35" s="181"/>
      <c r="E35" s="194" t="s">
        <v>570</v>
      </c>
      <c r="F35" s="194"/>
      <c r="G35" s="193"/>
      <c r="M35" s="192">
        <f>M25+M29+M33</f>
        <v>2.5174506587722609E-2</v>
      </c>
      <c r="N35" s="128"/>
      <c r="R35" s="153"/>
      <c r="S35" s="152"/>
    </row>
    <row r="36" spans="1:19">
      <c r="A36" s="132"/>
      <c r="C36" s="148"/>
      <c r="D36" s="148"/>
      <c r="E36" s="197"/>
      <c r="F36" s="197"/>
      <c r="G36" s="128"/>
      <c r="M36" s="128"/>
      <c r="N36" s="128"/>
      <c r="O36" s="128"/>
      <c r="P36" s="153"/>
      <c r="Q36" s="203"/>
      <c r="R36" s="153"/>
      <c r="S36" s="152"/>
    </row>
    <row r="37" spans="1:19">
      <c r="A37" s="132"/>
      <c r="C37" s="128" t="s">
        <v>569</v>
      </c>
      <c r="D37" s="128"/>
      <c r="E37" s="197"/>
      <c r="F37" s="197"/>
      <c r="G37" s="128"/>
      <c r="M37" s="128"/>
      <c r="N37" s="128"/>
      <c r="R37" s="185"/>
      <c r="S37" s="153" t="s">
        <v>3</v>
      </c>
    </row>
    <row r="38" spans="1:19">
      <c r="A38" s="132" t="s">
        <v>568</v>
      </c>
      <c r="C38" s="128" t="s">
        <v>500</v>
      </c>
      <c r="D38" s="128"/>
      <c r="E38" s="197" t="s">
        <v>567</v>
      </c>
      <c r="F38" s="197"/>
      <c r="G38" s="201">
        <f>'ATC Att O'!I197</f>
        <v>69944354.698167741</v>
      </c>
      <c r="M38" s="128"/>
      <c r="N38" s="128"/>
      <c r="R38" s="185"/>
      <c r="S38" s="153"/>
    </row>
    <row r="39" spans="1:19" ht="15.75">
      <c r="A39" s="132" t="s">
        <v>566</v>
      </c>
      <c r="C39" s="128" t="s">
        <v>565</v>
      </c>
      <c r="D39" s="128"/>
      <c r="E39" s="197" t="s">
        <v>564</v>
      </c>
      <c r="F39" s="197"/>
      <c r="G39" s="130">
        <f>IF(G38=0,0,G38/G19)</f>
        <v>1.345241960689534E-2</v>
      </c>
      <c r="M39" s="199">
        <f>G39</f>
        <v>1.345241960689534E-2</v>
      </c>
      <c r="N39" s="128"/>
      <c r="P39" s="153"/>
      <c r="Q39" s="186"/>
      <c r="R39" s="185"/>
      <c r="S39" s="153"/>
    </row>
    <row r="40" spans="1:19">
      <c r="A40" s="132"/>
      <c r="C40" s="128"/>
      <c r="D40" s="128"/>
      <c r="E40" s="197"/>
      <c r="F40" s="197"/>
      <c r="G40" s="128"/>
      <c r="M40" s="128"/>
      <c r="N40" s="128"/>
      <c r="P40" s="202"/>
      <c r="Q40" s="186"/>
      <c r="R40" s="202"/>
      <c r="S40" s="152"/>
    </row>
    <row r="41" spans="1:19">
      <c r="A41" s="132"/>
      <c r="C41" s="148" t="s">
        <v>190</v>
      </c>
      <c r="D41" s="148"/>
      <c r="E41" s="191"/>
      <c r="F41" s="191"/>
      <c r="N41" s="128"/>
      <c r="P41" s="153"/>
      <c r="Q41" s="186"/>
      <c r="R41" s="153"/>
      <c r="S41" s="152"/>
    </row>
    <row r="42" spans="1:19">
      <c r="A42" s="132" t="s">
        <v>563</v>
      </c>
      <c r="C42" s="148" t="s">
        <v>562</v>
      </c>
      <c r="D42" s="148"/>
      <c r="E42" s="197" t="s">
        <v>561</v>
      </c>
      <c r="F42" s="197"/>
      <c r="G42" s="201">
        <f>'ATC Att O'!I199</f>
        <v>320043179.18467522</v>
      </c>
      <c r="M42" s="128"/>
      <c r="N42" s="128"/>
      <c r="P42" s="153"/>
      <c r="Q42" s="186"/>
      <c r="R42" s="153"/>
      <c r="S42" s="152"/>
    </row>
    <row r="43" spans="1:19" ht="15.75">
      <c r="A43" s="132" t="s">
        <v>560</v>
      </c>
      <c r="C43" s="128" t="s">
        <v>559</v>
      </c>
      <c r="D43" s="128"/>
      <c r="E43" s="197" t="s">
        <v>558</v>
      </c>
      <c r="F43" s="197"/>
      <c r="G43" s="200">
        <f>IF(G42=0,0,G42/G19)</f>
        <v>6.15540047126895E-2</v>
      </c>
      <c r="M43" s="199">
        <f>G43</f>
        <v>6.15540047126895E-2</v>
      </c>
      <c r="N43" s="128"/>
      <c r="Q43" s="198"/>
      <c r="R43" s="185"/>
      <c r="S43" s="153"/>
    </row>
    <row r="44" spans="1:19">
      <c r="A44" s="132"/>
      <c r="C44" s="148"/>
      <c r="D44" s="148"/>
      <c r="E44" s="197"/>
      <c r="F44" s="197"/>
      <c r="G44" s="128"/>
      <c r="M44" s="128"/>
      <c r="N44" s="128"/>
      <c r="O44" s="191"/>
      <c r="P44" s="153"/>
      <c r="Q44" s="186"/>
      <c r="R44" s="153"/>
      <c r="S44" s="152"/>
    </row>
    <row r="45" spans="1:19" ht="15.75">
      <c r="A45" s="196" t="s">
        <v>557</v>
      </c>
      <c r="B45" s="195"/>
      <c r="C45" s="181" t="s">
        <v>543</v>
      </c>
      <c r="D45" s="181"/>
      <c r="E45" s="194" t="s">
        <v>556</v>
      </c>
      <c r="F45" s="194"/>
      <c r="G45" s="193"/>
      <c r="M45" s="192">
        <f>M39+M43</f>
        <v>7.5006424319584847E-2</v>
      </c>
      <c r="N45" s="128"/>
      <c r="O45" s="191"/>
      <c r="P45" s="153"/>
      <c r="Q45" s="186"/>
      <c r="R45" s="153"/>
      <c r="S45" s="152"/>
    </row>
    <row r="46" spans="1:19">
      <c r="N46" s="158"/>
      <c r="O46" s="158"/>
      <c r="P46" s="153"/>
      <c r="Q46" s="186"/>
      <c r="R46" s="153"/>
      <c r="S46" s="152"/>
    </row>
    <row r="47" spans="1:19">
      <c r="N47" s="158"/>
      <c r="O47" s="158"/>
      <c r="P47" s="153"/>
      <c r="Q47" s="186"/>
      <c r="R47" s="153"/>
      <c r="S47" s="152"/>
    </row>
    <row r="48" spans="1:19">
      <c r="N48" s="158"/>
      <c r="O48" s="158"/>
      <c r="P48" s="153"/>
      <c r="Q48" s="186"/>
      <c r="R48" s="153"/>
      <c r="S48" s="152"/>
    </row>
    <row r="49" spans="1:19">
      <c r="N49" s="158"/>
      <c r="O49" s="158"/>
      <c r="P49" s="152"/>
      <c r="Q49" s="154"/>
      <c r="R49" s="152"/>
      <c r="S49" s="152"/>
    </row>
    <row r="50" spans="1:19">
      <c r="N50" s="128"/>
      <c r="O50" s="128"/>
      <c r="P50" s="153"/>
      <c r="Q50" s="154"/>
      <c r="R50" s="153"/>
      <c r="S50" s="152"/>
    </row>
    <row r="51" spans="1:19" ht="15.75">
      <c r="N51" s="128"/>
      <c r="O51" s="127"/>
      <c r="P51" s="153"/>
      <c r="Q51" s="186"/>
      <c r="R51" s="187"/>
      <c r="S51" s="153"/>
    </row>
    <row r="52" spans="1:19" ht="15.75">
      <c r="N52" s="128"/>
      <c r="O52" s="127"/>
      <c r="P52" s="153"/>
      <c r="Q52" s="186"/>
      <c r="R52" s="187"/>
      <c r="S52" s="153"/>
    </row>
    <row r="53" spans="1:19" ht="15.75">
      <c r="N53" s="128"/>
      <c r="O53" s="127"/>
      <c r="P53" s="153"/>
      <c r="Q53" s="186"/>
      <c r="R53" s="187"/>
      <c r="S53" s="153"/>
    </row>
    <row r="54" spans="1:19" ht="15.75">
      <c r="A54" s="132"/>
      <c r="C54" s="129"/>
      <c r="D54" s="129"/>
      <c r="E54" s="131"/>
      <c r="F54" s="131"/>
      <c r="G54" s="128"/>
      <c r="H54" s="129"/>
      <c r="I54" s="129"/>
      <c r="J54" s="130"/>
      <c r="K54" s="129"/>
      <c r="L54" s="129"/>
      <c r="M54" s="128"/>
      <c r="N54" s="128"/>
      <c r="O54" s="127"/>
      <c r="P54" s="153"/>
      <c r="Q54" s="186"/>
      <c r="R54" s="187"/>
      <c r="S54" s="153"/>
    </row>
    <row r="55" spans="1:19" ht="15.75">
      <c r="A55" s="132"/>
      <c r="C55" s="129"/>
      <c r="D55" s="129"/>
      <c r="E55" s="131"/>
      <c r="F55" s="131"/>
      <c r="G55" s="128"/>
      <c r="H55" s="129"/>
      <c r="I55" s="129"/>
      <c r="J55" s="130"/>
      <c r="K55" s="129"/>
      <c r="L55" s="129"/>
      <c r="M55" s="128"/>
      <c r="N55" s="128"/>
      <c r="O55" s="127"/>
      <c r="P55" s="153"/>
      <c r="Q55" s="186"/>
      <c r="R55" s="187"/>
      <c r="S55" s="153"/>
    </row>
    <row r="56" spans="1:19" ht="15.75">
      <c r="A56" s="135"/>
      <c r="C56" s="132"/>
      <c r="D56" s="132"/>
      <c r="E56" s="131"/>
      <c r="F56" s="131"/>
      <c r="G56" s="128"/>
      <c r="H56" s="129"/>
      <c r="I56" s="129"/>
      <c r="J56" s="130"/>
      <c r="K56" s="129"/>
      <c r="L56" s="129"/>
      <c r="N56" s="128"/>
      <c r="O56" s="190"/>
      <c r="P56" s="188"/>
      <c r="Q56" s="186"/>
      <c r="R56" s="187"/>
      <c r="S56" s="153"/>
    </row>
    <row r="57" spans="1:19" ht="15.75">
      <c r="A57" s="135"/>
      <c r="C57" s="132"/>
      <c r="D57" s="132"/>
      <c r="E57" s="131"/>
      <c r="F57" s="131"/>
      <c r="G57" s="128"/>
      <c r="H57" s="129"/>
      <c r="I57" s="129"/>
      <c r="J57" s="130"/>
      <c r="K57" s="129"/>
      <c r="L57" s="129"/>
      <c r="N57" s="128"/>
      <c r="O57" s="127"/>
      <c r="P57" s="188"/>
      <c r="Q57" s="186"/>
      <c r="R57" s="187"/>
      <c r="S57" s="153"/>
    </row>
    <row r="58" spans="1:19" ht="15.75">
      <c r="A58" s="189"/>
      <c r="C58" s="132"/>
      <c r="D58" s="132"/>
      <c r="E58" s="131"/>
      <c r="F58" s="131"/>
      <c r="G58" s="128"/>
      <c r="H58" s="129"/>
      <c r="I58" s="129"/>
      <c r="J58" s="130"/>
      <c r="K58" s="129"/>
      <c r="L58" s="129"/>
      <c r="N58" s="128"/>
      <c r="O58" s="127"/>
      <c r="P58" s="188"/>
      <c r="Q58" s="186"/>
      <c r="R58" s="187"/>
      <c r="S58" s="153"/>
    </row>
    <row r="59" spans="1:19">
      <c r="A59" s="180"/>
      <c r="C59" s="129"/>
      <c r="D59" s="129"/>
      <c r="E59" s="129"/>
      <c r="F59" s="129"/>
      <c r="G59" s="128"/>
      <c r="H59" s="129"/>
      <c r="I59" s="129"/>
      <c r="J59" s="129"/>
      <c r="K59" s="129"/>
      <c r="L59" s="129"/>
      <c r="N59" s="128"/>
      <c r="O59" s="128"/>
      <c r="P59" s="153"/>
      <c r="Q59" s="186"/>
      <c r="R59" s="185"/>
      <c r="S59" s="153" t="s">
        <v>3</v>
      </c>
    </row>
    <row r="60" spans="1:19">
      <c r="O60" s="184"/>
    </row>
    <row r="61" spans="1:19">
      <c r="O61" s="184"/>
    </row>
    <row r="63" spans="1:19">
      <c r="A63" s="180"/>
      <c r="C63" s="129"/>
      <c r="D63" s="129"/>
      <c r="E63" s="129"/>
      <c r="F63" s="129"/>
      <c r="G63" s="128"/>
      <c r="H63" s="129"/>
      <c r="I63" s="129"/>
      <c r="J63" s="129"/>
      <c r="K63" s="129"/>
      <c r="L63" s="129"/>
      <c r="N63" s="128"/>
      <c r="O63" s="183" t="s">
        <v>555</v>
      </c>
      <c r="P63" s="153"/>
      <c r="Q63" s="154"/>
      <c r="R63" s="153"/>
      <c r="S63" s="152"/>
    </row>
    <row r="64" spans="1:19" ht="15.75">
      <c r="A64" s="180"/>
      <c r="C64" s="148" t="str">
        <f>C5</f>
        <v>Formula Rate calculation</v>
      </c>
      <c r="D64" s="148"/>
      <c r="E64" s="129"/>
      <c r="F64" s="129"/>
      <c r="G64" s="129" t="str">
        <f>G5</f>
        <v xml:space="preserve">     Rate Formula Template</v>
      </c>
      <c r="H64" s="129"/>
      <c r="I64" s="129"/>
      <c r="J64" s="129"/>
      <c r="K64" s="129"/>
      <c r="L64" s="129"/>
      <c r="N64" s="128"/>
      <c r="O64" s="182" t="str">
        <f>$O$5</f>
        <v>For the 12 months ended 12/31/2022</v>
      </c>
      <c r="P64" s="153"/>
      <c r="Q64" s="154"/>
      <c r="R64" s="153"/>
      <c r="S64" s="152"/>
    </row>
    <row r="65" spans="1:22" ht="15.75">
      <c r="A65" s="180"/>
      <c r="C65" s="148"/>
      <c r="D65" s="148"/>
      <c r="E65" s="129"/>
      <c r="F65" s="129"/>
      <c r="G65" s="129" t="s">
        <v>554</v>
      </c>
      <c r="H65" s="129"/>
      <c r="I65" s="129"/>
      <c r="J65" s="129"/>
      <c r="K65" s="129"/>
      <c r="L65" s="129"/>
      <c r="M65" s="128"/>
      <c r="N65" s="128"/>
      <c r="O65" s="134"/>
      <c r="P65" s="153"/>
      <c r="Q65" s="154"/>
      <c r="R65" s="153"/>
      <c r="S65" s="152"/>
    </row>
    <row r="66" spans="1:22" ht="14.25" customHeight="1">
      <c r="A66" s="180"/>
      <c r="C66" s="129"/>
      <c r="D66" s="129"/>
      <c r="E66" s="129"/>
      <c r="F66" s="129"/>
      <c r="G66" s="129"/>
      <c r="H66" s="129"/>
      <c r="I66" s="129"/>
      <c r="J66" s="129"/>
      <c r="K66" s="129"/>
      <c r="L66" s="129"/>
      <c r="N66" s="128"/>
      <c r="O66" s="129" t="s">
        <v>553</v>
      </c>
      <c r="P66" s="153"/>
      <c r="Q66" s="154"/>
      <c r="R66" s="153"/>
      <c r="S66" s="152"/>
    </row>
    <row r="67" spans="1:22">
      <c r="A67" s="180"/>
      <c r="E67" s="129"/>
      <c r="F67" s="129"/>
      <c r="G67" s="129" t="str">
        <f>G8</f>
        <v>American Transmission Company LLC</v>
      </c>
      <c r="H67" s="129"/>
      <c r="I67" s="129"/>
      <c r="J67" s="129"/>
      <c r="K67" s="129"/>
      <c r="L67" s="129"/>
      <c r="M67" s="129"/>
      <c r="N67" s="128"/>
      <c r="O67" s="128"/>
      <c r="P67" s="153"/>
      <c r="Q67" s="154"/>
      <c r="R67" s="153"/>
      <c r="S67" s="152"/>
    </row>
    <row r="68" spans="1:22">
      <c r="A68" s="180"/>
      <c r="E68" s="148"/>
      <c r="F68" s="148"/>
      <c r="G68" s="148"/>
      <c r="H68" s="148"/>
      <c r="I68" s="148"/>
      <c r="J68" s="148"/>
      <c r="K68" s="148"/>
      <c r="L68" s="148"/>
      <c r="M68" s="148"/>
      <c r="N68" s="148"/>
      <c r="O68" s="148"/>
      <c r="P68" s="153"/>
      <c r="Q68" s="154"/>
      <c r="R68" s="153"/>
      <c r="S68" s="152"/>
    </row>
    <row r="69" spans="1:22" ht="15.75">
      <c r="A69" s="180"/>
      <c r="C69" s="129"/>
      <c r="D69" s="129"/>
      <c r="E69" s="181" t="s">
        <v>552</v>
      </c>
      <c r="F69" s="181"/>
      <c r="H69" s="158"/>
      <c r="I69" s="158"/>
      <c r="J69" s="158"/>
      <c r="K69" s="158"/>
      <c r="L69" s="158"/>
      <c r="M69" s="158"/>
      <c r="N69" s="128"/>
      <c r="O69" s="128"/>
      <c r="P69" s="153"/>
      <c r="Q69" s="154"/>
      <c r="R69" s="153"/>
      <c r="S69" s="152"/>
    </row>
    <row r="70" spans="1:22" ht="15.75">
      <c r="A70" s="180"/>
      <c r="C70" s="129"/>
      <c r="D70" s="129"/>
      <c r="E70" s="181"/>
      <c r="F70" s="181"/>
      <c r="H70" s="158"/>
      <c r="I70" s="158"/>
      <c r="J70" s="158"/>
      <c r="K70" s="158"/>
      <c r="L70" s="158"/>
      <c r="M70" s="158"/>
      <c r="N70" s="128"/>
      <c r="O70" s="128"/>
      <c r="P70" s="153"/>
      <c r="Q70" s="154"/>
      <c r="R70" s="153"/>
      <c r="S70" s="152"/>
    </row>
    <row r="71" spans="1:22" ht="15.75">
      <c r="A71" s="180"/>
      <c r="C71" s="179">
        <v>-1</v>
      </c>
      <c r="D71" s="179">
        <v>-2</v>
      </c>
      <c r="E71" s="179">
        <v>-3</v>
      </c>
      <c r="F71" s="179">
        <v>-4</v>
      </c>
      <c r="G71" s="179">
        <v>-5</v>
      </c>
      <c r="H71" s="179">
        <v>-6</v>
      </c>
      <c r="I71" s="179">
        <v>-7</v>
      </c>
      <c r="J71" s="179">
        <v>-8</v>
      </c>
      <c r="K71" s="179">
        <v>-9</v>
      </c>
      <c r="L71" s="179" t="s">
        <v>551</v>
      </c>
      <c r="M71" s="179">
        <v>-10</v>
      </c>
      <c r="N71" s="179">
        <v>-11</v>
      </c>
      <c r="O71" s="179">
        <v>-12</v>
      </c>
      <c r="P71" s="153"/>
      <c r="Q71" s="154"/>
      <c r="R71" s="153"/>
      <c r="S71" s="152"/>
    </row>
    <row r="72" spans="1:22" ht="63">
      <c r="A72" s="178" t="s">
        <v>550</v>
      </c>
      <c r="B72" s="177"/>
      <c r="C72" s="177" t="s">
        <v>549</v>
      </c>
      <c r="D72" s="176" t="s">
        <v>548</v>
      </c>
      <c r="E72" s="174" t="s">
        <v>547</v>
      </c>
      <c r="F72" s="174" t="s">
        <v>546</v>
      </c>
      <c r="G72" s="175" t="s">
        <v>545</v>
      </c>
      <c r="H72" s="174" t="s">
        <v>544</v>
      </c>
      <c r="I72" s="174" t="s">
        <v>543</v>
      </c>
      <c r="J72" s="175" t="s">
        <v>542</v>
      </c>
      <c r="K72" s="174" t="s">
        <v>541</v>
      </c>
      <c r="L72" s="173" t="s">
        <v>540</v>
      </c>
      <c r="M72" s="171" t="s">
        <v>539</v>
      </c>
      <c r="N72" s="172" t="s">
        <v>538</v>
      </c>
      <c r="O72" s="171" t="s">
        <v>537</v>
      </c>
      <c r="P72" s="170"/>
      <c r="Q72" s="154"/>
      <c r="R72" s="153"/>
      <c r="S72" s="152"/>
    </row>
    <row r="73" spans="1:22" ht="46.5" customHeight="1">
      <c r="A73" s="169"/>
      <c r="B73" s="168"/>
      <c r="C73" s="168"/>
      <c r="D73" s="168"/>
      <c r="E73" s="166" t="s">
        <v>33</v>
      </c>
      <c r="F73" s="166" t="s">
        <v>536</v>
      </c>
      <c r="G73" s="167" t="s">
        <v>535</v>
      </c>
      <c r="H73" s="166" t="s">
        <v>35</v>
      </c>
      <c r="I73" s="166" t="s">
        <v>534</v>
      </c>
      <c r="J73" s="167" t="s">
        <v>533</v>
      </c>
      <c r="K73" s="166" t="s">
        <v>57</v>
      </c>
      <c r="L73" s="165" t="s">
        <v>532</v>
      </c>
      <c r="M73" s="164" t="s">
        <v>531</v>
      </c>
      <c r="N73" s="163" t="s">
        <v>530</v>
      </c>
      <c r="O73" s="162" t="s">
        <v>529</v>
      </c>
      <c r="P73" s="153"/>
      <c r="Q73" s="154"/>
      <c r="R73" s="153"/>
      <c r="S73" s="161"/>
      <c r="T73" s="160"/>
      <c r="U73" s="160"/>
      <c r="V73" s="160"/>
    </row>
    <row r="74" spans="1:22">
      <c r="A74" s="159"/>
      <c r="B74" s="158"/>
      <c r="C74" s="158"/>
      <c r="D74" s="158"/>
      <c r="E74" s="158"/>
      <c r="F74" s="158"/>
      <c r="G74" s="156"/>
      <c r="H74" s="158"/>
      <c r="I74" s="158"/>
      <c r="J74" s="156"/>
      <c r="K74" s="158"/>
      <c r="L74" s="157"/>
      <c r="M74" s="156"/>
      <c r="N74" s="128"/>
      <c r="O74" s="155"/>
      <c r="P74" s="153"/>
      <c r="Q74" s="154"/>
      <c r="R74" s="153"/>
      <c r="S74" s="152"/>
    </row>
    <row r="75" spans="1:22">
      <c r="A75" s="938" t="s">
        <v>143</v>
      </c>
      <c r="B75" s="939"/>
      <c r="C75" s="940" t="s">
        <v>933</v>
      </c>
      <c r="D75" s="941">
        <v>345</v>
      </c>
      <c r="E75" s="942">
        <f>ROUND(SUMIF('GG Support Data'!$B$7:$AA$7,$D75,'GG Support Data'!$B$23:$AA$23),2)</f>
        <v>141526081.43000001</v>
      </c>
      <c r="F75" s="935">
        <f t="shared" ref="F75:F104" si="0">$M$35</f>
        <v>2.5174506587722609E-2</v>
      </c>
      <c r="G75" s="943">
        <f t="shared" ref="G75:G90" si="1">E75*F75</f>
        <v>3562849.2692941017</v>
      </c>
      <c r="H75" s="942">
        <f>ROUND(SUMIF('GG Support Data'!$B$7:$AA$7,$D75,'GG Support Data'!$B$56:$AA$56),2)</f>
        <v>99415106.519999996</v>
      </c>
      <c r="I75" s="935">
        <f t="shared" ref="I75:I104" si="2">$M$45</f>
        <v>7.5006424319584847E-2</v>
      </c>
      <c r="J75" s="943">
        <f t="shared" ref="J75:J90" si="3">H75*I75</f>
        <v>7456771.6634158455</v>
      </c>
      <c r="K75" s="942">
        <f>ROUND(SUMIF('GG Support Data'!$B$7:$AA$7,$D75,'GG Support Data'!$B$61:$AA$61),2)</f>
        <v>3311710.31</v>
      </c>
      <c r="L75" s="942">
        <f>ROUND(SUMIF('GG Support Data'!$B$7:$AA$7,$D75,'GG Support Data'!$B$66:$AA$66),2)</f>
        <v>0</v>
      </c>
      <c r="M75" s="943">
        <f t="shared" ref="M75:M90" si="4">G75+J75+K75+L75</f>
        <v>14331331.242709948</v>
      </c>
      <c r="N75" s="944">
        <f>INDEX('GG True-up Template'!$A$44:$AG$81,MATCH(D75,'GG True-up Template'!$A$44:$A$81,0),MATCH("N",'GG True-up Template'!$A$44:$AG$44,0))</f>
        <v>305862.53371968406</v>
      </c>
      <c r="O75" s="943">
        <f t="shared" ref="O75:O90" si="5">M75+N75</f>
        <v>14637193.776429633</v>
      </c>
      <c r="P75" s="125"/>
      <c r="Q75" s="150"/>
      <c r="R75" s="125"/>
      <c r="S75" s="146"/>
      <c r="T75" s="146"/>
      <c r="U75" s="146"/>
      <c r="V75" s="146"/>
    </row>
    <row r="76" spans="1:22">
      <c r="A76" s="938" t="s">
        <v>528</v>
      </c>
      <c r="B76" s="939"/>
      <c r="C76" s="940" t="s">
        <v>934</v>
      </c>
      <c r="D76" s="941">
        <v>1453</v>
      </c>
      <c r="E76" s="942">
        <f>ROUND(SUMIF('GG Support Data'!$B$7:$AA$7,$D76,'GG Support Data'!$B$23:$AA$23),2)</f>
        <v>8745627.4000000004</v>
      </c>
      <c r="F76" s="935">
        <f t="shared" si="0"/>
        <v>2.5174506587722609E-2</v>
      </c>
      <c r="G76" s="943">
        <f t="shared" si="1"/>
        <v>220166.85459506736</v>
      </c>
      <c r="H76" s="942">
        <f>ROUND(SUMIF('GG Support Data'!$B$7:$AA$7,$D76,'GG Support Data'!$B$56:$AA$56),2)</f>
        <v>5286946.72</v>
      </c>
      <c r="I76" s="935">
        <f t="shared" si="2"/>
        <v>7.5006424319584847E-2</v>
      </c>
      <c r="J76" s="943">
        <f t="shared" si="3"/>
        <v>396554.9690353573</v>
      </c>
      <c r="K76" s="942">
        <f>ROUND(SUMIF('GG Support Data'!$B$7:$AA$7,$D76,'GG Support Data'!$B$61:$AA$61),2)</f>
        <v>255372.32</v>
      </c>
      <c r="L76" s="942">
        <f>ROUND(SUMIF('GG Support Data'!$B$7:$AA$7,$D76,'GG Support Data'!$B$66:$AA$66),2)</f>
        <v>0</v>
      </c>
      <c r="M76" s="943">
        <f t="shared" si="4"/>
        <v>872094.14363042475</v>
      </c>
      <c r="N76" s="944">
        <f>INDEX('GG True-up Template'!$A$44:$AG$81,MATCH(D76,'GG True-up Template'!$A$44:$A$81,0),MATCH("N",'GG True-up Template'!$A$44:$AG$44,0))</f>
        <v>19319.43023461186</v>
      </c>
      <c r="O76" s="943">
        <f t="shared" si="5"/>
        <v>891413.5738650366</v>
      </c>
      <c r="P76" s="125"/>
      <c r="Q76" s="150"/>
      <c r="R76" s="125"/>
      <c r="S76" s="146"/>
      <c r="T76" s="146"/>
      <c r="U76" s="146"/>
      <c r="V76" s="146"/>
    </row>
    <row r="77" spans="1:22" ht="15.75">
      <c r="A77" s="938" t="s">
        <v>527</v>
      </c>
      <c r="B77" s="939"/>
      <c r="C77" s="940" t="s">
        <v>935</v>
      </c>
      <c r="D77" s="941">
        <v>352</v>
      </c>
      <c r="E77" s="942">
        <f>ROUND(SUMIF('GG Support Data'!$B$7:$AA$7,$D77,'GG Support Data'!$B$23:$AA$23),2)</f>
        <v>88185651.489999995</v>
      </c>
      <c r="F77" s="935">
        <f t="shared" si="0"/>
        <v>2.5174506587722609E-2</v>
      </c>
      <c r="G77" s="943">
        <f t="shared" si="1"/>
        <v>2220030.2643776149</v>
      </c>
      <c r="H77" s="942">
        <f>ROUND(SUMIF('GG Support Data'!$B$7:$AA$7,$D77,'GG Support Data'!$B$56:$AA$56),2)</f>
        <v>58877498.82</v>
      </c>
      <c r="I77" s="935">
        <f t="shared" si="2"/>
        <v>7.5006424319584847E-2</v>
      </c>
      <c r="J77" s="943">
        <f t="shared" si="3"/>
        <v>4416190.6593687758</v>
      </c>
      <c r="K77" s="942">
        <f>ROUND(SUMIF('GG Support Data'!$B$7:$AA$7,$D77,'GG Support Data'!$B$61:$AA$61),2)</f>
        <v>2065047.37</v>
      </c>
      <c r="L77" s="942">
        <f>ROUND(SUMIF('GG Support Data'!$B$7:$AA$7,$D77,'GG Support Data'!$B$66:$AA$66),2)</f>
        <v>0</v>
      </c>
      <c r="M77" s="943">
        <f t="shared" si="4"/>
        <v>8701268.2937463894</v>
      </c>
      <c r="N77" s="944">
        <f>INDEX('GG True-up Template'!$A$44:$AG$81,MATCH(D77,'GG True-up Template'!$A$44:$A$81,0),MATCH("N",'GG True-up Template'!$A$44:$AG$44,0))</f>
        <v>189176.31072269485</v>
      </c>
      <c r="O77" s="943">
        <f t="shared" si="5"/>
        <v>8890444.6044690851</v>
      </c>
      <c r="P77" s="125"/>
      <c r="Q77" s="150"/>
      <c r="R77" s="125"/>
      <c r="S77" s="146"/>
      <c r="T77" s="146"/>
      <c r="U77" s="146"/>
      <c r="V77" s="151"/>
    </row>
    <row r="78" spans="1:22" ht="15.75">
      <c r="A78" s="938" t="s">
        <v>526</v>
      </c>
      <c r="B78" s="939"/>
      <c r="C78" s="940" t="s">
        <v>942</v>
      </c>
      <c r="D78" s="941">
        <v>356</v>
      </c>
      <c r="E78" s="942">
        <f>ROUND(SUMIF('GG Support Data'!$B$7:$AA$7,$D78,'GG Support Data'!$B$23:$AA$23),2)</f>
        <v>141104838.25</v>
      </c>
      <c r="F78" s="935">
        <f t="shared" si="0"/>
        <v>2.5174506587722609E-2</v>
      </c>
      <c r="G78" s="943">
        <f t="shared" si="1"/>
        <v>3552244.6800841582</v>
      </c>
      <c r="H78" s="942">
        <f>ROUND(SUMIF('GG Support Data'!$B$7:$AA$7,$D78,'GG Support Data'!$B$56:$AA$56),2)</f>
        <v>109710501.54000001</v>
      </c>
      <c r="I78" s="935">
        <f t="shared" si="2"/>
        <v>7.5006424319584847E-2</v>
      </c>
      <c r="J78" s="943">
        <f t="shared" si="3"/>
        <v>8228992.430823707</v>
      </c>
      <c r="K78" s="942">
        <f>ROUND(SUMIF('GG Support Data'!$B$7:$AA$7,$D78,'GG Support Data'!$B$61:$AA$61),2)</f>
        <v>3118416.93</v>
      </c>
      <c r="L78" s="942">
        <f>ROUND(SUMIF('GG Support Data'!$B$7:$AA$7,$D78,'GG Support Data'!$B$66:$AA$66),2)</f>
        <v>0</v>
      </c>
      <c r="M78" s="943">
        <f t="shared" si="4"/>
        <v>14899654.040907865</v>
      </c>
      <c r="N78" s="944">
        <f>INDEX('GG True-up Template'!$A$44:$AG$81,MATCH(D78,'GG True-up Template'!$A$44:$A$81,0),MATCH("N",'GG True-up Template'!$A$44:$AG$44,0))</f>
        <v>325003.54624258674</v>
      </c>
      <c r="O78" s="943">
        <f t="shared" si="5"/>
        <v>15224657.587150453</v>
      </c>
      <c r="P78" s="125"/>
      <c r="Q78" s="150"/>
      <c r="R78" s="125"/>
      <c r="S78" s="146"/>
      <c r="T78" s="146"/>
      <c r="U78" s="146"/>
      <c r="V78" s="151"/>
    </row>
    <row r="79" spans="1:22" ht="15.75">
      <c r="A79" s="938" t="s">
        <v>525</v>
      </c>
      <c r="B79" s="939"/>
      <c r="C79" s="940" t="s">
        <v>943</v>
      </c>
      <c r="D79" s="941">
        <v>1616</v>
      </c>
      <c r="E79" s="942">
        <f>ROUND(SUMIF('GG Support Data'!$B$7:$AA$7,$D79,'GG Support Data'!$B$23:$AA$23),2)</f>
        <v>1251078.57</v>
      </c>
      <c r="F79" s="935">
        <f t="shared" si="0"/>
        <v>2.5174506587722609E-2</v>
      </c>
      <c r="G79" s="943">
        <f t="shared" si="1"/>
        <v>31495.285702223584</v>
      </c>
      <c r="H79" s="942">
        <f>ROUND(SUMIF('GG Support Data'!$B$7:$AA$7,$D79,'GG Support Data'!$B$56:$AA$56),2)</f>
        <v>991237.85</v>
      </c>
      <c r="I79" s="935">
        <f t="shared" si="2"/>
        <v>7.5006424319584847E-2</v>
      </c>
      <c r="J79" s="943">
        <f t="shared" si="3"/>
        <v>74349.206778733002</v>
      </c>
      <c r="K79" s="942">
        <f>ROUND(SUMIF('GG Support Data'!$B$7:$AA$7,$D79,'GG Support Data'!$B$61:$AA$61),2)</f>
        <v>32402.93</v>
      </c>
      <c r="L79" s="942">
        <f>ROUND(SUMIF('GG Support Data'!$B$7:$AA$7,$D79,'GG Support Data'!$B$66:$AA$66),2)</f>
        <v>0</v>
      </c>
      <c r="M79" s="943">
        <f t="shared" si="4"/>
        <v>138247.42248095659</v>
      </c>
      <c r="N79" s="944">
        <f>INDEX('GG True-up Template'!$A$44:$AG$81,MATCH(D79,'GG True-up Template'!$A$44:$A$81,0),MATCH("N",'GG True-up Template'!$A$44:$AG$44,0))</f>
        <v>2923.3221425552333</v>
      </c>
      <c r="O79" s="943">
        <f t="shared" si="5"/>
        <v>141170.74462351183</v>
      </c>
      <c r="P79" s="125"/>
      <c r="Q79" s="150"/>
      <c r="R79" s="125"/>
      <c r="S79" s="146"/>
      <c r="T79" s="146"/>
      <c r="U79" s="146"/>
      <c r="V79" s="151"/>
    </row>
    <row r="80" spans="1:22" ht="15.75">
      <c r="A80" s="938" t="s">
        <v>524</v>
      </c>
      <c r="B80" s="939"/>
      <c r="C80" s="940" t="s">
        <v>944</v>
      </c>
      <c r="D80" s="945" t="s">
        <v>958</v>
      </c>
      <c r="E80" s="942">
        <f>ROUND(SUMIF('GG Support Data'!$B$7:$AA$7,$D80,'GG Support Data'!$B$23:$AA$23),2)</f>
        <v>1964606.76</v>
      </c>
      <c r="F80" s="935">
        <f t="shared" si="0"/>
        <v>2.5174506587722609E-2</v>
      </c>
      <c r="G80" s="943">
        <f t="shared" si="1"/>
        <v>49458.005821904371</v>
      </c>
      <c r="H80" s="942">
        <f>ROUND(SUMIF('GG Support Data'!$B$7:$AA$7,$D80,'GG Support Data'!$B$56:$AA$56),2)</f>
        <v>1662963.35</v>
      </c>
      <c r="I80" s="935">
        <f t="shared" si="2"/>
        <v>7.5006424319584847E-2</v>
      </c>
      <c r="J80" s="943">
        <f t="shared" si="3"/>
        <v>124732.93465801829</v>
      </c>
      <c r="K80" s="942">
        <f>ROUND(SUMIF('GG Support Data'!$B$7:$AA$7,$D80,'GG Support Data'!$B$61:$AA$61),2)</f>
        <v>53633.760000000002</v>
      </c>
      <c r="L80" s="942">
        <f>ROUND(SUMIF('GG Support Data'!$B$7:$AA$7,$D80,'GG Support Data'!$B$66:$AA$66),2)</f>
        <v>0</v>
      </c>
      <c r="M80" s="943">
        <f t="shared" si="4"/>
        <v>227824.70047992267</v>
      </c>
      <c r="N80" s="944">
        <f>INDEX('GG True-up Template'!$A$44:$AG$81,MATCH(D80,'GG True-up Template'!$A$44:$A$81,0),MATCH("N",'GG True-up Template'!$A$44:$AG$44,0))</f>
        <v>6250.6181683635623</v>
      </c>
      <c r="O80" s="943">
        <f t="shared" si="5"/>
        <v>234075.31864828622</v>
      </c>
      <c r="P80" s="125"/>
      <c r="Q80" s="150"/>
      <c r="R80" s="125"/>
      <c r="S80" s="146"/>
      <c r="T80" s="146"/>
      <c r="U80" s="146"/>
      <c r="V80" s="151"/>
    </row>
    <row r="81" spans="1:22" ht="15.75">
      <c r="A81" s="938" t="s">
        <v>522</v>
      </c>
      <c r="B81" s="939"/>
      <c r="C81" s="940" t="s">
        <v>945</v>
      </c>
      <c r="D81" s="941">
        <v>2837</v>
      </c>
      <c r="E81" s="942">
        <f>ROUND(SUMIF('GG Support Data'!$B$7:$AA$7,$D81,'GG Support Data'!$B$23:$AA$23),2)</f>
        <v>520817.72</v>
      </c>
      <c r="F81" s="935">
        <f t="shared" si="0"/>
        <v>2.5174506587722609E-2</v>
      </c>
      <c r="G81" s="943">
        <f t="shared" si="1"/>
        <v>13111.329123142668</v>
      </c>
      <c r="H81" s="942">
        <f>ROUND(SUMIF('GG Support Data'!$B$7:$AA$7,$D81,'GG Support Data'!$B$56:$AA$56),2)</f>
        <v>452446.96</v>
      </c>
      <c r="I81" s="935">
        <f t="shared" si="2"/>
        <v>7.5006424319584847E-2</v>
      </c>
      <c r="J81" s="943">
        <f t="shared" si="3"/>
        <v>33936.428663866231</v>
      </c>
      <c r="K81" s="942">
        <f>ROUND(SUMIF('GG Support Data'!$B$7:$AA$7,$D81,'GG Support Data'!$B$61:$AA$61),2)</f>
        <v>14634.98</v>
      </c>
      <c r="L81" s="942">
        <f>ROUND(SUMIF('GG Support Data'!$B$7:$AA$7,$D81,'GG Support Data'!$B$66:$AA$66),2)</f>
        <v>0</v>
      </c>
      <c r="M81" s="943">
        <f t="shared" si="4"/>
        <v>61682.737787008897</v>
      </c>
      <c r="N81" s="944">
        <f>INDEX('GG True-up Template'!$A$44:$AG$81,MATCH(D81,'GG True-up Template'!$A$44:$A$81,0),MATCH("N",'GG True-up Template'!$A$44:$AG$44,0))</f>
        <v>1201.7132838725151</v>
      </c>
      <c r="O81" s="943">
        <f t="shared" si="5"/>
        <v>62884.451070881412</v>
      </c>
      <c r="P81" s="125"/>
      <c r="Q81" s="150"/>
      <c r="R81" s="125"/>
      <c r="S81" s="146"/>
      <c r="T81" s="146"/>
      <c r="U81" s="146"/>
      <c r="V81" s="151"/>
    </row>
    <row r="82" spans="1:22" ht="15.75">
      <c r="A82" s="938" t="s">
        <v>521</v>
      </c>
      <c r="B82" s="939"/>
      <c r="C82" s="940" t="s">
        <v>946</v>
      </c>
      <c r="D82" s="941">
        <v>2793</v>
      </c>
      <c r="E82" s="942">
        <f>ROUND(SUMIF('GG Support Data'!$B$7:$AA$7,$D82,'GG Support Data'!$B$23:$AA$23),2)</f>
        <v>8871.1299999999992</v>
      </c>
      <c r="F82" s="935">
        <f t="shared" si="0"/>
        <v>2.5174506587722609E-2</v>
      </c>
      <c r="G82" s="943">
        <f t="shared" si="1"/>
        <v>223.32632062554364</v>
      </c>
      <c r="H82" s="942">
        <f>ROUND(SUMIF('GG Support Data'!$B$7:$AA$7,$D82,'GG Support Data'!$B$56:$AA$56),2)</f>
        <v>367663.14</v>
      </c>
      <c r="I82" s="935">
        <f t="shared" si="2"/>
        <v>7.5006424319584847E-2</v>
      </c>
      <c r="J82" s="943">
        <f t="shared" si="3"/>
        <v>27577.097485510931</v>
      </c>
      <c r="K82" s="942">
        <f>ROUND(SUMIF('GG Support Data'!$B$7:$AA$7,$D82,'GG Support Data'!$B$61:$AA$61),2)</f>
        <v>449.77</v>
      </c>
      <c r="L82" s="942">
        <f>ROUND(SUMIF('GG Support Data'!$B$7:$AA$7,$D82,'GG Support Data'!$B$66:$AA$66),2)</f>
        <v>0</v>
      </c>
      <c r="M82" s="943">
        <f t="shared" si="4"/>
        <v>28250.193806136474</v>
      </c>
      <c r="N82" s="944">
        <f>INDEX('GG True-up Template'!$A$44:$AG$81,MATCH(D82,'GG True-up Template'!$A$44:$A$81,0),MATCH("N",'GG True-up Template'!$A$44:$AG$44,0))</f>
        <v>-168.29487350921616</v>
      </c>
      <c r="O82" s="943">
        <f t="shared" si="5"/>
        <v>28081.898932627257</v>
      </c>
      <c r="P82" s="125"/>
      <c r="Q82" s="150"/>
      <c r="R82" s="125"/>
      <c r="S82" s="146"/>
      <c r="T82" s="146"/>
      <c r="U82" s="146"/>
      <c r="V82" s="151"/>
    </row>
    <row r="83" spans="1:22">
      <c r="A83" s="938" t="s">
        <v>520</v>
      </c>
      <c r="B83" s="939"/>
      <c r="C83" s="940" t="s">
        <v>947</v>
      </c>
      <c r="D83" s="941">
        <v>1950</v>
      </c>
      <c r="E83" s="942">
        <f>ROUND(SUMIF('GG Support Data'!$B$7:$AA$7,$D83,'GG Support Data'!$B$23:$AA$23),2)</f>
        <v>14868228.42</v>
      </c>
      <c r="F83" s="935">
        <f t="shared" si="0"/>
        <v>2.5174506587722609E-2</v>
      </c>
      <c r="G83" s="943">
        <f t="shared" si="1"/>
        <v>374300.3143070545</v>
      </c>
      <c r="H83" s="942">
        <f>ROUND(SUMIF('GG Support Data'!$B$7:$AA$7,$D83,'GG Support Data'!$B$56:$AA$56),2)</f>
        <v>10464651.34</v>
      </c>
      <c r="I83" s="935">
        <f t="shared" si="2"/>
        <v>7.5006424319584847E-2</v>
      </c>
      <c r="J83" s="943">
        <f t="shared" si="3"/>
        <v>784916.07876455213</v>
      </c>
      <c r="K83" s="942">
        <f>ROUND(SUMIF('GG Support Data'!$B$7:$AA$7,$D83,'GG Support Data'!$B$61:$AA$61),2)</f>
        <v>419284.04</v>
      </c>
      <c r="L83" s="942">
        <f>ROUND(SUMIF('GG Support Data'!$B$7:$AA$7,$D83,'GG Support Data'!$B$66:$AA$66),2)</f>
        <v>0</v>
      </c>
      <c r="M83" s="943">
        <f t="shared" si="4"/>
        <v>1578500.4330716068</v>
      </c>
      <c r="N83" s="944">
        <f>INDEX('GG True-up Template'!$A$44:$AG$81,MATCH(D83,'GG True-up Template'!$A$44:$A$81,0),MATCH("N",'GG True-up Template'!$A$44:$AG$44,0))</f>
        <v>32579.470003551934</v>
      </c>
      <c r="O83" s="943">
        <f t="shared" si="5"/>
        <v>1611079.9030751588</v>
      </c>
      <c r="P83" s="125"/>
      <c r="Q83" s="150"/>
      <c r="R83" s="125"/>
      <c r="S83" s="146"/>
      <c r="T83" s="146"/>
      <c r="U83" s="146"/>
      <c r="V83" s="146"/>
    </row>
    <row r="84" spans="1:22">
      <c r="A84" s="938" t="s">
        <v>519</v>
      </c>
      <c r="B84" s="939"/>
      <c r="C84" s="940" t="s">
        <v>948</v>
      </c>
      <c r="D84" s="941">
        <v>3206</v>
      </c>
      <c r="E84" s="942">
        <f>ROUND(SUMIF('GG Support Data'!$B$7:$AA$7,$D84,'GG Support Data'!$B$23:$AA$23),2)</f>
        <v>26117242.07</v>
      </c>
      <c r="F84" s="935">
        <f t="shared" si="0"/>
        <v>2.5174506587722609E-2</v>
      </c>
      <c r="G84" s="943">
        <f t="shared" si="1"/>
        <v>657488.6825443611</v>
      </c>
      <c r="H84" s="942">
        <f>ROUND(SUMIF('GG Support Data'!$B$7:$AA$7,$D84,'GG Support Data'!$B$56:$AA$56),2)</f>
        <v>23113209.129999999</v>
      </c>
      <c r="I84" s="935">
        <f t="shared" si="2"/>
        <v>7.5006424319584847E-2</v>
      </c>
      <c r="J84" s="943">
        <f t="shared" si="3"/>
        <v>1733639.1713920825</v>
      </c>
      <c r="K84" s="942">
        <f>ROUND(SUMIF('GG Support Data'!$B$7:$AA$7,$D84,'GG Support Data'!$B$61:$AA$61),2)</f>
        <v>679048.29</v>
      </c>
      <c r="L84" s="942">
        <f>ROUND(SUMIF('GG Support Data'!$B$7:$AA$7,$D84,'GG Support Data'!$B$66:$AA$66),2)</f>
        <v>0</v>
      </c>
      <c r="M84" s="943">
        <f t="shared" si="4"/>
        <v>3070176.1439364436</v>
      </c>
      <c r="N84" s="944">
        <f>INDEX('GG True-up Template'!$A$44:$AG$81,MATCH(D84,'GG True-up Template'!$A$44:$A$81,0),MATCH("N",'GG True-up Template'!$A$44:$AG$44,0))</f>
        <v>46453.971068972096</v>
      </c>
      <c r="O84" s="943">
        <f t="shared" si="5"/>
        <v>3116630.1150054159</v>
      </c>
      <c r="P84" s="125"/>
      <c r="Q84" s="150"/>
      <c r="R84" s="125"/>
      <c r="S84" s="146"/>
      <c r="T84" s="146"/>
      <c r="U84" s="146"/>
      <c r="V84" s="146"/>
    </row>
    <row r="85" spans="1:22">
      <c r="A85" s="938" t="s">
        <v>518</v>
      </c>
      <c r="B85" s="939"/>
      <c r="C85" s="940" t="s">
        <v>949</v>
      </c>
      <c r="D85" s="941">
        <v>2846</v>
      </c>
      <c r="E85" s="942">
        <f>ROUND(SUMIF('GG Support Data'!$B$7:$AA$7,$D85,'GG Support Data'!$B$23:$AA$23),2)</f>
        <v>121121804.31999999</v>
      </c>
      <c r="F85" s="935">
        <f t="shared" si="0"/>
        <v>2.5174506587722609E-2</v>
      </c>
      <c r="G85" s="943">
        <f t="shared" si="1"/>
        <v>3049181.6607706887</v>
      </c>
      <c r="H85" s="942">
        <f>ROUND(SUMIF('GG Support Data'!$B$7:$AA$7,$D85,'GG Support Data'!$B$56:$AA$56),2)</f>
        <v>88697884.310000002</v>
      </c>
      <c r="I85" s="935">
        <f t="shared" si="2"/>
        <v>7.5006424319584847E-2</v>
      </c>
      <c r="J85" s="943">
        <f t="shared" si="3"/>
        <v>6652911.1468053078</v>
      </c>
      <c r="K85" s="942">
        <f>ROUND(SUMIF('GG Support Data'!$B$7:$AA$7,$D85,'GG Support Data'!$B$61:$AA$61),2)</f>
        <v>4324048.41</v>
      </c>
      <c r="L85" s="942">
        <f>ROUND(SUMIF('GG Support Data'!$B$7:$AA$7,$D85,'GG Support Data'!$B$66:$AA$66),2)</f>
        <v>0</v>
      </c>
      <c r="M85" s="943">
        <f t="shared" si="4"/>
        <v>14026141.217575997</v>
      </c>
      <c r="N85" s="944">
        <f>INDEX('GG True-up Template'!$A$44:$AG$81,MATCH(D85,'GG True-up Template'!$A$44:$A$81,0),MATCH("N",'GG True-up Template'!$A$44:$AG$44,0))</f>
        <v>276583.42257760419</v>
      </c>
      <c r="O85" s="943">
        <f t="shared" si="5"/>
        <v>14302724.640153602</v>
      </c>
      <c r="P85" s="125"/>
      <c r="Q85" s="150"/>
      <c r="R85" s="125"/>
      <c r="S85" s="146"/>
      <c r="T85" s="146"/>
      <c r="U85" s="146"/>
      <c r="V85" s="146"/>
    </row>
    <row r="86" spans="1:22">
      <c r="A86" s="938" t="s">
        <v>517</v>
      </c>
      <c r="B86" s="939"/>
      <c r="C86" s="940" t="s">
        <v>950</v>
      </c>
      <c r="D86" s="941">
        <v>1270</v>
      </c>
      <c r="E86" s="942">
        <f>ROUND(SUMIF('GG Support Data'!$B$7:$AA$7,$D86,'GG Support Data'!$B$23:$AA$23),2)</f>
        <v>0</v>
      </c>
      <c r="F86" s="935">
        <f t="shared" si="0"/>
        <v>2.5174506587722609E-2</v>
      </c>
      <c r="G86" s="943">
        <f t="shared" si="1"/>
        <v>0</v>
      </c>
      <c r="H86" s="942">
        <f>ROUND(SUMIF('GG Support Data'!$B$7:$AA$7,$D86,'GG Support Data'!$B$56:$AA$56),2)</f>
        <v>0</v>
      </c>
      <c r="I86" s="935">
        <f t="shared" si="2"/>
        <v>7.5006424319584847E-2</v>
      </c>
      <c r="J86" s="943">
        <f t="shared" si="3"/>
        <v>0</v>
      </c>
      <c r="K86" s="942">
        <f>ROUND(SUMIF('GG Support Data'!$B$7:$AA$7,$D86,'GG Support Data'!$B$61:$AA$61),2)</f>
        <v>0</v>
      </c>
      <c r="L86" s="942">
        <f>ROUND(SUMIF('GG Support Data'!$B$7:$AA$7,$D86,'GG Support Data'!$B$66:$AA$66),2)</f>
        <v>0</v>
      </c>
      <c r="M86" s="943">
        <f t="shared" si="4"/>
        <v>0</v>
      </c>
      <c r="N86" s="944">
        <f>INDEX('GG True-up Template'!$A$44:$AG$81,MATCH(D86,'GG True-up Template'!$A$44:$A$81,0),MATCH("N",'GG True-up Template'!$A$44:$AG$44,0))</f>
        <v>-2.0893839056651311</v>
      </c>
      <c r="O86" s="943">
        <f t="shared" si="5"/>
        <v>-2.0893839056651311</v>
      </c>
      <c r="P86" s="125"/>
      <c r="Q86" s="150"/>
      <c r="R86" s="125"/>
      <c r="S86" s="146"/>
      <c r="T86" s="146"/>
      <c r="U86" s="146"/>
      <c r="V86" s="146"/>
    </row>
    <row r="87" spans="1:22">
      <c r="A87" s="938" t="s">
        <v>516</v>
      </c>
      <c r="B87" s="939"/>
      <c r="C87" s="940" t="s">
        <v>951</v>
      </c>
      <c r="D87" s="941">
        <v>3125</v>
      </c>
      <c r="E87" s="942">
        <f>ROUND(SUMIF('GG Support Data'!$B$7:$AA$7,$D87,'GG Support Data'!$B$23:$AA$23),2)</f>
        <v>26556882.32</v>
      </c>
      <c r="F87" s="935">
        <f t="shared" si="0"/>
        <v>2.5174506587722609E-2</v>
      </c>
      <c r="G87" s="943">
        <f t="shared" si="1"/>
        <v>668556.40891421412</v>
      </c>
      <c r="H87" s="942">
        <f>ROUND(SUMIF('GG Support Data'!$B$7:$AA$7,$D87,'GG Support Data'!$B$56:$AA$56),2)</f>
        <v>21399918.350000001</v>
      </c>
      <c r="I87" s="935">
        <f t="shared" si="2"/>
        <v>7.5006424319584847E-2</v>
      </c>
      <c r="J87" s="943">
        <f t="shared" si="3"/>
        <v>1605131.3561645702</v>
      </c>
      <c r="K87" s="942">
        <f>ROUND(SUMIF('GG Support Data'!$B$7:$AA$7,$D87,'GG Support Data'!$B$61:$AA$61),2)</f>
        <v>764838.21</v>
      </c>
      <c r="L87" s="942">
        <f>ROUND(SUMIF('GG Support Data'!$B$7:$AA$7,$D87,'GG Support Data'!$B$66:$AA$66),2)</f>
        <v>0</v>
      </c>
      <c r="M87" s="943">
        <f t="shared" si="4"/>
        <v>3038525.9750787844</v>
      </c>
      <c r="N87" s="944">
        <f>INDEX('GG True-up Template'!$A$44:$AG$81,MATCH(D87,'GG True-up Template'!$A$44:$A$81,0),MATCH("N",'GG True-up Template'!$A$44:$AG$44,0))</f>
        <v>64921.458029799112</v>
      </c>
      <c r="O87" s="943">
        <f t="shared" si="5"/>
        <v>3103447.4331085836</v>
      </c>
      <c r="P87" s="125"/>
      <c r="Q87" s="150"/>
      <c r="R87" s="125"/>
      <c r="S87" s="146"/>
      <c r="T87" s="146"/>
      <c r="U87" s="146"/>
      <c r="V87" s="146"/>
    </row>
    <row r="88" spans="1:22" ht="15" customHeight="1">
      <c r="A88" s="938" t="s">
        <v>515</v>
      </c>
      <c r="B88" s="939"/>
      <c r="C88" s="940" t="s">
        <v>952</v>
      </c>
      <c r="D88" s="941">
        <v>3679</v>
      </c>
      <c r="E88" s="942">
        <f>ROUND(SUMIF('GG Support Data'!$B$7:$AA$7,$D88,'GG Support Data'!$B$23:$AA$23),2)</f>
        <v>227348465.03999999</v>
      </c>
      <c r="F88" s="935">
        <f t="shared" si="0"/>
        <v>2.5174506587722609E-2</v>
      </c>
      <c r="G88" s="943">
        <f t="shared" si="1"/>
        <v>5723385.4308581036</v>
      </c>
      <c r="H88" s="942">
        <f>ROUND(SUMIF('GG Support Data'!$B$7:$AA$7,$D88,'GG Support Data'!$B$56:$AA$56),2)</f>
        <v>200628399.46000001</v>
      </c>
      <c r="I88" s="935">
        <f t="shared" si="2"/>
        <v>7.5006424319584847E-2</v>
      </c>
      <c r="J88" s="943">
        <f t="shared" si="3"/>
        <v>15048418.860455928</v>
      </c>
      <c r="K88" s="942">
        <f>ROUND(SUMIF('GG Support Data'!$B$7:$AA$7,$D88,'GG Support Data'!$B$61:$AA$61),2)</f>
        <v>5647266.8700000001</v>
      </c>
      <c r="L88" s="942">
        <f>ROUND(SUMIF('GG Support Data'!$B$7:$AA$7,$D88,'GG Support Data'!$B$66:$AA$66),2)</f>
        <v>0</v>
      </c>
      <c r="M88" s="943">
        <f t="shared" si="4"/>
        <v>26419071.161314033</v>
      </c>
      <c r="N88" s="944">
        <f>INDEX('GG True-up Template'!$A$44:$AG$81,MATCH(D88,'GG True-up Template'!$A$44:$A$81,0),MATCH("N",'GG True-up Template'!$A$44:$AG$44,0))</f>
        <v>629716.25219650951</v>
      </c>
      <c r="O88" s="943">
        <f t="shared" si="5"/>
        <v>27048787.413510542</v>
      </c>
      <c r="P88" s="125"/>
      <c r="Q88" s="150"/>
      <c r="R88" s="125"/>
      <c r="S88" s="146"/>
      <c r="T88" s="146"/>
      <c r="U88" s="146"/>
      <c r="V88" s="146"/>
    </row>
    <row r="89" spans="1:22" ht="30">
      <c r="A89" s="938" t="s">
        <v>893</v>
      </c>
      <c r="B89" s="939"/>
      <c r="C89" s="940" t="s">
        <v>953</v>
      </c>
      <c r="D89" s="941">
        <v>12284</v>
      </c>
      <c r="E89" s="942">
        <f>ROUND(SUMIF('GG Support Data'!$B$7:$AA$7,$D89,'GG Support Data'!$B$23:$AA$23),2)</f>
        <v>7453660.7699999996</v>
      </c>
      <c r="F89" s="935">
        <f t="shared" si="0"/>
        <v>2.5174506587722609E-2</v>
      </c>
      <c r="G89" s="943">
        <f t="shared" si="1"/>
        <v>187642.23215701457</v>
      </c>
      <c r="H89" s="942">
        <f>ROUND(SUMIF('GG Support Data'!$B$7:$AA$7,$D89,'GG Support Data'!$B$56:$AA$56),2)</f>
        <v>6723080.7000000002</v>
      </c>
      <c r="I89" s="935">
        <f t="shared" si="2"/>
        <v>7.5006424319584847E-2</v>
      </c>
      <c r="J89" s="943">
        <f t="shared" si="3"/>
        <v>504274.24371901155</v>
      </c>
      <c r="K89" s="942">
        <f>ROUND(SUMIF('GG Support Data'!$B$7:$AA$7,$D89,'GG Support Data'!$B$61:$AA$61),2)</f>
        <v>192291.93</v>
      </c>
      <c r="L89" s="942">
        <f>ROUND(SUMIF('GG Support Data'!$B$7:$AA$7,$D89,'GG Support Data'!$B$66:$AA$66),2)</f>
        <v>0</v>
      </c>
      <c r="M89" s="943">
        <f t="shared" si="4"/>
        <v>884208.40587602602</v>
      </c>
      <c r="N89" s="944">
        <f>INDEX('GG True-up Template'!$A$44:$AG$81,MATCH(D89,'GG True-up Template'!$A$44:$A$81,0),MATCH("N",'GG True-up Template'!$A$44:$AG$44,0))</f>
        <v>23918.028280106708</v>
      </c>
      <c r="O89" s="943">
        <f t="shared" si="5"/>
        <v>908126.43415613275</v>
      </c>
      <c r="P89" s="125"/>
      <c r="Q89" s="150"/>
      <c r="R89" s="125"/>
      <c r="S89" s="146"/>
      <c r="T89" s="146"/>
      <c r="U89" s="146"/>
      <c r="V89" s="146"/>
    </row>
    <row r="90" spans="1:22">
      <c r="A90" s="938" t="s">
        <v>894</v>
      </c>
      <c r="B90" s="939"/>
      <c r="C90" s="946" t="s">
        <v>954</v>
      </c>
      <c r="D90" s="947">
        <v>13103</v>
      </c>
      <c r="E90" s="942">
        <f>ROUND(SUMIF('GG Support Data'!$B$7:$AA$7,$D90,'GG Support Data'!$B$23:$AA$23),2)</f>
        <v>20352576.210000001</v>
      </c>
      <c r="F90" s="935">
        <f t="shared" si="0"/>
        <v>2.5174506587722609E-2</v>
      </c>
      <c r="G90" s="943">
        <f t="shared" si="1"/>
        <v>512366.06387577148</v>
      </c>
      <c r="H90" s="942">
        <f>ROUND(SUMIF('GG Support Data'!$B$7:$AA$7,$D90,'GG Support Data'!$B$56:$AA$56),2)</f>
        <v>19292764.219999999</v>
      </c>
      <c r="I90" s="935">
        <f t="shared" si="2"/>
        <v>7.5006424319584847E-2</v>
      </c>
      <c r="J90" s="943">
        <f t="shared" si="3"/>
        <v>1447081.2593830242</v>
      </c>
      <c r="K90" s="942">
        <f>ROUND(SUMIF('GG Support Data'!$B$7:$AA$7,$D90,'GG Support Data'!$B$61:$AA$61),2)</f>
        <v>498638.12</v>
      </c>
      <c r="L90" s="942">
        <f>ROUND(SUMIF('GG Support Data'!$B$7:$AA$7,$D90,'GG Support Data'!$B$66:$AA$66),2)</f>
        <v>0</v>
      </c>
      <c r="M90" s="943">
        <f t="shared" si="4"/>
        <v>2458085.4432587959</v>
      </c>
      <c r="N90" s="944">
        <f>INDEX('GG True-up Template'!$A$44:$AG$81,MATCH(D90,'GG True-up Template'!$A$44:$A$81,0),MATCH("N",'GG True-up Template'!$A$44:$AG$44,0))</f>
        <v>-963630.63175016898</v>
      </c>
      <c r="O90" s="943">
        <f t="shared" si="5"/>
        <v>1494454.8115086269</v>
      </c>
      <c r="P90" s="125"/>
      <c r="Q90" s="150"/>
      <c r="R90" s="125"/>
      <c r="S90" s="146"/>
      <c r="T90" s="146"/>
      <c r="U90" s="146"/>
      <c r="V90" s="146"/>
    </row>
    <row r="91" spans="1:22">
      <c r="A91" s="938" t="s">
        <v>895</v>
      </c>
      <c r="B91" s="939"/>
      <c r="C91" s="946" t="s">
        <v>955</v>
      </c>
      <c r="D91" s="941">
        <v>13784</v>
      </c>
      <c r="E91" s="942">
        <f>ROUND(SUMIF('GG Support Data'!$B$7:$AA$7,$D91,'GG Support Data'!$B$23:$AA$23),2)</f>
        <v>6753952.7199999997</v>
      </c>
      <c r="F91" s="935">
        <f t="shared" si="0"/>
        <v>2.5174506587722609E-2</v>
      </c>
      <c r="G91" s="943">
        <f t="shared" ref="G91:G92" si="6">E91*F91</f>
        <v>170027.42724280703</v>
      </c>
      <c r="H91" s="942">
        <f>ROUND(SUMIF('GG Support Data'!$B$7:$AA$7,$D91,'GG Support Data'!$B$56:$AA$56),2)</f>
        <v>6156627.1500000004</v>
      </c>
      <c r="I91" s="935">
        <f t="shared" si="2"/>
        <v>7.5006424319584847E-2</v>
      </c>
      <c r="J91" s="943">
        <f t="shared" ref="J91:J92" si="7">H91*I91</f>
        <v>461786.58839037636</v>
      </c>
      <c r="K91" s="942">
        <f>ROUND(SUMIF('GG Support Data'!$B$7:$AA$7,$D91,'GG Support Data'!$B$61:$AA$61),2)</f>
        <v>190461.47</v>
      </c>
      <c r="L91" s="942">
        <f>ROUND(SUMIF('GG Support Data'!$B$7:$AA$7,$D91,'GG Support Data'!$B$66:$AA$66),2)</f>
        <v>0</v>
      </c>
      <c r="M91" s="943">
        <f t="shared" ref="M91:M92" si="8">G91+J91+K91+L91</f>
        <v>822275.48563318339</v>
      </c>
      <c r="N91" s="944">
        <f>INDEX('GG True-up Template'!$A$44:$AG$81,MATCH(D91,'GG True-up Template'!$A$44:$A$81,0),MATCH("N",'GG True-up Template'!$A$44:$AG$44,0))</f>
        <v>36768.175452898889</v>
      </c>
      <c r="O91" s="943">
        <f t="shared" ref="O91:O92" si="9">M91+N91</f>
        <v>859043.66108608223</v>
      </c>
      <c r="P91" s="125"/>
      <c r="Q91" s="150"/>
      <c r="R91" s="125"/>
      <c r="S91" s="146"/>
      <c r="T91" s="146"/>
      <c r="U91" s="146"/>
      <c r="V91" s="146"/>
    </row>
    <row r="92" spans="1:22">
      <c r="A92" s="938" t="s">
        <v>896</v>
      </c>
      <c r="B92" s="939"/>
      <c r="C92" s="946" t="s">
        <v>956</v>
      </c>
      <c r="D92" s="941">
        <v>13769</v>
      </c>
      <c r="E92" s="942">
        <f>ROUND(SUMIF('GG Support Data'!$B$7:$AA$7,$D92,'GG Support Data'!$B$23:$AA$23),2)</f>
        <v>8428312.1999999993</v>
      </c>
      <c r="F92" s="935">
        <f t="shared" si="0"/>
        <v>2.5174506587722609E-2</v>
      </c>
      <c r="G92" s="943">
        <f t="shared" si="6"/>
        <v>212178.60100228281</v>
      </c>
      <c r="H92" s="942">
        <f>ROUND(SUMIF('GG Support Data'!$B$7:$AA$7,$D92,'GG Support Data'!$B$56:$AA$56),2)</f>
        <v>7677988.0499999998</v>
      </c>
      <c r="I92" s="935">
        <f t="shared" si="2"/>
        <v>7.5006424319584847E-2</v>
      </c>
      <c r="J92" s="943">
        <f t="shared" si="7"/>
        <v>575898.42959900177</v>
      </c>
      <c r="K92" s="942">
        <f>ROUND(SUMIF('GG Support Data'!$B$7:$AA$7,$D92,'GG Support Data'!$B$61:$AA$61),2)</f>
        <v>239364.07</v>
      </c>
      <c r="L92" s="942">
        <f>ROUND(SUMIF('GG Support Data'!$B$7:$AA$7,$D92,'GG Support Data'!$B$66:$AA$66),2)</f>
        <v>0</v>
      </c>
      <c r="M92" s="943">
        <f t="shared" si="8"/>
        <v>1027441.1006012845</v>
      </c>
      <c r="N92" s="944">
        <f>INDEX('GG True-up Template'!$A$44:$AG$81,MATCH(D92,'GG True-up Template'!$A$44:$A$81,0),MATCH("N",'GG True-up Template'!$A$44:$AG$44,0))</f>
        <v>53510.709793670794</v>
      </c>
      <c r="O92" s="943">
        <f t="shared" si="9"/>
        <v>1080951.8103949553</v>
      </c>
      <c r="P92" s="125"/>
      <c r="Q92" s="150"/>
      <c r="R92" s="125"/>
      <c r="S92" s="146"/>
      <c r="T92" s="146"/>
      <c r="U92" s="146"/>
      <c r="V92" s="146"/>
    </row>
    <row r="93" spans="1:22" ht="30">
      <c r="A93" s="938" t="s">
        <v>919</v>
      </c>
      <c r="B93" s="939"/>
      <c r="C93" s="946" t="s">
        <v>957</v>
      </c>
      <c r="D93" s="947">
        <v>14925</v>
      </c>
      <c r="E93" s="942">
        <f>ROUND(SUMIF('GG Support Data'!$B$7:$AA$7,$D93,'GG Support Data'!$B$23:$AA$23),2)</f>
        <v>2690651.78</v>
      </c>
      <c r="F93" s="935">
        <f t="shared" si="0"/>
        <v>2.5174506587722609E-2</v>
      </c>
      <c r="G93" s="943">
        <f t="shared" ref="G93" si="10">E93*F93</f>
        <v>67735.83096087756</v>
      </c>
      <c r="H93" s="942">
        <f>ROUND(SUMIF('GG Support Data'!$B$7:$AA$7,$D93,'GG Support Data'!$B$56:$AA$56),2)</f>
        <v>2643191.66</v>
      </c>
      <c r="I93" s="935">
        <f t="shared" si="2"/>
        <v>7.5006424319584847E-2</v>
      </c>
      <c r="J93" s="943">
        <f t="shared" ref="J93" si="11">H93*I93</f>
        <v>198256.35520794784</v>
      </c>
      <c r="K93" s="942">
        <f>ROUND(SUMIF('GG Support Data'!$B$7:$AA$7,$D93,'GG Support Data'!$B$61:$AA$61),2)</f>
        <v>71113.929999999993</v>
      </c>
      <c r="L93" s="942">
        <f>ROUND(SUMIF('GG Support Data'!$B$7:$AA$7,$D93,'GG Support Data'!$B$66:$AA$66),2)</f>
        <v>0</v>
      </c>
      <c r="M93" s="943">
        <f t="shared" ref="M93" si="12">G93+J93+K93+L93</f>
        <v>337106.11616882536</v>
      </c>
      <c r="N93" s="944">
        <f>INDEX('GG True-up Template'!$A$44:$AG$81,MATCH(D93,'GG True-up Template'!$A$44:$A$81,0),MATCH("N",'GG True-up Template'!$A$44:$AG$44,0))</f>
        <v>0</v>
      </c>
      <c r="O93" s="943">
        <f t="shared" ref="O93" si="13">M93+N93</f>
        <v>337106.11616882536</v>
      </c>
      <c r="P93" s="125"/>
      <c r="Q93" s="150"/>
      <c r="R93" s="125"/>
      <c r="S93" s="146"/>
      <c r="T93" s="146"/>
      <c r="U93" s="146"/>
      <c r="V93" s="146"/>
    </row>
    <row r="94" spans="1:22">
      <c r="A94" s="938" t="s">
        <v>905</v>
      </c>
      <c r="B94" s="939"/>
      <c r="C94" s="946" t="s">
        <v>936</v>
      </c>
      <c r="D94" s="947">
        <v>16494</v>
      </c>
      <c r="E94" s="942">
        <f>ROUND(SUMIF('GG Support Data'!$B$7:$AA$7,$D94,'GG Support Data'!$B$23:$AA$23),2)</f>
        <v>210181.77</v>
      </c>
      <c r="F94" s="935">
        <f t="shared" si="0"/>
        <v>2.5174506587722609E-2</v>
      </c>
      <c r="G94" s="943">
        <f t="shared" ref="G94:G96" si="14">E94*F94</f>
        <v>5291.2223534841978</v>
      </c>
      <c r="H94" s="942">
        <f>ROUND(SUMIF('GG Support Data'!$B$7:$AA$7,$D94,'GG Support Data'!$B$56:$AA$56),2)</f>
        <v>205552.51</v>
      </c>
      <c r="I94" s="935">
        <f t="shared" si="2"/>
        <v>7.5006424319584847E-2</v>
      </c>
      <c r="J94" s="943">
        <f t="shared" ref="J94:J96" si="15">H94*I94</f>
        <v>15417.758785015709</v>
      </c>
      <c r="K94" s="942">
        <f>ROUND(SUMIF('GG Support Data'!$B$7:$AA$7,$D94,'GG Support Data'!$B$61:$AA$61),2)</f>
        <v>5555.1</v>
      </c>
      <c r="L94" s="942">
        <f>ROUND(SUMIF('GG Support Data'!$B$7:$AA$7,$D94,'GG Support Data'!$B$66:$AA$66),2)</f>
        <v>0</v>
      </c>
      <c r="M94" s="943">
        <f t="shared" ref="M94:M96" si="16">G94+J94+K94+L94</f>
        <v>26264.081138499903</v>
      </c>
      <c r="N94" s="944">
        <f>INDEX('GG True-up Template'!$A$44:$AG$81,MATCH(D94,'GG True-up Template'!$A$44:$A$81,0),MATCH("N",'GG True-up Template'!$A$44:$AG$44,0))</f>
        <v>-2929.1221428264148</v>
      </c>
      <c r="O94" s="943">
        <f t="shared" ref="O94:O96" si="17">M94+N94</f>
        <v>23334.958995673489</v>
      </c>
      <c r="P94" s="125"/>
      <c r="Q94" s="150"/>
      <c r="R94" s="125"/>
      <c r="S94" s="146"/>
      <c r="T94" s="146"/>
      <c r="U94" s="146"/>
      <c r="V94" s="146"/>
    </row>
    <row r="95" spans="1:22">
      <c r="A95" s="938" t="s">
        <v>906</v>
      </c>
      <c r="B95" s="939"/>
      <c r="C95" s="946" t="s">
        <v>937</v>
      </c>
      <c r="D95" s="947">
        <v>17064</v>
      </c>
      <c r="E95" s="942">
        <f>ROUND(SUMIF('GG Support Data'!$B$7:$AA$7,$D95,'GG Support Data'!$B$23:$AA$23),2)</f>
        <v>50919.33</v>
      </c>
      <c r="F95" s="935">
        <f t="shared" si="0"/>
        <v>2.5174506587722609E-2</v>
      </c>
      <c r="G95" s="943">
        <f t="shared" si="14"/>
        <v>1281.8690085274216</v>
      </c>
      <c r="H95" s="942">
        <f>ROUND(SUMIF('GG Support Data'!$B$7:$AA$7,$D95,'GG Support Data'!$B$56:$AA$56),2)</f>
        <v>49797.83</v>
      </c>
      <c r="I95" s="935">
        <f t="shared" si="2"/>
        <v>7.5006424319584847E-2</v>
      </c>
      <c r="J95" s="943">
        <f t="shared" si="15"/>
        <v>3735.1571671745519</v>
      </c>
      <c r="K95" s="942">
        <f>ROUND(SUMIF('GG Support Data'!$B$7:$AA$7,$D95,'GG Support Data'!$B$61:$AA$61),2)</f>
        <v>1345.8</v>
      </c>
      <c r="L95" s="942">
        <f>ROUND(SUMIF('GG Support Data'!$B$7:$AA$7,$D95,'GG Support Data'!$B$66:$AA$66),2)</f>
        <v>0</v>
      </c>
      <c r="M95" s="943">
        <f t="shared" si="16"/>
        <v>6362.8261757019736</v>
      </c>
      <c r="N95" s="944">
        <f>INDEX('GG True-up Template'!$A$44:$AG$81,MATCH(D95,'GG True-up Template'!$A$44:$A$81,0),MATCH("N",'GG True-up Template'!$A$44:$AG$44,0))</f>
        <v>-13469.27476382858</v>
      </c>
      <c r="O95" s="943">
        <f t="shared" si="17"/>
        <v>-7106.4485881266064</v>
      </c>
      <c r="P95" s="125"/>
      <c r="Q95" s="150"/>
      <c r="R95" s="125"/>
      <c r="S95" s="146"/>
      <c r="T95" s="146"/>
      <c r="U95" s="146"/>
      <c r="V95" s="146"/>
    </row>
    <row r="96" spans="1:22">
      <c r="A96" s="938" t="s">
        <v>907</v>
      </c>
      <c r="B96" s="939"/>
      <c r="C96" s="946" t="s">
        <v>938</v>
      </c>
      <c r="D96" s="947">
        <v>17525</v>
      </c>
      <c r="E96" s="942">
        <f>ROUND(SUMIF('GG Support Data'!$B$7:$AA$7,$D96,'GG Support Data'!$B$23:$AA$23),2)</f>
        <v>3263621.01</v>
      </c>
      <c r="F96" s="935">
        <f t="shared" si="0"/>
        <v>2.5174506587722609E-2</v>
      </c>
      <c r="G96" s="943">
        <f t="shared" si="14"/>
        <v>82160.048616074913</v>
      </c>
      <c r="H96" s="942">
        <f>ROUND(SUMIF('GG Support Data'!$B$7:$AA$7,$D96,'GG Support Data'!$B$56:$AA$56),2)</f>
        <v>3191739.76</v>
      </c>
      <c r="I96" s="935">
        <f t="shared" si="2"/>
        <v>7.5006424319584847E-2</v>
      </c>
      <c r="J96" s="943">
        <f t="shared" si="15"/>
        <v>239400.98675624988</v>
      </c>
      <c r="K96" s="942">
        <f>ROUND(SUMIF('GG Support Data'!$B$7:$AA$7,$D96,'GG Support Data'!$B$61:$AA$61),2)</f>
        <v>86257.5</v>
      </c>
      <c r="L96" s="942">
        <f>ROUND(SUMIF('GG Support Data'!$B$7:$AA$7,$D96,'GG Support Data'!$B$66:$AA$66),2)</f>
        <v>0</v>
      </c>
      <c r="M96" s="943">
        <f t="shared" si="16"/>
        <v>407818.53537232481</v>
      </c>
      <c r="N96" s="944">
        <f>INDEX('GG True-up Template'!$A$44:$AG$81,MATCH(D96,'GG True-up Template'!$A$44:$A$81,0),MATCH("N",'GG True-up Template'!$A$44:$AG$44,0))</f>
        <v>0</v>
      </c>
      <c r="O96" s="943">
        <f t="shared" si="17"/>
        <v>407818.53537232481</v>
      </c>
      <c r="P96" s="125"/>
      <c r="Q96" s="150"/>
      <c r="R96" s="125"/>
      <c r="S96" s="146"/>
      <c r="T96" s="146"/>
      <c r="U96" s="146"/>
      <c r="V96" s="146"/>
    </row>
    <row r="97" spans="1:22" ht="30">
      <c r="A97" s="938" t="s">
        <v>916</v>
      </c>
      <c r="B97" s="939"/>
      <c r="C97" s="946" t="s">
        <v>939</v>
      </c>
      <c r="D97" s="947">
        <v>17526</v>
      </c>
      <c r="E97" s="942">
        <f>ROUND(SUMIF('GG Support Data'!$B$7:$AA$7,$D97,'GG Support Data'!$B$23:$AA$23),2)</f>
        <v>539931.55000000005</v>
      </c>
      <c r="F97" s="935">
        <f t="shared" si="0"/>
        <v>2.5174506587722609E-2</v>
      </c>
      <c r="G97" s="943">
        <f t="shared" ref="G97" si="18">E97*F97</f>
        <v>13592.510362394281</v>
      </c>
      <c r="H97" s="942">
        <f>ROUND(SUMIF('GG Support Data'!$B$7:$AA$7,$D97,'GG Support Data'!$B$56:$AA$56),2)</f>
        <v>474751.88</v>
      </c>
      <c r="I97" s="935">
        <f t="shared" si="2"/>
        <v>7.5006424319584847E-2</v>
      </c>
      <c r="J97" s="943">
        <f t="shared" ref="J97" si="19">H97*I97</f>
        <v>35609.440957800631</v>
      </c>
      <c r="K97" s="942">
        <f>ROUND(SUMIF('GG Support Data'!$B$7:$AA$7,$D97,'GG Support Data'!$B$61:$AA$61),2)</f>
        <v>14270.39</v>
      </c>
      <c r="L97" s="942">
        <f>ROUND(SUMIF('GG Support Data'!$B$7:$AA$7,$D97,'GG Support Data'!$B$66:$AA$66),2)</f>
        <v>0</v>
      </c>
      <c r="M97" s="943">
        <f t="shared" ref="M97" si="20">G97+J97+K97+L97</f>
        <v>63472.341320194915</v>
      </c>
      <c r="N97" s="944">
        <f>INDEX('GG True-up Template'!$A$44:$AG$81,MATCH(D97,'GG True-up Template'!$A$44:$A$81,0),MATCH("N",'GG True-up Template'!$A$44:$AG$44,0))</f>
        <v>4040.8864825737492</v>
      </c>
      <c r="O97" s="943">
        <f t="shared" ref="O97" si="21">M97+N97</f>
        <v>67513.22780276867</v>
      </c>
      <c r="P97" s="125"/>
      <c r="Q97" s="150"/>
      <c r="R97" s="125"/>
      <c r="S97" s="146"/>
      <c r="T97" s="146"/>
      <c r="U97" s="146"/>
      <c r="V97" s="146"/>
    </row>
    <row r="98" spans="1:22" ht="30">
      <c r="A98" s="938" t="s">
        <v>917</v>
      </c>
      <c r="B98" s="939"/>
      <c r="C98" s="946" t="s">
        <v>976</v>
      </c>
      <c r="D98" s="947">
        <v>18849</v>
      </c>
      <c r="E98" s="942">
        <f>ROUND(SUMIF('GG Support Data'!$B$7:$AA$7,$D98,'GG Support Data'!$B$23:$AA$23),2)</f>
        <v>5377899.8499999996</v>
      </c>
      <c r="F98" s="935">
        <f t="shared" si="0"/>
        <v>2.5174506587722609E-2</v>
      </c>
      <c r="G98" s="943">
        <f t="shared" ref="G98" si="22">E98*F98</f>
        <v>135385.97520193743</v>
      </c>
      <c r="H98" s="942">
        <f>ROUND(SUMIF('GG Support Data'!$B$7:$AA$7,$D98,'GG Support Data'!$B$56:$AA$56),2)</f>
        <v>5306847.96</v>
      </c>
      <c r="I98" s="935">
        <f t="shared" si="2"/>
        <v>7.5006424319584847E-2</v>
      </c>
      <c r="J98" s="943">
        <f t="shared" ref="J98" si="23">H98*I98</f>
        <v>398047.68988728325</v>
      </c>
      <c r="K98" s="942">
        <f>ROUND(SUMIF('GG Support Data'!$B$7:$AA$7,$D98,'GG Support Data'!$B$61:$AA$61),2)</f>
        <v>153982.72</v>
      </c>
      <c r="L98" s="942">
        <f>ROUND(SUMIF('GG Support Data'!$B$7:$AA$7,$D98,'GG Support Data'!$B$66:$AA$66),2)</f>
        <v>0</v>
      </c>
      <c r="M98" s="943">
        <f t="shared" ref="M98" si="24">G98+J98+K98+L98</f>
        <v>687416.38508922071</v>
      </c>
      <c r="N98" s="944">
        <f>INDEX('GG True-up Template'!$A$44:$AG$81,MATCH(D98,'GG True-up Template'!$A$44:$A$81,0),MATCH("N",'GG True-up Template'!$A$44:$AG$44,0))</f>
        <v>0</v>
      </c>
      <c r="O98" s="943">
        <f t="shared" ref="O98" si="25">M98+N98</f>
        <v>687416.38508922071</v>
      </c>
      <c r="P98" s="125"/>
      <c r="Q98" s="150"/>
      <c r="R98" s="125"/>
      <c r="S98" s="146"/>
      <c r="T98" s="146"/>
      <c r="U98" s="146"/>
      <c r="V98" s="146"/>
    </row>
    <row r="99" spans="1:22" ht="30">
      <c r="A99" s="938" t="s">
        <v>918</v>
      </c>
      <c r="B99" s="939"/>
      <c r="C99" s="946" t="s">
        <v>940</v>
      </c>
      <c r="D99" s="947">
        <v>18925</v>
      </c>
      <c r="E99" s="942">
        <f>ROUND(SUMIF('GG Support Data'!$B$7:$AA$7,$D99,'GG Support Data'!$B$23:$AA$23),2)</f>
        <v>784452.55</v>
      </c>
      <c r="F99" s="935">
        <f t="shared" si="0"/>
        <v>2.5174506587722609E-2</v>
      </c>
      <c r="G99" s="943">
        <f>E99*F99</f>
        <v>19748.205887730801</v>
      </c>
      <c r="H99" s="942">
        <f>ROUND(SUMIF('GG Support Data'!$B$7:$AA$7,$D99,'GG Support Data'!$B$56:$AA$56),2)</f>
        <v>780133.16</v>
      </c>
      <c r="I99" s="935">
        <f t="shared" si="2"/>
        <v>7.5006424319584847E-2</v>
      </c>
      <c r="J99" s="943">
        <f>H99*I99</f>
        <v>58514.998824738577</v>
      </c>
      <c r="K99" s="942">
        <f>ROUND(SUMIF('GG Support Data'!$B$7:$AA$7,$D99,'GG Support Data'!$B$61:$AA$61),2)</f>
        <v>22460.84</v>
      </c>
      <c r="L99" s="942">
        <f>ROUND(SUMIF('GG Support Data'!$B$7:$AA$7,$D99,'GG Support Data'!$B$66:$AA$66),2)</f>
        <v>0</v>
      </c>
      <c r="M99" s="943">
        <f>G99+J99+K99+L99</f>
        <v>100724.04471246937</v>
      </c>
      <c r="N99" s="944">
        <f>INDEX('GG True-up Template'!$A$44:$AG$81,MATCH(D99,'GG True-up Template'!$A$44:$A$81,0),MATCH("N",'GG True-up Template'!$A$44:$AG$44,0))</f>
        <v>0</v>
      </c>
      <c r="O99" s="943">
        <f>M99+N99</f>
        <v>100724.04471246937</v>
      </c>
      <c r="P99" s="125"/>
      <c r="Q99" s="150"/>
      <c r="R99" s="125"/>
      <c r="S99" s="146"/>
      <c r="T99" s="146"/>
      <c r="U99" s="146"/>
      <c r="V99" s="146"/>
    </row>
    <row r="100" spans="1:22">
      <c r="A100" s="938" t="s">
        <v>975</v>
      </c>
      <c r="B100" s="939"/>
      <c r="C100" s="946" t="s">
        <v>941</v>
      </c>
      <c r="D100" s="947">
        <v>19269</v>
      </c>
      <c r="E100" s="942">
        <f>ROUND(SUMIF('GG Support Data'!$B$7:$AA$7,$D100,'GG Support Data'!$B$23:$AA$23),2)</f>
        <v>128625.58</v>
      </c>
      <c r="F100" s="935">
        <f t="shared" si="0"/>
        <v>2.5174506587722609E-2</v>
      </c>
      <c r="G100" s="943">
        <f>E100*F100</f>
        <v>3238.0855110596417</v>
      </c>
      <c r="H100" s="942">
        <f>ROUND(SUMIF('GG Support Data'!$B$7:$AA$7,$D100,'GG Support Data'!$B$56:$AA$56),2)</f>
        <v>125844.93</v>
      </c>
      <c r="I100" s="935">
        <f t="shared" si="2"/>
        <v>7.5006424319584847E-2</v>
      </c>
      <c r="J100" s="943">
        <f>H100*I100</f>
        <v>9439.1782180484515</v>
      </c>
      <c r="K100" s="942">
        <f>ROUND(SUMIF('GG Support Data'!$B$7:$AA$7,$D100,'GG Support Data'!$B$61:$AA$61),2)</f>
        <v>3405.73</v>
      </c>
      <c r="L100" s="942">
        <f>ROUND(SUMIF('GG Support Data'!$B$7:$AA$7,$D100,'GG Support Data'!$B$66:$AA$66),2)</f>
        <v>0</v>
      </c>
      <c r="M100" s="943">
        <f>G100+J100+K100+L100</f>
        <v>16082.993729108093</v>
      </c>
      <c r="N100" s="944">
        <f>INDEX('GG True-up Template'!$A$44:$AG$81,MATCH(D100,'GG True-up Template'!$A$44:$A$81,0),MATCH("N",'GG True-up Template'!$A$44:$AG$44,0))</f>
        <v>0</v>
      </c>
      <c r="O100" s="943">
        <f>M100+N100</f>
        <v>16082.993729108093</v>
      </c>
      <c r="P100" s="125"/>
      <c r="Q100" s="150"/>
      <c r="R100" s="125"/>
      <c r="S100" s="146"/>
      <c r="T100" s="146"/>
      <c r="U100" s="146"/>
      <c r="V100" s="146"/>
    </row>
    <row r="101" spans="1:22" ht="30">
      <c r="A101" s="938" t="s">
        <v>977</v>
      </c>
      <c r="B101" s="939"/>
      <c r="C101" s="946" t="s">
        <v>984</v>
      </c>
      <c r="D101" s="947">
        <v>16492</v>
      </c>
      <c r="E101" s="942">
        <f>ROUND(SUMIF('GG Support Data'!$B$7:$AA$7,$D101,'GG Support Data'!$B$23:$AA$23),2)</f>
        <v>0</v>
      </c>
      <c r="F101" s="935">
        <f t="shared" si="0"/>
        <v>2.5174506587722609E-2</v>
      </c>
      <c r="G101" s="943">
        <f t="shared" ref="G101:G104" si="26">E101*F101</f>
        <v>0</v>
      </c>
      <c r="H101" s="942">
        <f>ROUND(SUMIF('GG Support Data'!$B$7:$AA$7,$D101,'GG Support Data'!$B$56:$AA$56),2)</f>
        <v>0</v>
      </c>
      <c r="I101" s="935">
        <f t="shared" si="2"/>
        <v>7.5006424319584847E-2</v>
      </c>
      <c r="J101" s="943">
        <f t="shared" ref="J101:J104" si="27">H101*I101</f>
        <v>0</v>
      </c>
      <c r="K101" s="942">
        <f>ROUND(SUMIF('GG Support Data'!$B$7:$AA$7,$D101,'GG Support Data'!$B$61:$AA$61),2)</f>
        <v>0</v>
      </c>
      <c r="L101" s="942">
        <f>ROUND(SUMIF('GG Support Data'!$B$7:$AA$7,$D101,'GG Support Data'!$B$66:$AA$66),2)</f>
        <v>0</v>
      </c>
      <c r="M101" s="943">
        <f t="shared" ref="M101:M104" si="28">G101+J101+K101+L101</f>
        <v>0</v>
      </c>
      <c r="N101" s="944">
        <f>INDEX('GG True-up Template'!$A$44:$AG$81,MATCH(D101,'GG True-up Template'!$A$44:$A$81,0),MATCH("N",'GG True-up Template'!$A$44:$AG$44,0))</f>
        <v>0</v>
      </c>
      <c r="O101" s="943">
        <f t="shared" ref="O101:O104" si="29">M101+N101</f>
        <v>0</v>
      </c>
      <c r="P101" s="125"/>
      <c r="Q101" s="150"/>
      <c r="R101" s="125"/>
      <c r="S101" s="146"/>
      <c r="T101" s="146"/>
      <c r="U101" s="146"/>
      <c r="V101" s="146"/>
    </row>
    <row r="102" spans="1:22">
      <c r="A102" s="938" t="s">
        <v>978</v>
      </c>
      <c r="B102" s="939"/>
      <c r="C102" s="946" t="s">
        <v>983</v>
      </c>
      <c r="D102" s="947">
        <v>18985</v>
      </c>
      <c r="E102" s="942">
        <f>ROUND(SUMIF('GG Support Data'!$B$7:$AA$7,$D102,'GG Support Data'!$B$23:$AA$23),2)</f>
        <v>0</v>
      </c>
      <c r="F102" s="935">
        <f t="shared" si="0"/>
        <v>2.5174506587722609E-2</v>
      </c>
      <c r="G102" s="943">
        <f t="shared" si="26"/>
        <v>0</v>
      </c>
      <c r="H102" s="942">
        <f>ROUND(SUMIF('GG Support Data'!$B$7:$AA$7,$D102,'GG Support Data'!$B$56:$AA$56),2)</f>
        <v>0</v>
      </c>
      <c r="I102" s="935">
        <f t="shared" si="2"/>
        <v>7.5006424319584847E-2</v>
      </c>
      <c r="J102" s="943">
        <f t="shared" si="27"/>
        <v>0</v>
      </c>
      <c r="K102" s="942">
        <f>ROUND(SUMIF('GG Support Data'!$B$7:$AA$7,$D102,'GG Support Data'!$B$61:$AA$61),2)</f>
        <v>0</v>
      </c>
      <c r="L102" s="942">
        <f>ROUND(SUMIF('GG Support Data'!$B$7:$AA$7,$D102,'GG Support Data'!$B$66:$AA$66),2)</f>
        <v>0</v>
      </c>
      <c r="M102" s="943">
        <f t="shared" si="28"/>
        <v>0</v>
      </c>
      <c r="N102" s="944">
        <f>INDEX('GG True-up Template'!$A$44:$AG$81,MATCH(D102,'GG True-up Template'!$A$44:$A$81,0),MATCH("N",'GG True-up Template'!$A$44:$AG$44,0))</f>
        <v>0</v>
      </c>
      <c r="O102" s="943">
        <f t="shared" si="29"/>
        <v>0</v>
      </c>
      <c r="P102" s="125"/>
      <c r="Q102" s="150"/>
      <c r="R102" s="125"/>
      <c r="S102" s="146"/>
      <c r="T102" s="146"/>
      <c r="U102" s="146"/>
      <c r="V102" s="146"/>
    </row>
    <row r="103" spans="1:22" ht="30">
      <c r="A103" s="938" t="s">
        <v>979</v>
      </c>
      <c r="B103" s="939"/>
      <c r="C103" s="946" t="s">
        <v>982</v>
      </c>
      <c r="D103" s="947">
        <v>19145</v>
      </c>
      <c r="E103" s="942">
        <f>ROUND(SUMIF('GG Support Data'!$B$7:$AA$7,$D103,'GG Support Data'!$B$23:$AA$23),2)</f>
        <v>0</v>
      </c>
      <c r="F103" s="935">
        <f t="shared" si="0"/>
        <v>2.5174506587722609E-2</v>
      </c>
      <c r="G103" s="943">
        <f t="shared" si="26"/>
        <v>0</v>
      </c>
      <c r="H103" s="942">
        <f>ROUND(SUMIF('GG Support Data'!$B$7:$AA$7,$D103,'GG Support Data'!$B$56:$AA$56),2)</f>
        <v>0</v>
      </c>
      <c r="I103" s="935">
        <f t="shared" si="2"/>
        <v>7.5006424319584847E-2</v>
      </c>
      <c r="J103" s="943">
        <f t="shared" si="27"/>
        <v>0</v>
      </c>
      <c r="K103" s="942">
        <f>ROUND(SUMIF('GG Support Data'!$B$7:$AA$7,$D103,'GG Support Data'!$B$61:$AA$61),2)</f>
        <v>0</v>
      </c>
      <c r="L103" s="942">
        <f>ROUND(SUMIF('GG Support Data'!$B$7:$AA$7,$D103,'GG Support Data'!$B$66:$AA$66),2)</f>
        <v>0</v>
      </c>
      <c r="M103" s="943">
        <f t="shared" si="28"/>
        <v>0</v>
      </c>
      <c r="N103" s="944">
        <f>INDEX('GG True-up Template'!$A$44:$AG$81,MATCH(D103,'GG True-up Template'!$A$44:$A$81,0),MATCH("N",'GG True-up Template'!$A$44:$AG$44,0))</f>
        <v>0</v>
      </c>
      <c r="O103" s="943">
        <f t="shared" si="29"/>
        <v>0</v>
      </c>
      <c r="P103" s="125"/>
      <c r="Q103" s="150"/>
      <c r="R103" s="125"/>
      <c r="S103" s="146"/>
      <c r="T103" s="146"/>
      <c r="U103" s="146"/>
      <c r="V103" s="146"/>
    </row>
    <row r="104" spans="1:22" ht="30">
      <c r="A104" s="938" t="s">
        <v>980</v>
      </c>
      <c r="B104" s="939"/>
      <c r="C104" s="946" t="s">
        <v>981</v>
      </c>
      <c r="D104" s="947">
        <v>20625</v>
      </c>
      <c r="E104" s="942">
        <f>ROUND(SUMIF('GG Support Data'!$B$7:$AA$7,$D104,'GG Support Data'!$B$23:$AA$23),2)</f>
        <v>0</v>
      </c>
      <c r="F104" s="935">
        <f t="shared" si="0"/>
        <v>2.5174506587722609E-2</v>
      </c>
      <c r="G104" s="943">
        <f t="shared" si="26"/>
        <v>0</v>
      </c>
      <c r="H104" s="942">
        <f>ROUND(SUMIF('GG Support Data'!$B$7:$AA$7,$D104,'GG Support Data'!$B$56:$AA$56),2)</f>
        <v>0</v>
      </c>
      <c r="I104" s="935">
        <f t="shared" si="2"/>
        <v>7.5006424319584847E-2</v>
      </c>
      <c r="J104" s="943">
        <f t="shared" si="27"/>
        <v>0</v>
      </c>
      <c r="K104" s="942">
        <f>ROUND(SUMIF('GG Support Data'!$B$7:$AA$7,$D104,'GG Support Data'!$B$61:$AA$61),2)</f>
        <v>0</v>
      </c>
      <c r="L104" s="942">
        <f>ROUND(SUMIF('GG Support Data'!$B$7:$AA$7,$D104,'GG Support Data'!$B$66:$AA$66),2)</f>
        <v>0</v>
      </c>
      <c r="M104" s="943">
        <f t="shared" si="28"/>
        <v>0</v>
      </c>
      <c r="N104" s="944">
        <f>INDEX('GG True-up Template'!$A$44:$AG$81,MATCH(D104,'GG True-up Template'!$A$44:$A$81,0),MATCH("N",'GG True-up Template'!$A$44:$AG$44,0))</f>
        <v>0</v>
      </c>
      <c r="O104" s="943">
        <f t="shared" si="29"/>
        <v>0</v>
      </c>
      <c r="P104" s="125"/>
      <c r="Q104" s="150"/>
      <c r="R104" s="125"/>
      <c r="S104" s="146"/>
      <c r="T104" s="146"/>
      <c r="U104" s="146"/>
      <c r="V104" s="146"/>
    </row>
    <row r="105" spans="1:22">
      <c r="A105" s="938"/>
      <c r="B105" s="939"/>
      <c r="C105" s="946"/>
      <c r="D105" s="947"/>
      <c r="E105" s="942"/>
      <c r="F105" s="935"/>
      <c r="G105" s="943"/>
      <c r="H105" s="942"/>
      <c r="I105" s="935"/>
      <c r="J105" s="943"/>
      <c r="K105" s="942"/>
      <c r="L105" s="942"/>
      <c r="M105" s="943"/>
      <c r="N105" s="944"/>
      <c r="O105" s="943"/>
      <c r="P105" s="125"/>
      <c r="Q105" s="150"/>
      <c r="R105" s="125"/>
      <c r="S105" s="146"/>
      <c r="T105" s="146"/>
      <c r="U105" s="146"/>
      <c r="V105" s="146"/>
    </row>
    <row r="106" spans="1:22">
      <c r="A106" s="938"/>
      <c r="B106" s="939"/>
      <c r="C106" s="946"/>
      <c r="D106" s="947"/>
      <c r="E106" s="948"/>
      <c r="F106" s="935"/>
      <c r="G106" s="943"/>
      <c r="H106" s="948"/>
      <c r="I106" s="935"/>
      <c r="J106" s="943"/>
      <c r="K106" s="948"/>
      <c r="L106" s="948"/>
      <c r="M106" s="943"/>
      <c r="N106" s="949"/>
      <c r="O106" s="943"/>
      <c r="P106" s="125"/>
      <c r="Q106" s="150"/>
      <c r="R106" s="125"/>
      <c r="S106" s="146"/>
      <c r="T106" s="146"/>
      <c r="U106" s="146"/>
      <c r="V106" s="146"/>
    </row>
    <row r="107" spans="1:22">
      <c r="A107" s="950"/>
      <c r="B107" s="951"/>
      <c r="C107" s="952"/>
      <c r="D107" s="952"/>
      <c r="E107" s="952"/>
      <c r="F107" s="952"/>
      <c r="G107" s="953"/>
      <c r="H107" s="952"/>
      <c r="I107" s="952"/>
      <c r="J107" s="953"/>
      <c r="K107" s="952"/>
      <c r="L107" s="952"/>
      <c r="M107" s="953"/>
      <c r="N107" s="952"/>
      <c r="O107" s="953"/>
      <c r="P107" s="125"/>
      <c r="Q107" s="150"/>
      <c r="R107" s="125"/>
      <c r="S107" s="146"/>
      <c r="T107" s="146"/>
      <c r="U107" s="146"/>
      <c r="V107" s="146"/>
    </row>
    <row r="108" spans="1:22">
      <c r="A108" s="149" t="s">
        <v>514</v>
      </c>
      <c r="C108" s="148" t="s">
        <v>513</v>
      </c>
      <c r="D108" s="148"/>
      <c r="E108" s="131"/>
      <c r="F108" s="131"/>
      <c r="G108" s="128"/>
      <c r="H108" s="128"/>
      <c r="I108" s="128"/>
      <c r="J108" s="128"/>
      <c r="K108" s="128"/>
      <c r="L108" s="143">
        <f>SUM(L75:L107)</f>
        <v>0</v>
      </c>
      <c r="M108" s="143">
        <f>SUM(M75:M107)</f>
        <v>94230025.465601161</v>
      </c>
      <c r="N108" s="147">
        <f>SUM(N75:N107)</f>
        <v>1038030.4354858167</v>
      </c>
      <c r="O108" s="143">
        <f>SUM(O75:O107)</f>
        <v>95268055.901086986</v>
      </c>
      <c r="P108" s="125"/>
      <c r="Q108" s="126"/>
      <c r="R108" s="125"/>
      <c r="S108" s="146"/>
      <c r="T108" s="146"/>
      <c r="U108" s="146"/>
      <c r="V108" s="146"/>
    </row>
    <row r="109" spans="1:22">
      <c r="A109" s="145"/>
      <c r="B109" s="125"/>
      <c r="C109" s="125"/>
      <c r="D109" s="125"/>
      <c r="E109" s="125"/>
      <c r="F109" s="125"/>
      <c r="G109" s="125"/>
      <c r="H109" s="125"/>
      <c r="I109" s="125"/>
      <c r="J109" s="125"/>
      <c r="K109" s="125"/>
      <c r="L109" s="125"/>
      <c r="M109" s="125"/>
      <c r="N109" s="125"/>
      <c r="O109" s="125"/>
      <c r="P109" s="125"/>
      <c r="Q109" s="126"/>
      <c r="R109" s="125"/>
      <c r="S109" s="125"/>
      <c r="T109" s="125"/>
      <c r="U109" s="125"/>
      <c r="V109" s="125"/>
    </row>
    <row r="110" spans="1:22">
      <c r="A110" s="144">
        <v>3</v>
      </c>
      <c r="B110" s="125"/>
      <c r="C110" s="129" t="s">
        <v>512</v>
      </c>
      <c r="D110" s="125"/>
      <c r="E110" s="125"/>
      <c r="F110" s="125"/>
      <c r="G110" s="125"/>
      <c r="H110" s="125"/>
      <c r="I110" s="125"/>
      <c r="J110" s="125"/>
      <c r="K110" s="125"/>
      <c r="L110" s="125"/>
      <c r="M110" s="143">
        <f>M108</f>
        <v>94230025.465601161</v>
      </c>
      <c r="N110" s="125"/>
      <c r="O110" s="125"/>
      <c r="P110" s="125"/>
      <c r="Q110" s="126"/>
      <c r="R110" s="125"/>
      <c r="S110" s="125"/>
      <c r="T110" s="125"/>
      <c r="U110" s="125"/>
      <c r="V110" s="125"/>
    </row>
    <row r="111" spans="1:22">
      <c r="A111" s="125"/>
      <c r="B111" s="125"/>
      <c r="C111" s="125"/>
      <c r="D111" s="125"/>
      <c r="E111" s="125"/>
      <c r="F111" s="125"/>
      <c r="G111" s="125"/>
      <c r="H111" s="125"/>
      <c r="I111" s="125"/>
      <c r="J111" s="125"/>
      <c r="K111" s="125"/>
      <c r="L111" s="125"/>
      <c r="M111" s="143"/>
      <c r="N111" s="125"/>
      <c r="O111" s="125"/>
      <c r="P111" s="125"/>
      <c r="Q111" s="126"/>
      <c r="R111" s="125"/>
      <c r="S111" s="125"/>
      <c r="T111" s="125"/>
      <c r="U111" s="125"/>
      <c r="V111" s="125"/>
    </row>
    <row r="112" spans="1:22">
      <c r="A112" s="125"/>
      <c r="B112" s="125"/>
      <c r="C112" s="125"/>
      <c r="D112" s="125"/>
      <c r="E112" s="125"/>
      <c r="F112" s="125"/>
      <c r="G112" s="125"/>
      <c r="H112" s="125"/>
      <c r="I112" s="125"/>
      <c r="J112" s="125"/>
      <c r="K112" s="125"/>
      <c r="L112" s="125"/>
      <c r="M112" s="125"/>
      <c r="N112" s="125"/>
      <c r="O112" s="125"/>
      <c r="P112" s="125"/>
      <c r="Q112" s="126"/>
      <c r="R112" s="125"/>
      <c r="S112" s="125"/>
      <c r="T112" s="125"/>
      <c r="U112" s="125"/>
      <c r="V112" s="125"/>
    </row>
    <row r="113" spans="1:22">
      <c r="A113" s="129" t="s">
        <v>286</v>
      </c>
      <c r="B113" s="125"/>
      <c r="C113" s="125"/>
      <c r="D113" s="125"/>
      <c r="E113" s="125"/>
      <c r="F113" s="125"/>
      <c r="G113" s="125"/>
      <c r="H113" s="125"/>
      <c r="I113" s="125"/>
      <c r="J113" s="125"/>
      <c r="K113" s="125"/>
      <c r="L113" s="125"/>
      <c r="M113" s="125"/>
      <c r="N113" s="125"/>
      <c r="O113" s="125"/>
      <c r="P113" s="125"/>
      <c r="Q113" s="126"/>
      <c r="R113" s="125"/>
      <c r="S113" s="125"/>
      <c r="T113" s="125"/>
      <c r="U113" s="125"/>
      <c r="V113" s="125"/>
    </row>
    <row r="114" spans="1:22" ht="15.75" thickBot="1">
      <c r="A114" s="142" t="s">
        <v>287</v>
      </c>
      <c r="B114" s="125"/>
      <c r="C114" s="125"/>
      <c r="D114" s="125"/>
      <c r="E114" s="125"/>
      <c r="F114" s="125"/>
      <c r="G114" s="125"/>
      <c r="H114" s="125"/>
      <c r="I114" s="125"/>
      <c r="J114" s="125"/>
      <c r="K114" s="125"/>
      <c r="L114" s="125"/>
      <c r="M114" s="125"/>
      <c r="N114" s="125"/>
      <c r="O114" s="125"/>
      <c r="P114" s="125"/>
      <c r="Q114" s="126"/>
      <c r="R114" s="125"/>
      <c r="S114" s="125"/>
      <c r="T114" s="125"/>
      <c r="U114" s="125"/>
      <c r="V114" s="125"/>
    </row>
    <row r="115" spans="1:22">
      <c r="A115" s="141" t="s">
        <v>288</v>
      </c>
      <c r="C115" s="974" t="s">
        <v>511</v>
      </c>
      <c r="D115" s="974"/>
      <c r="E115" s="974"/>
      <c r="F115" s="974"/>
      <c r="G115" s="974"/>
      <c r="H115" s="974"/>
      <c r="I115" s="974"/>
      <c r="J115" s="974"/>
      <c r="K115" s="974"/>
      <c r="L115" s="974"/>
      <c r="M115" s="974"/>
      <c r="N115" s="974"/>
      <c r="O115" s="974"/>
      <c r="P115" s="125"/>
      <c r="Q115" s="126"/>
      <c r="R115" s="125"/>
      <c r="S115" s="125"/>
      <c r="T115" s="125"/>
      <c r="U115" s="125"/>
      <c r="V115" s="125"/>
    </row>
    <row r="116" spans="1:22">
      <c r="A116" s="141" t="s">
        <v>290</v>
      </c>
      <c r="C116" s="974" t="s">
        <v>510</v>
      </c>
      <c r="D116" s="974"/>
      <c r="E116" s="974"/>
      <c r="F116" s="974"/>
      <c r="G116" s="974"/>
      <c r="H116" s="974"/>
      <c r="I116" s="974"/>
      <c r="J116" s="974"/>
      <c r="K116" s="974"/>
      <c r="L116" s="974"/>
      <c r="M116" s="974"/>
      <c r="N116" s="974"/>
      <c r="O116" s="974"/>
      <c r="P116" s="125"/>
      <c r="Q116" s="126"/>
      <c r="R116" s="125"/>
      <c r="S116" s="125"/>
      <c r="T116" s="125"/>
      <c r="U116" s="125"/>
      <c r="V116" s="125"/>
    </row>
    <row r="117" spans="1:22" ht="33" customHeight="1">
      <c r="A117" s="141" t="s">
        <v>292</v>
      </c>
      <c r="C117" s="974" t="s">
        <v>509</v>
      </c>
      <c r="D117" s="974"/>
      <c r="E117" s="974"/>
      <c r="F117" s="974"/>
      <c r="G117" s="974"/>
      <c r="H117" s="974"/>
      <c r="I117" s="974"/>
      <c r="J117" s="974"/>
      <c r="K117" s="974"/>
      <c r="L117" s="974"/>
      <c r="M117" s="974"/>
      <c r="N117" s="974"/>
      <c r="O117" s="974"/>
      <c r="P117" s="125"/>
      <c r="Q117" s="126"/>
      <c r="R117" s="125"/>
      <c r="S117" s="125"/>
      <c r="T117" s="125"/>
      <c r="U117" s="125"/>
      <c r="V117" s="125"/>
    </row>
    <row r="118" spans="1:22">
      <c r="A118" s="141" t="s">
        <v>294</v>
      </c>
      <c r="C118" s="975" t="s">
        <v>508</v>
      </c>
      <c r="D118" s="975"/>
      <c r="E118" s="975"/>
      <c r="F118" s="975"/>
      <c r="G118" s="975"/>
      <c r="H118" s="975"/>
      <c r="I118" s="975"/>
      <c r="J118" s="975"/>
      <c r="K118" s="975"/>
      <c r="L118" s="975"/>
      <c r="M118" s="975"/>
      <c r="N118" s="975"/>
      <c r="O118" s="975"/>
      <c r="P118" s="125"/>
      <c r="Q118" s="126"/>
      <c r="R118" s="125"/>
      <c r="S118" s="125"/>
      <c r="T118" s="125"/>
      <c r="U118" s="125"/>
      <c r="V118" s="125"/>
    </row>
    <row r="119" spans="1:22">
      <c r="A119" s="140" t="s">
        <v>295</v>
      </c>
      <c r="C119" s="972" t="s">
        <v>507</v>
      </c>
      <c r="D119" s="972"/>
      <c r="E119" s="972"/>
      <c r="F119" s="972"/>
      <c r="G119" s="972"/>
      <c r="H119" s="972"/>
      <c r="I119" s="972"/>
      <c r="J119" s="972"/>
      <c r="K119" s="972"/>
      <c r="L119" s="972"/>
      <c r="M119" s="972"/>
      <c r="N119" s="972"/>
      <c r="O119" s="972"/>
      <c r="P119" s="125"/>
      <c r="Q119" s="126"/>
      <c r="R119" s="125"/>
      <c r="S119" s="125"/>
      <c r="T119" s="125"/>
      <c r="U119" s="125"/>
      <c r="V119" s="125"/>
    </row>
    <row r="120" spans="1:22">
      <c r="A120" s="140" t="s">
        <v>297</v>
      </c>
      <c r="C120" s="972" t="s">
        <v>506</v>
      </c>
      <c r="D120" s="972"/>
      <c r="E120" s="972"/>
      <c r="F120" s="972"/>
      <c r="G120" s="972"/>
      <c r="H120" s="972"/>
      <c r="I120" s="972"/>
      <c r="J120" s="972"/>
      <c r="K120" s="972"/>
      <c r="L120" s="972"/>
      <c r="M120" s="972"/>
      <c r="N120" s="972"/>
      <c r="O120" s="972"/>
      <c r="P120" s="125"/>
      <c r="Q120" s="126"/>
      <c r="R120" s="125"/>
      <c r="S120" s="125"/>
      <c r="T120" s="125"/>
      <c r="U120" s="125"/>
      <c r="V120" s="125"/>
    </row>
    <row r="121" spans="1:22">
      <c r="A121" s="140" t="s">
        <v>299</v>
      </c>
      <c r="C121" s="972" t="s">
        <v>505</v>
      </c>
      <c r="D121" s="972"/>
      <c r="E121" s="972"/>
      <c r="F121" s="972"/>
      <c r="G121" s="972"/>
      <c r="H121" s="972"/>
      <c r="I121" s="972"/>
      <c r="J121" s="972"/>
      <c r="K121" s="972"/>
      <c r="L121" s="972"/>
      <c r="M121" s="972"/>
      <c r="N121" s="972"/>
      <c r="O121" s="972"/>
      <c r="P121" s="125"/>
      <c r="Q121" s="126"/>
      <c r="R121" s="125"/>
      <c r="S121" s="125"/>
      <c r="T121" s="125"/>
      <c r="U121" s="125"/>
      <c r="V121" s="125"/>
    </row>
    <row r="122" spans="1:22">
      <c r="A122" s="140" t="s">
        <v>301</v>
      </c>
      <c r="C122" s="972" t="s">
        <v>504</v>
      </c>
      <c r="D122" s="972"/>
      <c r="E122" s="972"/>
      <c r="F122" s="972"/>
      <c r="G122" s="972"/>
      <c r="H122" s="972"/>
      <c r="I122" s="972"/>
      <c r="J122" s="972"/>
      <c r="K122" s="972"/>
      <c r="L122" s="972"/>
      <c r="M122" s="972"/>
      <c r="N122" s="972"/>
      <c r="O122" s="972"/>
      <c r="P122" s="125"/>
      <c r="Q122" s="126"/>
      <c r="R122" s="125"/>
      <c r="S122" s="125"/>
      <c r="T122" s="125"/>
      <c r="U122" s="125"/>
      <c r="V122" s="125"/>
    </row>
    <row r="123" spans="1:22">
      <c r="A123" s="139" t="s">
        <v>303</v>
      </c>
      <c r="B123" s="136"/>
      <c r="C123" s="973" t="s">
        <v>503</v>
      </c>
      <c r="D123" s="973"/>
      <c r="E123" s="973"/>
      <c r="F123" s="973"/>
      <c r="G123" s="973"/>
      <c r="H123" s="973"/>
      <c r="I123" s="973"/>
      <c r="J123" s="973"/>
      <c r="K123" s="973"/>
      <c r="L123" s="973"/>
      <c r="M123" s="973"/>
      <c r="N123" s="973"/>
      <c r="O123" s="973"/>
      <c r="P123" s="136"/>
      <c r="Q123" s="137"/>
      <c r="R123" s="136"/>
      <c r="S123" s="136"/>
      <c r="T123" s="136"/>
      <c r="U123" s="125"/>
      <c r="V123" s="125"/>
    </row>
    <row r="124" spans="1:22">
      <c r="A124" s="139" t="s">
        <v>305</v>
      </c>
      <c r="B124" s="138"/>
      <c r="C124" s="973" t="s">
        <v>502</v>
      </c>
      <c r="D124" s="973"/>
      <c r="E124" s="973"/>
      <c r="F124" s="973"/>
      <c r="G124" s="973"/>
      <c r="H124" s="973"/>
      <c r="I124" s="973"/>
      <c r="J124" s="973"/>
      <c r="K124" s="973"/>
      <c r="L124" s="973"/>
      <c r="M124" s="973"/>
      <c r="N124" s="973"/>
      <c r="O124" s="973"/>
      <c r="P124" s="136"/>
      <c r="Q124" s="137"/>
      <c r="R124" s="136"/>
      <c r="S124" s="136"/>
      <c r="T124" s="136"/>
      <c r="U124" s="125"/>
      <c r="V124" s="125"/>
    </row>
    <row r="125" spans="1:22" ht="15.75">
      <c r="A125" s="135"/>
      <c r="B125" s="134"/>
      <c r="C125" s="133"/>
      <c r="D125" s="132"/>
      <c r="E125" s="131"/>
      <c r="F125" s="131"/>
      <c r="G125" s="128"/>
      <c r="H125" s="129"/>
      <c r="I125" s="129"/>
      <c r="J125" s="130"/>
      <c r="K125" s="129"/>
      <c r="L125" s="129"/>
      <c r="N125" s="128"/>
      <c r="O125" s="127"/>
      <c r="P125" s="125"/>
      <c r="Q125" s="126"/>
      <c r="R125" s="125"/>
      <c r="S125" s="125"/>
      <c r="T125" s="125"/>
      <c r="U125" s="125"/>
      <c r="V125" s="125"/>
    </row>
    <row r="126" spans="1:22">
      <c r="C126" s="125"/>
      <c r="D126" s="125"/>
      <c r="E126" s="125"/>
      <c r="F126" s="125"/>
      <c r="G126" s="125"/>
      <c r="H126" s="125"/>
      <c r="I126" s="125"/>
      <c r="J126" s="125"/>
      <c r="K126" s="125"/>
      <c r="L126" s="125"/>
      <c r="M126" s="125"/>
      <c r="N126" s="125"/>
      <c r="O126" s="125"/>
      <c r="P126" s="125"/>
      <c r="Q126" s="126"/>
      <c r="R126" s="125"/>
      <c r="S126" s="125"/>
      <c r="T126" s="125"/>
      <c r="U126" s="125"/>
      <c r="V126" s="125"/>
    </row>
    <row r="127" spans="1:22">
      <c r="C127" s="125"/>
      <c r="D127" s="125"/>
      <c r="E127" s="125"/>
      <c r="F127" s="125"/>
      <c r="G127" s="125"/>
      <c r="H127" s="125"/>
      <c r="I127" s="125"/>
      <c r="J127" s="125"/>
      <c r="K127" s="125"/>
      <c r="L127" s="125"/>
      <c r="M127" s="125"/>
      <c r="N127" s="125"/>
      <c r="O127" s="125"/>
      <c r="P127" s="125"/>
      <c r="Q127" s="126"/>
      <c r="R127" s="125"/>
      <c r="S127" s="125"/>
      <c r="T127" s="125"/>
      <c r="U127" s="125"/>
      <c r="V127" s="125"/>
    </row>
    <row r="128" spans="1:22">
      <c r="C128" s="125"/>
      <c r="D128" s="125"/>
      <c r="E128" s="125"/>
      <c r="F128" s="125"/>
      <c r="G128" s="125"/>
      <c r="H128" s="125"/>
      <c r="I128" s="125"/>
      <c r="J128" s="125"/>
      <c r="K128" s="125"/>
      <c r="L128" s="125"/>
      <c r="M128" s="125"/>
      <c r="N128" s="125"/>
      <c r="O128" s="125"/>
      <c r="P128" s="125"/>
      <c r="Q128" s="126"/>
      <c r="R128" s="125"/>
      <c r="S128" s="125"/>
      <c r="T128" s="125"/>
      <c r="U128" s="125"/>
      <c r="V128" s="125"/>
    </row>
    <row r="129" spans="3:22">
      <c r="C129" s="125"/>
      <c r="D129" s="125"/>
      <c r="E129" s="125"/>
      <c r="F129" s="125"/>
      <c r="G129" s="125"/>
      <c r="H129" s="125"/>
      <c r="I129" s="125"/>
      <c r="J129" s="125"/>
      <c r="K129" s="125"/>
      <c r="L129" s="125"/>
      <c r="M129" s="125"/>
      <c r="N129" s="125"/>
      <c r="O129" s="125"/>
      <c r="P129" s="125"/>
      <c r="Q129" s="126"/>
      <c r="R129" s="125"/>
      <c r="S129" s="125"/>
      <c r="T129" s="125"/>
      <c r="U129" s="125"/>
      <c r="V129" s="125"/>
    </row>
    <row r="130" spans="3:22">
      <c r="C130" s="125"/>
      <c r="D130" s="125"/>
      <c r="E130" s="125"/>
      <c r="F130" s="125"/>
      <c r="G130" s="125"/>
      <c r="H130" s="125"/>
      <c r="I130" s="125"/>
      <c r="J130" s="125"/>
      <c r="K130" s="125"/>
      <c r="L130" s="125"/>
      <c r="M130" s="125"/>
      <c r="N130" s="125"/>
      <c r="O130" s="125"/>
      <c r="P130" s="125"/>
      <c r="Q130" s="126"/>
      <c r="R130" s="125"/>
      <c r="S130" s="125"/>
      <c r="T130" s="125"/>
      <c r="U130" s="125"/>
      <c r="V130" s="125"/>
    </row>
    <row r="131" spans="3:22">
      <c r="C131" s="125"/>
      <c r="D131" s="125"/>
      <c r="E131" s="125"/>
      <c r="F131" s="125"/>
      <c r="G131" s="125"/>
      <c r="H131" s="125"/>
      <c r="I131" s="125"/>
      <c r="J131" s="125"/>
      <c r="K131" s="125"/>
      <c r="L131" s="125"/>
      <c r="M131" s="125"/>
      <c r="N131" s="125"/>
      <c r="O131" s="125"/>
      <c r="P131" s="125"/>
      <c r="Q131" s="126"/>
      <c r="R131" s="125"/>
      <c r="S131" s="125"/>
      <c r="T131" s="125"/>
      <c r="U131" s="125"/>
      <c r="V131" s="125"/>
    </row>
    <row r="132" spans="3:22">
      <c r="C132" s="125"/>
      <c r="D132" s="125"/>
      <c r="E132" s="125"/>
      <c r="F132" s="125"/>
      <c r="G132" s="125"/>
      <c r="H132" s="125"/>
      <c r="I132" s="125"/>
      <c r="J132" s="125"/>
      <c r="K132" s="125"/>
      <c r="L132" s="125"/>
      <c r="M132" s="125"/>
      <c r="N132" s="125"/>
      <c r="O132" s="125"/>
      <c r="P132" s="125"/>
      <c r="Q132" s="126"/>
      <c r="R132" s="125"/>
      <c r="S132" s="125"/>
      <c r="T132" s="125"/>
      <c r="U132" s="125"/>
      <c r="V132" s="125"/>
    </row>
    <row r="133" spans="3:22">
      <c r="C133" s="125"/>
      <c r="D133" s="125"/>
      <c r="E133" s="125"/>
      <c r="F133" s="125"/>
      <c r="G133" s="125"/>
      <c r="H133" s="125"/>
      <c r="I133" s="125"/>
      <c r="J133" s="125"/>
      <c r="K133" s="125"/>
      <c r="L133" s="125"/>
      <c r="M133" s="125"/>
      <c r="N133" s="125"/>
      <c r="O133" s="125"/>
      <c r="P133" s="125"/>
      <c r="Q133" s="126"/>
      <c r="R133" s="125"/>
      <c r="S133" s="125"/>
      <c r="T133" s="125"/>
      <c r="U133" s="125"/>
      <c r="V133" s="125"/>
    </row>
    <row r="134" spans="3:22">
      <c r="C134" s="125"/>
      <c r="D134" s="125"/>
      <c r="E134" s="125"/>
      <c r="F134" s="125"/>
      <c r="G134" s="125"/>
      <c r="H134" s="125"/>
      <c r="I134" s="125"/>
      <c r="J134" s="125"/>
      <c r="K134" s="125"/>
      <c r="L134" s="125"/>
      <c r="M134" s="125"/>
      <c r="N134" s="125"/>
      <c r="O134" s="125"/>
      <c r="P134" s="125"/>
      <c r="Q134" s="126"/>
      <c r="R134" s="125"/>
      <c r="S134" s="125"/>
      <c r="T134" s="125"/>
      <c r="U134" s="125"/>
      <c r="V134" s="125"/>
    </row>
    <row r="135" spans="3:22">
      <c r="C135" s="125"/>
      <c r="D135" s="125"/>
      <c r="E135" s="125"/>
      <c r="F135" s="125"/>
      <c r="G135" s="125"/>
      <c r="H135" s="125"/>
      <c r="I135" s="125"/>
      <c r="J135" s="125"/>
      <c r="K135" s="125"/>
      <c r="L135" s="125"/>
      <c r="M135" s="125"/>
      <c r="N135" s="125"/>
      <c r="O135" s="125"/>
      <c r="P135" s="125"/>
      <c r="Q135" s="126"/>
      <c r="R135" s="125"/>
      <c r="S135" s="125"/>
      <c r="T135" s="125"/>
      <c r="U135" s="125"/>
      <c r="V135" s="125"/>
    </row>
    <row r="136" spans="3:22">
      <c r="C136" s="125"/>
      <c r="D136" s="125"/>
      <c r="E136" s="125"/>
      <c r="F136" s="125"/>
      <c r="G136" s="125"/>
      <c r="H136" s="125"/>
      <c r="I136" s="125"/>
      <c r="J136" s="125"/>
      <c r="K136" s="125"/>
      <c r="L136" s="125"/>
      <c r="M136" s="125"/>
      <c r="N136" s="125"/>
      <c r="O136" s="125"/>
      <c r="P136" s="125"/>
      <c r="Q136" s="126"/>
      <c r="R136" s="125"/>
      <c r="S136" s="125"/>
      <c r="T136" s="125"/>
      <c r="U136" s="125"/>
      <c r="V136" s="125"/>
    </row>
    <row r="137" spans="3:22">
      <c r="C137" s="125"/>
      <c r="D137" s="125"/>
      <c r="E137" s="125"/>
      <c r="F137" s="125"/>
      <c r="G137" s="125"/>
      <c r="H137" s="125"/>
      <c r="I137" s="125"/>
      <c r="J137" s="125"/>
      <c r="K137" s="125"/>
      <c r="L137" s="125"/>
      <c r="M137" s="125"/>
      <c r="N137" s="125"/>
      <c r="O137" s="125"/>
      <c r="P137" s="125"/>
      <c r="Q137" s="126"/>
      <c r="R137" s="125"/>
      <c r="S137" s="125"/>
      <c r="T137" s="125"/>
      <c r="U137" s="125"/>
      <c r="V137" s="125"/>
    </row>
    <row r="138" spans="3:22">
      <c r="C138" s="125"/>
      <c r="D138" s="125"/>
      <c r="E138" s="125"/>
      <c r="F138" s="125"/>
      <c r="G138" s="125"/>
      <c r="H138" s="125"/>
      <c r="I138" s="125"/>
      <c r="J138" s="125"/>
      <c r="K138" s="125"/>
      <c r="L138" s="125"/>
      <c r="M138" s="125"/>
      <c r="N138" s="125"/>
      <c r="O138" s="125"/>
      <c r="P138" s="125"/>
      <c r="Q138" s="126"/>
      <c r="R138" s="125"/>
      <c r="S138" s="125"/>
      <c r="T138" s="125"/>
      <c r="U138" s="125"/>
      <c r="V138" s="125"/>
    </row>
    <row r="139" spans="3:22">
      <c r="C139" s="125"/>
      <c r="D139" s="125"/>
      <c r="E139" s="125"/>
      <c r="F139" s="125"/>
      <c r="G139" s="125"/>
      <c r="H139" s="125"/>
      <c r="I139" s="125"/>
      <c r="J139" s="125"/>
      <c r="K139" s="125"/>
      <c r="L139" s="125"/>
      <c r="M139" s="125"/>
      <c r="N139" s="125"/>
      <c r="O139" s="125"/>
      <c r="P139" s="125"/>
      <c r="Q139" s="126"/>
      <c r="R139" s="125"/>
      <c r="S139" s="125"/>
      <c r="T139" s="125"/>
      <c r="U139" s="125"/>
      <c r="V139" s="125"/>
    </row>
    <row r="140" spans="3:22">
      <c r="C140" s="125"/>
      <c r="D140" s="125"/>
      <c r="E140" s="125"/>
      <c r="F140" s="125"/>
      <c r="G140" s="125"/>
      <c r="H140" s="125"/>
      <c r="I140" s="125"/>
      <c r="J140" s="125"/>
      <c r="K140" s="125"/>
      <c r="L140" s="125"/>
      <c r="M140" s="125"/>
      <c r="N140" s="125"/>
      <c r="O140" s="125"/>
      <c r="P140" s="125"/>
      <c r="Q140" s="126"/>
      <c r="R140" s="125"/>
      <c r="S140" s="125"/>
      <c r="T140" s="125"/>
      <c r="U140" s="125"/>
      <c r="V140" s="125"/>
    </row>
    <row r="141" spans="3:22">
      <c r="C141" s="125"/>
      <c r="D141" s="125"/>
      <c r="E141" s="125"/>
      <c r="F141" s="125"/>
      <c r="G141" s="125"/>
      <c r="H141" s="125"/>
      <c r="I141" s="125"/>
      <c r="J141" s="125"/>
      <c r="K141" s="125"/>
      <c r="L141" s="125"/>
      <c r="M141" s="125"/>
      <c r="N141" s="125"/>
      <c r="O141" s="125"/>
      <c r="P141" s="125"/>
      <c r="Q141" s="126"/>
      <c r="R141" s="125"/>
      <c r="S141" s="125"/>
      <c r="T141" s="125"/>
      <c r="U141" s="125"/>
      <c r="V141" s="125"/>
    </row>
    <row r="142" spans="3:22">
      <c r="C142" s="125"/>
      <c r="D142" s="125"/>
      <c r="E142" s="125"/>
      <c r="F142" s="125"/>
      <c r="G142" s="125"/>
      <c r="H142" s="125"/>
      <c r="I142" s="125"/>
      <c r="J142" s="125"/>
      <c r="K142" s="125"/>
      <c r="L142" s="125"/>
      <c r="M142" s="125"/>
      <c r="N142" s="125"/>
      <c r="O142" s="125"/>
      <c r="P142" s="125"/>
      <c r="Q142" s="126"/>
      <c r="R142" s="125"/>
      <c r="S142" s="125"/>
      <c r="T142" s="125"/>
      <c r="U142" s="125"/>
      <c r="V142" s="125"/>
    </row>
    <row r="143" spans="3:22">
      <c r="C143" s="125"/>
      <c r="D143" s="125"/>
      <c r="E143" s="125"/>
      <c r="F143" s="125"/>
      <c r="G143" s="125"/>
      <c r="H143" s="125"/>
      <c r="I143" s="125"/>
      <c r="J143" s="125"/>
      <c r="K143" s="125"/>
      <c r="L143" s="125"/>
      <c r="M143" s="125"/>
      <c r="N143" s="125"/>
      <c r="O143" s="125"/>
      <c r="P143" s="125"/>
      <c r="Q143" s="126"/>
      <c r="R143" s="125"/>
      <c r="S143" s="125"/>
      <c r="T143" s="125"/>
      <c r="U143" s="125"/>
      <c r="V143" s="125"/>
    </row>
    <row r="144" spans="3:22">
      <c r="C144" s="125"/>
      <c r="D144" s="125"/>
      <c r="E144" s="125"/>
      <c r="F144" s="125"/>
      <c r="G144" s="125"/>
      <c r="H144" s="125"/>
      <c r="I144" s="125"/>
      <c r="J144" s="125"/>
      <c r="K144" s="125"/>
      <c r="L144" s="125"/>
      <c r="M144" s="125"/>
      <c r="N144" s="125"/>
      <c r="O144" s="125"/>
      <c r="P144" s="125"/>
      <c r="Q144" s="126"/>
      <c r="R144" s="125"/>
      <c r="S144" s="125"/>
      <c r="T144" s="125"/>
      <c r="U144" s="125"/>
      <c r="V144" s="125"/>
    </row>
    <row r="145" spans="3:22">
      <c r="C145" s="125"/>
      <c r="D145" s="125"/>
      <c r="E145" s="125"/>
      <c r="F145" s="125"/>
      <c r="G145" s="125"/>
      <c r="H145" s="125"/>
      <c r="I145" s="125"/>
      <c r="J145" s="125"/>
      <c r="K145" s="125"/>
      <c r="L145" s="125"/>
      <c r="M145" s="125"/>
      <c r="N145" s="125"/>
      <c r="O145" s="125"/>
      <c r="P145" s="125"/>
      <c r="Q145" s="126"/>
      <c r="R145" s="125"/>
      <c r="S145" s="125"/>
      <c r="T145" s="125"/>
      <c r="U145" s="125"/>
      <c r="V145" s="125"/>
    </row>
    <row r="146" spans="3:22">
      <c r="C146" s="125"/>
      <c r="D146" s="125"/>
      <c r="E146" s="125"/>
      <c r="F146" s="125"/>
      <c r="G146" s="125"/>
      <c r="H146" s="125"/>
      <c r="I146" s="125"/>
      <c r="J146" s="125"/>
      <c r="K146" s="125"/>
      <c r="L146" s="125"/>
      <c r="M146" s="125"/>
      <c r="N146" s="125"/>
      <c r="O146" s="125"/>
      <c r="P146" s="125"/>
      <c r="Q146" s="126"/>
      <c r="R146" s="125"/>
      <c r="S146" s="125"/>
      <c r="T146" s="125"/>
      <c r="U146" s="125"/>
      <c r="V146" s="125"/>
    </row>
    <row r="147" spans="3:22">
      <c r="C147" s="125"/>
      <c r="D147" s="125"/>
      <c r="E147" s="125"/>
      <c r="F147" s="125"/>
      <c r="G147" s="125"/>
      <c r="H147" s="125"/>
      <c r="I147" s="125"/>
      <c r="J147" s="125"/>
      <c r="K147" s="125"/>
      <c r="L147" s="125"/>
      <c r="M147" s="125"/>
      <c r="N147" s="125"/>
      <c r="O147" s="125"/>
      <c r="P147" s="125"/>
      <c r="Q147" s="126"/>
      <c r="R147" s="125"/>
      <c r="S147" s="125"/>
      <c r="T147" s="125"/>
      <c r="U147" s="125"/>
      <c r="V147" s="125"/>
    </row>
    <row r="148" spans="3:22">
      <c r="C148" s="125"/>
      <c r="D148" s="125"/>
      <c r="E148" s="125"/>
      <c r="F148" s="125"/>
      <c r="G148" s="125"/>
      <c r="H148" s="125"/>
      <c r="I148" s="125"/>
      <c r="J148" s="125"/>
      <c r="K148" s="125"/>
      <c r="L148" s="125"/>
      <c r="M148" s="125"/>
      <c r="N148" s="125"/>
      <c r="O148" s="125"/>
      <c r="P148" s="125"/>
      <c r="Q148" s="126"/>
      <c r="R148" s="125"/>
      <c r="S148" s="125"/>
      <c r="T148" s="125"/>
      <c r="U148" s="125"/>
      <c r="V148" s="125"/>
    </row>
    <row r="149" spans="3:22">
      <c r="C149" s="125"/>
      <c r="D149" s="125"/>
      <c r="E149" s="125"/>
      <c r="F149" s="125"/>
      <c r="G149" s="125"/>
      <c r="H149" s="125"/>
      <c r="I149" s="125"/>
      <c r="J149" s="125"/>
      <c r="K149" s="125"/>
      <c r="L149" s="125"/>
      <c r="M149" s="125"/>
      <c r="N149" s="125"/>
      <c r="O149" s="125"/>
      <c r="P149" s="125"/>
      <c r="Q149" s="126"/>
      <c r="R149" s="125"/>
      <c r="S149" s="125"/>
      <c r="T149" s="125"/>
      <c r="U149" s="125"/>
      <c r="V149" s="125"/>
    </row>
    <row r="150" spans="3:22">
      <c r="C150" s="125"/>
      <c r="D150" s="125"/>
      <c r="E150" s="125"/>
      <c r="F150" s="125"/>
      <c r="G150" s="125"/>
      <c r="H150" s="125"/>
      <c r="I150" s="125"/>
      <c r="J150" s="125"/>
      <c r="K150" s="125"/>
      <c r="L150" s="125"/>
      <c r="M150" s="125"/>
      <c r="N150" s="125"/>
      <c r="O150" s="125"/>
      <c r="P150" s="125"/>
      <c r="Q150" s="126"/>
      <c r="R150" s="125"/>
      <c r="S150" s="125"/>
      <c r="T150" s="125"/>
      <c r="U150" s="125"/>
      <c r="V150" s="125"/>
    </row>
    <row r="151" spans="3:22">
      <c r="C151" s="125"/>
      <c r="D151" s="125"/>
      <c r="E151" s="125"/>
      <c r="F151" s="125"/>
      <c r="G151" s="125"/>
      <c r="H151" s="125"/>
      <c r="I151" s="125"/>
      <c r="J151" s="125"/>
      <c r="K151" s="125"/>
      <c r="L151" s="125"/>
      <c r="M151" s="125"/>
      <c r="N151" s="125"/>
      <c r="O151" s="125"/>
      <c r="P151" s="125"/>
      <c r="Q151" s="126"/>
      <c r="R151" s="125"/>
      <c r="S151" s="125"/>
      <c r="T151" s="125"/>
      <c r="U151" s="125"/>
      <c r="V151" s="125"/>
    </row>
    <row r="152" spans="3:22">
      <c r="C152" s="125"/>
      <c r="D152" s="125"/>
      <c r="E152" s="125"/>
      <c r="F152" s="125"/>
      <c r="G152" s="125"/>
      <c r="H152" s="125"/>
      <c r="I152" s="125"/>
      <c r="J152" s="125"/>
      <c r="K152" s="125"/>
      <c r="L152" s="125"/>
      <c r="M152" s="125"/>
      <c r="N152" s="125"/>
      <c r="O152" s="125"/>
      <c r="P152" s="125"/>
      <c r="Q152" s="126"/>
      <c r="R152" s="125"/>
      <c r="S152" s="125"/>
      <c r="T152" s="125"/>
      <c r="U152" s="125"/>
      <c r="V152" s="125"/>
    </row>
    <row r="153" spans="3:22">
      <c r="C153" s="125"/>
      <c r="D153" s="125"/>
      <c r="E153" s="125"/>
      <c r="F153" s="125"/>
      <c r="G153" s="125"/>
      <c r="H153" s="125"/>
      <c r="I153" s="125"/>
      <c r="J153" s="125"/>
      <c r="K153" s="125"/>
      <c r="L153" s="125"/>
      <c r="M153" s="125"/>
      <c r="N153" s="125"/>
      <c r="O153" s="125"/>
      <c r="P153" s="125"/>
      <c r="Q153" s="126"/>
      <c r="R153" s="125"/>
      <c r="S153" s="125"/>
      <c r="T153" s="125"/>
      <c r="U153" s="125"/>
      <c r="V153" s="125"/>
    </row>
    <row r="154" spans="3:22">
      <c r="C154" s="125"/>
      <c r="D154" s="125"/>
      <c r="E154" s="125"/>
      <c r="F154" s="125"/>
      <c r="G154" s="125"/>
      <c r="H154" s="125"/>
      <c r="I154" s="125"/>
      <c r="J154" s="125"/>
      <c r="K154" s="125"/>
      <c r="L154" s="125"/>
      <c r="M154" s="125"/>
      <c r="N154" s="125"/>
      <c r="O154" s="125"/>
      <c r="P154" s="125"/>
      <c r="Q154" s="126"/>
      <c r="R154" s="125"/>
      <c r="S154" s="125"/>
      <c r="T154" s="125"/>
      <c r="U154" s="125"/>
      <c r="V154" s="125"/>
    </row>
    <row r="155" spans="3:22">
      <c r="C155" s="125"/>
      <c r="D155" s="125"/>
      <c r="E155" s="125"/>
      <c r="F155" s="125"/>
      <c r="G155" s="125"/>
      <c r="H155" s="125"/>
      <c r="I155" s="125"/>
      <c r="J155" s="125"/>
      <c r="K155" s="125"/>
      <c r="L155" s="125"/>
      <c r="M155" s="125"/>
      <c r="N155" s="125"/>
      <c r="O155" s="125"/>
      <c r="P155" s="125"/>
      <c r="Q155" s="126"/>
      <c r="R155" s="125"/>
      <c r="S155" s="125"/>
      <c r="T155" s="125"/>
      <c r="U155" s="125"/>
      <c r="V155" s="125"/>
    </row>
    <row r="156" spans="3:22">
      <c r="C156" s="125"/>
      <c r="D156" s="125"/>
      <c r="E156" s="125"/>
      <c r="F156" s="125"/>
      <c r="G156" s="125"/>
      <c r="H156" s="125"/>
      <c r="I156" s="125"/>
      <c r="J156" s="125"/>
      <c r="K156" s="125"/>
      <c r="L156" s="125"/>
      <c r="M156" s="125"/>
      <c r="N156" s="125"/>
      <c r="O156" s="125"/>
      <c r="P156" s="125"/>
      <c r="Q156" s="126"/>
      <c r="R156" s="125"/>
      <c r="S156" s="125"/>
      <c r="T156" s="125"/>
      <c r="U156" s="125"/>
      <c r="V156" s="125"/>
    </row>
    <row r="157" spans="3:22">
      <c r="C157" s="125"/>
      <c r="D157" s="125"/>
      <c r="E157" s="125"/>
      <c r="F157" s="125"/>
      <c r="G157" s="125"/>
      <c r="H157" s="125"/>
      <c r="I157" s="125"/>
      <c r="J157" s="125"/>
      <c r="K157" s="125"/>
      <c r="L157" s="125"/>
      <c r="M157" s="125"/>
      <c r="N157" s="125"/>
      <c r="O157" s="125"/>
      <c r="P157" s="125"/>
      <c r="Q157" s="126"/>
      <c r="R157" s="125"/>
      <c r="S157" s="125"/>
      <c r="T157" s="125"/>
      <c r="U157" s="125"/>
      <c r="V157" s="125"/>
    </row>
    <row r="158" spans="3:22">
      <c r="C158" s="125"/>
      <c r="D158" s="125"/>
      <c r="E158" s="125"/>
      <c r="F158" s="125"/>
      <c r="G158" s="125"/>
      <c r="H158" s="125"/>
      <c r="I158" s="125"/>
      <c r="J158" s="125"/>
      <c r="K158" s="125"/>
      <c r="L158" s="125"/>
      <c r="M158" s="125"/>
      <c r="N158" s="125"/>
      <c r="O158" s="125"/>
      <c r="P158" s="125"/>
      <c r="Q158" s="126"/>
      <c r="R158" s="125"/>
      <c r="S158" s="125"/>
      <c r="T158" s="125"/>
      <c r="U158" s="125"/>
      <c r="V158" s="125"/>
    </row>
    <row r="159" spans="3:22">
      <c r="C159" s="125"/>
      <c r="D159" s="125"/>
      <c r="E159" s="125"/>
      <c r="F159" s="125"/>
      <c r="G159" s="125"/>
      <c r="H159" s="125"/>
      <c r="I159" s="125"/>
      <c r="J159" s="125"/>
      <c r="K159" s="125"/>
      <c r="L159" s="125"/>
      <c r="M159" s="125"/>
      <c r="N159" s="125"/>
      <c r="O159" s="125"/>
      <c r="P159" s="125"/>
      <c r="Q159" s="126"/>
      <c r="R159" s="125"/>
      <c r="S159" s="125"/>
      <c r="T159" s="125"/>
      <c r="U159" s="125"/>
      <c r="V159" s="125"/>
    </row>
    <row r="160" spans="3:22">
      <c r="C160" s="125"/>
      <c r="D160" s="125"/>
      <c r="E160" s="125"/>
      <c r="F160" s="125"/>
      <c r="G160" s="125"/>
      <c r="H160" s="125"/>
      <c r="I160" s="125"/>
      <c r="J160" s="125"/>
      <c r="K160" s="125"/>
      <c r="L160" s="125"/>
      <c r="M160" s="125"/>
      <c r="N160" s="125"/>
      <c r="O160" s="125"/>
      <c r="P160" s="125"/>
      <c r="Q160" s="126"/>
      <c r="R160" s="125"/>
      <c r="S160" s="125"/>
      <c r="T160" s="125"/>
      <c r="U160" s="125"/>
      <c r="V160" s="125"/>
    </row>
    <row r="161" spans="3:22">
      <c r="C161" s="125"/>
      <c r="D161" s="125"/>
      <c r="E161" s="125"/>
      <c r="F161" s="125"/>
      <c r="G161" s="125"/>
      <c r="H161" s="125"/>
      <c r="I161" s="125"/>
      <c r="J161" s="125"/>
      <c r="K161" s="125"/>
      <c r="L161" s="125"/>
      <c r="M161" s="125"/>
      <c r="N161" s="125"/>
      <c r="O161" s="125"/>
      <c r="P161" s="125"/>
      <c r="Q161" s="126"/>
      <c r="R161" s="125"/>
      <c r="S161" s="125"/>
      <c r="T161" s="125"/>
      <c r="U161" s="125"/>
      <c r="V161" s="125"/>
    </row>
    <row r="162" spans="3:22">
      <c r="C162" s="125"/>
      <c r="D162" s="125"/>
      <c r="E162" s="125"/>
      <c r="F162" s="125"/>
      <c r="G162" s="125"/>
      <c r="H162" s="125"/>
      <c r="I162" s="125"/>
      <c r="J162" s="125"/>
      <c r="K162" s="125"/>
      <c r="L162" s="125"/>
      <c r="M162" s="125"/>
      <c r="N162" s="125"/>
      <c r="O162" s="125"/>
      <c r="P162" s="125"/>
      <c r="Q162" s="126"/>
      <c r="R162" s="125"/>
      <c r="S162" s="125"/>
      <c r="T162" s="125"/>
      <c r="U162" s="125"/>
      <c r="V162" s="125"/>
    </row>
    <row r="163" spans="3:22">
      <c r="C163" s="125"/>
      <c r="D163" s="125"/>
      <c r="E163" s="125"/>
      <c r="F163" s="125"/>
      <c r="G163" s="125"/>
      <c r="H163" s="125"/>
      <c r="I163" s="125"/>
      <c r="J163" s="125"/>
      <c r="K163" s="125"/>
      <c r="L163" s="125"/>
      <c r="M163" s="125"/>
      <c r="N163" s="125"/>
      <c r="O163" s="125"/>
      <c r="P163" s="125"/>
      <c r="Q163" s="126"/>
      <c r="R163" s="125"/>
      <c r="S163" s="125"/>
      <c r="T163" s="125"/>
      <c r="U163" s="125"/>
      <c r="V163" s="125"/>
    </row>
    <row r="164" spans="3:22">
      <c r="C164" s="125"/>
      <c r="D164" s="125"/>
      <c r="E164" s="125"/>
      <c r="F164" s="125"/>
      <c r="G164" s="125"/>
      <c r="H164" s="125"/>
      <c r="I164" s="125"/>
      <c r="J164" s="125"/>
      <c r="K164" s="125"/>
      <c r="L164" s="125"/>
      <c r="M164" s="125"/>
      <c r="N164" s="125"/>
      <c r="O164" s="125"/>
      <c r="P164" s="125"/>
      <c r="Q164" s="126"/>
      <c r="R164" s="125"/>
      <c r="S164" s="125"/>
      <c r="T164" s="125"/>
      <c r="U164" s="125"/>
      <c r="V164" s="125"/>
    </row>
    <row r="165" spans="3:22">
      <c r="C165" s="125"/>
      <c r="D165" s="125"/>
      <c r="E165" s="125"/>
      <c r="F165" s="125"/>
      <c r="G165" s="125"/>
      <c r="H165" s="125"/>
      <c r="I165" s="125"/>
      <c r="J165" s="125"/>
      <c r="K165" s="125"/>
      <c r="L165" s="125"/>
      <c r="M165" s="125"/>
      <c r="N165" s="125"/>
      <c r="O165" s="125"/>
      <c r="P165" s="125"/>
      <c r="Q165" s="126"/>
      <c r="R165" s="125"/>
      <c r="S165" s="125"/>
      <c r="T165" s="125"/>
      <c r="U165" s="125"/>
      <c r="V165" s="125"/>
    </row>
    <row r="166" spans="3:22">
      <c r="C166" s="125"/>
      <c r="D166" s="125"/>
      <c r="E166" s="125"/>
      <c r="F166" s="125"/>
      <c r="G166" s="125"/>
      <c r="H166" s="125"/>
      <c r="I166" s="125"/>
      <c r="J166" s="125"/>
      <c r="K166" s="125"/>
      <c r="L166" s="125"/>
      <c r="M166" s="125"/>
      <c r="N166" s="125"/>
      <c r="O166" s="125"/>
      <c r="P166" s="125"/>
      <c r="Q166" s="126"/>
      <c r="R166" s="125"/>
      <c r="S166" s="125"/>
      <c r="T166" s="125"/>
      <c r="U166" s="125"/>
      <c r="V166" s="125"/>
    </row>
    <row r="167" spans="3:22">
      <c r="C167" s="125"/>
      <c r="D167" s="125"/>
      <c r="E167" s="125"/>
      <c r="F167" s="125"/>
      <c r="G167" s="125"/>
      <c r="H167" s="125"/>
      <c r="I167" s="125"/>
      <c r="J167" s="125"/>
      <c r="K167" s="125"/>
      <c r="L167" s="125"/>
      <c r="M167" s="125"/>
      <c r="N167" s="125"/>
      <c r="O167" s="125"/>
      <c r="P167" s="125"/>
      <c r="Q167" s="126"/>
      <c r="R167" s="125"/>
      <c r="S167" s="125"/>
      <c r="T167" s="125"/>
      <c r="U167" s="125"/>
      <c r="V167" s="125"/>
    </row>
    <row r="168" spans="3:22">
      <c r="C168" s="125"/>
      <c r="D168" s="125"/>
      <c r="E168" s="125"/>
      <c r="F168" s="125"/>
      <c r="G168" s="125"/>
      <c r="H168" s="125"/>
      <c r="I168" s="125"/>
      <c r="J168" s="125"/>
      <c r="K168" s="125"/>
      <c r="L168" s="125"/>
      <c r="M168" s="125"/>
      <c r="N168" s="125"/>
      <c r="O168" s="125"/>
      <c r="P168" s="125"/>
      <c r="Q168" s="126"/>
      <c r="R168" s="125"/>
      <c r="S168" s="125"/>
      <c r="T168" s="125"/>
      <c r="U168" s="125"/>
      <c r="V168" s="125"/>
    </row>
    <row r="169" spans="3:22">
      <c r="C169" s="125"/>
      <c r="D169" s="125"/>
      <c r="E169" s="125"/>
      <c r="F169" s="125"/>
      <c r="G169" s="125"/>
      <c r="H169" s="125"/>
      <c r="I169" s="125"/>
      <c r="J169" s="125"/>
      <c r="K169" s="125"/>
      <c r="L169" s="125"/>
      <c r="M169" s="125"/>
      <c r="N169" s="125"/>
      <c r="O169" s="125"/>
      <c r="P169" s="125"/>
      <c r="Q169" s="126"/>
      <c r="R169" s="125"/>
      <c r="S169" s="125"/>
      <c r="T169" s="125"/>
      <c r="U169" s="125"/>
      <c r="V169" s="125"/>
    </row>
    <row r="170" spans="3:22">
      <c r="C170" s="125"/>
      <c r="D170" s="125"/>
      <c r="E170" s="125"/>
      <c r="F170" s="125"/>
      <c r="G170" s="125"/>
      <c r="H170" s="125"/>
      <c r="I170" s="125"/>
      <c r="J170" s="125"/>
      <c r="K170" s="125"/>
      <c r="L170" s="125"/>
      <c r="M170" s="125"/>
      <c r="N170" s="125"/>
      <c r="O170" s="125"/>
      <c r="P170" s="125"/>
      <c r="Q170" s="126"/>
      <c r="R170" s="125"/>
      <c r="S170" s="125"/>
      <c r="T170" s="125"/>
      <c r="U170" s="125"/>
      <c r="V170" s="125"/>
    </row>
    <row r="171" spans="3:22">
      <c r="C171" s="125"/>
      <c r="D171" s="125"/>
      <c r="E171" s="125"/>
      <c r="F171" s="125"/>
      <c r="G171" s="125"/>
      <c r="H171" s="125"/>
      <c r="I171" s="125"/>
      <c r="J171" s="125"/>
      <c r="K171" s="125"/>
      <c r="L171" s="125"/>
      <c r="M171" s="125"/>
      <c r="N171" s="125"/>
      <c r="O171" s="125"/>
      <c r="P171" s="125"/>
      <c r="Q171" s="126"/>
      <c r="R171" s="125"/>
      <c r="S171" s="125"/>
      <c r="T171" s="125"/>
      <c r="U171" s="125"/>
      <c r="V171" s="125"/>
    </row>
    <row r="172" spans="3:22">
      <c r="C172" s="125"/>
      <c r="D172" s="125"/>
      <c r="E172" s="125"/>
      <c r="F172" s="125"/>
      <c r="G172" s="125"/>
      <c r="H172" s="125"/>
      <c r="I172" s="125"/>
      <c r="J172" s="125"/>
      <c r="K172" s="125"/>
      <c r="L172" s="125"/>
      <c r="M172" s="125"/>
      <c r="N172" s="125"/>
      <c r="O172" s="125"/>
      <c r="P172" s="125"/>
      <c r="Q172" s="126"/>
      <c r="R172" s="125"/>
      <c r="S172" s="125"/>
      <c r="T172" s="125"/>
      <c r="U172" s="125"/>
      <c r="V172" s="125"/>
    </row>
    <row r="173" spans="3:22">
      <c r="C173" s="125"/>
      <c r="D173" s="125"/>
      <c r="E173" s="125"/>
      <c r="F173" s="125"/>
      <c r="G173" s="125"/>
      <c r="H173" s="125"/>
      <c r="I173" s="125"/>
      <c r="J173" s="125"/>
      <c r="K173" s="125"/>
      <c r="L173" s="125"/>
      <c r="M173" s="125"/>
      <c r="N173" s="125"/>
      <c r="O173" s="125"/>
      <c r="P173" s="125"/>
      <c r="Q173" s="126"/>
      <c r="R173" s="125"/>
      <c r="S173" s="125"/>
      <c r="T173" s="125"/>
      <c r="U173" s="125"/>
      <c r="V173" s="125"/>
    </row>
    <row r="174" spans="3:22">
      <c r="C174" s="125"/>
      <c r="D174" s="125"/>
      <c r="E174" s="125"/>
      <c r="F174" s="125"/>
      <c r="G174" s="125"/>
      <c r="H174" s="125"/>
      <c r="I174" s="125"/>
      <c r="J174" s="125"/>
      <c r="K174" s="125"/>
      <c r="L174" s="125"/>
      <c r="M174" s="125"/>
      <c r="N174" s="125"/>
      <c r="O174" s="125"/>
      <c r="P174" s="125"/>
      <c r="Q174" s="126"/>
      <c r="R174" s="125"/>
      <c r="S174" s="125"/>
      <c r="T174" s="125"/>
      <c r="U174" s="125"/>
      <c r="V174" s="125"/>
    </row>
    <row r="175" spans="3:22">
      <c r="C175" s="125"/>
      <c r="D175" s="125"/>
      <c r="E175" s="125"/>
      <c r="F175" s="125"/>
      <c r="G175" s="125"/>
      <c r="H175" s="125"/>
      <c r="I175" s="125"/>
      <c r="J175" s="125"/>
      <c r="K175" s="125"/>
      <c r="L175" s="125"/>
      <c r="M175" s="125"/>
      <c r="N175" s="125"/>
      <c r="O175" s="125"/>
      <c r="P175" s="125"/>
      <c r="Q175" s="126"/>
      <c r="R175" s="125"/>
      <c r="S175" s="125"/>
      <c r="T175" s="125"/>
      <c r="U175" s="125"/>
      <c r="V175" s="125"/>
    </row>
    <row r="176" spans="3:22">
      <c r="C176" s="125"/>
      <c r="D176" s="125"/>
      <c r="E176" s="125"/>
      <c r="F176" s="125"/>
      <c r="G176" s="125"/>
      <c r="H176" s="125"/>
      <c r="I176" s="125"/>
      <c r="J176" s="125"/>
      <c r="K176" s="125"/>
      <c r="L176" s="125"/>
      <c r="M176" s="125"/>
      <c r="N176" s="125"/>
      <c r="O176" s="125"/>
      <c r="P176" s="125"/>
      <c r="Q176" s="126"/>
      <c r="R176" s="125"/>
      <c r="S176" s="125"/>
      <c r="T176" s="125"/>
      <c r="U176" s="125"/>
      <c r="V176" s="125"/>
    </row>
    <row r="177" spans="3:22">
      <c r="C177" s="125"/>
      <c r="D177" s="125"/>
      <c r="E177" s="125"/>
      <c r="F177" s="125"/>
      <c r="G177" s="125"/>
      <c r="H177" s="125"/>
      <c r="I177" s="125"/>
      <c r="J177" s="125"/>
      <c r="K177" s="125"/>
      <c r="L177" s="125"/>
      <c r="M177" s="125"/>
      <c r="N177" s="125"/>
      <c r="O177" s="125"/>
      <c r="P177" s="125"/>
      <c r="Q177" s="126"/>
      <c r="R177" s="125"/>
      <c r="S177" s="125"/>
      <c r="T177" s="125"/>
      <c r="U177" s="125"/>
      <c r="V177" s="125"/>
    </row>
    <row r="178" spans="3:22">
      <c r="C178" s="125"/>
      <c r="D178" s="125"/>
      <c r="E178" s="125"/>
      <c r="F178" s="125"/>
      <c r="G178" s="125"/>
      <c r="H178" s="125"/>
      <c r="I178" s="125"/>
      <c r="J178" s="125"/>
      <c r="K178" s="125"/>
      <c r="L178" s="125"/>
      <c r="M178" s="125"/>
      <c r="N178" s="125"/>
      <c r="O178" s="125"/>
      <c r="P178" s="125"/>
      <c r="Q178" s="126"/>
      <c r="R178" s="125"/>
      <c r="S178" s="125"/>
      <c r="T178" s="125"/>
      <c r="U178" s="125"/>
      <c r="V178" s="125"/>
    </row>
    <row r="179" spans="3:22">
      <c r="C179" s="125"/>
      <c r="D179" s="125"/>
      <c r="E179" s="125"/>
      <c r="F179" s="125"/>
      <c r="G179" s="125"/>
      <c r="H179" s="125"/>
      <c r="I179" s="125"/>
      <c r="J179" s="125"/>
      <c r="K179" s="125"/>
      <c r="L179" s="125"/>
      <c r="M179" s="125"/>
      <c r="N179" s="125"/>
      <c r="O179" s="125"/>
      <c r="P179" s="125"/>
      <c r="Q179" s="126"/>
      <c r="R179" s="125"/>
      <c r="S179" s="125"/>
      <c r="T179" s="125"/>
      <c r="U179" s="125"/>
      <c r="V179" s="125"/>
    </row>
    <row r="180" spans="3:22">
      <c r="C180" s="125"/>
      <c r="D180" s="125"/>
      <c r="E180" s="125"/>
      <c r="F180" s="125"/>
      <c r="G180" s="125"/>
      <c r="H180" s="125"/>
      <c r="I180" s="125"/>
      <c r="J180" s="125"/>
      <c r="K180" s="125"/>
      <c r="L180" s="125"/>
      <c r="M180" s="125"/>
      <c r="N180" s="125"/>
      <c r="O180" s="125"/>
      <c r="P180" s="125"/>
      <c r="Q180" s="126"/>
      <c r="R180" s="125"/>
      <c r="S180" s="125"/>
      <c r="T180" s="125"/>
      <c r="U180" s="125"/>
      <c r="V180" s="125"/>
    </row>
    <row r="181" spans="3:22">
      <c r="C181" s="125"/>
      <c r="D181" s="125"/>
      <c r="E181" s="125"/>
      <c r="F181" s="125"/>
      <c r="G181" s="125"/>
      <c r="H181" s="125"/>
      <c r="I181" s="125"/>
      <c r="J181" s="125"/>
      <c r="K181" s="125"/>
      <c r="L181" s="125"/>
      <c r="M181" s="125"/>
      <c r="N181" s="125"/>
      <c r="O181" s="125"/>
      <c r="P181" s="125"/>
      <c r="Q181" s="126"/>
      <c r="R181" s="125"/>
      <c r="S181" s="125"/>
      <c r="T181" s="125"/>
      <c r="U181" s="125"/>
      <c r="V181" s="125"/>
    </row>
    <row r="182" spans="3:22">
      <c r="C182" s="125"/>
      <c r="D182" s="125"/>
      <c r="E182" s="125"/>
      <c r="F182" s="125"/>
      <c r="G182" s="125"/>
      <c r="H182" s="125"/>
      <c r="I182" s="125"/>
      <c r="J182" s="125"/>
      <c r="K182" s="125"/>
      <c r="L182" s="125"/>
      <c r="M182" s="125"/>
      <c r="N182" s="125"/>
      <c r="O182" s="125"/>
      <c r="P182" s="125"/>
      <c r="Q182" s="126"/>
      <c r="R182" s="125"/>
      <c r="S182" s="125"/>
      <c r="T182" s="125"/>
      <c r="U182" s="125"/>
      <c r="V182" s="125"/>
    </row>
    <row r="183" spans="3:22">
      <c r="C183" s="125"/>
      <c r="D183" s="125"/>
      <c r="E183" s="125"/>
      <c r="F183" s="125"/>
      <c r="G183" s="125"/>
      <c r="H183" s="125"/>
      <c r="I183" s="125"/>
      <c r="J183" s="125"/>
      <c r="K183" s="125"/>
      <c r="L183" s="125"/>
      <c r="M183" s="125"/>
      <c r="N183" s="125"/>
      <c r="O183" s="125"/>
      <c r="P183" s="125"/>
      <c r="Q183" s="126"/>
      <c r="R183" s="125"/>
      <c r="S183" s="125"/>
      <c r="T183" s="125"/>
      <c r="U183" s="125"/>
      <c r="V183" s="125"/>
    </row>
    <row r="184" spans="3:22">
      <c r="C184" s="125"/>
      <c r="D184" s="125"/>
      <c r="E184" s="125"/>
      <c r="F184" s="125"/>
      <c r="G184" s="125"/>
      <c r="H184" s="125"/>
      <c r="I184" s="125"/>
      <c r="J184" s="125"/>
      <c r="K184" s="125"/>
      <c r="L184" s="125"/>
      <c r="M184" s="125"/>
      <c r="N184" s="125"/>
      <c r="O184" s="125"/>
      <c r="P184" s="125"/>
      <c r="Q184" s="126"/>
      <c r="R184" s="125"/>
      <c r="S184" s="125"/>
      <c r="T184" s="125"/>
      <c r="U184" s="125"/>
      <c r="V184" s="125"/>
    </row>
    <row r="185" spans="3:22">
      <c r="C185" s="125"/>
      <c r="D185" s="125"/>
      <c r="E185" s="125"/>
      <c r="F185" s="125"/>
      <c r="G185" s="125"/>
      <c r="H185" s="125"/>
      <c r="I185" s="125"/>
      <c r="J185" s="125"/>
      <c r="K185" s="125"/>
      <c r="L185" s="125"/>
      <c r="M185" s="125"/>
      <c r="N185" s="125"/>
      <c r="O185" s="125"/>
      <c r="P185" s="125"/>
      <c r="Q185" s="126"/>
      <c r="R185" s="125"/>
      <c r="S185" s="125"/>
      <c r="T185" s="125"/>
      <c r="U185" s="125"/>
      <c r="V185" s="125"/>
    </row>
    <row r="186" spans="3:22">
      <c r="C186" s="125"/>
      <c r="D186" s="125"/>
      <c r="E186" s="125"/>
      <c r="F186" s="125"/>
      <c r="G186" s="125"/>
      <c r="H186" s="125"/>
      <c r="I186" s="125"/>
      <c r="J186" s="125"/>
      <c r="K186" s="125"/>
      <c r="L186" s="125"/>
      <c r="M186" s="125"/>
      <c r="N186" s="125"/>
      <c r="O186" s="125"/>
      <c r="P186" s="125"/>
      <c r="Q186" s="126"/>
      <c r="R186" s="125"/>
      <c r="S186" s="125"/>
      <c r="T186" s="125"/>
      <c r="U186" s="125"/>
      <c r="V186" s="125"/>
    </row>
    <row r="187" spans="3:22">
      <c r="C187" s="125"/>
      <c r="D187" s="125"/>
      <c r="E187" s="125"/>
      <c r="F187" s="125"/>
      <c r="G187" s="125"/>
      <c r="H187" s="125"/>
      <c r="I187" s="125"/>
      <c r="J187" s="125"/>
      <c r="K187" s="125"/>
      <c r="L187" s="125"/>
      <c r="M187" s="125"/>
      <c r="N187" s="125"/>
      <c r="O187" s="125"/>
      <c r="P187" s="125"/>
      <c r="Q187" s="126"/>
      <c r="R187" s="125"/>
      <c r="S187" s="125"/>
      <c r="T187" s="125"/>
      <c r="U187" s="125"/>
      <c r="V187" s="125"/>
    </row>
    <row r="188" spans="3:22">
      <c r="C188" s="125"/>
      <c r="D188" s="125"/>
      <c r="E188" s="125"/>
      <c r="F188" s="125"/>
      <c r="G188" s="125"/>
      <c r="H188" s="125"/>
      <c r="I188" s="125"/>
      <c r="J188" s="125"/>
      <c r="K188" s="125"/>
      <c r="L188" s="125"/>
      <c r="M188" s="125"/>
      <c r="N188" s="125"/>
      <c r="O188" s="125"/>
      <c r="P188" s="125"/>
      <c r="Q188" s="126"/>
      <c r="R188" s="125"/>
      <c r="S188" s="125"/>
      <c r="T188" s="125"/>
      <c r="U188" s="125"/>
      <c r="V188" s="125"/>
    </row>
    <row r="189" spans="3:22">
      <c r="C189" s="125"/>
      <c r="D189" s="125"/>
      <c r="E189" s="125"/>
      <c r="F189" s="125"/>
      <c r="G189" s="125"/>
      <c r="H189" s="125"/>
      <c r="I189" s="125"/>
      <c r="J189" s="125"/>
      <c r="K189" s="125"/>
      <c r="L189" s="125"/>
      <c r="M189" s="125"/>
      <c r="N189" s="125"/>
      <c r="O189" s="125"/>
      <c r="P189" s="125"/>
      <c r="Q189" s="126"/>
      <c r="R189" s="125"/>
      <c r="S189" s="125"/>
      <c r="T189" s="125"/>
      <c r="U189" s="125"/>
      <c r="V189" s="125"/>
    </row>
    <row r="190" spans="3:22">
      <c r="C190" s="125"/>
      <c r="D190" s="125"/>
      <c r="E190" s="125"/>
      <c r="F190" s="125"/>
      <c r="G190" s="125"/>
      <c r="H190" s="125"/>
      <c r="I190" s="125"/>
      <c r="J190" s="125"/>
      <c r="K190" s="125"/>
      <c r="L190" s="125"/>
      <c r="M190" s="125"/>
      <c r="N190" s="125"/>
      <c r="O190" s="125"/>
      <c r="P190" s="125"/>
      <c r="Q190" s="126"/>
      <c r="R190" s="125"/>
      <c r="S190" s="125"/>
      <c r="T190" s="125"/>
      <c r="U190" s="125"/>
      <c r="V190" s="125"/>
    </row>
    <row r="191" spans="3:22">
      <c r="C191" s="125"/>
      <c r="D191" s="125"/>
      <c r="E191" s="125"/>
      <c r="F191" s="125"/>
      <c r="G191" s="125"/>
      <c r="H191" s="125"/>
      <c r="I191" s="125"/>
      <c r="J191" s="125"/>
      <c r="K191" s="125"/>
      <c r="L191" s="125"/>
      <c r="M191" s="125"/>
      <c r="N191" s="125"/>
      <c r="O191" s="125"/>
      <c r="P191" s="125"/>
      <c r="Q191" s="126"/>
      <c r="R191" s="125"/>
      <c r="S191" s="125"/>
      <c r="T191" s="125"/>
      <c r="U191" s="125"/>
      <c r="V191" s="125"/>
    </row>
    <row r="192" spans="3:22">
      <c r="C192" s="125"/>
      <c r="D192" s="125"/>
      <c r="E192" s="125"/>
      <c r="F192" s="125"/>
      <c r="G192" s="125"/>
      <c r="H192" s="125"/>
      <c r="I192" s="125"/>
      <c r="J192" s="125"/>
      <c r="K192" s="125"/>
      <c r="L192" s="125"/>
      <c r="M192" s="125"/>
      <c r="N192" s="125"/>
      <c r="O192" s="125"/>
      <c r="P192" s="125"/>
      <c r="Q192" s="126"/>
      <c r="R192" s="125"/>
      <c r="S192" s="125"/>
      <c r="T192" s="125"/>
      <c r="U192" s="125"/>
      <c r="V192" s="125"/>
    </row>
    <row r="193" spans="3:22">
      <c r="C193" s="125"/>
      <c r="D193" s="125"/>
      <c r="E193" s="125"/>
      <c r="F193" s="125"/>
      <c r="G193" s="125"/>
      <c r="H193" s="125"/>
      <c r="I193" s="125"/>
      <c r="J193" s="125"/>
      <c r="K193" s="125"/>
      <c r="L193" s="125"/>
      <c r="M193" s="125"/>
      <c r="N193" s="125"/>
      <c r="O193" s="125"/>
      <c r="P193" s="125"/>
      <c r="Q193" s="126"/>
      <c r="R193" s="125"/>
      <c r="S193" s="125"/>
      <c r="T193" s="125"/>
      <c r="U193" s="125"/>
      <c r="V193" s="125"/>
    </row>
    <row r="194" spans="3:22">
      <c r="C194" s="125"/>
      <c r="D194" s="125"/>
      <c r="E194" s="125"/>
      <c r="F194" s="125"/>
      <c r="G194" s="125"/>
      <c r="H194" s="125"/>
      <c r="I194" s="125"/>
      <c r="J194" s="125"/>
      <c r="K194" s="125"/>
      <c r="L194" s="125"/>
      <c r="M194" s="125"/>
      <c r="N194" s="125"/>
      <c r="O194" s="125"/>
      <c r="P194" s="125"/>
      <c r="Q194" s="126"/>
      <c r="R194" s="125"/>
      <c r="S194" s="125"/>
      <c r="T194" s="125"/>
      <c r="U194" s="125"/>
      <c r="V194" s="125"/>
    </row>
    <row r="195" spans="3:22">
      <c r="C195" s="125"/>
      <c r="D195" s="125"/>
      <c r="E195" s="125"/>
      <c r="F195" s="125"/>
      <c r="G195" s="125"/>
      <c r="H195" s="125"/>
      <c r="I195" s="125"/>
      <c r="J195" s="125"/>
      <c r="K195" s="125"/>
      <c r="L195" s="125"/>
      <c r="M195" s="125"/>
      <c r="N195" s="125"/>
      <c r="O195" s="125"/>
      <c r="P195" s="125"/>
      <c r="Q195" s="126"/>
      <c r="R195" s="125"/>
      <c r="S195" s="125"/>
      <c r="T195" s="125"/>
      <c r="U195" s="125"/>
      <c r="V195" s="125"/>
    </row>
    <row r="196" spans="3:22">
      <c r="C196" s="125"/>
      <c r="D196" s="125"/>
      <c r="E196" s="125"/>
      <c r="F196" s="125"/>
      <c r="G196" s="125"/>
      <c r="H196" s="125"/>
      <c r="I196" s="125"/>
      <c r="J196" s="125"/>
      <c r="K196" s="125"/>
      <c r="L196" s="125"/>
      <c r="M196" s="125"/>
      <c r="N196" s="125"/>
      <c r="O196" s="125"/>
      <c r="P196" s="125"/>
      <c r="Q196" s="126"/>
      <c r="R196" s="125"/>
      <c r="S196" s="125"/>
      <c r="T196" s="125"/>
      <c r="U196" s="125"/>
      <c r="V196" s="125"/>
    </row>
    <row r="197" spans="3:22">
      <c r="C197" s="125"/>
      <c r="D197" s="125"/>
      <c r="E197" s="125"/>
      <c r="F197" s="125"/>
      <c r="G197" s="125"/>
      <c r="H197" s="125"/>
      <c r="I197" s="125"/>
      <c r="J197" s="125"/>
      <c r="K197" s="125"/>
      <c r="L197" s="125"/>
      <c r="M197" s="125"/>
      <c r="N197" s="125"/>
      <c r="O197" s="125"/>
      <c r="P197" s="125"/>
      <c r="Q197" s="126"/>
      <c r="R197" s="125"/>
      <c r="S197" s="125"/>
      <c r="T197" s="125"/>
      <c r="U197" s="125"/>
      <c r="V197" s="125"/>
    </row>
    <row r="198" spans="3:22">
      <c r="C198" s="125"/>
      <c r="D198" s="125"/>
      <c r="E198" s="125"/>
      <c r="F198" s="125"/>
      <c r="G198" s="125"/>
      <c r="H198" s="125"/>
      <c r="I198" s="125"/>
      <c r="J198" s="125"/>
      <c r="K198" s="125"/>
      <c r="L198" s="125"/>
      <c r="M198" s="125"/>
      <c r="N198" s="125"/>
      <c r="O198" s="125"/>
      <c r="P198" s="125"/>
      <c r="Q198" s="126"/>
      <c r="R198" s="125"/>
      <c r="S198" s="125"/>
      <c r="T198" s="125"/>
      <c r="U198" s="125"/>
      <c r="V198" s="125"/>
    </row>
    <row r="199" spans="3:22">
      <c r="C199" s="125"/>
      <c r="D199" s="125"/>
      <c r="E199" s="125"/>
      <c r="F199" s="125"/>
      <c r="G199" s="125"/>
      <c r="H199" s="125"/>
      <c r="I199" s="125"/>
      <c r="J199" s="125"/>
      <c r="K199" s="125"/>
      <c r="L199" s="125"/>
      <c r="M199" s="125"/>
      <c r="N199" s="125"/>
      <c r="O199" s="125"/>
      <c r="P199" s="125"/>
      <c r="Q199" s="126"/>
      <c r="R199" s="125"/>
      <c r="S199" s="125"/>
      <c r="T199" s="125"/>
      <c r="U199" s="125"/>
      <c r="V199" s="125"/>
    </row>
    <row r="200" spans="3:22">
      <c r="C200" s="125"/>
      <c r="D200" s="125"/>
      <c r="E200" s="125"/>
      <c r="F200" s="125"/>
      <c r="G200" s="125"/>
      <c r="H200" s="125"/>
      <c r="I200" s="125"/>
      <c r="J200" s="125"/>
      <c r="K200" s="125"/>
      <c r="L200" s="125"/>
      <c r="M200" s="125"/>
      <c r="N200" s="125"/>
      <c r="O200" s="125"/>
      <c r="P200" s="125"/>
      <c r="Q200" s="126"/>
      <c r="R200" s="125"/>
      <c r="S200" s="125"/>
      <c r="T200" s="125"/>
      <c r="U200" s="125"/>
      <c r="V200" s="125"/>
    </row>
    <row r="201" spans="3:22">
      <c r="C201" s="125"/>
      <c r="D201" s="125"/>
      <c r="E201" s="125"/>
      <c r="F201" s="125"/>
      <c r="G201" s="125"/>
      <c r="H201" s="125"/>
      <c r="I201" s="125"/>
      <c r="J201" s="125"/>
      <c r="K201" s="125"/>
      <c r="L201" s="125"/>
      <c r="M201" s="125"/>
      <c r="N201" s="125"/>
      <c r="O201" s="125"/>
      <c r="P201" s="125"/>
      <c r="Q201" s="126"/>
      <c r="R201" s="125"/>
      <c r="S201" s="125"/>
      <c r="T201" s="125"/>
      <c r="U201" s="125"/>
      <c r="V201" s="125"/>
    </row>
    <row r="202" spans="3:22">
      <c r="C202" s="125"/>
      <c r="D202" s="125"/>
      <c r="E202" s="125"/>
      <c r="F202" s="125"/>
      <c r="G202" s="125"/>
      <c r="H202" s="125"/>
      <c r="I202" s="125"/>
      <c r="J202" s="125"/>
      <c r="K202" s="125"/>
      <c r="L202" s="125"/>
      <c r="M202" s="125"/>
      <c r="N202" s="125"/>
      <c r="O202" s="125"/>
      <c r="P202" s="125"/>
      <c r="Q202" s="126"/>
      <c r="R202" s="125"/>
      <c r="S202" s="125"/>
      <c r="T202" s="125"/>
      <c r="U202" s="125"/>
      <c r="V202" s="125"/>
    </row>
    <row r="203" spans="3:22">
      <c r="C203" s="125"/>
      <c r="D203" s="125"/>
      <c r="E203" s="125"/>
      <c r="F203" s="125"/>
      <c r="G203" s="125"/>
      <c r="H203" s="125"/>
      <c r="I203" s="125"/>
      <c r="J203" s="125"/>
      <c r="K203" s="125"/>
      <c r="L203" s="125"/>
      <c r="M203" s="125"/>
      <c r="N203" s="125"/>
      <c r="O203" s="125"/>
      <c r="P203" s="125"/>
      <c r="Q203" s="126"/>
      <c r="R203" s="125"/>
      <c r="S203" s="125"/>
      <c r="T203" s="125"/>
      <c r="U203" s="125"/>
      <c r="V203" s="125"/>
    </row>
    <row r="204" spans="3:22">
      <c r="C204" s="125"/>
      <c r="D204" s="125"/>
      <c r="E204" s="125"/>
      <c r="F204" s="125"/>
      <c r="G204" s="125"/>
      <c r="H204" s="125"/>
      <c r="I204" s="125"/>
      <c r="J204" s="125"/>
      <c r="K204" s="125"/>
      <c r="L204" s="125"/>
      <c r="M204" s="125"/>
      <c r="N204" s="125"/>
      <c r="O204" s="125"/>
      <c r="P204" s="125"/>
      <c r="Q204" s="126"/>
      <c r="R204" s="125"/>
      <c r="S204" s="125"/>
      <c r="T204" s="125"/>
      <c r="U204" s="125"/>
      <c r="V204" s="125"/>
    </row>
    <row r="205" spans="3:22">
      <c r="C205" s="125"/>
      <c r="D205" s="125"/>
      <c r="E205" s="125"/>
      <c r="F205" s="125"/>
      <c r="G205" s="125"/>
      <c r="H205" s="125"/>
      <c r="I205" s="125"/>
      <c r="J205" s="125"/>
      <c r="K205" s="125"/>
      <c r="L205" s="125"/>
      <c r="M205" s="125"/>
      <c r="N205" s="125"/>
      <c r="O205" s="125"/>
      <c r="P205" s="125"/>
      <c r="Q205" s="126"/>
      <c r="R205" s="125"/>
      <c r="S205" s="125"/>
      <c r="T205" s="125"/>
      <c r="U205" s="125"/>
      <c r="V205" s="125"/>
    </row>
    <row r="206" spans="3:22">
      <c r="C206" s="125"/>
      <c r="D206" s="125"/>
      <c r="E206" s="125"/>
      <c r="F206" s="125"/>
      <c r="G206" s="125"/>
      <c r="H206" s="125"/>
      <c r="I206" s="125"/>
      <c r="J206" s="125"/>
      <c r="K206" s="125"/>
      <c r="L206" s="125"/>
      <c r="M206" s="125"/>
      <c r="N206" s="125"/>
      <c r="O206" s="125"/>
      <c r="P206" s="125"/>
      <c r="Q206" s="126"/>
      <c r="R206" s="125"/>
      <c r="S206" s="125"/>
      <c r="T206" s="125"/>
      <c r="U206" s="125"/>
      <c r="V206" s="125"/>
    </row>
    <row r="207" spans="3:22">
      <c r="C207" s="125"/>
      <c r="D207" s="125"/>
      <c r="E207" s="125"/>
      <c r="F207" s="125"/>
      <c r="G207" s="125"/>
      <c r="H207" s="125"/>
      <c r="I207" s="125"/>
      <c r="J207" s="125"/>
      <c r="K207" s="125"/>
      <c r="L207" s="125"/>
      <c r="M207" s="125"/>
      <c r="N207" s="125"/>
      <c r="O207" s="125"/>
      <c r="P207" s="125"/>
      <c r="Q207" s="126"/>
      <c r="R207" s="125"/>
      <c r="S207" s="125"/>
      <c r="T207" s="125"/>
      <c r="U207" s="125"/>
      <c r="V207" s="125"/>
    </row>
    <row r="208" spans="3:22">
      <c r="C208" s="125"/>
      <c r="D208" s="125"/>
      <c r="E208" s="125"/>
      <c r="F208" s="125"/>
      <c r="G208" s="125"/>
      <c r="H208" s="125"/>
      <c r="I208" s="125"/>
      <c r="J208" s="125"/>
      <c r="K208" s="125"/>
      <c r="L208" s="125"/>
      <c r="M208" s="125"/>
      <c r="N208" s="125"/>
      <c r="O208" s="125"/>
      <c r="P208" s="125"/>
      <c r="Q208" s="126"/>
      <c r="R208" s="125"/>
      <c r="S208" s="125"/>
      <c r="T208" s="125"/>
      <c r="U208" s="125"/>
      <c r="V208" s="125"/>
    </row>
    <row r="209" spans="3:22">
      <c r="C209" s="125"/>
      <c r="D209" s="125"/>
      <c r="E209" s="125"/>
      <c r="F209" s="125"/>
      <c r="G209" s="125"/>
      <c r="H209" s="125"/>
      <c r="I209" s="125"/>
      <c r="J209" s="125"/>
      <c r="K209" s="125"/>
      <c r="L209" s="125"/>
      <c r="M209" s="125"/>
      <c r="N209" s="125"/>
      <c r="O209" s="125"/>
      <c r="P209" s="125"/>
      <c r="Q209" s="126"/>
      <c r="R209" s="125"/>
      <c r="S209" s="125"/>
      <c r="T209" s="125"/>
      <c r="U209" s="125"/>
      <c r="V209" s="125"/>
    </row>
    <row r="210" spans="3:22">
      <c r="C210" s="125"/>
      <c r="D210" s="125"/>
      <c r="E210" s="125"/>
      <c r="F210" s="125"/>
      <c r="G210" s="125"/>
      <c r="H210" s="125"/>
      <c r="I210" s="125"/>
      <c r="J210" s="125"/>
      <c r="K210" s="125"/>
      <c r="L210" s="125"/>
      <c r="M210" s="125"/>
      <c r="N210" s="125"/>
      <c r="O210" s="125"/>
      <c r="P210" s="125"/>
      <c r="Q210" s="126"/>
      <c r="R210" s="125"/>
      <c r="S210" s="125"/>
      <c r="T210" s="125"/>
      <c r="U210" s="125"/>
      <c r="V210" s="125"/>
    </row>
    <row r="211" spans="3:22">
      <c r="C211" s="125"/>
      <c r="D211" s="125"/>
      <c r="E211" s="125"/>
      <c r="F211" s="125"/>
      <c r="G211" s="125"/>
      <c r="H211" s="125"/>
      <c r="I211" s="125"/>
      <c r="J211" s="125"/>
      <c r="K211" s="125"/>
      <c r="L211" s="125"/>
      <c r="M211" s="125"/>
      <c r="N211" s="125"/>
      <c r="O211" s="125"/>
      <c r="P211" s="125"/>
      <c r="Q211" s="126"/>
      <c r="R211" s="125"/>
      <c r="S211" s="125"/>
      <c r="T211" s="125"/>
      <c r="U211" s="125"/>
      <c r="V211" s="125"/>
    </row>
    <row r="212" spans="3:22">
      <c r="C212" s="125"/>
      <c r="D212" s="125"/>
      <c r="E212" s="125"/>
      <c r="F212" s="125"/>
      <c r="G212" s="125"/>
      <c r="H212" s="125"/>
      <c r="I212" s="125"/>
      <c r="J212" s="125"/>
      <c r="K212" s="125"/>
      <c r="L212" s="125"/>
      <c r="M212" s="125"/>
      <c r="N212" s="125"/>
      <c r="O212" s="125"/>
      <c r="P212" s="125"/>
      <c r="Q212" s="126"/>
      <c r="R212" s="125"/>
      <c r="S212" s="125"/>
      <c r="T212" s="125"/>
      <c r="U212" s="125"/>
      <c r="V212" s="125"/>
    </row>
    <row r="213" spans="3:22">
      <c r="C213" s="125"/>
      <c r="D213" s="125"/>
      <c r="E213" s="125"/>
      <c r="F213" s="125"/>
      <c r="G213" s="125"/>
      <c r="H213" s="125"/>
      <c r="I213" s="125"/>
      <c r="J213" s="125"/>
      <c r="K213" s="125"/>
      <c r="L213" s="125"/>
      <c r="M213" s="125"/>
      <c r="N213" s="125"/>
      <c r="O213" s="125"/>
      <c r="P213" s="125"/>
      <c r="Q213" s="126"/>
      <c r="R213" s="125"/>
      <c r="S213" s="125"/>
      <c r="T213" s="125"/>
      <c r="U213" s="125"/>
      <c r="V213" s="125"/>
    </row>
    <row r="214" spans="3:22">
      <c r="C214" s="125"/>
      <c r="D214" s="125"/>
      <c r="E214" s="125"/>
      <c r="F214" s="125"/>
      <c r="G214" s="125"/>
      <c r="H214" s="125"/>
      <c r="I214" s="125"/>
      <c r="J214" s="125"/>
      <c r="K214" s="125"/>
      <c r="L214" s="125"/>
      <c r="M214" s="125"/>
      <c r="N214" s="125"/>
      <c r="O214" s="125"/>
      <c r="P214" s="125"/>
      <c r="Q214" s="126"/>
      <c r="R214" s="125"/>
      <c r="S214" s="125"/>
      <c r="T214" s="125"/>
      <c r="U214" s="125"/>
      <c r="V214" s="125"/>
    </row>
    <row r="215" spans="3:22">
      <c r="C215" s="125"/>
      <c r="D215" s="125"/>
      <c r="E215" s="125"/>
      <c r="F215" s="125"/>
      <c r="G215" s="125"/>
      <c r="H215" s="125"/>
      <c r="I215" s="125"/>
      <c r="J215" s="125"/>
      <c r="K215" s="125"/>
      <c r="L215" s="125"/>
      <c r="M215" s="125"/>
      <c r="N215" s="125"/>
      <c r="O215" s="125"/>
      <c r="P215" s="125"/>
      <c r="Q215" s="126"/>
      <c r="R215" s="125"/>
      <c r="S215" s="125"/>
      <c r="T215" s="125"/>
      <c r="U215" s="125"/>
      <c r="V215" s="125"/>
    </row>
    <row r="216" spans="3:22">
      <c r="C216" s="125"/>
      <c r="D216" s="125"/>
      <c r="E216" s="125"/>
      <c r="F216" s="125"/>
      <c r="G216" s="125"/>
      <c r="H216" s="125"/>
      <c r="I216" s="125"/>
      <c r="J216" s="125"/>
      <c r="K216" s="125"/>
      <c r="L216" s="125"/>
      <c r="M216" s="125"/>
      <c r="N216" s="125"/>
      <c r="O216" s="125"/>
      <c r="P216" s="125"/>
      <c r="Q216" s="126"/>
      <c r="R216" s="125"/>
      <c r="S216" s="125"/>
      <c r="T216" s="125"/>
      <c r="U216" s="125"/>
      <c r="V216" s="125"/>
    </row>
    <row r="217" spans="3:22">
      <c r="C217" s="125"/>
      <c r="D217" s="125"/>
      <c r="E217" s="125"/>
      <c r="F217" s="125"/>
      <c r="G217" s="125"/>
      <c r="H217" s="125"/>
      <c r="I217" s="125"/>
      <c r="J217" s="125"/>
      <c r="K217" s="125"/>
      <c r="L217" s="125"/>
      <c r="M217" s="125"/>
      <c r="N217" s="125"/>
      <c r="O217" s="125"/>
      <c r="P217" s="125"/>
      <c r="Q217" s="126"/>
      <c r="R217" s="125"/>
      <c r="S217" s="125"/>
      <c r="T217" s="125"/>
      <c r="U217" s="125"/>
      <c r="V217" s="125"/>
    </row>
    <row r="218" spans="3:22">
      <c r="C218" s="125"/>
      <c r="D218" s="125"/>
      <c r="E218" s="125"/>
      <c r="F218" s="125"/>
      <c r="G218" s="125"/>
      <c r="H218" s="125"/>
      <c r="I218" s="125"/>
      <c r="J218" s="125"/>
      <c r="K218" s="125"/>
      <c r="L218" s="125"/>
      <c r="M218" s="125"/>
      <c r="N218" s="125"/>
      <c r="O218" s="125"/>
      <c r="P218" s="125"/>
      <c r="Q218" s="126"/>
      <c r="R218" s="125"/>
      <c r="S218" s="125"/>
      <c r="T218" s="125"/>
      <c r="U218" s="125"/>
      <c r="V218" s="125"/>
    </row>
    <row r="219" spans="3:22">
      <c r="C219" s="125"/>
      <c r="D219" s="125"/>
      <c r="E219" s="125"/>
      <c r="F219" s="125"/>
      <c r="G219" s="125"/>
      <c r="H219" s="125"/>
      <c r="I219" s="125"/>
      <c r="J219" s="125"/>
      <c r="K219" s="125"/>
      <c r="L219" s="125"/>
      <c r="M219" s="125"/>
      <c r="N219" s="125"/>
      <c r="O219" s="125"/>
      <c r="P219" s="125"/>
      <c r="Q219" s="126"/>
      <c r="R219" s="125"/>
      <c r="S219" s="125"/>
      <c r="T219" s="125"/>
      <c r="U219" s="125"/>
      <c r="V219" s="125"/>
    </row>
    <row r="220" spans="3:22">
      <c r="C220" s="125"/>
      <c r="D220" s="125"/>
      <c r="E220" s="125"/>
      <c r="F220" s="125"/>
      <c r="G220" s="125"/>
      <c r="H220" s="125"/>
      <c r="I220" s="125"/>
      <c r="J220" s="125"/>
      <c r="K220" s="125"/>
      <c r="L220" s="125"/>
      <c r="M220" s="125"/>
      <c r="N220" s="125"/>
      <c r="O220" s="125"/>
      <c r="P220" s="125"/>
      <c r="Q220" s="126"/>
      <c r="R220" s="125"/>
      <c r="S220" s="125"/>
      <c r="T220" s="125"/>
      <c r="U220" s="125"/>
      <c r="V220" s="125"/>
    </row>
    <row r="221" spans="3:22">
      <c r="C221" s="125"/>
      <c r="D221" s="125"/>
      <c r="E221" s="125"/>
      <c r="F221" s="125"/>
      <c r="G221" s="125"/>
      <c r="H221" s="125"/>
      <c r="I221" s="125"/>
      <c r="J221" s="125"/>
      <c r="K221" s="125"/>
      <c r="L221" s="125"/>
      <c r="M221" s="125"/>
      <c r="N221" s="125"/>
      <c r="O221" s="125"/>
      <c r="P221" s="125"/>
      <c r="Q221" s="126"/>
      <c r="R221" s="125"/>
      <c r="S221" s="125"/>
      <c r="T221" s="125"/>
      <c r="U221" s="125"/>
      <c r="V221" s="125"/>
    </row>
    <row r="222" spans="3:22">
      <c r="C222" s="125"/>
      <c r="D222" s="125"/>
      <c r="E222" s="125"/>
      <c r="F222" s="125"/>
      <c r="G222" s="125"/>
      <c r="H222" s="125"/>
      <c r="I222" s="125"/>
      <c r="J222" s="125"/>
      <c r="K222" s="125"/>
      <c r="L222" s="125"/>
      <c r="M222" s="125"/>
      <c r="N222" s="125"/>
      <c r="O222" s="125"/>
      <c r="P222" s="125"/>
      <c r="Q222" s="126"/>
      <c r="R222" s="125"/>
      <c r="S222" s="125"/>
      <c r="T222" s="125"/>
      <c r="U222" s="125"/>
      <c r="V222" s="125"/>
    </row>
    <row r="223" spans="3:22">
      <c r="C223" s="125"/>
      <c r="D223" s="125"/>
      <c r="E223" s="125"/>
      <c r="F223" s="125"/>
      <c r="G223" s="125"/>
      <c r="H223" s="125"/>
      <c r="I223" s="125"/>
      <c r="J223" s="125"/>
      <c r="K223" s="125"/>
      <c r="L223" s="125"/>
      <c r="M223" s="125"/>
      <c r="N223" s="125"/>
      <c r="O223" s="125"/>
      <c r="P223" s="125"/>
      <c r="Q223" s="126"/>
      <c r="R223" s="125"/>
      <c r="S223" s="125"/>
      <c r="T223" s="125"/>
      <c r="U223" s="125"/>
      <c r="V223" s="125"/>
    </row>
    <row r="224" spans="3:22">
      <c r="C224" s="125"/>
      <c r="D224" s="125"/>
      <c r="E224" s="125"/>
      <c r="F224" s="125"/>
      <c r="G224" s="125"/>
      <c r="H224" s="125"/>
      <c r="I224" s="125"/>
      <c r="J224" s="125"/>
      <c r="K224" s="125"/>
      <c r="L224" s="125"/>
      <c r="M224" s="125"/>
      <c r="N224" s="125"/>
      <c r="O224" s="125"/>
      <c r="P224" s="125"/>
      <c r="Q224" s="126"/>
      <c r="R224" s="125"/>
      <c r="S224" s="125"/>
      <c r="T224" s="125"/>
      <c r="U224" s="125"/>
      <c r="V224" s="125"/>
    </row>
    <row r="225" spans="3:22">
      <c r="C225" s="125"/>
      <c r="D225" s="125"/>
      <c r="E225" s="125"/>
      <c r="F225" s="125"/>
      <c r="G225" s="125"/>
      <c r="H225" s="125"/>
      <c r="I225" s="125"/>
      <c r="J225" s="125"/>
      <c r="K225" s="125"/>
      <c r="L225" s="125"/>
      <c r="M225" s="125"/>
      <c r="N225" s="125"/>
      <c r="O225" s="125"/>
      <c r="P225" s="125"/>
      <c r="Q225" s="126"/>
      <c r="R225" s="125"/>
      <c r="S225" s="125"/>
      <c r="T225" s="125"/>
      <c r="U225" s="125"/>
      <c r="V225" s="125"/>
    </row>
    <row r="226" spans="3:22">
      <c r="C226" s="125"/>
      <c r="D226" s="125"/>
      <c r="E226" s="125"/>
      <c r="F226" s="125"/>
      <c r="G226" s="125"/>
      <c r="H226" s="125"/>
      <c r="I226" s="125"/>
      <c r="J226" s="125"/>
      <c r="K226" s="125"/>
      <c r="L226" s="125"/>
      <c r="M226" s="125"/>
      <c r="N226" s="125"/>
      <c r="O226" s="125"/>
      <c r="P226" s="125"/>
      <c r="Q226" s="126"/>
      <c r="R226" s="125"/>
      <c r="S226" s="125"/>
      <c r="T226" s="125"/>
      <c r="U226" s="125"/>
      <c r="V226" s="125"/>
    </row>
    <row r="227" spans="3:22">
      <c r="C227" s="125"/>
      <c r="D227" s="125"/>
      <c r="E227" s="125"/>
      <c r="F227" s="125"/>
      <c r="G227" s="125"/>
      <c r="H227" s="125"/>
      <c r="I227" s="125"/>
      <c r="J227" s="125"/>
      <c r="K227" s="125"/>
      <c r="L227" s="125"/>
      <c r="M227" s="125"/>
      <c r="N227" s="125"/>
      <c r="O227" s="125"/>
      <c r="P227" s="125"/>
      <c r="Q227" s="126"/>
      <c r="R227" s="125"/>
      <c r="S227" s="125"/>
      <c r="T227" s="125"/>
      <c r="U227" s="125"/>
      <c r="V227" s="125"/>
    </row>
    <row r="228" spans="3:22">
      <c r="C228" s="125"/>
      <c r="D228" s="125"/>
      <c r="E228" s="125"/>
      <c r="F228" s="125"/>
      <c r="G228" s="125"/>
      <c r="H228" s="125"/>
      <c r="I228" s="125"/>
      <c r="J228" s="125"/>
      <c r="K228" s="125"/>
      <c r="L228" s="125"/>
      <c r="M228" s="125"/>
      <c r="N228" s="125"/>
      <c r="O228" s="125"/>
      <c r="P228" s="125"/>
      <c r="Q228" s="126"/>
      <c r="R228" s="125"/>
      <c r="S228" s="125"/>
      <c r="T228" s="125"/>
      <c r="U228" s="125"/>
      <c r="V228" s="125"/>
    </row>
    <row r="229" spans="3:22">
      <c r="C229" s="125"/>
      <c r="D229" s="125"/>
      <c r="E229" s="125"/>
      <c r="F229" s="125"/>
      <c r="G229" s="125"/>
      <c r="H229" s="125"/>
      <c r="I229" s="125"/>
      <c r="J229" s="125"/>
      <c r="K229" s="125"/>
      <c r="L229" s="125"/>
      <c r="M229" s="125"/>
      <c r="N229" s="125"/>
      <c r="O229" s="125"/>
      <c r="P229" s="125"/>
      <c r="Q229" s="126"/>
      <c r="R229" s="125"/>
      <c r="S229" s="125"/>
      <c r="T229" s="125"/>
      <c r="U229" s="125"/>
      <c r="V229" s="125"/>
    </row>
    <row r="230" spans="3:22">
      <c r="C230" s="125"/>
      <c r="D230" s="125"/>
      <c r="E230" s="125"/>
      <c r="F230" s="125"/>
      <c r="G230" s="125"/>
      <c r="H230" s="125"/>
      <c r="I230" s="125"/>
      <c r="J230" s="125"/>
      <c r="K230" s="125"/>
      <c r="L230" s="125"/>
      <c r="M230" s="125"/>
      <c r="N230" s="125"/>
      <c r="O230" s="125"/>
      <c r="P230" s="125"/>
      <c r="Q230" s="126"/>
      <c r="R230" s="125"/>
      <c r="S230" s="125"/>
      <c r="T230" s="125"/>
      <c r="U230" s="125"/>
      <c r="V230" s="125"/>
    </row>
    <row r="231" spans="3:22">
      <c r="C231" s="125"/>
      <c r="D231" s="125"/>
      <c r="E231" s="125"/>
      <c r="F231" s="125"/>
      <c r="G231" s="125"/>
      <c r="H231" s="125"/>
      <c r="I231" s="125"/>
      <c r="J231" s="125"/>
      <c r="K231" s="125"/>
      <c r="L231" s="125"/>
      <c r="M231" s="125"/>
      <c r="N231" s="125"/>
      <c r="O231" s="125"/>
      <c r="P231" s="125"/>
      <c r="Q231" s="126"/>
      <c r="R231" s="125"/>
      <c r="S231" s="125"/>
      <c r="T231" s="125"/>
      <c r="U231" s="125"/>
      <c r="V231" s="125"/>
    </row>
    <row r="232" spans="3:22">
      <c r="C232" s="125"/>
      <c r="D232" s="125"/>
      <c r="E232" s="125"/>
      <c r="F232" s="125"/>
      <c r="G232" s="125"/>
      <c r="H232" s="125"/>
      <c r="I232" s="125"/>
      <c r="J232" s="125"/>
      <c r="K232" s="125"/>
      <c r="L232" s="125"/>
      <c r="M232" s="125"/>
      <c r="N232" s="125"/>
      <c r="O232" s="125"/>
      <c r="P232" s="125"/>
      <c r="Q232" s="126"/>
      <c r="R232" s="125"/>
      <c r="S232" s="125"/>
      <c r="T232" s="125"/>
      <c r="U232" s="125"/>
      <c r="V232" s="125"/>
    </row>
    <row r="233" spans="3:22">
      <c r="C233" s="125"/>
      <c r="D233" s="125"/>
      <c r="E233" s="125"/>
      <c r="F233" s="125"/>
      <c r="G233" s="125"/>
      <c r="H233" s="125"/>
      <c r="I233" s="125"/>
      <c r="J233" s="125"/>
      <c r="K233" s="125"/>
      <c r="L233" s="125"/>
      <c r="M233" s="125"/>
      <c r="N233" s="125"/>
      <c r="O233" s="125"/>
      <c r="P233" s="125"/>
      <c r="Q233" s="126"/>
      <c r="R233" s="125"/>
      <c r="S233" s="125"/>
      <c r="T233" s="125"/>
      <c r="U233" s="125"/>
      <c r="V233" s="125"/>
    </row>
    <row r="234" spans="3:22">
      <c r="C234" s="125"/>
      <c r="D234" s="125"/>
      <c r="E234" s="125"/>
      <c r="F234" s="125"/>
      <c r="G234" s="125"/>
      <c r="H234" s="125"/>
      <c r="I234" s="125"/>
      <c r="J234" s="125"/>
      <c r="K234" s="125"/>
      <c r="L234" s="125"/>
      <c r="M234" s="125"/>
      <c r="N234" s="125"/>
      <c r="O234" s="125"/>
      <c r="P234" s="125"/>
      <c r="Q234" s="126"/>
      <c r="R234" s="125"/>
      <c r="S234" s="125"/>
      <c r="T234" s="125"/>
      <c r="U234" s="125"/>
      <c r="V234" s="125"/>
    </row>
    <row r="235" spans="3:22">
      <c r="C235" s="125"/>
      <c r="D235" s="125"/>
      <c r="E235" s="125"/>
      <c r="F235" s="125"/>
      <c r="G235" s="125"/>
      <c r="H235" s="125"/>
      <c r="I235" s="125"/>
      <c r="J235" s="125"/>
      <c r="K235" s="125"/>
      <c r="L235" s="125"/>
      <c r="M235" s="125"/>
      <c r="N235" s="125"/>
      <c r="O235" s="125"/>
      <c r="P235" s="125"/>
      <c r="Q235" s="126"/>
      <c r="R235" s="125"/>
      <c r="S235" s="125"/>
      <c r="T235" s="125"/>
      <c r="U235" s="125"/>
      <c r="V235" s="125"/>
    </row>
    <row r="236" spans="3:22">
      <c r="C236" s="125"/>
      <c r="D236" s="125"/>
      <c r="E236" s="125"/>
      <c r="F236" s="125"/>
      <c r="G236" s="125"/>
      <c r="H236" s="125"/>
      <c r="I236" s="125"/>
      <c r="J236" s="125"/>
      <c r="K236" s="125"/>
      <c r="L236" s="125"/>
      <c r="M236" s="125"/>
      <c r="N236" s="125"/>
      <c r="O236" s="125"/>
      <c r="P236" s="125"/>
      <c r="Q236" s="126"/>
      <c r="R236" s="125"/>
      <c r="S236" s="125"/>
      <c r="T236" s="125"/>
      <c r="U236" s="125"/>
      <c r="V236" s="125"/>
    </row>
    <row r="237" spans="3:22">
      <c r="C237" s="125"/>
      <c r="D237" s="125"/>
      <c r="E237" s="125"/>
      <c r="F237" s="125"/>
      <c r="G237" s="125"/>
      <c r="H237" s="125"/>
      <c r="I237" s="125"/>
      <c r="J237" s="125"/>
      <c r="K237" s="125"/>
      <c r="L237" s="125"/>
      <c r="M237" s="125"/>
      <c r="N237" s="125"/>
      <c r="O237" s="125"/>
      <c r="P237" s="125"/>
      <c r="Q237" s="126"/>
      <c r="R237" s="125"/>
      <c r="S237" s="125"/>
      <c r="T237" s="125"/>
      <c r="U237" s="125"/>
      <c r="V237" s="125"/>
    </row>
    <row r="238" spans="3:22">
      <c r="C238" s="125"/>
      <c r="D238" s="125"/>
      <c r="E238" s="125"/>
      <c r="F238" s="125"/>
      <c r="G238" s="125"/>
      <c r="H238" s="125"/>
      <c r="I238" s="125"/>
      <c r="J238" s="125"/>
      <c r="K238" s="125"/>
      <c r="L238" s="125"/>
      <c r="M238" s="125"/>
      <c r="N238" s="125"/>
      <c r="O238" s="125"/>
      <c r="P238" s="125"/>
      <c r="Q238" s="126"/>
      <c r="R238" s="125"/>
      <c r="S238" s="125"/>
      <c r="T238" s="125"/>
      <c r="U238" s="125"/>
      <c r="V238" s="125"/>
    </row>
    <row r="239" spans="3:22">
      <c r="C239" s="125"/>
      <c r="D239" s="125"/>
      <c r="E239" s="125"/>
      <c r="F239" s="125"/>
      <c r="G239" s="125"/>
      <c r="H239" s="125"/>
      <c r="I239" s="125"/>
      <c r="J239" s="125"/>
      <c r="K239" s="125"/>
      <c r="L239" s="125"/>
      <c r="M239" s="125"/>
      <c r="N239" s="125"/>
      <c r="O239" s="125"/>
      <c r="P239" s="125"/>
      <c r="Q239" s="126"/>
      <c r="R239" s="125"/>
      <c r="S239" s="125"/>
      <c r="T239" s="125"/>
      <c r="U239" s="125"/>
      <c r="V239" s="125"/>
    </row>
    <row r="240" spans="3:22">
      <c r="C240" s="125"/>
      <c r="D240" s="125"/>
      <c r="E240" s="125"/>
      <c r="F240" s="125"/>
      <c r="G240" s="125"/>
      <c r="H240" s="125"/>
      <c r="I240" s="125"/>
      <c r="J240" s="125"/>
      <c r="K240" s="125"/>
      <c r="L240" s="125"/>
      <c r="M240" s="125"/>
      <c r="N240" s="125"/>
      <c r="O240" s="125"/>
      <c r="P240" s="125"/>
      <c r="Q240" s="126"/>
      <c r="R240" s="125"/>
      <c r="S240" s="125"/>
      <c r="T240" s="125"/>
      <c r="U240" s="125"/>
      <c r="V240" s="125"/>
    </row>
    <row r="241" spans="3:22">
      <c r="C241" s="125"/>
      <c r="D241" s="125"/>
      <c r="E241" s="125"/>
      <c r="F241" s="125"/>
      <c r="G241" s="125"/>
      <c r="H241" s="125"/>
      <c r="I241" s="125"/>
      <c r="J241" s="125"/>
      <c r="K241" s="125"/>
      <c r="L241" s="125"/>
      <c r="M241" s="125"/>
      <c r="N241" s="125"/>
      <c r="O241" s="125"/>
      <c r="P241" s="125"/>
      <c r="Q241" s="126"/>
      <c r="R241" s="125"/>
      <c r="S241" s="125"/>
      <c r="T241" s="125"/>
      <c r="U241" s="125"/>
      <c r="V241" s="125"/>
    </row>
    <row r="242" spans="3:22">
      <c r="C242" s="125"/>
      <c r="D242" s="125"/>
      <c r="E242" s="125"/>
      <c r="F242" s="125"/>
      <c r="G242" s="125"/>
      <c r="H242" s="125"/>
      <c r="I242" s="125"/>
      <c r="J242" s="125"/>
      <c r="K242" s="125"/>
      <c r="L242" s="125"/>
      <c r="M242" s="125"/>
      <c r="N242" s="125"/>
      <c r="O242" s="125"/>
      <c r="P242" s="125"/>
      <c r="Q242" s="126"/>
      <c r="R242" s="125"/>
      <c r="S242" s="125"/>
      <c r="T242" s="125"/>
      <c r="U242" s="125"/>
      <c r="V242" s="125"/>
    </row>
    <row r="243" spans="3:22">
      <c r="C243" s="125"/>
      <c r="D243" s="125"/>
      <c r="E243" s="125"/>
      <c r="F243" s="125"/>
      <c r="G243" s="125"/>
      <c r="H243" s="125"/>
      <c r="I243" s="125"/>
      <c r="J243" s="125"/>
      <c r="K243" s="125"/>
      <c r="L243" s="125"/>
      <c r="M243" s="125"/>
      <c r="N243" s="125"/>
      <c r="O243" s="125"/>
      <c r="P243" s="125"/>
      <c r="Q243" s="126"/>
      <c r="R243" s="125"/>
      <c r="S243" s="125"/>
      <c r="T243" s="125"/>
      <c r="U243" s="125"/>
      <c r="V243" s="125"/>
    </row>
    <row r="244" spans="3:22">
      <c r="C244" s="125"/>
      <c r="D244" s="125"/>
      <c r="E244" s="125"/>
      <c r="F244" s="125"/>
      <c r="G244" s="125"/>
      <c r="H244" s="125"/>
      <c r="I244" s="125"/>
      <c r="J244" s="125"/>
      <c r="K244" s="125"/>
      <c r="L244" s="125"/>
      <c r="M244" s="125"/>
      <c r="N244" s="125"/>
      <c r="O244" s="125"/>
      <c r="P244" s="125"/>
      <c r="Q244" s="126"/>
      <c r="R244" s="125"/>
      <c r="S244" s="125"/>
      <c r="T244" s="125"/>
      <c r="U244" s="125"/>
      <c r="V244" s="125"/>
    </row>
    <row r="245" spans="3:22">
      <c r="C245" s="125"/>
      <c r="D245" s="125"/>
      <c r="E245" s="125"/>
      <c r="F245" s="125"/>
      <c r="G245" s="125"/>
      <c r="H245" s="125"/>
      <c r="I245" s="125"/>
      <c r="J245" s="125"/>
      <c r="K245" s="125"/>
      <c r="L245" s="125"/>
      <c r="M245" s="125"/>
      <c r="N245" s="125"/>
      <c r="O245" s="125"/>
      <c r="P245" s="125"/>
      <c r="Q245" s="126"/>
      <c r="R245" s="125"/>
      <c r="S245" s="125"/>
      <c r="T245" s="125"/>
      <c r="U245" s="125"/>
      <c r="V245" s="125"/>
    </row>
    <row r="246" spans="3:22">
      <c r="C246" s="125"/>
      <c r="D246" s="125"/>
      <c r="E246" s="125"/>
      <c r="F246" s="125"/>
      <c r="G246" s="125"/>
      <c r="H246" s="125"/>
      <c r="I246" s="125"/>
      <c r="J246" s="125"/>
      <c r="K246" s="125"/>
      <c r="L246" s="125"/>
      <c r="M246" s="125"/>
      <c r="N246" s="125"/>
      <c r="O246" s="125"/>
      <c r="P246" s="125"/>
      <c r="Q246" s="126"/>
      <c r="R246" s="125"/>
      <c r="S246" s="125"/>
      <c r="T246" s="125"/>
      <c r="U246" s="125"/>
      <c r="V246" s="125"/>
    </row>
    <row r="247" spans="3:22">
      <c r="C247" s="125"/>
      <c r="D247" s="125"/>
      <c r="E247" s="125"/>
      <c r="F247" s="125"/>
      <c r="G247" s="125"/>
      <c r="H247" s="125"/>
      <c r="I247" s="125"/>
      <c r="J247" s="125"/>
      <c r="K247" s="125"/>
      <c r="L247" s="125"/>
      <c r="M247" s="125"/>
      <c r="N247" s="125"/>
      <c r="O247" s="125"/>
      <c r="P247" s="125"/>
      <c r="Q247" s="126"/>
      <c r="R247" s="125"/>
      <c r="S247" s="125"/>
      <c r="T247" s="125"/>
      <c r="U247" s="125"/>
      <c r="V247" s="125"/>
    </row>
    <row r="248" spans="3:22">
      <c r="C248" s="125"/>
      <c r="D248" s="125"/>
      <c r="E248" s="125"/>
      <c r="F248" s="125"/>
      <c r="G248" s="125"/>
      <c r="H248" s="125"/>
      <c r="I248" s="125"/>
      <c r="J248" s="125"/>
      <c r="K248" s="125"/>
      <c r="L248" s="125"/>
      <c r="M248" s="125"/>
      <c r="N248" s="125"/>
      <c r="O248" s="125"/>
      <c r="P248" s="125"/>
      <c r="Q248" s="126"/>
      <c r="R248" s="125"/>
      <c r="S248" s="125"/>
      <c r="T248" s="125"/>
      <c r="U248" s="125"/>
      <c r="V248" s="125"/>
    </row>
    <row r="249" spans="3:22">
      <c r="C249" s="125"/>
      <c r="D249" s="125"/>
      <c r="E249" s="125"/>
      <c r="F249" s="125"/>
      <c r="G249" s="125"/>
      <c r="H249" s="125"/>
      <c r="I249" s="125"/>
      <c r="J249" s="125"/>
      <c r="K249" s="125"/>
      <c r="L249" s="125"/>
      <c r="M249" s="125"/>
      <c r="N249" s="125"/>
      <c r="O249" s="125"/>
      <c r="P249" s="125"/>
      <c r="Q249" s="126"/>
      <c r="R249" s="125"/>
      <c r="S249" s="125"/>
      <c r="T249" s="125"/>
      <c r="U249" s="125"/>
      <c r="V249" s="125"/>
    </row>
    <row r="250" spans="3:22">
      <c r="C250" s="125"/>
      <c r="D250" s="125"/>
      <c r="E250" s="125"/>
      <c r="F250" s="125"/>
      <c r="G250" s="125"/>
      <c r="H250" s="125"/>
      <c r="I250" s="125"/>
      <c r="J250" s="125"/>
      <c r="K250" s="125"/>
      <c r="L250" s="125"/>
      <c r="M250" s="125"/>
      <c r="N250" s="125"/>
      <c r="O250" s="125"/>
      <c r="P250" s="125"/>
      <c r="Q250" s="126"/>
      <c r="R250" s="125"/>
      <c r="S250" s="125"/>
      <c r="T250" s="125"/>
      <c r="U250" s="125"/>
      <c r="V250" s="125"/>
    </row>
    <row r="251" spans="3:22">
      <c r="C251" s="125"/>
      <c r="D251" s="125"/>
      <c r="E251" s="125"/>
      <c r="F251" s="125"/>
      <c r="G251" s="125"/>
      <c r="H251" s="125"/>
      <c r="I251" s="125"/>
      <c r="J251" s="125"/>
      <c r="K251" s="125"/>
      <c r="L251" s="125"/>
      <c r="M251" s="125"/>
      <c r="N251" s="125"/>
      <c r="O251" s="125"/>
      <c r="P251" s="125"/>
      <c r="Q251" s="126"/>
      <c r="R251" s="125"/>
      <c r="S251" s="125"/>
      <c r="T251" s="125"/>
      <c r="U251" s="125"/>
      <c r="V251" s="125"/>
    </row>
    <row r="252" spans="3:22">
      <c r="C252" s="125"/>
      <c r="D252" s="125"/>
      <c r="E252" s="125"/>
      <c r="F252" s="125"/>
      <c r="G252" s="125"/>
      <c r="H252" s="125"/>
      <c r="I252" s="125"/>
      <c r="J252" s="125"/>
      <c r="K252" s="125"/>
      <c r="L252" s="125"/>
      <c r="M252" s="125"/>
      <c r="N252" s="125"/>
      <c r="O252" s="125"/>
      <c r="P252" s="125"/>
      <c r="Q252" s="126"/>
      <c r="R252" s="125"/>
      <c r="S252" s="125"/>
      <c r="T252" s="125"/>
      <c r="U252" s="125"/>
      <c r="V252" s="125"/>
    </row>
    <row r="253" spans="3:22">
      <c r="C253" s="125"/>
      <c r="D253" s="125"/>
      <c r="E253" s="125"/>
      <c r="F253" s="125"/>
      <c r="G253" s="125"/>
      <c r="H253" s="125"/>
      <c r="I253" s="125"/>
      <c r="J253" s="125"/>
      <c r="K253" s="125"/>
      <c r="L253" s="125"/>
      <c r="M253" s="125"/>
      <c r="N253" s="125"/>
      <c r="O253" s="125"/>
      <c r="P253" s="125"/>
      <c r="Q253" s="126"/>
      <c r="R253" s="125"/>
      <c r="S253" s="125"/>
      <c r="T253" s="125"/>
      <c r="U253" s="125"/>
      <c r="V253" s="125"/>
    </row>
    <row r="254" spans="3:22">
      <c r="C254" s="125"/>
      <c r="D254" s="125"/>
      <c r="E254" s="125"/>
      <c r="F254" s="125"/>
      <c r="G254" s="125"/>
      <c r="H254" s="125"/>
      <c r="I254" s="125"/>
      <c r="J254" s="125"/>
      <c r="K254" s="125"/>
      <c r="L254" s="125"/>
      <c r="M254" s="125"/>
      <c r="N254" s="125"/>
      <c r="O254" s="125"/>
      <c r="P254" s="125"/>
      <c r="Q254" s="126"/>
      <c r="R254" s="125"/>
      <c r="S254" s="125"/>
      <c r="T254" s="125"/>
      <c r="U254" s="125"/>
      <c r="V254" s="125"/>
    </row>
    <row r="255" spans="3:22">
      <c r="C255" s="125"/>
      <c r="D255" s="125"/>
      <c r="E255" s="125"/>
      <c r="F255" s="125"/>
      <c r="G255" s="125"/>
      <c r="H255" s="125"/>
      <c r="I255" s="125"/>
      <c r="J255" s="125"/>
      <c r="K255" s="125"/>
      <c r="L255" s="125"/>
      <c r="M255" s="125"/>
      <c r="N255" s="125"/>
      <c r="O255" s="125"/>
      <c r="P255" s="125"/>
      <c r="Q255" s="126"/>
      <c r="R255" s="125"/>
      <c r="S255" s="125"/>
      <c r="T255" s="125"/>
      <c r="U255" s="125"/>
      <c r="V255" s="125"/>
    </row>
    <row r="256" spans="3:22">
      <c r="C256" s="125"/>
      <c r="D256" s="125"/>
      <c r="E256" s="125"/>
      <c r="F256" s="125"/>
      <c r="G256" s="125"/>
      <c r="H256" s="125"/>
      <c r="I256" s="125"/>
      <c r="J256" s="125"/>
      <c r="K256" s="125"/>
      <c r="L256" s="125"/>
      <c r="M256" s="125"/>
      <c r="N256" s="125"/>
      <c r="O256" s="125"/>
      <c r="P256" s="125"/>
      <c r="Q256" s="126"/>
      <c r="R256" s="125"/>
      <c r="S256" s="125"/>
      <c r="T256" s="125"/>
      <c r="U256" s="125"/>
      <c r="V256" s="125"/>
    </row>
    <row r="257" spans="3:22">
      <c r="C257" s="125"/>
      <c r="D257" s="125"/>
      <c r="E257" s="125"/>
      <c r="F257" s="125"/>
      <c r="G257" s="125"/>
      <c r="H257" s="125"/>
      <c r="I257" s="125"/>
      <c r="J257" s="125"/>
      <c r="K257" s="125"/>
      <c r="L257" s="125"/>
      <c r="M257" s="125"/>
      <c r="N257" s="125"/>
      <c r="O257" s="125"/>
      <c r="P257" s="125"/>
      <c r="Q257" s="126"/>
      <c r="R257" s="125"/>
      <c r="S257" s="125"/>
      <c r="T257" s="125"/>
      <c r="U257" s="125"/>
      <c r="V257" s="125"/>
    </row>
    <row r="258" spans="3:22">
      <c r="C258" s="125"/>
      <c r="D258" s="125"/>
      <c r="E258" s="125"/>
      <c r="F258" s="125"/>
      <c r="G258" s="125"/>
      <c r="H258" s="125"/>
      <c r="I258" s="125"/>
      <c r="J258" s="125"/>
      <c r="K258" s="125"/>
      <c r="L258" s="125"/>
      <c r="M258" s="125"/>
      <c r="N258" s="125"/>
      <c r="O258" s="125"/>
      <c r="P258" s="125"/>
      <c r="Q258" s="126"/>
      <c r="R258" s="125"/>
      <c r="S258" s="125"/>
      <c r="T258" s="125"/>
      <c r="U258" s="125"/>
      <c r="V258" s="125"/>
    </row>
    <row r="259" spans="3:22">
      <c r="C259" s="125"/>
      <c r="D259" s="125"/>
      <c r="E259" s="125"/>
      <c r="F259" s="125"/>
      <c r="G259" s="125"/>
      <c r="H259" s="125"/>
      <c r="I259" s="125"/>
      <c r="J259" s="125"/>
      <c r="K259" s="125"/>
      <c r="L259" s="125"/>
      <c r="M259" s="125"/>
      <c r="N259" s="125"/>
      <c r="O259" s="125"/>
      <c r="P259" s="125"/>
      <c r="Q259" s="126"/>
      <c r="R259" s="125"/>
      <c r="S259" s="125"/>
      <c r="T259" s="125"/>
      <c r="U259" s="125"/>
      <c r="V259" s="125"/>
    </row>
    <row r="260" spans="3:22">
      <c r="C260" s="125"/>
      <c r="D260" s="125"/>
      <c r="E260" s="125"/>
      <c r="F260" s="125"/>
      <c r="G260" s="125"/>
      <c r="H260" s="125"/>
      <c r="I260" s="125"/>
      <c r="J260" s="125"/>
      <c r="K260" s="125"/>
      <c r="L260" s="125"/>
      <c r="M260" s="125"/>
      <c r="N260" s="125"/>
      <c r="O260" s="125"/>
      <c r="P260" s="125"/>
      <c r="Q260" s="126"/>
      <c r="R260" s="125"/>
      <c r="S260" s="125"/>
      <c r="T260" s="125"/>
      <c r="U260" s="125"/>
      <c r="V260" s="125"/>
    </row>
    <row r="261" spans="3:22">
      <c r="C261" s="125"/>
      <c r="D261" s="125"/>
      <c r="E261" s="125"/>
      <c r="F261" s="125"/>
      <c r="G261" s="125"/>
      <c r="H261" s="125"/>
      <c r="I261" s="125"/>
      <c r="J261" s="125"/>
      <c r="K261" s="125"/>
      <c r="L261" s="125"/>
      <c r="M261" s="125"/>
      <c r="N261" s="125"/>
      <c r="O261" s="125"/>
      <c r="P261" s="125"/>
      <c r="Q261" s="126"/>
      <c r="R261" s="125"/>
      <c r="S261" s="125"/>
      <c r="T261" s="125"/>
      <c r="U261" s="125"/>
      <c r="V261" s="125"/>
    </row>
    <row r="262" spans="3:22">
      <c r="C262" s="125"/>
      <c r="D262" s="125"/>
      <c r="E262" s="125"/>
      <c r="F262" s="125"/>
      <c r="G262" s="125"/>
      <c r="H262" s="125"/>
      <c r="I262" s="125"/>
      <c r="J262" s="125"/>
      <c r="K262" s="125"/>
      <c r="L262" s="125"/>
      <c r="M262" s="125"/>
      <c r="N262" s="125"/>
      <c r="O262" s="125"/>
      <c r="P262" s="125"/>
      <c r="Q262" s="126"/>
      <c r="R262" s="125"/>
      <c r="S262" s="125"/>
      <c r="T262" s="125"/>
      <c r="U262" s="125"/>
      <c r="V262" s="125"/>
    </row>
    <row r="263" spans="3:22">
      <c r="C263" s="125"/>
      <c r="D263" s="125"/>
      <c r="E263" s="125"/>
      <c r="F263" s="125"/>
      <c r="G263" s="125"/>
      <c r="H263" s="125"/>
      <c r="I263" s="125"/>
      <c r="J263" s="125"/>
      <c r="K263" s="125"/>
      <c r="L263" s="125"/>
      <c r="M263" s="125"/>
      <c r="N263" s="125"/>
      <c r="O263" s="125"/>
      <c r="P263" s="125"/>
      <c r="Q263" s="126"/>
      <c r="R263" s="125"/>
      <c r="S263" s="125"/>
      <c r="T263" s="125"/>
      <c r="U263" s="125"/>
      <c r="V263" s="125"/>
    </row>
    <row r="264" spans="3:22">
      <c r="C264" s="125"/>
      <c r="D264" s="125"/>
      <c r="E264" s="125"/>
      <c r="F264" s="125"/>
      <c r="G264" s="125"/>
      <c r="H264" s="125"/>
      <c r="I264" s="125"/>
      <c r="J264" s="125"/>
      <c r="K264" s="125"/>
      <c r="L264" s="125"/>
      <c r="M264" s="125"/>
      <c r="N264" s="125"/>
      <c r="O264" s="125"/>
      <c r="P264" s="125"/>
      <c r="Q264" s="126"/>
      <c r="R264" s="125"/>
      <c r="S264" s="125"/>
      <c r="T264" s="125"/>
      <c r="U264" s="125"/>
      <c r="V264" s="125"/>
    </row>
    <row r="265" spans="3:22">
      <c r="C265" s="125"/>
      <c r="D265" s="125"/>
      <c r="E265" s="125"/>
      <c r="F265" s="125"/>
      <c r="G265" s="125"/>
      <c r="H265" s="125"/>
      <c r="I265" s="125"/>
      <c r="J265" s="125"/>
      <c r="K265" s="125"/>
      <c r="L265" s="125"/>
      <c r="M265" s="125"/>
      <c r="N265" s="125"/>
      <c r="O265" s="125"/>
      <c r="P265" s="125"/>
      <c r="Q265" s="126"/>
      <c r="R265" s="125"/>
      <c r="S265" s="125"/>
      <c r="T265" s="125"/>
      <c r="U265" s="125"/>
      <c r="V265" s="125"/>
    </row>
    <row r="266" spans="3:22">
      <c r="C266" s="125"/>
      <c r="D266" s="125"/>
      <c r="E266" s="125"/>
      <c r="F266" s="125"/>
      <c r="G266" s="125"/>
      <c r="H266" s="125"/>
      <c r="I266" s="125"/>
      <c r="J266" s="125"/>
      <c r="K266" s="125"/>
      <c r="L266" s="125"/>
      <c r="M266" s="125"/>
      <c r="N266" s="125"/>
      <c r="O266" s="125"/>
      <c r="P266" s="125"/>
      <c r="Q266" s="126"/>
      <c r="R266" s="125"/>
      <c r="S266" s="125"/>
      <c r="T266" s="125"/>
      <c r="U266" s="125"/>
      <c r="V266" s="125"/>
    </row>
    <row r="267" spans="3:22">
      <c r="C267" s="125"/>
      <c r="D267" s="125"/>
      <c r="E267" s="125"/>
      <c r="F267" s="125"/>
      <c r="G267" s="125"/>
      <c r="H267" s="125"/>
      <c r="I267" s="125"/>
      <c r="J267" s="125"/>
      <c r="K267" s="125"/>
      <c r="L267" s="125"/>
      <c r="M267" s="125"/>
      <c r="N267" s="125"/>
      <c r="O267" s="125"/>
      <c r="P267" s="125"/>
      <c r="Q267" s="126"/>
      <c r="R267" s="125"/>
      <c r="S267" s="125"/>
      <c r="T267" s="125"/>
      <c r="U267" s="125"/>
      <c r="V267" s="125"/>
    </row>
    <row r="268" spans="3:22">
      <c r="C268" s="125"/>
      <c r="D268" s="125"/>
      <c r="E268" s="125"/>
      <c r="F268" s="125"/>
      <c r="G268" s="125"/>
      <c r="H268" s="125"/>
      <c r="I268" s="125"/>
      <c r="J268" s="125"/>
      <c r="K268" s="125"/>
      <c r="L268" s="125"/>
      <c r="M268" s="125"/>
      <c r="N268" s="125"/>
      <c r="O268" s="125"/>
      <c r="P268" s="125"/>
      <c r="Q268" s="126"/>
      <c r="R268" s="125"/>
      <c r="S268" s="125"/>
      <c r="T268" s="125"/>
      <c r="U268" s="125"/>
      <c r="V268" s="125"/>
    </row>
    <row r="269" spans="3:22">
      <c r="C269" s="125"/>
      <c r="D269" s="125"/>
      <c r="E269" s="125"/>
      <c r="F269" s="125"/>
      <c r="G269" s="125"/>
      <c r="H269" s="125"/>
      <c r="I269" s="125"/>
      <c r="J269" s="125"/>
      <c r="K269" s="125"/>
      <c r="L269" s="125"/>
      <c r="M269" s="125"/>
      <c r="N269" s="125"/>
      <c r="O269" s="125"/>
      <c r="P269" s="125"/>
      <c r="Q269" s="126"/>
      <c r="R269" s="125"/>
      <c r="S269" s="125"/>
      <c r="T269" s="125"/>
      <c r="U269" s="125"/>
      <c r="V269" s="125"/>
    </row>
    <row r="270" spans="3:22">
      <c r="C270" s="125"/>
      <c r="D270" s="125"/>
      <c r="E270" s="125"/>
      <c r="F270" s="125"/>
      <c r="G270" s="125"/>
      <c r="H270" s="125"/>
      <c r="I270" s="125"/>
      <c r="J270" s="125"/>
      <c r="K270" s="125"/>
      <c r="L270" s="125"/>
      <c r="M270" s="125"/>
      <c r="N270" s="125"/>
      <c r="O270" s="125"/>
      <c r="P270" s="125"/>
      <c r="Q270" s="126"/>
      <c r="R270" s="125"/>
      <c r="S270" s="125"/>
      <c r="T270" s="125"/>
      <c r="U270" s="125"/>
      <c r="V270" s="125"/>
    </row>
    <row r="271" spans="3:22">
      <c r="C271" s="125"/>
      <c r="D271" s="125"/>
      <c r="E271" s="125"/>
      <c r="F271" s="125"/>
      <c r="G271" s="125"/>
      <c r="H271" s="125"/>
      <c r="I271" s="125"/>
      <c r="J271" s="125"/>
      <c r="K271" s="125"/>
      <c r="L271" s="125"/>
      <c r="M271" s="125"/>
      <c r="N271" s="125"/>
      <c r="O271" s="125"/>
      <c r="P271" s="125"/>
      <c r="Q271" s="126"/>
      <c r="R271" s="125"/>
      <c r="S271" s="125"/>
      <c r="T271" s="125"/>
      <c r="U271" s="125"/>
      <c r="V271" s="125"/>
    </row>
    <row r="272" spans="3:22">
      <c r="C272" s="125"/>
      <c r="D272" s="125"/>
      <c r="E272" s="125"/>
      <c r="F272" s="125"/>
      <c r="G272" s="125"/>
      <c r="H272" s="125"/>
      <c r="I272" s="125"/>
      <c r="J272" s="125"/>
      <c r="K272" s="125"/>
      <c r="L272" s="125"/>
      <c r="M272" s="125"/>
      <c r="N272" s="125"/>
      <c r="O272" s="125"/>
      <c r="P272" s="125"/>
      <c r="Q272" s="126"/>
      <c r="R272" s="125"/>
      <c r="S272" s="125"/>
      <c r="T272" s="125"/>
      <c r="U272" s="125"/>
      <c r="V272" s="125"/>
    </row>
    <row r="273" spans="3:22">
      <c r="C273" s="125"/>
      <c r="D273" s="125"/>
      <c r="E273" s="125"/>
      <c r="F273" s="125"/>
      <c r="G273" s="125"/>
      <c r="H273" s="125"/>
      <c r="I273" s="125"/>
      <c r="J273" s="125"/>
      <c r="K273" s="125"/>
      <c r="L273" s="125"/>
      <c r="M273" s="125"/>
      <c r="N273" s="125"/>
      <c r="O273" s="125"/>
      <c r="P273" s="125"/>
      <c r="Q273" s="126"/>
      <c r="R273" s="125"/>
      <c r="S273" s="125"/>
      <c r="T273" s="125"/>
      <c r="U273" s="125"/>
      <c r="V273" s="125"/>
    </row>
    <row r="274" spans="3:22">
      <c r="C274" s="125"/>
      <c r="D274" s="125"/>
      <c r="E274" s="125"/>
      <c r="F274" s="125"/>
      <c r="G274" s="125"/>
      <c r="H274" s="125"/>
      <c r="I274" s="125"/>
      <c r="J274" s="125"/>
      <c r="K274" s="125"/>
      <c r="L274" s="125"/>
      <c r="M274" s="125"/>
      <c r="N274" s="125"/>
      <c r="O274" s="125"/>
      <c r="P274" s="125"/>
      <c r="Q274" s="126"/>
      <c r="R274" s="125"/>
      <c r="S274" s="125"/>
      <c r="T274" s="125"/>
      <c r="U274" s="125"/>
      <c r="V274" s="125"/>
    </row>
    <row r="275" spans="3:22">
      <c r="C275" s="125"/>
      <c r="D275" s="125"/>
      <c r="E275" s="125"/>
      <c r="F275" s="125"/>
      <c r="G275" s="125"/>
      <c r="H275" s="125"/>
      <c r="I275" s="125"/>
      <c r="J275" s="125"/>
      <c r="K275" s="125"/>
      <c r="L275" s="125"/>
      <c r="M275" s="125"/>
      <c r="N275" s="125"/>
      <c r="O275" s="125"/>
      <c r="P275" s="125"/>
      <c r="Q275" s="126"/>
      <c r="R275" s="125"/>
      <c r="S275" s="125"/>
      <c r="T275" s="125"/>
      <c r="U275" s="125"/>
      <c r="V275" s="125"/>
    </row>
    <row r="276" spans="3:22">
      <c r="C276" s="125"/>
      <c r="D276" s="125"/>
      <c r="E276" s="125"/>
      <c r="F276" s="125"/>
      <c r="G276" s="125"/>
      <c r="H276" s="125"/>
      <c r="I276" s="125"/>
      <c r="J276" s="125"/>
      <c r="K276" s="125"/>
      <c r="L276" s="125"/>
      <c r="M276" s="125"/>
      <c r="N276" s="125"/>
      <c r="O276" s="125"/>
      <c r="P276" s="125"/>
      <c r="Q276" s="126"/>
      <c r="R276" s="125"/>
      <c r="S276" s="125"/>
      <c r="T276" s="125"/>
      <c r="U276" s="125"/>
      <c r="V276" s="125"/>
    </row>
    <row r="277" spans="3:22">
      <c r="C277" s="125"/>
      <c r="D277" s="125"/>
      <c r="E277" s="125"/>
      <c r="F277" s="125"/>
      <c r="G277" s="125"/>
      <c r="H277" s="125"/>
      <c r="I277" s="125"/>
      <c r="J277" s="125"/>
      <c r="K277" s="125"/>
      <c r="L277" s="125"/>
      <c r="M277" s="125"/>
      <c r="N277" s="125"/>
      <c r="O277" s="125"/>
      <c r="P277" s="125"/>
      <c r="Q277" s="126"/>
      <c r="R277" s="125"/>
      <c r="S277" s="125"/>
      <c r="T277" s="125"/>
      <c r="U277" s="125"/>
      <c r="V277" s="125"/>
    </row>
    <row r="278" spans="3:22">
      <c r="C278" s="125"/>
      <c r="D278" s="125"/>
      <c r="E278" s="125"/>
      <c r="F278" s="125"/>
      <c r="G278" s="125"/>
      <c r="H278" s="125"/>
      <c r="I278" s="125"/>
      <c r="J278" s="125"/>
      <c r="K278" s="125"/>
      <c r="L278" s="125"/>
      <c r="M278" s="125"/>
      <c r="N278" s="125"/>
      <c r="O278" s="125"/>
      <c r="P278" s="125"/>
      <c r="Q278" s="126"/>
      <c r="R278" s="125"/>
      <c r="S278" s="125"/>
      <c r="T278" s="125"/>
      <c r="U278" s="125"/>
      <c r="V278" s="125"/>
    </row>
    <row r="279" spans="3:22">
      <c r="C279" s="125"/>
      <c r="D279" s="125"/>
      <c r="E279" s="125"/>
      <c r="F279" s="125"/>
      <c r="G279" s="125"/>
      <c r="H279" s="125"/>
      <c r="I279" s="125"/>
      <c r="J279" s="125"/>
      <c r="K279" s="125"/>
      <c r="L279" s="125"/>
      <c r="M279" s="125"/>
      <c r="N279" s="125"/>
      <c r="O279" s="125"/>
      <c r="P279" s="125"/>
      <c r="Q279" s="126"/>
      <c r="R279" s="125"/>
      <c r="S279" s="125"/>
      <c r="T279" s="125"/>
      <c r="U279" s="125"/>
      <c r="V279" s="125"/>
    </row>
    <row r="280" spans="3:22">
      <c r="C280" s="125"/>
      <c r="D280" s="125"/>
      <c r="E280" s="125"/>
      <c r="F280" s="125"/>
      <c r="G280" s="125"/>
      <c r="H280" s="125"/>
      <c r="I280" s="125"/>
      <c r="J280" s="125"/>
      <c r="K280" s="125"/>
      <c r="L280" s="125"/>
      <c r="M280" s="125"/>
      <c r="N280" s="125"/>
      <c r="O280" s="125"/>
      <c r="P280" s="125"/>
      <c r="Q280" s="126"/>
      <c r="R280" s="125"/>
      <c r="S280" s="125"/>
      <c r="T280" s="125"/>
      <c r="U280" s="125"/>
      <c r="V280" s="125"/>
    </row>
    <row r="281" spans="3:22">
      <c r="C281" s="125"/>
      <c r="D281" s="125"/>
      <c r="E281" s="125"/>
      <c r="F281" s="125"/>
      <c r="G281" s="125"/>
      <c r="H281" s="125"/>
      <c r="I281" s="125"/>
      <c r="J281" s="125"/>
      <c r="K281" s="125"/>
      <c r="L281" s="125"/>
      <c r="M281" s="125"/>
      <c r="N281" s="125"/>
      <c r="O281" s="125"/>
      <c r="P281" s="125"/>
      <c r="Q281" s="126"/>
      <c r="R281" s="125"/>
      <c r="S281" s="125"/>
      <c r="T281" s="125"/>
      <c r="U281" s="125"/>
      <c r="V281" s="125"/>
    </row>
    <row r="282" spans="3:22">
      <c r="C282" s="125"/>
      <c r="D282" s="125"/>
      <c r="E282" s="125"/>
      <c r="F282" s="125"/>
      <c r="G282" s="125"/>
      <c r="H282" s="125"/>
      <c r="I282" s="125"/>
      <c r="J282" s="125"/>
      <c r="K282" s="125"/>
      <c r="L282" s="125"/>
      <c r="M282" s="125"/>
      <c r="N282" s="125"/>
      <c r="O282" s="125"/>
      <c r="P282" s="125"/>
      <c r="Q282" s="126"/>
      <c r="R282" s="125"/>
      <c r="S282" s="125"/>
      <c r="T282" s="125"/>
      <c r="U282" s="125"/>
      <c r="V282" s="125"/>
    </row>
    <row r="283" spans="3:22">
      <c r="C283" s="125"/>
      <c r="D283" s="125"/>
      <c r="E283" s="125"/>
      <c r="F283" s="125"/>
      <c r="G283" s="125"/>
      <c r="H283" s="125"/>
      <c r="I283" s="125"/>
      <c r="J283" s="125"/>
      <c r="K283" s="125"/>
      <c r="L283" s="125"/>
      <c r="M283" s="125"/>
      <c r="N283" s="125"/>
      <c r="O283" s="125"/>
      <c r="P283" s="125"/>
      <c r="Q283" s="126"/>
      <c r="R283" s="125"/>
      <c r="S283" s="125"/>
      <c r="T283" s="125"/>
      <c r="U283" s="125"/>
      <c r="V283" s="125"/>
    </row>
    <row r="284" spans="3:22">
      <c r="C284" s="125"/>
      <c r="D284" s="125"/>
      <c r="E284" s="125"/>
      <c r="F284" s="125"/>
      <c r="G284" s="125"/>
      <c r="H284" s="125"/>
      <c r="I284" s="125"/>
      <c r="J284" s="125"/>
      <c r="K284" s="125"/>
      <c r="L284" s="125"/>
      <c r="M284" s="125"/>
      <c r="N284" s="125"/>
      <c r="O284" s="125"/>
      <c r="P284" s="125"/>
      <c r="Q284" s="126"/>
      <c r="R284" s="125"/>
      <c r="S284" s="125"/>
      <c r="T284" s="125"/>
      <c r="U284" s="125"/>
      <c r="V284" s="125"/>
    </row>
    <row r="285" spans="3:22">
      <c r="C285" s="125"/>
      <c r="D285" s="125"/>
      <c r="E285" s="125"/>
      <c r="F285" s="125"/>
      <c r="G285" s="125"/>
      <c r="H285" s="125"/>
      <c r="I285" s="125"/>
      <c r="J285" s="125"/>
      <c r="K285" s="125"/>
      <c r="L285" s="125"/>
      <c r="M285" s="125"/>
      <c r="N285" s="125"/>
      <c r="O285" s="125"/>
      <c r="P285" s="125"/>
      <c r="Q285" s="126"/>
      <c r="R285" s="125"/>
      <c r="S285" s="125"/>
      <c r="T285" s="125"/>
      <c r="U285" s="125"/>
      <c r="V285" s="125"/>
    </row>
    <row r="286" spans="3:22">
      <c r="C286" s="125"/>
      <c r="D286" s="125"/>
      <c r="E286" s="125"/>
      <c r="F286" s="125"/>
      <c r="G286" s="125"/>
      <c r="H286" s="125"/>
      <c r="I286" s="125"/>
      <c r="J286" s="125"/>
      <c r="K286" s="125"/>
      <c r="L286" s="125"/>
      <c r="M286" s="125"/>
      <c r="N286" s="125"/>
      <c r="O286" s="125"/>
      <c r="P286" s="125"/>
      <c r="Q286" s="126"/>
      <c r="R286" s="125"/>
      <c r="S286" s="125"/>
      <c r="T286" s="125"/>
      <c r="U286" s="125"/>
      <c r="V286" s="125"/>
    </row>
    <row r="287" spans="3:22">
      <c r="C287" s="125"/>
      <c r="D287" s="125"/>
      <c r="E287" s="125"/>
      <c r="F287" s="125"/>
      <c r="G287" s="125"/>
      <c r="H287" s="125"/>
      <c r="I287" s="125"/>
      <c r="J287" s="125"/>
      <c r="K287" s="125"/>
      <c r="L287" s="125"/>
      <c r="M287" s="125"/>
      <c r="N287" s="125"/>
      <c r="O287" s="125"/>
      <c r="P287" s="125"/>
      <c r="Q287" s="126"/>
      <c r="R287" s="125"/>
      <c r="S287" s="125"/>
      <c r="T287" s="125"/>
      <c r="U287" s="125"/>
      <c r="V287" s="125"/>
    </row>
    <row r="288" spans="3:22">
      <c r="C288" s="125"/>
      <c r="D288" s="125"/>
      <c r="E288" s="125"/>
      <c r="F288" s="125"/>
      <c r="G288" s="125"/>
      <c r="H288" s="125"/>
      <c r="I288" s="125"/>
      <c r="J288" s="125"/>
      <c r="K288" s="125"/>
      <c r="L288" s="125"/>
      <c r="M288" s="125"/>
      <c r="N288" s="125"/>
      <c r="O288" s="125"/>
      <c r="P288" s="125"/>
      <c r="Q288" s="126"/>
      <c r="R288" s="125"/>
      <c r="S288" s="125"/>
      <c r="T288" s="125"/>
      <c r="U288" s="125"/>
      <c r="V288" s="125"/>
    </row>
    <row r="289" spans="3:22">
      <c r="C289" s="125"/>
      <c r="D289" s="125"/>
      <c r="E289" s="125"/>
      <c r="F289" s="125"/>
      <c r="G289" s="125"/>
      <c r="H289" s="125"/>
      <c r="I289" s="125"/>
      <c r="J289" s="125"/>
      <c r="K289" s="125"/>
      <c r="L289" s="125"/>
      <c r="M289" s="125"/>
      <c r="N289" s="125"/>
      <c r="O289" s="125"/>
      <c r="P289" s="125"/>
      <c r="Q289" s="126"/>
      <c r="R289" s="125"/>
      <c r="S289" s="125"/>
      <c r="T289" s="125"/>
      <c r="U289" s="125"/>
      <c r="V289" s="125"/>
    </row>
    <row r="290" spans="3:22">
      <c r="C290" s="125"/>
      <c r="D290" s="125"/>
      <c r="E290" s="125"/>
      <c r="F290" s="125"/>
      <c r="G290" s="125"/>
      <c r="H290" s="125"/>
      <c r="I290" s="125"/>
      <c r="J290" s="125"/>
      <c r="K290" s="125"/>
      <c r="L290" s="125"/>
      <c r="M290" s="125"/>
      <c r="N290" s="125"/>
      <c r="O290" s="125"/>
      <c r="P290" s="125"/>
      <c r="Q290" s="126"/>
      <c r="R290" s="125"/>
      <c r="S290" s="125"/>
      <c r="T290" s="125"/>
      <c r="U290" s="125"/>
      <c r="V290" s="125"/>
    </row>
    <row r="291" spans="3:22">
      <c r="C291" s="125"/>
      <c r="D291" s="125"/>
      <c r="E291" s="125"/>
      <c r="F291" s="125"/>
      <c r="G291" s="125"/>
      <c r="H291" s="125"/>
      <c r="I291" s="125"/>
      <c r="J291" s="125"/>
      <c r="K291" s="125"/>
      <c r="L291" s="125"/>
      <c r="M291" s="125"/>
      <c r="N291" s="125"/>
      <c r="O291" s="125"/>
      <c r="P291" s="125"/>
      <c r="Q291" s="126"/>
      <c r="R291" s="125"/>
      <c r="S291" s="125"/>
      <c r="T291" s="125"/>
      <c r="U291" s="125"/>
      <c r="V291" s="125"/>
    </row>
    <row r="292" spans="3:22">
      <c r="C292" s="125"/>
      <c r="D292" s="125"/>
      <c r="E292" s="125"/>
      <c r="F292" s="125"/>
      <c r="G292" s="125"/>
      <c r="H292" s="125"/>
      <c r="I292" s="125"/>
      <c r="J292" s="125"/>
      <c r="K292" s="125"/>
      <c r="L292" s="125"/>
      <c r="M292" s="125"/>
      <c r="N292" s="125"/>
      <c r="O292" s="125"/>
      <c r="P292" s="125"/>
      <c r="Q292" s="126"/>
      <c r="R292" s="125"/>
      <c r="S292" s="125"/>
      <c r="T292" s="125"/>
      <c r="U292" s="125"/>
      <c r="V292" s="125"/>
    </row>
    <row r="293" spans="3:22">
      <c r="C293" s="125"/>
      <c r="D293" s="125"/>
      <c r="E293" s="125"/>
      <c r="F293" s="125"/>
      <c r="G293" s="125"/>
      <c r="H293" s="125"/>
      <c r="I293" s="125"/>
      <c r="J293" s="125"/>
      <c r="K293" s="125"/>
      <c r="L293" s="125"/>
      <c r="M293" s="125"/>
      <c r="N293" s="125"/>
      <c r="O293" s="125"/>
      <c r="P293" s="125"/>
      <c r="Q293" s="126"/>
      <c r="R293" s="125"/>
      <c r="S293" s="125"/>
      <c r="T293" s="125"/>
      <c r="U293" s="125"/>
      <c r="V293" s="125"/>
    </row>
    <row r="294" spans="3:22">
      <c r="C294" s="125"/>
      <c r="D294" s="125"/>
      <c r="E294" s="125"/>
      <c r="F294" s="125"/>
      <c r="G294" s="125"/>
      <c r="H294" s="125"/>
      <c r="I294" s="125"/>
      <c r="J294" s="125"/>
      <c r="K294" s="125"/>
      <c r="L294" s="125"/>
      <c r="M294" s="125"/>
      <c r="N294" s="125"/>
      <c r="O294" s="125"/>
      <c r="P294" s="125"/>
      <c r="Q294" s="126"/>
      <c r="R294" s="125"/>
      <c r="S294" s="125"/>
      <c r="T294" s="125"/>
      <c r="U294" s="125"/>
      <c r="V294" s="125"/>
    </row>
    <row r="295" spans="3:22">
      <c r="C295" s="125"/>
      <c r="D295" s="125"/>
      <c r="E295" s="125"/>
      <c r="F295" s="125"/>
      <c r="G295" s="125"/>
      <c r="H295" s="125"/>
      <c r="I295" s="125"/>
      <c r="J295" s="125"/>
      <c r="K295" s="125"/>
      <c r="L295" s="125"/>
      <c r="M295" s="125"/>
      <c r="N295" s="125"/>
      <c r="O295" s="125"/>
      <c r="P295" s="125"/>
      <c r="Q295" s="126"/>
      <c r="R295" s="125"/>
      <c r="S295" s="125"/>
      <c r="T295" s="125"/>
      <c r="U295" s="125"/>
      <c r="V295" s="125"/>
    </row>
    <row r="296" spans="3:22">
      <c r="C296" s="125"/>
      <c r="D296" s="125"/>
      <c r="E296" s="125"/>
      <c r="F296" s="125"/>
      <c r="G296" s="125"/>
      <c r="H296" s="125"/>
      <c r="I296" s="125"/>
      <c r="J296" s="125"/>
      <c r="K296" s="125"/>
      <c r="L296" s="125"/>
      <c r="M296" s="125"/>
      <c r="N296" s="125"/>
      <c r="O296" s="125"/>
      <c r="P296" s="125"/>
      <c r="Q296" s="126"/>
      <c r="R296" s="125"/>
      <c r="S296" s="125"/>
      <c r="T296" s="125"/>
      <c r="U296" s="125"/>
      <c r="V296" s="125"/>
    </row>
    <row r="297" spans="3:22">
      <c r="C297" s="125"/>
      <c r="D297" s="125"/>
      <c r="E297" s="125"/>
      <c r="F297" s="125"/>
      <c r="G297" s="125"/>
      <c r="H297" s="125"/>
      <c r="I297" s="125"/>
      <c r="J297" s="125"/>
      <c r="K297" s="125"/>
      <c r="L297" s="125"/>
      <c r="M297" s="125"/>
      <c r="N297" s="125"/>
      <c r="O297" s="125"/>
      <c r="P297" s="125"/>
      <c r="Q297" s="126"/>
      <c r="R297" s="125"/>
      <c r="S297" s="125"/>
      <c r="T297" s="125"/>
      <c r="U297" s="125"/>
      <c r="V297" s="125"/>
    </row>
    <row r="298" spans="3:22">
      <c r="C298" s="125"/>
      <c r="D298" s="125"/>
      <c r="E298" s="125"/>
      <c r="F298" s="125"/>
      <c r="G298" s="125"/>
      <c r="H298" s="125"/>
      <c r="I298" s="125"/>
      <c r="J298" s="125"/>
      <c r="K298" s="125"/>
      <c r="L298" s="125"/>
      <c r="M298" s="125"/>
      <c r="N298" s="125"/>
      <c r="O298" s="125"/>
      <c r="P298" s="125"/>
      <c r="Q298" s="126"/>
      <c r="R298" s="125"/>
      <c r="S298" s="125"/>
      <c r="T298" s="125"/>
      <c r="U298" s="125"/>
      <c r="V298" s="125"/>
    </row>
    <row r="299" spans="3:22">
      <c r="C299" s="125"/>
      <c r="D299" s="125"/>
      <c r="E299" s="125"/>
      <c r="F299" s="125"/>
      <c r="G299" s="125"/>
      <c r="H299" s="125"/>
      <c r="I299" s="125"/>
      <c r="J299" s="125"/>
      <c r="K299" s="125"/>
      <c r="L299" s="125"/>
      <c r="M299" s="125"/>
      <c r="N299" s="125"/>
      <c r="O299" s="125"/>
      <c r="P299" s="125"/>
      <c r="Q299" s="126"/>
      <c r="R299" s="125"/>
      <c r="S299" s="125"/>
      <c r="T299" s="125"/>
      <c r="U299" s="125"/>
      <c r="V299" s="125"/>
    </row>
    <row r="300" spans="3:22">
      <c r="C300" s="125"/>
      <c r="D300" s="125"/>
      <c r="E300" s="125"/>
      <c r="F300" s="125"/>
      <c r="G300" s="125"/>
      <c r="H300" s="125"/>
      <c r="I300" s="125"/>
      <c r="J300" s="125"/>
      <c r="K300" s="125"/>
      <c r="L300" s="125"/>
      <c r="M300" s="125"/>
      <c r="N300" s="125"/>
      <c r="O300" s="125"/>
      <c r="P300" s="125"/>
      <c r="Q300" s="126"/>
      <c r="R300" s="125"/>
      <c r="S300" s="125"/>
      <c r="T300" s="125"/>
      <c r="U300" s="125"/>
      <c r="V300" s="125"/>
    </row>
    <row r="301" spans="3:22">
      <c r="C301" s="125"/>
      <c r="D301" s="125"/>
      <c r="E301" s="125"/>
      <c r="F301" s="125"/>
      <c r="G301" s="125"/>
      <c r="H301" s="125"/>
      <c r="I301" s="125"/>
      <c r="J301" s="125"/>
      <c r="K301" s="125"/>
      <c r="L301" s="125"/>
      <c r="M301" s="125"/>
      <c r="N301" s="125"/>
      <c r="O301" s="125"/>
      <c r="P301" s="125"/>
      <c r="Q301" s="126"/>
      <c r="R301" s="125"/>
      <c r="S301" s="125"/>
      <c r="T301" s="125"/>
      <c r="U301" s="125"/>
      <c r="V301" s="125"/>
    </row>
    <row r="302" spans="3:22">
      <c r="C302" s="125"/>
      <c r="D302" s="125"/>
      <c r="E302" s="125"/>
      <c r="F302" s="125"/>
      <c r="G302" s="125"/>
      <c r="H302" s="125"/>
      <c r="I302" s="125"/>
      <c r="J302" s="125"/>
      <c r="K302" s="125"/>
      <c r="L302" s="125"/>
      <c r="M302" s="125"/>
      <c r="N302" s="125"/>
      <c r="O302" s="125"/>
      <c r="P302" s="125"/>
      <c r="Q302" s="126"/>
      <c r="R302" s="125"/>
      <c r="S302" s="125"/>
      <c r="T302" s="125"/>
      <c r="U302" s="125"/>
      <c r="V302" s="125"/>
    </row>
    <row r="303" spans="3:22">
      <c r="C303" s="125"/>
      <c r="D303" s="125"/>
      <c r="E303" s="125"/>
      <c r="F303" s="125"/>
      <c r="G303" s="125"/>
      <c r="H303" s="125"/>
      <c r="I303" s="125"/>
      <c r="J303" s="125"/>
      <c r="K303" s="125"/>
      <c r="L303" s="125"/>
      <c r="M303" s="125"/>
      <c r="N303" s="125"/>
      <c r="O303" s="125"/>
      <c r="P303" s="125"/>
      <c r="Q303" s="126"/>
      <c r="R303" s="125"/>
      <c r="S303" s="125"/>
      <c r="T303" s="125"/>
      <c r="U303" s="125"/>
      <c r="V303" s="125"/>
    </row>
    <row r="304" spans="3:22">
      <c r="C304" s="125"/>
      <c r="D304" s="125"/>
      <c r="E304" s="125"/>
      <c r="F304" s="125"/>
      <c r="G304" s="125"/>
      <c r="H304" s="125"/>
      <c r="I304" s="125"/>
      <c r="J304" s="125"/>
      <c r="K304" s="125"/>
      <c r="L304" s="125"/>
      <c r="M304" s="125"/>
      <c r="N304" s="125"/>
      <c r="O304" s="125"/>
      <c r="P304" s="125"/>
      <c r="Q304" s="126"/>
      <c r="R304" s="125"/>
      <c r="S304" s="125"/>
      <c r="T304" s="125"/>
      <c r="U304" s="125"/>
      <c r="V304" s="125"/>
    </row>
    <row r="305" spans="3:22">
      <c r="C305" s="125"/>
      <c r="D305" s="125"/>
      <c r="E305" s="125"/>
      <c r="F305" s="125"/>
      <c r="G305" s="125"/>
      <c r="H305" s="125"/>
      <c r="I305" s="125"/>
      <c r="J305" s="125"/>
      <c r="K305" s="125"/>
      <c r="L305" s="125"/>
      <c r="M305" s="125"/>
      <c r="N305" s="125"/>
      <c r="O305" s="125"/>
      <c r="P305" s="125"/>
      <c r="Q305" s="126"/>
      <c r="R305" s="125"/>
      <c r="S305" s="125"/>
      <c r="T305" s="125"/>
      <c r="U305" s="125"/>
      <c r="V305" s="125"/>
    </row>
    <row r="306" spans="3:22">
      <c r="C306" s="125"/>
      <c r="D306" s="125"/>
      <c r="E306" s="125"/>
      <c r="F306" s="125"/>
      <c r="G306" s="125"/>
      <c r="H306" s="125"/>
      <c r="I306" s="125"/>
      <c r="J306" s="125"/>
      <c r="K306" s="125"/>
      <c r="L306" s="125"/>
      <c r="M306" s="125"/>
      <c r="N306" s="125"/>
      <c r="O306" s="125"/>
      <c r="P306" s="125"/>
      <c r="Q306" s="126"/>
      <c r="R306" s="125"/>
      <c r="S306" s="125"/>
      <c r="T306" s="125"/>
      <c r="U306" s="125"/>
      <c r="V306" s="125"/>
    </row>
    <row r="307" spans="3:22">
      <c r="C307" s="125"/>
      <c r="D307" s="125"/>
      <c r="E307" s="125"/>
      <c r="F307" s="125"/>
      <c r="G307" s="125"/>
      <c r="H307" s="125"/>
      <c r="I307" s="125"/>
      <c r="J307" s="125"/>
      <c r="K307" s="125"/>
      <c r="L307" s="125"/>
      <c r="M307" s="125"/>
      <c r="N307" s="125"/>
      <c r="O307" s="125"/>
      <c r="P307" s="125"/>
      <c r="Q307" s="126"/>
      <c r="R307" s="125"/>
      <c r="S307" s="125"/>
      <c r="T307" s="125"/>
      <c r="U307" s="125"/>
      <c r="V307" s="125"/>
    </row>
    <row r="308" spans="3:22">
      <c r="C308" s="125"/>
      <c r="D308" s="125"/>
      <c r="E308" s="125"/>
      <c r="F308" s="125"/>
      <c r="G308" s="125"/>
      <c r="H308" s="125"/>
      <c r="I308" s="125"/>
      <c r="J308" s="125"/>
      <c r="K308" s="125"/>
      <c r="L308" s="125"/>
      <c r="M308" s="125"/>
      <c r="N308" s="125"/>
      <c r="O308" s="125"/>
      <c r="P308" s="125"/>
      <c r="Q308" s="126"/>
      <c r="R308" s="125"/>
      <c r="S308" s="125"/>
      <c r="T308" s="125"/>
      <c r="U308" s="125"/>
      <c r="V308" s="125"/>
    </row>
    <row r="309" spans="3:22">
      <c r="C309" s="125"/>
      <c r="D309" s="125"/>
      <c r="E309" s="125"/>
      <c r="F309" s="125"/>
      <c r="G309" s="125"/>
      <c r="H309" s="125"/>
      <c r="I309" s="125"/>
      <c r="J309" s="125"/>
      <c r="K309" s="125"/>
      <c r="L309" s="125"/>
      <c r="M309" s="125"/>
      <c r="N309" s="125"/>
      <c r="O309" s="125"/>
      <c r="P309" s="125"/>
      <c r="Q309" s="126"/>
      <c r="R309" s="125"/>
      <c r="S309" s="125"/>
      <c r="T309" s="125"/>
      <c r="U309" s="125"/>
      <c r="V309" s="125"/>
    </row>
    <row r="310" spans="3:22">
      <c r="C310" s="125"/>
      <c r="D310" s="125"/>
      <c r="E310" s="125"/>
      <c r="F310" s="125"/>
      <c r="G310" s="125"/>
      <c r="H310" s="125"/>
      <c r="I310" s="125"/>
      <c r="J310" s="125"/>
      <c r="K310" s="125"/>
      <c r="L310" s="125"/>
      <c r="M310" s="125"/>
      <c r="N310" s="125"/>
      <c r="O310" s="125"/>
      <c r="P310" s="125"/>
      <c r="Q310" s="126"/>
      <c r="R310" s="125"/>
      <c r="S310" s="125"/>
      <c r="T310" s="125"/>
      <c r="U310" s="125"/>
      <c r="V310" s="125"/>
    </row>
    <row r="311" spans="3:22">
      <c r="C311" s="125"/>
      <c r="D311" s="125"/>
      <c r="E311" s="125"/>
      <c r="F311" s="125"/>
      <c r="G311" s="125"/>
      <c r="H311" s="125"/>
      <c r="I311" s="125"/>
      <c r="J311" s="125"/>
      <c r="K311" s="125"/>
      <c r="L311" s="125"/>
      <c r="M311" s="125"/>
      <c r="N311" s="125"/>
      <c r="O311" s="125"/>
      <c r="P311" s="125"/>
      <c r="Q311" s="126"/>
      <c r="R311" s="125"/>
      <c r="S311" s="125"/>
      <c r="T311" s="125"/>
      <c r="U311" s="125"/>
      <c r="V311" s="125"/>
    </row>
    <row r="312" spans="3:22">
      <c r="C312" s="125"/>
      <c r="D312" s="125"/>
      <c r="E312" s="125"/>
      <c r="F312" s="125"/>
      <c r="G312" s="125"/>
      <c r="H312" s="125"/>
      <c r="I312" s="125"/>
      <c r="J312" s="125"/>
      <c r="K312" s="125"/>
      <c r="L312" s="125"/>
      <c r="M312" s="125"/>
      <c r="N312" s="125"/>
      <c r="O312" s="125"/>
      <c r="P312" s="125"/>
      <c r="Q312" s="126"/>
      <c r="R312" s="125"/>
      <c r="S312" s="125"/>
      <c r="T312" s="125"/>
      <c r="U312" s="125"/>
      <c r="V312" s="125"/>
    </row>
    <row r="313" spans="3:22">
      <c r="C313" s="125"/>
      <c r="D313" s="125"/>
      <c r="E313" s="125"/>
      <c r="F313" s="125"/>
      <c r="G313" s="125"/>
      <c r="H313" s="125"/>
      <c r="I313" s="125"/>
      <c r="J313" s="125"/>
      <c r="K313" s="125"/>
      <c r="L313" s="125"/>
      <c r="M313" s="125"/>
      <c r="N313" s="125"/>
      <c r="O313" s="125"/>
      <c r="P313" s="125"/>
      <c r="Q313" s="126"/>
      <c r="R313" s="125"/>
      <c r="S313" s="125"/>
      <c r="T313" s="125"/>
      <c r="U313" s="125"/>
      <c r="V313" s="125"/>
    </row>
    <row r="314" spans="3:22">
      <c r="C314" s="125"/>
      <c r="D314" s="125"/>
      <c r="E314" s="125"/>
      <c r="F314" s="125"/>
      <c r="G314" s="125"/>
      <c r="H314" s="125"/>
      <c r="I314" s="125"/>
      <c r="J314" s="125"/>
      <c r="K314" s="125"/>
      <c r="L314" s="125"/>
      <c r="M314" s="125"/>
      <c r="N314" s="125"/>
      <c r="O314" s="125"/>
    </row>
    <row r="315" spans="3:22">
      <c r="C315" s="125"/>
      <c r="D315" s="125"/>
      <c r="E315" s="125"/>
      <c r="F315" s="125"/>
      <c r="G315" s="125"/>
      <c r="H315" s="125"/>
      <c r="I315" s="125"/>
      <c r="J315" s="125"/>
      <c r="K315" s="125"/>
      <c r="L315" s="125"/>
      <c r="M315" s="125"/>
      <c r="N315" s="125"/>
      <c r="O315" s="125"/>
    </row>
    <row r="316" spans="3:22">
      <c r="C316" s="125"/>
      <c r="D316" s="125"/>
      <c r="E316" s="125"/>
      <c r="F316" s="125"/>
      <c r="G316" s="125"/>
      <c r="H316" s="125"/>
      <c r="I316" s="125"/>
      <c r="J316" s="125"/>
      <c r="K316" s="125"/>
      <c r="L316" s="125"/>
      <c r="M316" s="125"/>
      <c r="N316" s="125"/>
      <c r="O316" s="125"/>
    </row>
    <row r="317" spans="3:22">
      <c r="C317" s="125"/>
      <c r="D317" s="125"/>
      <c r="E317" s="125"/>
      <c r="F317" s="125"/>
      <c r="G317" s="125"/>
      <c r="H317" s="125"/>
      <c r="I317" s="125"/>
      <c r="J317" s="125"/>
      <c r="K317" s="125"/>
      <c r="L317" s="125"/>
      <c r="M317" s="125"/>
      <c r="N317" s="125"/>
      <c r="O317" s="125"/>
    </row>
    <row r="318" spans="3:22">
      <c r="C318" s="125"/>
      <c r="D318" s="125"/>
      <c r="E318" s="125"/>
      <c r="F318" s="125"/>
      <c r="G318" s="125"/>
      <c r="H318" s="125"/>
      <c r="I318" s="125"/>
      <c r="J318" s="125"/>
      <c r="K318" s="125"/>
      <c r="L318" s="125"/>
      <c r="M318" s="125"/>
      <c r="N318" s="125"/>
      <c r="O318" s="125"/>
    </row>
    <row r="319" spans="3:22">
      <c r="C319" s="125"/>
      <c r="D319" s="125"/>
      <c r="E319" s="125"/>
      <c r="F319" s="125"/>
      <c r="G319" s="125"/>
      <c r="H319" s="125"/>
      <c r="I319" s="125"/>
      <c r="J319" s="125"/>
      <c r="K319" s="125"/>
      <c r="L319" s="125"/>
      <c r="M319" s="125"/>
      <c r="N319" s="125"/>
      <c r="O319" s="125"/>
    </row>
    <row r="320" spans="3:22">
      <c r="C320" s="125"/>
      <c r="D320" s="125"/>
      <c r="E320" s="125"/>
      <c r="F320" s="125"/>
      <c r="G320" s="125"/>
      <c r="H320" s="125"/>
      <c r="I320" s="125"/>
      <c r="J320" s="125"/>
      <c r="K320" s="125"/>
      <c r="L320" s="125"/>
      <c r="M320" s="125"/>
      <c r="N320" s="125"/>
      <c r="O320" s="125"/>
    </row>
    <row r="321" spans="3:15">
      <c r="C321" s="125"/>
      <c r="D321" s="125"/>
      <c r="E321" s="125"/>
      <c r="F321" s="125"/>
      <c r="G321" s="125"/>
      <c r="H321" s="125"/>
      <c r="I321" s="125"/>
      <c r="J321" s="125"/>
      <c r="K321" s="125"/>
      <c r="L321" s="125"/>
      <c r="M321" s="125"/>
      <c r="N321" s="125"/>
      <c r="O321" s="125"/>
    </row>
  </sheetData>
  <mergeCells count="10">
    <mergeCell ref="C121:O121"/>
    <mergeCell ref="C122:O122"/>
    <mergeCell ref="C123:O123"/>
    <mergeCell ref="C124:O124"/>
    <mergeCell ref="C115:O115"/>
    <mergeCell ref="C116:O116"/>
    <mergeCell ref="C117:O117"/>
    <mergeCell ref="C118:O118"/>
    <mergeCell ref="C119:O119"/>
    <mergeCell ref="C120:O120"/>
  </mergeCells>
  <pageMargins left="0.7" right="0.7" top="0.75" bottom="0.75" header="0.3" footer="0.3"/>
  <pageSetup scale="39" fitToHeight="2" orientation="landscape" verticalDpi="300" r:id="rId1"/>
  <rowBreaks count="1" manualBreakCount="1">
    <brk id="62" max="14" man="1"/>
  </rowBreaks>
  <colBreaks count="1" manualBreakCount="1">
    <brk id="15"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5">
    <pageSetUpPr fitToPage="1"/>
  </sheetPr>
  <dimension ref="A1:AB66"/>
  <sheetViews>
    <sheetView showGridLines="0" zoomScale="85" zoomScaleNormal="85" zoomScaleSheetLayoutView="80" workbookViewId="0">
      <pane xSplit="2" ySplit="9" topLeftCell="C10" activePane="bottomRight" state="frozen"/>
      <selection activeCell="C6" sqref="C6"/>
      <selection pane="topRight" activeCell="C6" sqref="C6"/>
      <selection pane="bottomLeft" activeCell="C6" sqref="C6"/>
      <selection pane="bottomRight" activeCell="C23" sqref="C23"/>
    </sheetView>
  </sheetViews>
  <sheetFormatPr defaultRowHeight="12.75"/>
  <cols>
    <col min="1" max="1" width="21.28515625" style="225" customWidth="1"/>
    <col min="2" max="2" width="32.85546875" style="225" customWidth="1"/>
    <col min="3" max="10" width="13.85546875" style="226" customWidth="1"/>
    <col min="11" max="11" width="13.85546875" style="227" customWidth="1"/>
    <col min="12" max="14" width="13.85546875" style="225" customWidth="1"/>
    <col min="15" max="15" width="13.85546875" style="226" customWidth="1"/>
    <col min="16" max="16" width="13.85546875" style="227" customWidth="1"/>
    <col min="17" max="17" width="13.85546875" style="226" customWidth="1"/>
    <col min="18" max="18" width="13.85546875" style="227" customWidth="1"/>
    <col min="19" max="19" width="13.85546875" style="226" customWidth="1"/>
    <col min="20" max="20" width="13.85546875" style="227" customWidth="1"/>
    <col min="21" max="21" width="13.85546875" style="226" customWidth="1"/>
    <col min="22" max="22" width="13.85546875" style="227" customWidth="1"/>
    <col min="23" max="23" width="13.85546875" style="226" customWidth="1"/>
    <col min="24" max="24" width="13.85546875" style="227" customWidth="1"/>
    <col min="25" max="25" width="13.85546875" style="226" customWidth="1"/>
    <col min="26" max="26" width="13.85546875" style="227" customWidth="1"/>
    <col min="27" max="27" width="13.85546875" style="226" customWidth="1"/>
    <col min="28" max="28" width="13.85546875" style="225" customWidth="1"/>
    <col min="29" max="16384" width="9.140625" style="225"/>
  </cols>
  <sheetData>
    <row r="1" spans="1:28" s="289" customFormat="1" ht="18">
      <c r="A1" s="291" t="s">
        <v>628</v>
      </c>
      <c r="B1" s="290"/>
      <c r="C1" s="290"/>
      <c r="D1" s="290"/>
      <c r="E1" s="290"/>
      <c r="F1" s="290"/>
      <c r="G1" s="290"/>
      <c r="H1" s="290"/>
      <c r="I1" s="290"/>
      <c r="J1" s="290"/>
      <c r="K1" s="290"/>
      <c r="L1" s="290"/>
      <c r="M1" s="290"/>
      <c r="N1" s="290"/>
      <c r="O1" s="290"/>
      <c r="P1" s="290"/>
      <c r="Q1" s="290"/>
      <c r="R1" s="290"/>
      <c r="S1" s="290"/>
      <c r="T1" s="290"/>
      <c r="U1" s="290"/>
      <c r="V1" s="290"/>
      <c r="W1" s="290"/>
      <c r="X1" s="290"/>
      <c r="Y1" s="290"/>
      <c r="Z1" s="290"/>
      <c r="AA1" s="290"/>
    </row>
    <row r="2" spans="1:28">
      <c r="A2" s="232"/>
      <c r="B2" s="253"/>
      <c r="C2" s="253"/>
      <c r="D2" s="253"/>
      <c r="E2" s="253"/>
      <c r="F2" s="253"/>
      <c r="G2" s="253"/>
      <c r="H2" s="253"/>
      <c r="I2" s="253"/>
      <c r="J2" s="253"/>
      <c r="K2" s="253"/>
      <c r="L2" s="253"/>
      <c r="M2" s="253"/>
      <c r="N2" s="253"/>
      <c r="O2" s="253"/>
      <c r="P2" s="253"/>
      <c r="Q2" s="253"/>
      <c r="R2" s="253"/>
      <c r="S2" s="253"/>
      <c r="T2" s="253"/>
      <c r="U2" s="253"/>
      <c r="V2" s="253"/>
      <c r="W2" s="253"/>
      <c r="X2" s="253"/>
      <c r="Y2" s="253"/>
      <c r="Z2" s="253"/>
      <c r="AA2" s="253"/>
    </row>
    <row r="3" spans="1:28">
      <c r="A3" s="288" t="s">
        <v>627</v>
      </c>
      <c r="B3" s="917">
        <v>2022</v>
      </c>
      <c r="C3" s="286"/>
      <c r="D3" s="286"/>
      <c r="E3" s="286"/>
      <c r="F3" s="253"/>
      <c r="G3" s="286"/>
      <c r="H3" s="286"/>
      <c r="I3" s="286"/>
      <c r="J3" s="253"/>
      <c r="K3" s="253"/>
      <c r="L3" s="253"/>
      <c r="M3" s="253"/>
      <c r="N3" s="253"/>
      <c r="O3" s="253"/>
      <c r="P3" s="253"/>
      <c r="Q3" s="253"/>
      <c r="R3" s="253"/>
      <c r="S3" s="253"/>
      <c r="T3" s="253"/>
      <c r="U3" s="253"/>
      <c r="V3" s="253"/>
      <c r="W3" s="253"/>
      <c r="X3" s="253"/>
      <c r="Y3" s="253"/>
      <c r="Z3" s="253"/>
      <c r="AA3" s="253"/>
    </row>
    <row r="4" spans="1:28">
      <c r="A4" s="232"/>
      <c r="B4" s="286"/>
      <c r="C4" s="286"/>
      <c r="D4" s="285"/>
      <c r="E4" s="285"/>
      <c r="F4" s="285"/>
      <c r="G4" s="285"/>
      <c r="H4" s="285"/>
      <c r="I4" s="285"/>
      <c r="J4" s="285"/>
      <c r="K4" s="285"/>
      <c r="L4" s="285"/>
      <c r="M4" s="285"/>
      <c r="N4" s="285"/>
      <c r="O4" s="285"/>
      <c r="P4" s="285"/>
      <c r="Q4" s="285"/>
      <c r="R4" s="285"/>
      <c r="S4" s="285"/>
      <c r="T4" s="285"/>
      <c r="U4" s="285"/>
      <c r="V4" s="285"/>
      <c r="W4" s="285"/>
      <c r="X4" s="285"/>
      <c r="Y4" s="285"/>
      <c r="Z4" s="285"/>
      <c r="AA4" s="285"/>
    </row>
    <row r="5" spans="1:28">
      <c r="A5" s="288" t="s">
        <v>626</v>
      </c>
      <c r="B5" s="287" t="s">
        <v>623</v>
      </c>
      <c r="C5" s="286"/>
      <c r="D5" s="286"/>
      <c r="E5" s="286"/>
      <c r="F5" s="253"/>
      <c r="G5" s="286"/>
      <c r="H5" s="286"/>
      <c r="I5" s="286"/>
      <c r="J5" s="253"/>
      <c r="K5" s="253"/>
      <c r="L5" s="253"/>
      <c r="M5" s="253"/>
      <c r="N5" s="253"/>
      <c r="O5" s="253"/>
      <c r="P5" s="253"/>
      <c r="Q5" s="253"/>
      <c r="R5" s="253"/>
      <c r="S5" s="253"/>
      <c r="T5" s="253"/>
      <c r="U5" s="253"/>
      <c r="V5" s="253"/>
      <c r="W5" s="253"/>
      <c r="X5" s="253"/>
      <c r="Y5" s="253"/>
      <c r="Z5" s="253"/>
      <c r="AA5" s="253"/>
    </row>
    <row r="6" spans="1:28">
      <c r="A6" s="232"/>
      <c r="B6" s="286"/>
      <c r="C6" s="285"/>
      <c r="D6" s="285"/>
      <c r="E6" s="285"/>
      <c r="F6" s="285"/>
      <c r="G6" s="285"/>
      <c r="H6" s="285"/>
      <c r="I6" s="285"/>
      <c r="J6" s="285"/>
      <c r="K6" s="285"/>
      <c r="L6" s="285"/>
      <c r="M6" s="285"/>
      <c r="N6" s="285"/>
      <c r="O6" s="285"/>
      <c r="P6" s="285"/>
      <c r="Q6" s="285"/>
      <c r="R6" s="285"/>
      <c r="S6" s="285"/>
      <c r="T6" s="285"/>
      <c r="U6" s="285"/>
      <c r="V6" s="285"/>
      <c r="W6" s="285"/>
      <c r="X6" s="285"/>
      <c r="Y6" s="285"/>
      <c r="Z6" s="285"/>
      <c r="AA6" s="285"/>
      <c r="AB6" s="228"/>
    </row>
    <row r="7" spans="1:28" s="833" customFormat="1">
      <c r="A7" s="834"/>
      <c r="B7" s="832" t="s">
        <v>625</v>
      </c>
      <c r="C7" s="831">
        <v>345</v>
      </c>
      <c r="D7" s="831">
        <v>1453</v>
      </c>
      <c r="E7" s="831">
        <v>352</v>
      </c>
      <c r="F7" s="831">
        <v>356</v>
      </c>
      <c r="G7" s="831">
        <v>1616</v>
      </c>
      <c r="H7" s="928" t="s">
        <v>958</v>
      </c>
      <c r="I7" s="831">
        <v>2837</v>
      </c>
      <c r="J7" s="831">
        <v>2793</v>
      </c>
      <c r="K7" s="831">
        <v>1950</v>
      </c>
      <c r="L7" s="831">
        <v>3206</v>
      </c>
      <c r="M7" s="831">
        <v>2846</v>
      </c>
      <c r="N7" s="831">
        <v>3125</v>
      </c>
      <c r="O7" s="831">
        <v>3679</v>
      </c>
      <c r="P7" s="831">
        <v>12284</v>
      </c>
      <c r="Q7" s="831">
        <v>13103</v>
      </c>
      <c r="R7" s="831">
        <v>13784</v>
      </c>
      <c r="S7" s="831">
        <v>13769</v>
      </c>
      <c r="T7" s="831">
        <v>14925</v>
      </c>
      <c r="U7" s="831">
        <v>16494</v>
      </c>
      <c r="V7" s="831">
        <v>17064</v>
      </c>
      <c r="W7" s="831">
        <v>17525</v>
      </c>
      <c r="X7" s="831">
        <v>17526</v>
      </c>
      <c r="Y7" s="831">
        <v>18925</v>
      </c>
      <c r="Z7" s="831">
        <v>18849</v>
      </c>
      <c r="AA7" s="831">
        <v>19269</v>
      </c>
      <c r="AB7" s="228"/>
    </row>
    <row r="8" spans="1:28">
      <c r="A8" s="284"/>
      <c r="B8" s="283" t="s">
        <v>624</v>
      </c>
      <c r="C8" s="282" t="s">
        <v>623</v>
      </c>
      <c r="D8" s="282" t="s">
        <v>623</v>
      </c>
      <c r="E8" s="282" t="s">
        <v>623</v>
      </c>
      <c r="F8" s="282" t="s">
        <v>623</v>
      </c>
      <c r="G8" s="282" t="s">
        <v>623</v>
      </c>
      <c r="H8" s="282" t="s">
        <v>623</v>
      </c>
      <c r="I8" s="282" t="s">
        <v>623</v>
      </c>
      <c r="J8" s="282" t="s">
        <v>623</v>
      </c>
      <c r="K8" s="282" t="s">
        <v>623</v>
      </c>
      <c r="L8" s="282" t="s">
        <v>623</v>
      </c>
      <c r="M8" s="282" t="s">
        <v>623</v>
      </c>
      <c r="N8" s="282" t="s">
        <v>623</v>
      </c>
      <c r="O8" s="282" t="s">
        <v>623</v>
      </c>
      <c r="P8" s="282" t="s">
        <v>623</v>
      </c>
      <c r="Q8" s="282" t="s">
        <v>623</v>
      </c>
      <c r="R8" s="282" t="s">
        <v>623</v>
      </c>
      <c r="S8" s="282" t="s">
        <v>623</v>
      </c>
      <c r="T8" s="282" t="s">
        <v>623</v>
      </c>
      <c r="U8" s="282" t="s">
        <v>623</v>
      </c>
      <c r="V8" s="282" t="s">
        <v>623</v>
      </c>
      <c r="W8" s="282" t="s">
        <v>623</v>
      </c>
      <c r="X8" s="282" t="s">
        <v>623</v>
      </c>
      <c r="Y8" s="282" t="s">
        <v>623</v>
      </c>
      <c r="Z8" s="282" t="s">
        <v>623</v>
      </c>
      <c r="AA8" s="282" t="s">
        <v>623</v>
      </c>
      <c r="AB8" s="228"/>
    </row>
    <row r="9" spans="1:28" ht="15" customHeight="1">
      <c r="A9" s="284"/>
      <c r="B9" s="283" t="s">
        <v>622</v>
      </c>
      <c r="C9" s="282" t="s">
        <v>621</v>
      </c>
      <c r="D9" s="282" t="s">
        <v>621</v>
      </c>
      <c r="E9" s="282" t="s">
        <v>621</v>
      </c>
      <c r="F9" s="282" t="s">
        <v>621</v>
      </c>
      <c r="G9" s="282" t="s">
        <v>910</v>
      </c>
      <c r="H9" s="282" t="s">
        <v>910</v>
      </c>
      <c r="I9" s="282" t="s">
        <v>910</v>
      </c>
      <c r="J9" s="282" t="s">
        <v>910</v>
      </c>
      <c r="K9" s="282" t="s">
        <v>621</v>
      </c>
      <c r="L9" s="282" t="s">
        <v>910</v>
      </c>
      <c r="M9" s="282" t="s">
        <v>621</v>
      </c>
      <c r="N9" s="282" t="s">
        <v>621</v>
      </c>
      <c r="O9" s="282" t="s">
        <v>621</v>
      </c>
      <c r="P9" s="282" t="s">
        <v>910</v>
      </c>
      <c r="Q9" s="282" t="s">
        <v>910</v>
      </c>
      <c r="R9" s="282" t="s">
        <v>910</v>
      </c>
      <c r="S9" s="282" t="s">
        <v>910</v>
      </c>
      <c r="T9" s="282" t="s">
        <v>910</v>
      </c>
      <c r="U9" s="282" t="s">
        <v>910</v>
      </c>
      <c r="V9" s="282" t="s">
        <v>910</v>
      </c>
      <c r="W9" s="282" t="s">
        <v>910</v>
      </c>
      <c r="X9" s="282" t="s">
        <v>910</v>
      </c>
      <c r="Y9" s="282" t="s">
        <v>910</v>
      </c>
      <c r="Z9" s="282" t="s">
        <v>910</v>
      </c>
      <c r="AA9" s="282" t="s">
        <v>910</v>
      </c>
      <c r="AB9" s="228"/>
    </row>
    <row r="10" spans="1:28">
      <c r="A10" s="278" t="s">
        <v>620</v>
      </c>
      <c r="B10" s="668" t="str">
        <f>"December "&amp;B3-1</f>
        <v>December 2021</v>
      </c>
      <c r="C10" s="240">
        <v>141526081.43000001</v>
      </c>
      <c r="D10" s="241">
        <v>8745627.4000000004</v>
      </c>
      <c r="E10" s="240">
        <v>88185651.489999995</v>
      </c>
      <c r="F10" s="241">
        <v>141104838.24999997</v>
      </c>
      <c r="G10" s="240">
        <v>1251078.5699999998</v>
      </c>
      <c r="H10" s="241">
        <v>1964606.7600000002</v>
      </c>
      <c r="I10" s="240">
        <v>520817.72</v>
      </c>
      <c r="J10" s="241">
        <v>8871.1299999999992</v>
      </c>
      <c r="K10" s="240">
        <v>14868228.42</v>
      </c>
      <c r="L10" s="241">
        <v>26117242.069999997</v>
      </c>
      <c r="M10" s="242">
        <v>121121804.31999999</v>
      </c>
      <c r="N10" s="241">
        <v>26556882.320000008</v>
      </c>
      <c r="O10" s="240">
        <v>227348465.04000002</v>
      </c>
      <c r="P10" s="239">
        <v>7453660.7649999997</v>
      </c>
      <c r="Q10" s="240">
        <v>20352576.210000001</v>
      </c>
      <c r="R10" s="239">
        <v>6753952.7150000008</v>
      </c>
      <c r="S10" s="240">
        <v>8428312.1950000003</v>
      </c>
      <c r="T10" s="239">
        <v>2690651.7827434405</v>
      </c>
      <c r="U10" s="240">
        <v>210181.76738082923</v>
      </c>
      <c r="V10" s="239">
        <v>50919.326385324581</v>
      </c>
      <c r="W10" s="240">
        <v>3263621.0082362257</v>
      </c>
      <c r="X10" s="239">
        <v>539931.54499999993</v>
      </c>
      <c r="Y10" s="240">
        <v>0</v>
      </c>
      <c r="Z10" s="239">
        <v>0</v>
      </c>
      <c r="AA10" s="240">
        <v>125830.79676608065</v>
      </c>
      <c r="AB10" s="228"/>
    </row>
    <row r="11" spans="1:28">
      <c r="A11" s="265" t="s">
        <v>619</v>
      </c>
      <c r="B11" s="668" t="str">
        <f>"January "&amp;B3</f>
        <v>January 2022</v>
      </c>
      <c r="C11" s="234">
        <v>141526081.43000001</v>
      </c>
      <c r="D11" s="235">
        <v>8745627.4000000004</v>
      </c>
      <c r="E11" s="234">
        <v>88185651.489999995</v>
      </c>
      <c r="F11" s="235">
        <v>141104838.24999997</v>
      </c>
      <c r="G11" s="234">
        <v>1251078.5699999998</v>
      </c>
      <c r="H11" s="235">
        <v>1964606.7600000002</v>
      </c>
      <c r="I11" s="234">
        <v>520817.72</v>
      </c>
      <c r="J11" s="235">
        <v>8871.1299999999992</v>
      </c>
      <c r="K11" s="234">
        <v>14868228.42</v>
      </c>
      <c r="L11" s="235">
        <v>26117242.069999997</v>
      </c>
      <c r="M11" s="236">
        <v>121121804.31999999</v>
      </c>
      <c r="N11" s="235">
        <v>26556882.320000008</v>
      </c>
      <c r="O11" s="234">
        <v>227348465.04000002</v>
      </c>
      <c r="P11" s="233">
        <v>7453660.7649999997</v>
      </c>
      <c r="Q11" s="234">
        <v>20352576.210000001</v>
      </c>
      <c r="R11" s="233">
        <v>6753952.7150000008</v>
      </c>
      <c r="S11" s="234">
        <v>8428312.1950000003</v>
      </c>
      <c r="T11" s="233">
        <v>2690651.7827434405</v>
      </c>
      <c r="U11" s="234">
        <v>210181.76738082923</v>
      </c>
      <c r="V11" s="233">
        <v>50919.326385324581</v>
      </c>
      <c r="W11" s="234">
        <v>3263621.0082362257</v>
      </c>
      <c r="X11" s="233">
        <v>539931.54499999993</v>
      </c>
      <c r="Y11" s="234">
        <v>0</v>
      </c>
      <c r="Z11" s="233">
        <v>0</v>
      </c>
      <c r="AA11" s="234">
        <v>125830.79676608065</v>
      </c>
      <c r="AB11" s="228"/>
    </row>
    <row r="12" spans="1:28">
      <c r="A12" s="265"/>
      <c r="B12" s="879" t="s">
        <v>366</v>
      </c>
      <c r="C12" s="234">
        <v>141526081.43000001</v>
      </c>
      <c r="D12" s="235">
        <v>8745627.4000000004</v>
      </c>
      <c r="E12" s="234">
        <v>88185651.489999995</v>
      </c>
      <c r="F12" s="235">
        <v>141104838.24999997</v>
      </c>
      <c r="G12" s="234">
        <v>1251078.5699999998</v>
      </c>
      <c r="H12" s="235">
        <v>1964606.7600000002</v>
      </c>
      <c r="I12" s="234">
        <v>520817.72</v>
      </c>
      <c r="J12" s="235">
        <v>8871.1299999999992</v>
      </c>
      <c r="K12" s="234">
        <v>14868228.42</v>
      </c>
      <c r="L12" s="235">
        <v>26117242.069999997</v>
      </c>
      <c r="M12" s="236">
        <v>121121804.31999999</v>
      </c>
      <c r="N12" s="235">
        <v>26556882.320000008</v>
      </c>
      <c r="O12" s="234">
        <v>227348465.04000002</v>
      </c>
      <c r="P12" s="233">
        <v>7453660.7649999997</v>
      </c>
      <c r="Q12" s="234">
        <v>20352576.210000001</v>
      </c>
      <c r="R12" s="233">
        <v>6753952.7150000008</v>
      </c>
      <c r="S12" s="234">
        <v>8428312.1950000003</v>
      </c>
      <c r="T12" s="233">
        <v>2690651.7827434405</v>
      </c>
      <c r="U12" s="234">
        <v>210181.76738082923</v>
      </c>
      <c r="V12" s="233">
        <v>50919.326385324581</v>
      </c>
      <c r="W12" s="234">
        <v>3263621.0082362257</v>
      </c>
      <c r="X12" s="233">
        <v>539931.54499999993</v>
      </c>
      <c r="Y12" s="234">
        <v>0</v>
      </c>
      <c r="Z12" s="233">
        <v>6338359.6818046793</v>
      </c>
      <c r="AA12" s="234">
        <v>125830.79676608065</v>
      </c>
      <c r="AB12" s="228"/>
    </row>
    <row r="13" spans="1:28">
      <c r="A13" s="265"/>
      <c r="B13" s="879" t="s">
        <v>367</v>
      </c>
      <c r="C13" s="234">
        <v>141526081.43000001</v>
      </c>
      <c r="D13" s="235">
        <v>8745627.4000000004</v>
      </c>
      <c r="E13" s="234">
        <v>88185651.489999995</v>
      </c>
      <c r="F13" s="235">
        <v>141104838.24999997</v>
      </c>
      <c r="G13" s="234">
        <v>1251078.5699999998</v>
      </c>
      <c r="H13" s="235">
        <v>1964606.7600000002</v>
      </c>
      <c r="I13" s="234">
        <v>520817.72</v>
      </c>
      <c r="J13" s="235">
        <v>8871.1299999999992</v>
      </c>
      <c r="K13" s="234">
        <v>14868228.42</v>
      </c>
      <c r="L13" s="235">
        <v>26117242.069999997</v>
      </c>
      <c r="M13" s="236">
        <v>121121804.31999999</v>
      </c>
      <c r="N13" s="235">
        <v>26556882.320000008</v>
      </c>
      <c r="O13" s="234">
        <v>227348465.04000002</v>
      </c>
      <c r="P13" s="233">
        <v>7453660.7649999997</v>
      </c>
      <c r="Q13" s="234">
        <v>20352576.210000001</v>
      </c>
      <c r="R13" s="233">
        <v>6753952.7150000008</v>
      </c>
      <c r="S13" s="234">
        <v>8428312.1950000003</v>
      </c>
      <c r="T13" s="233">
        <v>2690651.7827434405</v>
      </c>
      <c r="U13" s="234">
        <v>210181.76738082923</v>
      </c>
      <c r="V13" s="233">
        <v>50919.326385324581</v>
      </c>
      <c r="W13" s="234">
        <v>3263621.0082362257</v>
      </c>
      <c r="X13" s="233">
        <v>539931.54499999993</v>
      </c>
      <c r="Y13" s="234">
        <v>0</v>
      </c>
      <c r="Z13" s="233">
        <v>6356368.6818046793</v>
      </c>
      <c r="AA13" s="234">
        <v>125830.79676608065</v>
      </c>
      <c r="AB13" s="228"/>
    </row>
    <row r="14" spans="1:28">
      <c r="A14" s="265"/>
      <c r="B14" s="879" t="s">
        <v>368</v>
      </c>
      <c r="C14" s="234">
        <v>141526081.43000001</v>
      </c>
      <c r="D14" s="235">
        <v>8745627.4000000004</v>
      </c>
      <c r="E14" s="234">
        <v>88185651.489999995</v>
      </c>
      <c r="F14" s="235">
        <v>141104838.24999997</v>
      </c>
      <c r="G14" s="234">
        <v>1251078.5699999998</v>
      </c>
      <c r="H14" s="235">
        <v>1964606.7600000002</v>
      </c>
      <c r="I14" s="234">
        <v>520817.72</v>
      </c>
      <c r="J14" s="235">
        <v>8871.1299999999992</v>
      </c>
      <c r="K14" s="234">
        <v>14868228.42</v>
      </c>
      <c r="L14" s="235">
        <v>26117242.069999997</v>
      </c>
      <c r="M14" s="236">
        <v>121121804.31999999</v>
      </c>
      <c r="N14" s="235">
        <v>26556882.320000008</v>
      </c>
      <c r="O14" s="234">
        <v>227348465.04000002</v>
      </c>
      <c r="P14" s="233">
        <v>7453660.7649999997</v>
      </c>
      <c r="Q14" s="234">
        <v>20352576.210000001</v>
      </c>
      <c r="R14" s="233">
        <v>6753952.7150000008</v>
      </c>
      <c r="S14" s="234">
        <v>8428312.1950000003</v>
      </c>
      <c r="T14" s="233">
        <v>2690651.7827434405</v>
      </c>
      <c r="U14" s="234">
        <v>210181.76738082923</v>
      </c>
      <c r="V14" s="233">
        <v>50919.326385324581</v>
      </c>
      <c r="W14" s="234">
        <v>3263621.0082362257</v>
      </c>
      <c r="X14" s="233">
        <v>539931.54499999993</v>
      </c>
      <c r="Y14" s="234">
        <v>0</v>
      </c>
      <c r="Z14" s="233">
        <v>6357552.1818046793</v>
      </c>
      <c r="AA14" s="234">
        <v>125830.79676608065</v>
      </c>
      <c r="AB14" s="228"/>
    </row>
    <row r="15" spans="1:28">
      <c r="A15" s="265"/>
      <c r="B15" s="879" t="s">
        <v>362</v>
      </c>
      <c r="C15" s="234">
        <v>141526081.43000001</v>
      </c>
      <c r="D15" s="235">
        <v>8745627.4000000004</v>
      </c>
      <c r="E15" s="234">
        <v>88185651.489999995</v>
      </c>
      <c r="F15" s="235">
        <v>141104838.24999997</v>
      </c>
      <c r="G15" s="234">
        <v>1251078.5699999998</v>
      </c>
      <c r="H15" s="235">
        <v>1964606.7600000002</v>
      </c>
      <c r="I15" s="234">
        <v>520817.72</v>
      </c>
      <c r="J15" s="235">
        <v>8871.1299999999992</v>
      </c>
      <c r="K15" s="234">
        <v>14868228.42</v>
      </c>
      <c r="L15" s="235">
        <v>26117242.069999997</v>
      </c>
      <c r="M15" s="236">
        <v>121121804.31999999</v>
      </c>
      <c r="N15" s="235">
        <v>26556882.320000008</v>
      </c>
      <c r="O15" s="234">
        <v>227348465.04000002</v>
      </c>
      <c r="P15" s="233">
        <v>7453660.7649999997</v>
      </c>
      <c r="Q15" s="234">
        <v>20352576.210000001</v>
      </c>
      <c r="R15" s="233">
        <v>6753952.7150000008</v>
      </c>
      <c r="S15" s="234">
        <v>8428312.1950000003</v>
      </c>
      <c r="T15" s="233">
        <v>2690651.7827434405</v>
      </c>
      <c r="U15" s="234">
        <v>210181.76738082923</v>
      </c>
      <c r="V15" s="233">
        <v>50919.326385324581</v>
      </c>
      <c r="W15" s="234">
        <v>3263621.0082362257</v>
      </c>
      <c r="X15" s="233">
        <v>539931.54499999993</v>
      </c>
      <c r="Y15" s="234">
        <v>0</v>
      </c>
      <c r="Z15" s="233">
        <v>6357552.1818046793</v>
      </c>
      <c r="AA15" s="234">
        <v>125830.79676608065</v>
      </c>
      <c r="AB15" s="228"/>
    </row>
    <row r="16" spans="1:28">
      <c r="A16" s="265"/>
      <c r="B16" s="879" t="s">
        <v>369</v>
      </c>
      <c r="C16" s="234">
        <v>141526081.43000001</v>
      </c>
      <c r="D16" s="235">
        <v>8745627.4000000004</v>
      </c>
      <c r="E16" s="234">
        <v>88185651.489999995</v>
      </c>
      <c r="F16" s="235">
        <v>141104838.24999997</v>
      </c>
      <c r="G16" s="234">
        <v>1251078.5699999998</v>
      </c>
      <c r="H16" s="235">
        <v>1964606.7600000002</v>
      </c>
      <c r="I16" s="234">
        <v>520817.72</v>
      </c>
      <c r="J16" s="235">
        <v>8871.1299999999992</v>
      </c>
      <c r="K16" s="234">
        <v>14868228.42</v>
      </c>
      <c r="L16" s="235">
        <v>26117242.069999997</v>
      </c>
      <c r="M16" s="236">
        <v>121121804.31999999</v>
      </c>
      <c r="N16" s="235">
        <v>26556882.320000008</v>
      </c>
      <c r="O16" s="234">
        <v>227348465.04000002</v>
      </c>
      <c r="P16" s="233">
        <v>7453660.7649999997</v>
      </c>
      <c r="Q16" s="234">
        <v>20352576.210000001</v>
      </c>
      <c r="R16" s="233">
        <v>6753952.7150000008</v>
      </c>
      <c r="S16" s="234">
        <v>8428312.1950000003</v>
      </c>
      <c r="T16" s="233">
        <v>2690651.7827434405</v>
      </c>
      <c r="U16" s="234">
        <v>210181.76738082923</v>
      </c>
      <c r="V16" s="233">
        <v>50919.326385324581</v>
      </c>
      <c r="W16" s="234">
        <v>3263621.0082362257</v>
      </c>
      <c r="X16" s="233">
        <v>539931.54499999993</v>
      </c>
      <c r="Y16" s="234">
        <v>0</v>
      </c>
      <c r="Z16" s="233">
        <v>6357552.1818046793</v>
      </c>
      <c r="AA16" s="234">
        <v>125830.79676608065</v>
      </c>
      <c r="AB16" s="228"/>
    </row>
    <row r="17" spans="1:28">
      <c r="A17" s="265"/>
      <c r="B17" s="879" t="s">
        <v>370</v>
      </c>
      <c r="C17" s="234">
        <v>141526081.43000001</v>
      </c>
      <c r="D17" s="235">
        <v>8745627.4000000004</v>
      </c>
      <c r="E17" s="234">
        <v>88185651.489999995</v>
      </c>
      <c r="F17" s="235">
        <v>141104838.24999997</v>
      </c>
      <c r="G17" s="234">
        <v>1251078.5699999998</v>
      </c>
      <c r="H17" s="235">
        <v>1964606.7600000002</v>
      </c>
      <c r="I17" s="234">
        <v>520817.72</v>
      </c>
      <c r="J17" s="235">
        <v>8871.1299999999992</v>
      </c>
      <c r="K17" s="234">
        <v>14868228.42</v>
      </c>
      <c r="L17" s="235">
        <v>26117242.069999997</v>
      </c>
      <c r="M17" s="236">
        <v>121121804.31999999</v>
      </c>
      <c r="N17" s="235">
        <v>26556882.320000008</v>
      </c>
      <c r="O17" s="234">
        <v>227348465.04000002</v>
      </c>
      <c r="P17" s="233">
        <v>7453660.7649999997</v>
      </c>
      <c r="Q17" s="234">
        <v>20352576.210000001</v>
      </c>
      <c r="R17" s="233">
        <v>6753952.7150000008</v>
      </c>
      <c r="S17" s="234">
        <v>8428312.1950000003</v>
      </c>
      <c r="T17" s="233">
        <v>2690651.7827434405</v>
      </c>
      <c r="U17" s="234">
        <v>210181.76738082923</v>
      </c>
      <c r="V17" s="233">
        <v>50919.326385324581</v>
      </c>
      <c r="W17" s="234">
        <v>3263621.0082362257</v>
      </c>
      <c r="X17" s="233">
        <v>539931.54499999993</v>
      </c>
      <c r="Y17" s="234">
        <v>0</v>
      </c>
      <c r="Z17" s="233">
        <v>6357552.1818046793</v>
      </c>
      <c r="AA17" s="234">
        <v>125830.79676608065</v>
      </c>
      <c r="AB17" s="228"/>
    </row>
    <row r="18" spans="1:28">
      <c r="A18" s="265"/>
      <c r="B18" s="879" t="s">
        <v>371</v>
      </c>
      <c r="C18" s="234">
        <v>141526081.43000001</v>
      </c>
      <c r="D18" s="235">
        <v>8745627.4000000004</v>
      </c>
      <c r="E18" s="234">
        <v>88185651.489999995</v>
      </c>
      <c r="F18" s="235">
        <v>141104838.24999997</v>
      </c>
      <c r="G18" s="234">
        <v>1251078.5699999998</v>
      </c>
      <c r="H18" s="235">
        <v>1964606.7600000002</v>
      </c>
      <c r="I18" s="234">
        <v>520817.72</v>
      </c>
      <c r="J18" s="235">
        <v>8871.1299999999992</v>
      </c>
      <c r="K18" s="234">
        <v>14868228.42</v>
      </c>
      <c r="L18" s="235">
        <v>26117242.069999997</v>
      </c>
      <c r="M18" s="236">
        <v>121121804.31999999</v>
      </c>
      <c r="N18" s="235">
        <v>26556882.320000008</v>
      </c>
      <c r="O18" s="234">
        <v>227348465.04000002</v>
      </c>
      <c r="P18" s="233">
        <v>7453660.7649999997</v>
      </c>
      <c r="Q18" s="234">
        <v>20352576.210000001</v>
      </c>
      <c r="R18" s="233">
        <v>6753952.7150000008</v>
      </c>
      <c r="S18" s="234">
        <v>8428312.1950000003</v>
      </c>
      <c r="T18" s="233">
        <v>2690651.7827434405</v>
      </c>
      <c r="U18" s="234">
        <v>210181.76738082923</v>
      </c>
      <c r="V18" s="233">
        <v>50919.326385324581</v>
      </c>
      <c r="W18" s="234">
        <v>3263621.0082362257</v>
      </c>
      <c r="X18" s="233">
        <v>539931.54499999993</v>
      </c>
      <c r="Y18" s="234">
        <v>0</v>
      </c>
      <c r="Z18" s="233">
        <v>6357552.1818046793</v>
      </c>
      <c r="AA18" s="234">
        <v>125830.79676608065</v>
      </c>
      <c r="AB18" s="228"/>
    </row>
    <row r="19" spans="1:28">
      <c r="A19" s="265"/>
      <c r="B19" s="879" t="s">
        <v>372</v>
      </c>
      <c r="C19" s="234">
        <v>141526081.43000001</v>
      </c>
      <c r="D19" s="235">
        <v>8745627.4000000004</v>
      </c>
      <c r="E19" s="234">
        <v>88185651.489999995</v>
      </c>
      <c r="F19" s="235">
        <v>141104838.24999997</v>
      </c>
      <c r="G19" s="234">
        <v>1251078.5699999998</v>
      </c>
      <c r="H19" s="235">
        <v>1964606.7600000002</v>
      </c>
      <c r="I19" s="234">
        <v>520817.72</v>
      </c>
      <c r="J19" s="235">
        <v>8871.1299999999992</v>
      </c>
      <c r="K19" s="234">
        <v>14868228.42</v>
      </c>
      <c r="L19" s="235">
        <v>26117242.069999997</v>
      </c>
      <c r="M19" s="236">
        <v>121121804.31999999</v>
      </c>
      <c r="N19" s="235">
        <v>26556882.320000008</v>
      </c>
      <c r="O19" s="234">
        <v>227348465.04000002</v>
      </c>
      <c r="P19" s="233">
        <v>7453660.7649999997</v>
      </c>
      <c r="Q19" s="234">
        <v>20352576.210000001</v>
      </c>
      <c r="R19" s="233">
        <v>6753952.7150000008</v>
      </c>
      <c r="S19" s="234">
        <v>8428312.1950000003</v>
      </c>
      <c r="T19" s="233">
        <v>2690651.7827434405</v>
      </c>
      <c r="U19" s="234">
        <v>210181.76738082923</v>
      </c>
      <c r="V19" s="233">
        <v>50919.326385324581</v>
      </c>
      <c r="W19" s="234">
        <v>3263621.0082362257</v>
      </c>
      <c r="X19" s="233">
        <v>539931.54499999993</v>
      </c>
      <c r="Y19" s="234">
        <v>2549470.7928643567</v>
      </c>
      <c r="Z19" s="233">
        <v>6357552.1818046793</v>
      </c>
      <c r="AA19" s="234">
        <v>125830.79676608065</v>
      </c>
      <c r="AB19" s="228"/>
    </row>
    <row r="20" spans="1:28">
      <c r="A20" s="265"/>
      <c r="B20" s="879" t="s">
        <v>373</v>
      </c>
      <c r="C20" s="234">
        <v>141526081.43000001</v>
      </c>
      <c r="D20" s="235">
        <v>8745627.4000000004</v>
      </c>
      <c r="E20" s="234">
        <v>88185651.489999995</v>
      </c>
      <c r="F20" s="235">
        <v>141104838.24999997</v>
      </c>
      <c r="G20" s="234">
        <v>1251078.5699999998</v>
      </c>
      <c r="H20" s="235">
        <v>1964606.7600000002</v>
      </c>
      <c r="I20" s="234">
        <v>520817.72</v>
      </c>
      <c r="J20" s="235">
        <v>8871.1299999999992</v>
      </c>
      <c r="K20" s="234">
        <v>14868228.42</v>
      </c>
      <c r="L20" s="235">
        <v>26117242.069999997</v>
      </c>
      <c r="M20" s="236">
        <v>121121804.31999999</v>
      </c>
      <c r="N20" s="235">
        <v>26556882.320000008</v>
      </c>
      <c r="O20" s="234">
        <v>227348465.04000002</v>
      </c>
      <c r="P20" s="233">
        <v>7453660.7649999997</v>
      </c>
      <c r="Q20" s="234">
        <v>20352576.210000001</v>
      </c>
      <c r="R20" s="233">
        <v>6753952.7150000008</v>
      </c>
      <c r="S20" s="234">
        <v>8428312.1950000003</v>
      </c>
      <c r="T20" s="233">
        <v>2690651.7827434405</v>
      </c>
      <c r="U20" s="234">
        <v>210181.76738082923</v>
      </c>
      <c r="V20" s="233">
        <v>50919.326385324581</v>
      </c>
      <c r="W20" s="234">
        <v>3263621.0082362257</v>
      </c>
      <c r="X20" s="233">
        <v>539931.54499999993</v>
      </c>
      <c r="Y20" s="234">
        <v>2549470.7928643567</v>
      </c>
      <c r="Z20" s="233">
        <v>6357552.1818046793</v>
      </c>
      <c r="AA20" s="234">
        <v>125830.79676608065</v>
      </c>
      <c r="AB20" s="228"/>
    </row>
    <row r="21" spans="1:28">
      <c r="A21" s="265"/>
      <c r="B21" s="879" t="s">
        <v>374</v>
      </c>
      <c r="C21" s="234">
        <v>141526081.43000001</v>
      </c>
      <c r="D21" s="235">
        <v>8745627.4000000004</v>
      </c>
      <c r="E21" s="234">
        <v>88185651.489999995</v>
      </c>
      <c r="F21" s="235">
        <v>141104838.24999997</v>
      </c>
      <c r="G21" s="234">
        <v>1251078.5699999998</v>
      </c>
      <c r="H21" s="235">
        <v>1964606.7600000002</v>
      </c>
      <c r="I21" s="234">
        <v>520817.72</v>
      </c>
      <c r="J21" s="235">
        <v>8871.1299999999992</v>
      </c>
      <c r="K21" s="234">
        <v>14868228.42</v>
      </c>
      <c r="L21" s="235">
        <v>26117242.069999997</v>
      </c>
      <c r="M21" s="236">
        <v>121121804.31999999</v>
      </c>
      <c r="N21" s="235">
        <v>26556882.320000008</v>
      </c>
      <c r="O21" s="234">
        <v>227348465.04000002</v>
      </c>
      <c r="P21" s="233">
        <v>7453660.7649999997</v>
      </c>
      <c r="Q21" s="234">
        <v>20352576.210000001</v>
      </c>
      <c r="R21" s="233">
        <v>6753952.7150000008</v>
      </c>
      <c r="S21" s="234">
        <v>8428312.1950000003</v>
      </c>
      <c r="T21" s="233">
        <v>2690651.7827434405</v>
      </c>
      <c r="U21" s="234">
        <v>210181.76738082923</v>
      </c>
      <c r="V21" s="233">
        <v>50919.326385324581</v>
      </c>
      <c r="W21" s="234">
        <v>3263621.0082362257</v>
      </c>
      <c r="X21" s="233">
        <v>539931.54499999993</v>
      </c>
      <c r="Y21" s="234">
        <v>2549470.7928643567</v>
      </c>
      <c r="Z21" s="233">
        <v>6357552.1818046793</v>
      </c>
      <c r="AA21" s="234">
        <v>143996.89804327206</v>
      </c>
      <c r="AB21" s="228"/>
    </row>
    <row r="22" spans="1:28">
      <c r="A22" s="238"/>
      <c r="B22" s="918" t="str">
        <f>"December "&amp;B3</f>
        <v>December 2022</v>
      </c>
      <c r="C22" s="263">
        <v>141526081.43000001</v>
      </c>
      <c r="D22" s="262">
        <v>8745627.4000000004</v>
      </c>
      <c r="E22" s="263">
        <v>88185651.489999995</v>
      </c>
      <c r="F22" s="262">
        <v>141104838.24999997</v>
      </c>
      <c r="G22" s="263">
        <v>1251078.5699999998</v>
      </c>
      <c r="H22" s="262">
        <v>1964606.7600000002</v>
      </c>
      <c r="I22" s="263">
        <v>520817.72</v>
      </c>
      <c r="J22" s="262">
        <v>8871.1299999999992</v>
      </c>
      <c r="K22" s="263">
        <v>14868228.42</v>
      </c>
      <c r="L22" s="262">
        <v>26117242.069999997</v>
      </c>
      <c r="M22" s="275">
        <v>121121804.31999999</v>
      </c>
      <c r="N22" s="262">
        <v>26556882.320000008</v>
      </c>
      <c r="O22" s="263">
        <v>227348465.04000002</v>
      </c>
      <c r="P22" s="274">
        <v>7453660.7649999997</v>
      </c>
      <c r="Q22" s="263">
        <v>20352576.210000001</v>
      </c>
      <c r="R22" s="274">
        <v>6753952.7150000008</v>
      </c>
      <c r="S22" s="263">
        <v>8428312.1950000003</v>
      </c>
      <c r="T22" s="274">
        <v>2690651.7827434405</v>
      </c>
      <c r="U22" s="263">
        <v>210181.76738082923</v>
      </c>
      <c r="V22" s="274">
        <v>50919.326385324581</v>
      </c>
      <c r="W22" s="263">
        <v>3263621.0082362257</v>
      </c>
      <c r="X22" s="274">
        <v>539931.54499999993</v>
      </c>
      <c r="Y22" s="234">
        <v>2549470.7928643567</v>
      </c>
      <c r="Z22" s="274">
        <v>6357552.1818046793</v>
      </c>
      <c r="AA22" s="234">
        <v>143996.89804327206</v>
      </c>
      <c r="AB22" s="228"/>
    </row>
    <row r="23" spans="1:28">
      <c r="A23" s="249"/>
      <c r="B23" s="281" t="s">
        <v>614</v>
      </c>
      <c r="C23" s="229">
        <f t="shared" ref="C23:AA23" si="0">AVERAGE(C10:C22)</f>
        <v>141526081.43000004</v>
      </c>
      <c r="D23" s="229">
        <f t="shared" si="0"/>
        <v>8745627.4000000022</v>
      </c>
      <c r="E23" s="229">
        <f t="shared" si="0"/>
        <v>88185651.489999995</v>
      </c>
      <c r="F23" s="229">
        <f t="shared" si="0"/>
        <v>141104838.24999997</v>
      </c>
      <c r="G23" s="229">
        <f t="shared" si="0"/>
        <v>1251078.57</v>
      </c>
      <c r="H23" s="229">
        <f t="shared" si="0"/>
        <v>1964606.7600000005</v>
      </c>
      <c r="I23" s="229">
        <f t="shared" si="0"/>
        <v>520817.7199999998</v>
      </c>
      <c r="J23" s="229">
        <f t="shared" si="0"/>
        <v>8871.130000000001</v>
      </c>
      <c r="K23" s="229">
        <f t="shared" si="0"/>
        <v>14868228.419999996</v>
      </c>
      <c r="L23" s="229">
        <f t="shared" si="0"/>
        <v>26117242.069999997</v>
      </c>
      <c r="M23" s="229">
        <f t="shared" si="0"/>
        <v>121121804.31999995</v>
      </c>
      <c r="N23" s="229">
        <f t="shared" si="0"/>
        <v>26556882.32</v>
      </c>
      <c r="O23" s="229">
        <f t="shared" si="0"/>
        <v>227348465.03999999</v>
      </c>
      <c r="P23" s="229">
        <f t="shared" si="0"/>
        <v>7453660.7649999997</v>
      </c>
      <c r="Q23" s="229">
        <f t="shared" si="0"/>
        <v>20352576.210000005</v>
      </c>
      <c r="R23" s="229">
        <f t="shared" si="0"/>
        <v>6753952.7150000026</v>
      </c>
      <c r="S23" s="229">
        <f t="shared" si="0"/>
        <v>8428312.1949999966</v>
      </c>
      <c r="T23" s="229">
        <f t="shared" si="0"/>
        <v>2690651.78274344</v>
      </c>
      <c r="U23" s="229">
        <f t="shared" si="0"/>
        <v>210181.76738082929</v>
      </c>
      <c r="V23" s="229">
        <f t="shared" si="0"/>
        <v>50919.326385324581</v>
      </c>
      <c r="W23" s="229">
        <f t="shared" si="0"/>
        <v>3263621.0082362262</v>
      </c>
      <c r="X23" s="229">
        <f t="shared" si="0"/>
        <v>539931.54499999993</v>
      </c>
      <c r="Y23" s="229">
        <f t="shared" si="0"/>
        <v>784452.55165057129</v>
      </c>
      <c r="Z23" s="229">
        <f t="shared" si="0"/>
        <v>5377899.8461424205</v>
      </c>
      <c r="AA23" s="229">
        <f t="shared" si="0"/>
        <v>128625.58157795624</v>
      </c>
      <c r="AB23" s="228"/>
    </row>
    <row r="24" spans="1:28">
      <c r="A24" s="249"/>
      <c r="B24" s="279"/>
      <c r="C24" s="279"/>
      <c r="D24" s="279"/>
      <c r="E24" s="279"/>
      <c r="F24" s="279"/>
      <c r="G24" s="279"/>
      <c r="H24" s="279"/>
      <c r="I24" s="279"/>
      <c r="J24" s="279"/>
      <c r="K24" s="279"/>
      <c r="L24" s="279"/>
      <c r="M24" s="280"/>
      <c r="N24" s="279"/>
      <c r="O24" s="279"/>
      <c r="P24" s="279"/>
      <c r="Q24" s="279"/>
      <c r="R24" s="279"/>
      <c r="S24" s="279"/>
      <c r="T24" s="279"/>
      <c r="U24" s="279"/>
      <c r="V24" s="279"/>
      <c r="W24" s="279"/>
      <c r="X24" s="279"/>
      <c r="Y24" s="279"/>
      <c r="Z24" s="279"/>
      <c r="AA24" s="279"/>
      <c r="AB24" s="228"/>
    </row>
    <row r="25" spans="1:28">
      <c r="A25" s="249"/>
      <c r="B25" s="279"/>
      <c r="C25" s="279"/>
      <c r="D25" s="279"/>
      <c r="E25" s="279"/>
      <c r="F25" s="279"/>
      <c r="G25" s="279"/>
      <c r="H25" s="279"/>
      <c r="I25" s="279"/>
      <c r="J25" s="279"/>
      <c r="K25" s="279"/>
      <c r="L25" s="279"/>
      <c r="M25" s="280"/>
      <c r="N25" s="279"/>
      <c r="O25" s="279"/>
      <c r="P25" s="279"/>
      <c r="Q25" s="279"/>
      <c r="R25" s="279"/>
      <c r="S25" s="279"/>
      <c r="T25" s="279"/>
      <c r="U25" s="279"/>
      <c r="V25" s="279"/>
      <c r="W25" s="279"/>
      <c r="X25" s="279"/>
      <c r="Y25" s="279"/>
      <c r="Z25" s="279"/>
      <c r="AA25" s="279"/>
      <c r="AB25" s="228"/>
    </row>
    <row r="26" spans="1:28">
      <c r="A26" s="278" t="s">
        <v>618</v>
      </c>
      <c r="B26" s="277" t="str">
        <f t="shared" ref="B26:B38" si="1">+B10</f>
        <v>December 2021</v>
      </c>
      <c r="C26" s="240">
        <f t="shared" ref="C26:AA26" si="2">+C10-C43</f>
        <v>40455119.752730981</v>
      </c>
      <c r="D26" s="241">
        <f t="shared" si="2"/>
        <v>3330994.5200399999</v>
      </c>
      <c r="E26" s="240">
        <f t="shared" si="2"/>
        <v>28275628.984647825</v>
      </c>
      <c r="F26" s="241">
        <f t="shared" si="2"/>
        <v>29835128.242662504</v>
      </c>
      <c r="G26" s="240">
        <f t="shared" si="2"/>
        <v>243639.25748150004</v>
      </c>
      <c r="H26" s="241">
        <f t="shared" si="2"/>
        <v>274826.52727399999</v>
      </c>
      <c r="I26" s="240">
        <f t="shared" si="2"/>
        <v>61053.273966000008</v>
      </c>
      <c r="J26" s="241">
        <f t="shared" si="2"/>
        <v>-359016.89185449993</v>
      </c>
      <c r="K26" s="240">
        <f t="shared" si="2"/>
        <v>4193935.060721999</v>
      </c>
      <c r="L26" s="241">
        <f t="shared" si="2"/>
        <v>2664508.7969099991</v>
      </c>
      <c r="M26" s="242">
        <f t="shared" si="2"/>
        <v>30261895.807111993</v>
      </c>
      <c r="N26" s="241">
        <f t="shared" si="2"/>
        <v>4774544.8654079959</v>
      </c>
      <c r="O26" s="240">
        <f t="shared" si="2"/>
        <v>23896432.143956006</v>
      </c>
      <c r="P26" s="239">
        <f t="shared" si="2"/>
        <v>634434.0996993864</v>
      </c>
      <c r="Q26" s="240">
        <f t="shared" si="2"/>
        <v>810492.92857250199</v>
      </c>
      <c r="R26" s="239">
        <f t="shared" si="2"/>
        <v>502094.82828150038</v>
      </c>
      <c r="S26" s="240">
        <f t="shared" si="2"/>
        <v>630642.11316899955</v>
      </c>
      <c r="T26" s="239">
        <f t="shared" si="2"/>
        <v>11903.163040334824</v>
      </c>
      <c r="U26" s="240">
        <f t="shared" si="2"/>
        <v>1851.7013706251164</v>
      </c>
      <c r="V26" s="239">
        <f t="shared" si="2"/>
        <v>448.59926545470807</v>
      </c>
      <c r="W26" s="240">
        <f t="shared" si="2"/>
        <v>28752.501082560979</v>
      </c>
      <c r="X26" s="239">
        <f t="shared" si="2"/>
        <v>58044.465367174998</v>
      </c>
      <c r="Y26" s="240">
        <f t="shared" si="2"/>
        <v>0</v>
      </c>
      <c r="Z26" s="239">
        <f t="shared" si="2"/>
        <v>0</v>
      </c>
      <c r="AA26" s="240">
        <f t="shared" si="2"/>
        <v>1108.5693195091735</v>
      </c>
      <c r="AB26" s="228"/>
    </row>
    <row r="27" spans="1:28">
      <c r="A27" s="265" t="s">
        <v>617</v>
      </c>
      <c r="B27" s="276" t="str">
        <f t="shared" si="1"/>
        <v>January 2022</v>
      </c>
      <c r="C27" s="234">
        <f t="shared" ref="C27:AA27" si="3">+C11-C44</f>
        <v>40731095.611519486</v>
      </c>
      <c r="D27" s="235">
        <f t="shared" si="3"/>
        <v>3352275.5467133326</v>
      </c>
      <c r="E27" s="234">
        <f t="shared" si="3"/>
        <v>28447716.265422463</v>
      </c>
      <c r="F27" s="235">
        <f t="shared" si="3"/>
        <v>30094996.319772929</v>
      </c>
      <c r="G27" s="234">
        <f t="shared" si="3"/>
        <v>246339.50206175004</v>
      </c>
      <c r="H27" s="235">
        <f t="shared" si="3"/>
        <v>279296.00765300007</v>
      </c>
      <c r="I27" s="234">
        <f t="shared" si="3"/>
        <v>62272.855460333347</v>
      </c>
      <c r="J27" s="235">
        <f t="shared" si="3"/>
        <v>-358979.41133024992</v>
      </c>
      <c r="K27" s="234">
        <f t="shared" si="3"/>
        <v>4228875.3975089993</v>
      </c>
      <c r="L27" s="235">
        <f t="shared" si="3"/>
        <v>2721096.1547283344</v>
      </c>
      <c r="M27" s="236">
        <f t="shared" si="3"/>
        <v>30622233.174963981</v>
      </c>
      <c r="N27" s="235">
        <f t="shared" si="3"/>
        <v>4838281.3829759955</v>
      </c>
      <c r="O27" s="234">
        <f t="shared" si="3"/>
        <v>24367037.71628201</v>
      </c>
      <c r="P27" s="233">
        <f t="shared" si="3"/>
        <v>650458.42714928556</v>
      </c>
      <c r="Q27" s="234">
        <f t="shared" si="3"/>
        <v>852046.10500125214</v>
      </c>
      <c r="R27" s="233">
        <f t="shared" si="3"/>
        <v>517966.61716174986</v>
      </c>
      <c r="S27" s="234">
        <f t="shared" si="3"/>
        <v>650589.11869716644</v>
      </c>
      <c r="T27" s="233">
        <f t="shared" si="3"/>
        <v>17829.323591827415</v>
      </c>
      <c r="U27" s="234">
        <f t="shared" si="3"/>
        <v>2314.6267132813809</v>
      </c>
      <c r="V27" s="233">
        <f t="shared" si="3"/>
        <v>560.74908181838691</v>
      </c>
      <c r="W27" s="234">
        <f t="shared" si="3"/>
        <v>35940.626353201456</v>
      </c>
      <c r="X27" s="233">
        <f t="shared" si="3"/>
        <v>59233.664595037466</v>
      </c>
      <c r="Y27" s="234">
        <f t="shared" si="3"/>
        <v>0</v>
      </c>
      <c r="Z27" s="233">
        <f t="shared" si="3"/>
        <v>0</v>
      </c>
      <c r="AA27" s="234">
        <f t="shared" si="3"/>
        <v>1385.7116493864596</v>
      </c>
      <c r="AB27" s="228"/>
    </row>
    <row r="28" spans="1:28">
      <c r="A28" s="265"/>
      <c r="B28" s="276" t="str">
        <f t="shared" si="1"/>
        <v>February</v>
      </c>
      <c r="C28" s="234">
        <f t="shared" ref="C28:AA28" si="4">+C12-C45</f>
        <v>41007071.470307976</v>
      </c>
      <c r="D28" s="235">
        <f t="shared" si="4"/>
        <v>3373556.5733866654</v>
      </c>
      <c r="E28" s="234">
        <f t="shared" si="4"/>
        <v>28619803.546197101</v>
      </c>
      <c r="F28" s="235">
        <f t="shared" si="4"/>
        <v>30354864.396883339</v>
      </c>
      <c r="G28" s="234">
        <f t="shared" si="4"/>
        <v>249039.74664200004</v>
      </c>
      <c r="H28" s="235">
        <f t="shared" si="4"/>
        <v>283765.48803200014</v>
      </c>
      <c r="I28" s="234">
        <f t="shared" si="4"/>
        <v>63492.436954666628</v>
      </c>
      <c r="J28" s="235">
        <f t="shared" si="4"/>
        <v>-358941.9308059999</v>
      </c>
      <c r="K28" s="234">
        <f t="shared" si="4"/>
        <v>4263815.7342959996</v>
      </c>
      <c r="L28" s="235">
        <f t="shared" si="4"/>
        <v>2777683.512546666</v>
      </c>
      <c r="M28" s="236">
        <f t="shared" si="4"/>
        <v>30982570.542815983</v>
      </c>
      <c r="N28" s="235">
        <f t="shared" si="4"/>
        <v>4902017.9005439952</v>
      </c>
      <c r="O28" s="234">
        <f t="shared" si="4"/>
        <v>24837643.288608015</v>
      </c>
      <c r="P28" s="233">
        <f t="shared" si="4"/>
        <v>666482.75459918287</v>
      </c>
      <c r="Q28" s="234">
        <f t="shared" si="4"/>
        <v>893599.28142999858</v>
      </c>
      <c r="R28" s="233">
        <f t="shared" si="4"/>
        <v>533838.40604200028</v>
      </c>
      <c r="S28" s="234">
        <f t="shared" si="4"/>
        <v>670536.12422533333</v>
      </c>
      <c r="T28" s="233">
        <f t="shared" si="4"/>
        <v>23755.48414331954</v>
      </c>
      <c r="U28" s="234">
        <f t="shared" si="4"/>
        <v>2777.5520559376455</v>
      </c>
      <c r="V28" s="233">
        <f t="shared" si="4"/>
        <v>672.89889818206575</v>
      </c>
      <c r="W28" s="234">
        <f t="shared" si="4"/>
        <v>43128.751623841934</v>
      </c>
      <c r="X28" s="233">
        <f t="shared" si="4"/>
        <v>60422.863822899992</v>
      </c>
      <c r="Y28" s="234">
        <f t="shared" si="4"/>
        <v>0</v>
      </c>
      <c r="Z28" s="233">
        <f t="shared" si="4"/>
        <v>13960.237199175172</v>
      </c>
      <c r="AA28" s="234">
        <f t="shared" si="4"/>
        <v>1662.8539792637603</v>
      </c>
      <c r="AB28" s="228"/>
    </row>
    <row r="29" spans="1:28">
      <c r="A29" s="265"/>
      <c r="B29" s="276" t="str">
        <f t="shared" si="1"/>
        <v xml:space="preserve">March </v>
      </c>
      <c r="C29" s="234">
        <f t="shared" ref="C29:AA29" si="5">+C13-C46</f>
        <v>41283047.329096466</v>
      </c>
      <c r="D29" s="235">
        <f t="shared" si="5"/>
        <v>3394837.6000599992</v>
      </c>
      <c r="E29" s="234">
        <f t="shared" si="5"/>
        <v>28791890.82697174</v>
      </c>
      <c r="F29" s="235">
        <f t="shared" si="5"/>
        <v>30614732.473993748</v>
      </c>
      <c r="G29" s="234">
        <f t="shared" si="5"/>
        <v>251739.99122225004</v>
      </c>
      <c r="H29" s="235">
        <f t="shared" si="5"/>
        <v>288234.96841099998</v>
      </c>
      <c r="I29" s="234">
        <f t="shared" si="5"/>
        <v>64712.018448999966</v>
      </c>
      <c r="J29" s="235">
        <f t="shared" si="5"/>
        <v>-358904.45028174989</v>
      </c>
      <c r="K29" s="234">
        <f t="shared" si="5"/>
        <v>4298756.0710829999</v>
      </c>
      <c r="L29" s="235">
        <f t="shared" si="5"/>
        <v>2834270.8703650013</v>
      </c>
      <c r="M29" s="236">
        <f t="shared" si="5"/>
        <v>31342907.910667986</v>
      </c>
      <c r="N29" s="235">
        <f t="shared" si="5"/>
        <v>4965754.4181119949</v>
      </c>
      <c r="O29" s="234">
        <f t="shared" si="5"/>
        <v>25308248.860934019</v>
      </c>
      <c r="P29" s="233">
        <f t="shared" si="5"/>
        <v>682507.08204908017</v>
      </c>
      <c r="Q29" s="234">
        <f t="shared" si="5"/>
        <v>935152.45785874873</v>
      </c>
      <c r="R29" s="233">
        <f t="shared" si="5"/>
        <v>549710.19492224976</v>
      </c>
      <c r="S29" s="234">
        <f t="shared" si="5"/>
        <v>690483.12975350022</v>
      </c>
      <c r="T29" s="233">
        <f t="shared" si="5"/>
        <v>29681.64469481213</v>
      </c>
      <c r="U29" s="234">
        <f t="shared" si="5"/>
        <v>3240.4773985939391</v>
      </c>
      <c r="V29" s="233">
        <f t="shared" si="5"/>
        <v>785.04871454574459</v>
      </c>
      <c r="W29" s="234">
        <f t="shared" si="5"/>
        <v>50316.876894481946</v>
      </c>
      <c r="X29" s="233">
        <f t="shared" si="5"/>
        <v>61612.063050762459</v>
      </c>
      <c r="Y29" s="234">
        <f t="shared" si="5"/>
        <v>0</v>
      </c>
      <c r="Z29" s="233">
        <f t="shared" si="5"/>
        <v>27960.139220849611</v>
      </c>
      <c r="AA29" s="234">
        <f t="shared" si="5"/>
        <v>1939.9963091410464</v>
      </c>
      <c r="AB29" s="228"/>
    </row>
    <row r="30" spans="1:28">
      <c r="A30" s="265"/>
      <c r="B30" s="276" t="str">
        <f t="shared" si="1"/>
        <v>April</v>
      </c>
      <c r="C30" s="234">
        <f t="shared" ref="C30:AA30" si="6">+C14-C47</f>
        <v>41559023.187884971</v>
      </c>
      <c r="D30" s="235">
        <f t="shared" si="6"/>
        <v>3416118.6267333329</v>
      </c>
      <c r="E30" s="234">
        <f t="shared" si="6"/>
        <v>28963978.107746378</v>
      </c>
      <c r="F30" s="235">
        <f t="shared" si="6"/>
        <v>30874600.551104173</v>
      </c>
      <c r="G30" s="234">
        <f t="shared" si="6"/>
        <v>254440.23580250004</v>
      </c>
      <c r="H30" s="235">
        <f t="shared" si="6"/>
        <v>292704.44879000005</v>
      </c>
      <c r="I30" s="234">
        <f t="shared" si="6"/>
        <v>65931.599943333305</v>
      </c>
      <c r="J30" s="235">
        <f t="shared" si="6"/>
        <v>-358866.96975749987</v>
      </c>
      <c r="K30" s="234">
        <f t="shared" si="6"/>
        <v>4333696.4078700002</v>
      </c>
      <c r="L30" s="235">
        <f t="shared" si="6"/>
        <v>2890858.2281833328</v>
      </c>
      <c r="M30" s="236">
        <f t="shared" si="6"/>
        <v>31703245.278519988</v>
      </c>
      <c r="N30" s="235">
        <f t="shared" si="6"/>
        <v>5029490.9356799945</v>
      </c>
      <c r="O30" s="234">
        <f t="shared" si="6"/>
        <v>25778854.433259994</v>
      </c>
      <c r="P30" s="233">
        <f t="shared" si="6"/>
        <v>698531.40949897841</v>
      </c>
      <c r="Q30" s="234">
        <f t="shared" si="6"/>
        <v>976705.63428749889</v>
      </c>
      <c r="R30" s="233">
        <f t="shared" si="6"/>
        <v>565581.98380250018</v>
      </c>
      <c r="S30" s="234">
        <f t="shared" si="6"/>
        <v>710430.13528166711</v>
      </c>
      <c r="T30" s="233">
        <f t="shared" si="6"/>
        <v>35607.805246304721</v>
      </c>
      <c r="U30" s="234">
        <f t="shared" si="6"/>
        <v>3703.4027412502037</v>
      </c>
      <c r="V30" s="233">
        <f t="shared" si="6"/>
        <v>897.19853090941615</v>
      </c>
      <c r="W30" s="234">
        <f t="shared" si="6"/>
        <v>57505.002165122423</v>
      </c>
      <c r="X30" s="233">
        <f t="shared" si="6"/>
        <v>62801.262278624985</v>
      </c>
      <c r="Y30" s="234">
        <f t="shared" si="6"/>
        <v>0</v>
      </c>
      <c r="Z30" s="233">
        <f t="shared" si="6"/>
        <v>41962.647901274264</v>
      </c>
      <c r="AA30" s="234">
        <f t="shared" si="6"/>
        <v>2217.138639018347</v>
      </c>
      <c r="AB30" s="228"/>
    </row>
    <row r="31" spans="1:28">
      <c r="A31" s="265"/>
      <c r="B31" s="276" t="str">
        <f t="shared" si="1"/>
        <v>May</v>
      </c>
      <c r="C31" s="234">
        <f t="shared" ref="C31:AA31" si="7">+C15-C48</f>
        <v>41834999.046673477</v>
      </c>
      <c r="D31" s="235">
        <f t="shared" si="7"/>
        <v>3437399.6534066657</v>
      </c>
      <c r="E31" s="234">
        <f t="shared" si="7"/>
        <v>29136065.388521016</v>
      </c>
      <c r="F31" s="235">
        <f t="shared" si="7"/>
        <v>31134468.628214598</v>
      </c>
      <c r="G31" s="234">
        <f t="shared" si="7"/>
        <v>257140.48038275004</v>
      </c>
      <c r="H31" s="235">
        <f t="shared" si="7"/>
        <v>297173.92916900013</v>
      </c>
      <c r="I31" s="234">
        <f t="shared" si="7"/>
        <v>67151.181437666644</v>
      </c>
      <c r="J31" s="235">
        <f t="shared" si="7"/>
        <v>-358829.48923324986</v>
      </c>
      <c r="K31" s="234">
        <f t="shared" si="7"/>
        <v>4368636.7446570005</v>
      </c>
      <c r="L31" s="235">
        <f t="shared" si="7"/>
        <v>2947445.5860016681</v>
      </c>
      <c r="M31" s="236">
        <f t="shared" si="7"/>
        <v>32063582.64637199</v>
      </c>
      <c r="N31" s="235">
        <f t="shared" si="7"/>
        <v>5093227.4532479942</v>
      </c>
      <c r="O31" s="234">
        <f t="shared" si="7"/>
        <v>26249460.005586028</v>
      </c>
      <c r="P31" s="233">
        <f t="shared" si="7"/>
        <v>714555.73694887664</v>
      </c>
      <c r="Q31" s="234">
        <f t="shared" si="7"/>
        <v>1018258.810716249</v>
      </c>
      <c r="R31" s="233">
        <f t="shared" si="7"/>
        <v>581453.77268274967</v>
      </c>
      <c r="S31" s="234">
        <f t="shared" si="7"/>
        <v>730377.14080983307</v>
      </c>
      <c r="T31" s="233">
        <f t="shared" si="7"/>
        <v>41533.965797796845</v>
      </c>
      <c r="U31" s="234">
        <f t="shared" si="7"/>
        <v>4166.3280839064973</v>
      </c>
      <c r="V31" s="233">
        <f t="shared" si="7"/>
        <v>1009.348347273095</v>
      </c>
      <c r="W31" s="234">
        <f t="shared" si="7"/>
        <v>64693.127435762435</v>
      </c>
      <c r="X31" s="233">
        <f t="shared" si="7"/>
        <v>63990.461506487452</v>
      </c>
      <c r="Y31" s="234">
        <f t="shared" si="7"/>
        <v>0</v>
      </c>
      <c r="Z31" s="233">
        <f t="shared" si="7"/>
        <v>55965.156581698917</v>
      </c>
      <c r="AA31" s="234">
        <f t="shared" si="7"/>
        <v>2494.2809688956331</v>
      </c>
      <c r="AB31" s="228"/>
    </row>
    <row r="32" spans="1:28">
      <c r="A32" s="265"/>
      <c r="B32" s="276" t="str">
        <f t="shared" si="1"/>
        <v>June</v>
      </c>
      <c r="C32" s="234">
        <f t="shared" ref="C32:AA32" si="8">+C16-C49</f>
        <v>42110974.905461967</v>
      </c>
      <c r="D32" s="235">
        <f t="shared" si="8"/>
        <v>3458680.6800799984</v>
      </c>
      <c r="E32" s="234">
        <f t="shared" si="8"/>
        <v>29308152.669295654</v>
      </c>
      <c r="F32" s="235">
        <f t="shared" si="8"/>
        <v>31394336.705325007</v>
      </c>
      <c r="G32" s="234">
        <f t="shared" si="8"/>
        <v>259840.72496300004</v>
      </c>
      <c r="H32" s="235">
        <f t="shared" si="8"/>
        <v>301643.4095480002</v>
      </c>
      <c r="I32" s="234">
        <f t="shared" si="8"/>
        <v>68370.762931999983</v>
      </c>
      <c r="J32" s="235">
        <f t="shared" si="8"/>
        <v>-358792.00870899984</v>
      </c>
      <c r="K32" s="234">
        <f t="shared" si="8"/>
        <v>4403577.0814440008</v>
      </c>
      <c r="L32" s="235">
        <f t="shared" si="8"/>
        <v>3004032.9438199997</v>
      </c>
      <c r="M32" s="236">
        <f t="shared" si="8"/>
        <v>32423920.014223978</v>
      </c>
      <c r="N32" s="235">
        <f t="shared" si="8"/>
        <v>5156963.9708159938</v>
      </c>
      <c r="O32" s="234">
        <f t="shared" si="8"/>
        <v>26720065.577912003</v>
      </c>
      <c r="P32" s="233">
        <f t="shared" si="8"/>
        <v>730580.06439877395</v>
      </c>
      <c r="Q32" s="234">
        <f t="shared" si="8"/>
        <v>1059811.9871449992</v>
      </c>
      <c r="R32" s="233">
        <f t="shared" si="8"/>
        <v>597325.56156300008</v>
      </c>
      <c r="S32" s="234">
        <f t="shared" si="8"/>
        <v>750324.14633799996</v>
      </c>
      <c r="T32" s="233">
        <f t="shared" si="8"/>
        <v>47460.126349289436</v>
      </c>
      <c r="U32" s="234">
        <f t="shared" si="8"/>
        <v>4629.2534265627619</v>
      </c>
      <c r="V32" s="233">
        <f t="shared" si="8"/>
        <v>1121.4981636367738</v>
      </c>
      <c r="W32" s="234">
        <f t="shared" si="8"/>
        <v>71881.252706402913</v>
      </c>
      <c r="X32" s="233">
        <f t="shared" si="8"/>
        <v>65179.660734349978</v>
      </c>
      <c r="Y32" s="234">
        <f t="shared" si="8"/>
        <v>0</v>
      </c>
      <c r="Z32" s="233">
        <f t="shared" si="8"/>
        <v>69967.66526212357</v>
      </c>
      <c r="AA32" s="234">
        <f t="shared" si="8"/>
        <v>2771.4232987729192</v>
      </c>
      <c r="AB32" s="228"/>
    </row>
    <row r="33" spans="1:28">
      <c r="A33" s="265"/>
      <c r="B33" s="276" t="str">
        <f t="shared" si="1"/>
        <v>July</v>
      </c>
      <c r="C33" s="234">
        <f t="shared" ref="C33:AA33" si="9">+C17-C50</f>
        <v>42386950.764250457</v>
      </c>
      <c r="D33" s="235">
        <f t="shared" si="9"/>
        <v>3479961.7067533322</v>
      </c>
      <c r="E33" s="234">
        <f t="shared" si="9"/>
        <v>29480239.950070292</v>
      </c>
      <c r="F33" s="235">
        <f t="shared" si="9"/>
        <v>31654204.782435417</v>
      </c>
      <c r="G33" s="234">
        <f t="shared" si="9"/>
        <v>262540.96954325004</v>
      </c>
      <c r="H33" s="235">
        <f t="shared" si="9"/>
        <v>306112.88992700027</v>
      </c>
      <c r="I33" s="234">
        <f t="shared" si="9"/>
        <v>69590.344426333322</v>
      </c>
      <c r="J33" s="235">
        <f t="shared" si="9"/>
        <v>-358754.52818474983</v>
      </c>
      <c r="K33" s="234">
        <f t="shared" si="9"/>
        <v>4438517.4182310011</v>
      </c>
      <c r="L33" s="235">
        <f t="shared" si="9"/>
        <v>3060620.301638335</v>
      </c>
      <c r="M33" s="236">
        <f t="shared" si="9"/>
        <v>32784257.38207598</v>
      </c>
      <c r="N33" s="235">
        <f t="shared" si="9"/>
        <v>5220700.4883839935</v>
      </c>
      <c r="O33" s="234">
        <f t="shared" si="9"/>
        <v>27190671.150238007</v>
      </c>
      <c r="P33" s="233">
        <f t="shared" si="9"/>
        <v>746604.39184867125</v>
      </c>
      <c r="Q33" s="234">
        <f t="shared" si="9"/>
        <v>1101365.1635737494</v>
      </c>
      <c r="R33" s="233">
        <f t="shared" si="9"/>
        <v>613197.35044324957</v>
      </c>
      <c r="S33" s="234">
        <f t="shared" si="9"/>
        <v>770271.15186616685</v>
      </c>
      <c r="T33" s="233">
        <f t="shared" si="9"/>
        <v>53386.286900782026</v>
      </c>
      <c r="U33" s="234">
        <f t="shared" si="9"/>
        <v>5092.1787692190264</v>
      </c>
      <c r="V33" s="233">
        <f t="shared" si="9"/>
        <v>1233.6479800004527</v>
      </c>
      <c r="W33" s="234">
        <f t="shared" si="9"/>
        <v>79069.37797704339</v>
      </c>
      <c r="X33" s="233">
        <f t="shared" si="9"/>
        <v>66368.859962212446</v>
      </c>
      <c r="Y33" s="234">
        <f t="shared" si="9"/>
        <v>0</v>
      </c>
      <c r="Z33" s="233">
        <f t="shared" si="9"/>
        <v>83970.173942549154</v>
      </c>
      <c r="AA33" s="234">
        <f t="shared" si="9"/>
        <v>3048.5656286502199</v>
      </c>
      <c r="AB33" s="228"/>
    </row>
    <row r="34" spans="1:28">
      <c r="A34" s="265"/>
      <c r="B34" s="276" t="str">
        <f t="shared" si="1"/>
        <v xml:space="preserve">August </v>
      </c>
      <c r="C34" s="234">
        <f t="shared" ref="C34:AA34" si="10">+C18-C51</f>
        <v>42662926.623038962</v>
      </c>
      <c r="D34" s="235">
        <f t="shared" si="10"/>
        <v>3501242.7334266659</v>
      </c>
      <c r="E34" s="234">
        <f t="shared" si="10"/>
        <v>29652327.23084493</v>
      </c>
      <c r="F34" s="235">
        <f t="shared" si="10"/>
        <v>31914072.859545842</v>
      </c>
      <c r="G34" s="234">
        <f t="shared" si="10"/>
        <v>265241.21412350005</v>
      </c>
      <c r="H34" s="235">
        <f t="shared" si="10"/>
        <v>310582.37030600011</v>
      </c>
      <c r="I34" s="234">
        <f t="shared" si="10"/>
        <v>70809.925920666661</v>
      </c>
      <c r="J34" s="235">
        <f t="shared" si="10"/>
        <v>-358717.04766049981</v>
      </c>
      <c r="K34" s="234">
        <f t="shared" si="10"/>
        <v>4473457.7550180014</v>
      </c>
      <c r="L34" s="235">
        <f t="shared" si="10"/>
        <v>3117207.6594566666</v>
      </c>
      <c r="M34" s="236">
        <f t="shared" si="10"/>
        <v>33144594.749927983</v>
      </c>
      <c r="N34" s="235">
        <f t="shared" si="10"/>
        <v>5284437.0059519932</v>
      </c>
      <c r="O34" s="234">
        <f t="shared" si="10"/>
        <v>27661276.722563982</v>
      </c>
      <c r="P34" s="233">
        <f t="shared" si="10"/>
        <v>762628.71929857042</v>
      </c>
      <c r="Q34" s="234">
        <f t="shared" si="10"/>
        <v>1142918.3400024995</v>
      </c>
      <c r="R34" s="233">
        <f t="shared" si="10"/>
        <v>629069.13932349999</v>
      </c>
      <c r="S34" s="234">
        <f t="shared" si="10"/>
        <v>790218.15739433281</v>
      </c>
      <c r="T34" s="233">
        <f t="shared" si="10"/>
        <v>59312.447452274151</v>
      </c>
      <c r="U34" s="234">
        <f t="shared" si="10"/>
        <v>5555.1041118753201</v>
      </c>
      <c r="V34" s="233">
        <f t="shared" si="10"/>
        <v>1345.7977963641315</v>
      </c>
      <c r="W34" s="234">
        <f t="shared" si="10"/>
        <v>86257.503247683402</v>
      </c>
      <c r="X34" s="233">
        <f t="shared" si="10"/>
        <v>67558.059190074971</v>
      </c>
      <c r="Y34" s="234">
        <f t="shared" si="10"/>
        <v>0</v>
      </c>
      <c r="Z34" s="233">
        <f t="shared" si="10"/>
        <v>97972.682622973807</v>
      </c>
      <c r="AA34" s="234">
        <f t="shared" si="10"/>
        <v>3325.707958527506</v>
      </c>
      <c r="AB34" s="228"/>
    </row>
    <row r="35" spans="1:28">
      <c r="A35" s="265"/>
      <c r="B35" s="276" t="str">
        <f t="shared" si="1"/>
        <v>September</v>
      </c>
      <c r="C35" s="234">
        <f t="shared" ref="C35:AA35" si="11">+C19-C52</f>
        <v>42938902.481827468</v>
      </c>
      <c r="D35" s="235">
        <f t="shared" si="11"/>
        <v>3522523.7600999987</v>
      </c>
      <c r="E35" s="234">
        <f t="shared" si="11"/>
        <v>29824414.511619568</v>
      </c>
      <c r="F35" s="235">
        <f t="shared" si="11"/>
        <v>32173940.936656266</v>
      </c>
      <c r="G35" s="234">
        <f t="shared" si="11"/>
        <v>267941.45870375005</v>
      </c>
      <c r="H35" s="235">
        <f t="shared" si="11"/>
        <v>315051.85068500019</v>
      </c>
      <c r="I35" s="234">
        <f t="shared" si="11"/>
        <v>72029.507415</v>
      </c>
      <c r="J35" s="235">
        <f t="shared" si="11"/>
        <v>-358679.5671362498</v>
      </c>
      <c r="K35" s="234">
        <f t="shared" si="11"/>
        <v>4508398.0918050017</v>
      </c>
      <c r="L35" s="235">
        <f t="shared" si="11"/>
        <v>3173795.0172750019</v>
      </c>
      <c r="M35" s="236">
        <f t="shared" si="11"/>
        <v>33504932.11777997</v>
      </c>
      <c r="N35" s="235">
        <f t="shared" si="11"/>
        <v>5348173.5235199928</v>
      </c>
      <c r="O35" s="234">
        <f t="shared" si="11"/>
        <v>28131882.294889987</v>
      </c>
      <c r="P35" s="233">
        <f t="shared" si="11"/>
        <v>778653.04674846772</v>
      </c>
      <c r="Q35" s="234">
        <f t="shared" si="11"/>
        <v>1184471.5164312497</v>
      </c>
      <c r="R35" s="233">
        <f t="shared" si="11"/>
        <v>644940.92820374947</v>
      </c>
      <c r="S35" s="234">
        <f t="shared" si="11"/>
        <v>810165.1629224997</v>
      </c>
      <c r="T35" s="233">
        <f t="shared" si="11"/>
        <v>65238.608003766742</v>
      </c>
      <c r="U35" s="234">
        <f t="shared" si="11"/>
        <v>6018.0294545315846</v>
      </c>
      <c r="V35" s="233">
        <f t="shared" si="11"/>
        <v>1457.9476127278031</v>
      </c>
      <c r="W35" s="234">
        <f t="shared" si="11"/>
        <v>93445.62851832388</v>
      </c>
      <c r="X35" s="233">
        <f t="shared" si="11"/>
        <v>68747.258417937439</v>
      </c>
      <c r="Y35" s="234">
        <f t="shared" si="11"/>
        <v>5615.2094212835655</v>
      </c>
      <c r="Z35" s="233">
        <f t="shared" si="11"/>
        <v>111975.19130339846</v>
      </c>
      <c r="AA35" s="234">
        <f t="shared" si="11"/>
        <v>3602.8502884048066</v>
      </c>
      <c r="AB35" s="228"/>
    </row>
    <row r="36" spans="1:28">
      <c r="A36" s="265"/>
      <c r="B36" s="276" t="str">
        <f t="shared" si="1"/>
        <v>October</v>
      </c>
      <c r="C36" s="234">
        <f t="shared" ref="C36:AA36" si="12">+C20-C53</f>
        <v>43214878.340615958</v>
      </c>
      <c r="D36" s="235">
        <f t="shared" si="12"/>
        <v>3543804.7867733315</v>
      </c>
      <c r="E36" s="234">
        <f t="shared" si="12"/>
        <v>29996501.792394206</v>
      </c>
      <c r="F36" s="235">
        <f t="shared" si="12"/>
        <v>32433809.013766676</v>
      </c>
      <c r="G36" s="234">
        <f t="shared" si="12"/>
        <v>270641.70328400005</v>
      </c>
      <c r="H36" s="235">
        <f t="shared" si="12"/>
        <v>319521.33106400026</v>
      </c>
      <c r="I36" s="234">
        <f t="shared" si="12"/>
        <v>73249.088909333339</v>
      </c>
      <c r="J36" s="235">
        <f t="shared" si="12"/>
        <v>-358642.08661199978</v>
      </c>
      <c r="K36" s="234">
        <f t="shared" si="12"/>
        <v>4543338.428592002</v>
      </c>
      <c r="L36" s="235">
        <f t="shared" si="12"/>
        <v>3230382.3750933334</v>
      </c>
      <c r="M36" s="236">
        <f t="shared" si="12"/>
        <v>33865269.485631973</v>
      </c>
      <c r="N36" s="235">
        <f t="shared" si="12"/>
        <v>5411910.0410879925</v>
      </c>
      <c r="O36" s="234">
        <f t="shared" si="12"/>
        <v>28602487.867215991</v>
      </c>
      <c r="P36" s="233">
        <f t="shared" si="12"/>
        <v>794677.37419836503</v>
      </c>
      <c r="Q36" s="234">
        <f t="shared" si="12"/>
        <v>1226024.6928599998</v>
      </c>
      <c r="R36" s="233">
        <f t="shared" si="12"/>
        <v>660812.71708399989</v>
      </c>
      <c r="S36" s="234">
        <f t="shared" si="12"/>
        <v>830112.16845066659</v>
      </c>
      <c r="T36" s="233">
        <f t="shared" si="12"/>
        <v>71164.768555259332</v>
      </c>
      <c r="U36" s="234">
        <f t="shared" si="12"/>
        <v>6480.9547971878783</v>
      </c>
      <c r="V36" s="233">
        <f t="shared" si="12"/>
        <v>1570.0974290914819</v>
      </c>
      <c r="W36" s="234">
        <f t="shared" si="12"/>
        <v>100633.75378896389</v>
      </c>
      <c r="X36" s="233">
        <f t="shared" si="12"/>
        <v>69936.457645799965</v>
      </c>
      <c r="Y36" s="234">
        <f t="shared" si="12"/>
        <v>11230.418842567597</v>
      </c>
      <c r="Z36" s="233">
        <f t="shared" si="12"/>
        <v>125977.69998382311</v>
      </c>
      <c r="AA36" s="234">
        <f t="shared" si="12"/>
        <v>3879.9926182820927</v>
      </c>
      <c r="AB36" s="228"/>
    </row>
    <row r="37" spans="1:28">
      <c r="A37" s="265"/>
      <c r="B37" s="276" t="str">
        <f t="shared" si="1"/>
        <v>November</v>
      </c>
      <c r="C37" s="234">
        <f t="shared" ref="C37:AA37" si="13">+C21-C54</f>
        <v>43490854.199404448</v>
      </c>
      <c r="D37" s="235">
        <f t="shared" si="13"/>
        <v>3565085.8134466652</v>
      </c>
      <c r="E37" s="234">
        <f t="shared" si="13"/>
        <v>30168589.073168844</v>
      </c>
      <c r="F37" s="235">
        <f t="shared" si="13"/>
        <v>32693677.090877086</v>
      </c>
      <c r="G37" s="234">
        <f t="shared" si="13"/>
        <v>273341.94786425005</v>
      </c>
      <c r="H37" s="235">
        <f t="shared" si="13"/>
        <v>323990.8114430001</v>
      </c>
      <c r="I37" s="234">
        <f t="shared" si="13"/>
        <v>74468.670403666678</v>
      </c>
      <c r="J37" s="235">
        <f t="shared" si="13"/>
        <v>-358604.60608774977</v>
      </c>
      <c r="K37" s="234">
        <f t="shared" si="13"/>
        <v>4578278.7653790023</v>
      </c>
      <c r="L37" s="235">
        <f t="shared" si="13"/>
        <v>3286969.7329116687</v>
      </c>
      <c r="M37" s="236">
        <f t="shared" si="13"/>
        <v>34225606.853483975</v>
      </c>
      <c r="N37" s="235">
        <f t="shared" si="13"/>
        <v>5475646.5586559922</v>
      </c>
      <c r="O37" s="234">
        <f t="shared" si="13"/>
        <v>29073093.439541996</v>
      </c>
      <c r="P37" s="233">
        <f t="shared" si="13"/>
        <v>810701.70164826326</v>
      </c>
      <c r="Q37" s="234">
        <f t="shared" si="13"/>
        <v>1267577.86928875</v>
      </c>
      <c r="R37" s="233">
        <f t="shared" si="13"/>
        <v>676684.50596424937</v>
      </c>
      <c r="S37" s="234">
        <f t="shared" si="13"/>
        <v>850059.17397883348</v>
      </c>
      <c r="T37" s="233">
        <f t="shared" si="13"/>
        <v>77090.929106751457</v>
      </c>
      <c r="U37" s="234">
        <f t="shared" si="13"/>
        <v>6943.8801398441428</v>
      </c>
      <c r="V37" s="233">
        <f t="shared" si="13"/>
        <v>1682.2472454551607</v>
      </c>
      <c r="W37" s="234">
        <f t="shared" si="13"/>
        <v>107821.87905960437</v>
      </c>
      <c r="X37" s="233">
        <f t="shared" si="13"/>
        <v>71125.656873662432</v>
      </c>
      <c r="Y37" s="234">
        <f t="shared" si="13"/>
        <v>16845.628263851162</v>
      </c>
      <c r="Z37" s="233">
        <f t="shared" si="13"/>
        <v>139980.20866424777</v>
      </c>
      <c r="AA37" s="234">
        <f t="shared" si="13"/>
        <v>4197.1457862223906</v>
      </c>
      <c r="AB37" s="228"/>
    </row>
    <row r="38" spans="1:28">
      <c r="A38" s="238"/>
      <c r="B38" s="276" t="str">
        <f t="shared" si="1"/>
        <v>December 2022</v>
      </c>
      <c r="C38" s="263">
        <f t="shared" ref="C38:AA38" si="14">+C22-C55</f>
        <v>43766830.058192953</v>
      </c>
      <c r="D38" s="262">
        <f t="shared" si="14"/>
        <v>3586366.8401199989</v>
      </c>
      <c r="E38" s="263">
        <f t="shared" si="14"/>
        <v>30340676.353943482</v>
      </c>
      <c r="F38" s="262">
        <f t="shared" si="14"/>
        <v>32953545.167987511</v>
      </c>
      <c r="G38" s="263">
        <f t="shared" si="14"/>
        <v>276042.19244450005</v>
      </c>
      <c r="H38" s="262">
        <f t="shared" si="14"/>
        <v>328460.29182200017</v>
      </c>
      <c r="I38" s="263">
        <f t="shared" si="14"/>
        <v>75688.251898000017</v>
      </c>
      <c r="J38" s="262">
        <f t="shared" si="14"/>
        <v>-358567.12556349975</v>
      </c>
      <c r="K38" s="263">
        <f t="shared" si="14"/>
        <v>4613219.1021660026</v>
      </c>
      <c r="L38" s="262">
        <f t="shared" si="14"/>
        <v>3343557.0907300003</v>
      </c>
      <c r="M38" s="275">
        <f t="shared" si="14"/>
        <v>34585944.221335977</v>
      </c>
      <c r="N38" s="262">
        <f t="shared" si="14"/>
        <v>5539383.0762239918</v>
      </c>
      <c r="O38" s="263">
        <f t="shared" si="14"/>
        <v>29543699.011868</v>
      </c>
      <c r="P38" s="274">
        <f t="shared" si="14"/>
        <v>826726.0290981615</v>
      </c>
      <c r="Q38" s="263">
        <f t="shared" si="14"/>
        <v>1309131.0457175002</v>
      </c>
      <c r="R38" s="274">
        <f t="shared" si="14"/>
        <v>692556.29484449979</v>
      </c>
      <c r="S38" s="263">
        <f t="shared" si="14"/>
        <v>870006.17950700037</v>
      </c>
      <c r="T38" s="274">
        <f t="shared" si="14"/>
        <v>83017.089658244047</v>
      </c>
      <c r="U38" s="263">
        <f t="shared" si="14"/>
        <v>7406.8054825004365</v>
      </c>
      <c r="V38" s="274">
        <f t="shared" si="14"/>
        <v>1794.3970618188396</v>
      </c>
      <c r="W38" s="263">
        <f t="shared" si="14"/>
        <v>115010.00433024438</v>
      </c>
      <c r="X38" s="274">
        <f t="shared" si="14"/>
        <v>72314.856101524958</v>
      </c>
      <c r="Y38" s="234">
        <f t="shared" si="14"/>
        <v>22460.837685135193</v>
      </c>
      <c r="Z38" s="233">
        <f t="shared" si="14"/>
        <v>153982.71734467242</v>
      </c>
      <c r="AA38" s="263">
        <f t="shared" si="14"/>
        <v>4514.2989541627176</v>
      </c>
      <c r="AB38" s="228"/>
    </row>
    <row r="39" spans="1:28">
      <c r="A39" s="249"/>
      <c r="B39" s="260" t="s">
        <v>614</v>
      </c>
      <c r="C39" s="229">
        <f t="shared" ref="C39:AA39" si="15">AVERAGE(C26:C38)</f>
        <v>42110974.905461974</v>
      </c>
      <c r="D39" s="229">
        <f t="shared" si="15"/>
        <v>3458680.6800799989</v>
      </c>
      <c r="E39" s="229">
        <f t="shared" si="15"/>
        <v>29308152.669295661</v>
      </c>
      <c r="F39" s="229">
        <f t="shared" si="15"/>
        <v>31394336.705325004</v>
      </c>
      <c r="G39" s="229">
        <f t="shared" si="15"/>
        <v>259840.72496300007</v>
      </c>
      <c r="H39" s="229">
        <f t="shared" si="15"/>
        <v>301643.40954800014</v>
      </c>
      <c r="I39" s="229">
        <f t="shared" si="15"/>
        <v>68370.762931999998</v>
      </c>
      <c r="J39" s="229">
        <f t="shared" si="15"/>
        <v>-358792.00870899984</v>
      </c>
      <c r="K39" s="229">
        <f t="shared" si="15"/>
        <v>4403577.0814440018</v>
      </c>
      <c r="L39" s="229">
        <f t="shared" si="15"/>
        <v>3004032.9438200006</v>
      </c>
      <c r="M39" s="229">
        <f t="shared" si="15"/>
        <v>32423920.014223978</v>
      </c>
      <c r="N39" s="229">
        <f t="shared" si="15"/>
        <v>5156963.9708159938</v>
      </c>
      <c r="O39" s="229">
        <f t="shared" si="15"/>
        <v>26720065.577912007</v>
      </c>
      <c r="P39" s="229">
        <f t="shared" si="15"/>
        <v>730580.06439877418</v>
      </c>
      <c r="Q39" s="229">
        <f t="shared" si="15"/>
        <v>1059811.9871449997</v>
      </c>
      <c r="R39" s="229">
        <f t="shared" si="15"/>
        <v>597325.56156299985</v>
      </c>
      <c r="S39" s="229">
        <f t="shared" si="15"/>
        <v>750324.14633799985</v>
      </c>
      <c r="T39" s="229">
        <f t="shared" si="15"/>
        <v>47460.126349289436</v>
      </c>
      <c r="U39" s="229">
        <f t="shared" si="15"/>
        <v>4629.2534265627637</v>
      </c>
      <c r="V39" s="229">
        <f t="shared" si="15"/>
        <v>1121.4981636367738</v>
      </c>
      <c r="W39" s="229">
        <f t="shared" si="15"/>
        <v>71881.252706402884</v>
      </c>
      <c r="X39" s="229">
        <f t="shared" si="15"/>
        <v>65179.660734349971</v>
      </c>
      <c r="Y39" s="229">
        <f t="shared" si="15"/>
        <v>4319.391862525963</v>
      </c>
      <c r="Z39" s="229">
        <f t="shared" si="15"/>
        <v>71051.886155906628</v>
      </c>
      <c r="AA39" s="229">
        <f t="shared" si="15"/>
        <v>2780.6565690951593</v>
      </c>
      <c r="AB39" s="228"/>
    </row>
    <row r="40" spans="1:28" s="272" customFormat="1">
      <c r="A40" s="273"/>
      <c r="B40" s="231"/>
      <c r="C40" s="251"/>
      <c r="D40" s="251"/>
      <c r="E40" s="251"/>
      <c r="F40" s="251"/>
      <c r="G40" s="251"/>
      <c r="H40" s="252"/>
      <c r="I40" s="252"/>
      <c r="J40" s="252"/>
      <c r="K40" s="251"/>
      <c r="L40" s="253"/>
      <c r="M40" s="253"/>
      <c r="N40" s="252"/>
      <c r="O40" s="251"/>
      <c r="P40" s="252"/>
      <c r="Q40" s="251"/>
      <c r="R40" s="252"/>
      <c r="S40" s="251"/>
      <c r="T40" s="252"/>
      <c r="U40" s="251"/>
      <c r="V40" s="252"/>
      <c r="W40" s="251"/>
      <c r="X40" s="252"/>
      <c r="Y40" s="251"/>
      <c r="Z40" s="252"/>
      <c r="AA40" s="251"/>
      <c r="AB40" s="228"/>
    </row>
    <row r="41" spans="1:28">
      <c r="A41" s="249"/>
      <c r="B41" s="271"/>
      <c r="C41" s="270"/>
      <c r="D41" s="270"/>
      <c r="E41" s="270"/>
      <c r="F41" s="270"/>
      <c r="G41" s="270"/>
      <c r="H41" s="270"/>
      <c r="I41" s="270"/>
      <c r="J41" s="270"/>
      <c r="K41" s="270"/>
      <c r="L41" s="253"/>
      <c r="M41" s="253"/>
      <c r="N41" s="270"/>
      <c r="O41" s="270"/>
      <c r="P41" s="270"/>
      <c r="Q41" s="270"/>
      <c r="R41" s="270"/>
      <c r="S41" s="270"/>
      <c r="T41" s="270"/>
      <c r="U41" s="270"/>
      <c r="V41" s="270"/>
      <c r="W41" s="270"/>
      <c r="X41" s="270"/>
      <c r="Y41" s="270"/>
      <c r="Z41" s="270"/>
      <c r="AA41" s="270"/>
      <c r="AB41" s="228"/>
    </row>
    <row r="42" spans="1:28">
      <c r="A42" s="269"/>
      <c r="B42" s="268"/>
      <c r="C42" s="267"/>
      <c r="D42" s="266"/>
      <c r="E42" s="266"/>
      <c r="F42" s="266"/>
      <c r="G42" s="266"/>
      <c r="H42" s="266"/>
      <c r="I42" s="266"/>
      <c r="J42" s="266"/>
      <c r="K42" s="266"/>
      <c r="L42" s="247"/>
      <c r="M42" s="247"/>
      <c r="N42" s="266"/>
      <c r="O42" s="266"/>
      <c r="P42" s="266"/>
      <c r="Q42" s="266"/>
      <c r="R42" s="266"/>
      <c r="S42" s="266"/>
      <c r="T42" s="266"/>
      <c r="U42" s="266"/>
      <c r="V42" s="266"/>
      <c r="W42" s="266"/>
      <c r="X42" s="266"/>
      <c r="Y42" s="266"/>
      <c r="Z42" s="266"/>
      <c r="AA42" s="266"/>
      <c r="AB42" s="228"/>
    </row>
    <row r="43" spans="1:28">
      <c r="A43" s="265" t="s">
        <v>616</v>
      </c>
      <c r="B43" s="264" t="str">
        <f t="shared" ref="B43:B55" si="16">+B10</f>
        <v>December 2021</v>
      </c>
      <c r="C43" s="240">
        <v>101070961.67726903</v>
      </c>
      <c r="D43" s="241">
        <v>5414632.8799600005</v>
      </c>
      <c r="E43" s="240">
        <v>59910022.505352169</v>
      </c>
      <c r="F43" s="241">
        <v>111269710.00733747</v>
      </c>
      <c r="G43" s="240">
        <v>1007439.3125184998</v>
      </c>
      <c r="H43" s="241">
        <v>1689780.2327260002</v>
      </c>
      <c r="I43" s="240">
        <v>459764.44603399996</v>
      </c>
      <c r="J43" s="241">
        <v>367888.02185449994</v>
      </c>
      <c r="K43" s="240">
        <v>10674293.359278001</v>
      </c>
      <c r="L43" s="241">
        <v>23452733.273089997</v>
      </c>
      <c r="M43" s="242">
        <v>90859908.512887999</v>
      </c>
      <c r="N43" s="241">
        <v>21782337.454592012</v>
      </c>
      <c r="O43" s="240">
        <v>203452032.89604402</v>
      </c>
      <c r="P43" s="239">
        <v>6819226.6653006133</v>
      </c>
      <c r="Q43" s="240">
        <v>19542083.281427499</v>
      </c>
      <c r="R43" s="239">
        <v>6251857.8867185004</v>
      </c>
      <c r="S43" s="240">
        <v>7797670.0818310007</v>
      </c>
      <c r="T43" s="239">
        <v>2678748.6197031057</v>
      </c>
      <c r="U43" s="240">
        <v>208330.06601020411</v>
      </c>
      <c r="V43" s="239">
        <v>50470.727119869873</v>
      </c>
      <c r="W43" s="240">
        <v>3234868.5071536647</v>
      </c>
      <c r="X43" s="239">
        <v>481887.07963282493</v>
      </c>
      <c r="Y43" s="240">
        <v>0</v>
      </c>
      <c r="Z43" s="239">
        <v>0</v>
      </c>
      <c r="AA43" s="240">
        <v>124722.22744657147</v>
      </c>
      <c r="AB43" s="228"/>
    </row>
    <row r="44" spans="1:28">
      <c r="A44" s="265" t="s">
        <v>615</v>
      </c>
      <c r="B44" s="264" t="str">
        <f t="shared" si="16"/>
        <v>January 2022</v>
      </c>
      <c r="C44" s="234">
        <v>100794985.81848052</v>
      </c>
      <c r="D44" s="235">
        <v>5393351.8532866677</v>
      </c>
      <c r="E44" s="234">
        <v>59737935.224577531</v>
      </c>
      <c r="F44" s="235">
        <v>111009841.93022704</v>
      </c>
      <c r="G44" s="234">
        <v>1004739.0679382498</v>
      </c>
      <c r="H44" s="235">
        <v>1685310.7523470002</v>
      </c>
      <c r="I44" s="234">
        <v>458544.86453966663</v>
      </c>
      <c r="J44" s="235">
        <v>367850.54133024992</v>
      </c>
      <c r="K44" s="234">
        <v>10639353.022491001</v>
      </c>
      <c r="L44" s="235">
        <v>23396145.915271662</v>
      </c>
      <c r="M44" s="236">
        <v>90499571.145036012</v>
      </c>
      <c r="N44" s="235">
        <v>21718600.937024012</v>
      </c>
      <c r="O44" s="234">
        <v>202981427.32371801</v>
      </c>
      <c r="P44" s="233">
        <v>6803202.3378507141</v>
      </c>
      <c r="Q44" s="234">
        <v>19500530.104998749</v>
      </c>
      <c r="R44" s="233">
        <v>6235986.0978382509</v>
      </c>
      <c r="S44" s="234">
        <v>7777723.0763028339</v>
      </c>
      <c r="T44" s="233">
        <v>2672822.4591516131</v>
      </c>
      <c r="U44" s="234">
        <v>207867.14066754785</v>
      </c>
      <c r="V44" s="233">
        <v>50358.577303506194</v>
      </c>
      <c r="W44" s="234">
        <v>3227680.3818830242</v>
      </c>
      <c r="X44" s="233">
        <v>480697.88040496246</v>
      </c>
      <c r="Y44" s="234">
        <v>0</v>
      </c>
      <c r="Z44" s="233">
        <v>0</v>
      </c>
      <c r="AA44" s="234">
        <v>124445.08511669419</v>
      </c>
      <c r="AB44" s="228"/>
    </row>
    <row r="45" spans="1:28">
      <c r="A45" s="265"/>
      <c r="B45" s="264" t="str">
        <f t="shared" si="16"/>
        <v>February</v>
      </c>
      <c r="C45" s="234">
        <v>100519009.95969203</v>
      </c>
      <c r="D45" s="235">
        <v>5372070.8266133349</v>
      </c>
      <c r="E45" s="234">
        <v>59565847.943802893</v>
      </c>
      <c r="F45" s="235">
        <v>110749973.85311663</v>
      </c>
      <c r="G45" s="234">
        <v>1002038.8233579998</v>
      </c>
      <c r="H45" s="235">
        <v>1680841.2719680001</v>
      </c>
      <c r="I45" s="234">
        <v>457325.28304533334</v>
      </c>
      <c r="J45" s="235">
        <v>367813.06080599991</v>
      </c>
      <c r="K45" s="234">
        <v>10604412.685704</v>
      </c>
      <c r="L45" s="235">
        <v>23339558.557453331</v>
      </c>
      <c r="M45" s="236">
        <v>90139233.77718401</v>
      </c>
      <c r="N45" s="235">
        <v>21654864.419456013</v>
      </c>
      <c r="O45" s="234">
        <v>202510821.75139201</v>
      </c>
      <c r="P45" s="233">
        <v>6787178.0104008168</v>
      </c>
      <c r="Q45" s="234">
        <v>19458976.928570002</v>
      </c>
      <c r="R45" s="233">
        <v>6220114.3089580005</v>
      </c>
      <c r="S45" s="234">
        <v>7757776.070774667</v>
      </c>
      <c r="T45" s="233">
        <v>2666896.2986001209</v>
      </c>
      <c r="U45" s="234">
        <v>207404.21532489159</v>
      </c>
      <c r="V45" s="233">
        <v>50246.427487142515</v>
      </c>
      <c r="W45" s="234">
        <v>3220492.2566123838</v>
      </c>
      <c r="X45" s="233">
        <v>479508.68117709993</v>
      </c>
      <c r="Y45" s="234">
        <v>0</v>
      </c>
      <c r="Z45" s="233">
        <v>6324399.4446055042</v>
      </c>
      <c r="AA45" s="234">
        <v>124167.94278681689</v>
      </c>
      <c r="AB45" s="228"/>
    </row>
    <row r="46" spans="1:28">
      <c r="A46" s="265"/>
      <c r="B46" s="264" t="str">
        <f t="shared" si="16"/>
        <v xml:space="preserve">March </v>
      </c>
      <c r="C46" s="234">
        <v>100243034.10090354</v>
      </c>
      <c r="D46" s="235">
        <v>5350789.7999400012</v>
      </c>
      <c r="E46" s="234">
        <v>59393760.663028255</v>
      </c>
      <c r="F46" s="235">
        <v>110490105.77600622</v>
      </c>
      <c r="G46" s="234">
        <v>999338.57877774979</v>
      </c>
      <c r="H46" s="235">
        <v>1676371.7915890003</v>
      </c>
      <c r="I46" s="234">
        <v>456105.70155100001</v>
      </c>
      <c r="J46" s="235">
        <v>367775.58028174989</v>
      </c>
      <c r="K46" s="234">
        <v>10569472.348917</v>
      </c>
      <c r="L46" s="235">
        <v>23282971.199634995</v>
      </c>
      <c r="M46" s="236">
        <v>89778896.409332007</v>
      </c>
      <c r="N46" s="235">
        <v>21591127.901888013</v>
      </c>
      <c r="O46" s="234">
        <v>202040216.179066</v>
      </c>
      <c r="P46" s="233">
        <v>6771153.6829509195</v>
      </c>
      <c r="Q46" s="234">
        <v>19417423.752141252</v>
      </c>
      <c r="R46" s="233">
        <v>6204242.520077751</v>
      </c>
      <c r="S46" s="234">
        <v>7737829.0652465001</v>
      </c>
      <c r="T46" s="233">
        <v>2660970.1380486283</v>
      </c>
      <c r="U46" s="234">
        <v>206941.28998223529</v>
      </c>
      <c r="V46" s="233">
        <v>50134.277670778836</v>
      </c>
      <c r="W46" s="234">
        <v>3213304.1313417437</v>
      </c>
      <c r="X46" s="233">
        <v>478319.48194923747</v>
      </c>
      <c r="Y46" s="234">
        <v>0</v>
      </c>
      <c r="Z46" s="233">
        <v>6328408.5425838297</v>
      </c>
      <c r="AA46" s="234">
        <v>123890.8004569396</v>
      </c>
      <c r="AB46" s="228"/>
    </row>
    <row r="47" spans="1:28">
      <c r="A47" s="265"/>
      <c r="B47" s="264" t="str">
        <f t="shared" si="16"/>
        <v>April</v>
      </c>
      <c r="C47" s="234">
        <v>99967058.242115036</v>
      </c>
      <c r="D47" s="235">
        <v>5329508.7732666675</v>
      </c>
      <c r="E47" s="234">
        <v>59221673.382253617</v>
      </c>
      <c r="F47" s="235">
        <v>110230237.6988958</v>
      </c>
      <c r="G47" s="234">
        <v>996638.33419749979</v>
      </c>
      <c r="H47" s="235">
        <v>1671902.3112100002</v>
      </c>
      <c r="I47" s="234">
        <v>454886.12005666667</v>
      </c>
      <c r="J47" s="235">
        <v>367738.09975749988</v>
      </c>
      <c r="K47" s="234">
        <v>10534532.01213</v>
      </c>
      <c r="L47" s="235">
        <v>23226383.841816664</v>
      </c>
      <c r="M47" s="236">
        <v>89418559.041480005</v>
      </c>
      <c r="N47" s="235">
        <v>21527391.384320013</v>
      </c>
      <c r="O47" s="234">
        <v>201569610.60674003</v>
      </c>
      <c r="P47" s="233">
        <v>6755129.3555010213</v>
      </c>
      <c r="Q47" s="234">
        <v>19375870.575712502</v>
      </c>
      <c r="R47" s="233">
        <v>6188370.7311975006</v>
      </c>
      <c r="S47" s="234">
        <v>7717882.0597183332</v>
      </c>
      <c r="T47" s="233">
        <v>2655043.9774971358</v>
      </c>
      <c r="U47" s="234">
        <v>206478.36463957903</v>
      </c>
      <c r="V47" s="233">
        <v>50022.127854415165</v>
      </c>
      <c r="W47" s="234">
        <v>3206116.0060711033</v>
      </c>
      <c r="X47" s="233">
        <v>477130.28272137494</v>
      </c>
      <c r="Y47" s="234">
        <v>0</v>
      </c>
      <c r="Z47" s="233">
        <v>6315589.5339034051</v>
      </c>
      <c r="AA47" s="234">
        <v>123613.6581270623</v>
      </c>
      <c r="AB47" s="228"/>
    </row>
    <row r="48" spans="1:28">
      <c r="A48" s="265"/>
      <c r="B48" s="264" t="str">
        <f t="shared" si="16"/>
        <v>May</v>
      </c>
      <c r="C48" s="234">
        <v>99691082.38332653</v>
      </c>
      <c r="D48" s="235">
        <v>5308227.7465933347</v>
      </c>
      <c r="E48" s="234">
        <v>59049586.101478979</v>
      </c>
      <c r="F48" s="235">
        <v>109970369.62178537</v>
      </c>
      <c r="G48" s="234">
        <v>993938.08961724979</v>
      </c>
      <c r="H48" s="235">
        <v>1667432.8308310001</v>
      </c>
      <c r="I48" s="234">
        <v>453666.53856233333</v>
      </c>
      <c r="J48" s="235">
        <v>367700.61923324986</v>
      </c>
      <c r="K48" s="234">
        <v>10499591.675342999</v>
      </c>
      <c r="L48" s="235">
        <v>23169796.483998328</v>
      </c>
      <c r="M48" s="236">
        <v>89058221.673628002</v>
      </c>
      <c r="N48" s="235">
        <v>21463654.866752014</v>
      </c>
      <c r="O48" s="234">
        <v>201099005.03441399</v>
      </c>
      <c r="P48" s="233">
        <v>6739105.028051123</v>
      </c>
      <c r="Q48" s="234">
        <v>19334317.399283752</v>
      </c>
      <c r="R48" s="233">
        <v>6172498.9423172511</v>
      </c>
      <c r="S48" s="234">
        <v>7697935.0541901672</v>
      </c>
      <c r="T48" s="233">
        <v>2649117.8169456436</v>
      </c>
      <c r="U48" s="234">
        <v>206015.43929692273</v>
      </c>
      <c r="V48" s="233">
        <v>49909.978038051486</v>
      </c>
      <c r="W48" s="234">
        <v>3198927.8808004633</v>
      </c>
      <c r="X48" s="233">
        <v>475941.08349351247</v>
      </c>
      <c r="Y48" s="234">
        <v>0</v>
      </c>
      <c r="Z48" s="233">
        <v>6301587.0252229804</v>
      </c>
      <c r="AA48" s="234">
        <v>123336.51579718501</v>
      </c>
      <c r="AB48" s="228"/>
    </row>
    <row r="49" spans="1:28">
      <c r="A49" s="265"/>
      <c r="B49" s="264" t="str">
        <f t="shared" si="16"/>
        <v>June</v>
      </c>
      <c r="C49" s="234">
        <v>99415106.52453804</v>
      </c>
      <c r="D49" s="235">
        <v>5286946.7199200019</v>
      </c>
      <c r="E49" s="234">
        <v>58877498.820704341</v>
      </c>
      <c r="F49" s="235">
        <v>109710501.54467496</v>
      </c>
      <c r="G49" s="234">
        <v>991237.84503699979</v>
      </c>
      <c r="H49" s="235">
        <v>1662963.350452</v>
      </c>
      <c r="I49" s="234">
        <v>452446.95706799999</v>
      </c>
      <c r="J49" s="235">
        <v>367663.13870899985</v>
      </c>
      <c r="K49" s="234">
        <v>10464651.338555999</v>
      </c>
      <c r="L49" s="235">
        <v>23113209.126179997</v>
      </c>
      <c r="M49" s="236">
        <v>88697884.305776015</v>
      </c>
      <c r="N49" s="235">
        <v>21399918.349184014</v>
      </c>
      <c r="O49" s="234">
        <v>200628399.46208802</v>
      </c>
      <c r="P49" s="233">
        <v>6723080.7006012257</v>
      </c>
      <c r="Q49" s="234">
        <v>19292764.222855002</v>
      </c>
      <c r="R49" s="233">
        <v>6156627.1534370007</v>
      </c>
      <c r="S49" s="234">
        <v>7677988.0486620003</v>
      </c>
      <c r="T49" s="233">
        <v>2643191.656394151</v>
      </c>
      <c r="U49" s="234">
        <v>205552.51395426647</v>
      </c>
      <c r="V49" s="233">
        <v>49797.828221687807</v>
      </c>
      <c r="W49" s="234">
        <v>3191739.7555298228</v>
      </c>
      <c r="X49" s="233">
        <v>474751.88426564995</v>
      </c>
      <c r="Y49" s="234">
        <v>0</v>
      </c>
      <c r="Z49" s="233">
        <v>6287584.5165425558</v>
      </c>
      <c r="AA49" s="234">
        <v>123059.37346730773</v>
      </c>
      <c r="AB49" s="228"/>
    </row>
    <row r="50" spans="1:28">
      <c r="A50" s="265"/>
      <c r="B50" s="264" t="str">
        <f t="shared" si="16"/>
        <v>July</v>
      </c>
      <c r="C50" s="234">
        <v>99139130.66574955</v>
      </c>
      <c r="D50" s="235">
        <v>5265665.6932466682</v>
      </c>
      <c r="E50" s="234">
        <v>58705411.539929703</v>
      </c>
      <c r="F50" s="235">
        <v>109450633.46756455</v>
      </c>
      <c r="G50" s="234">
        <v>988537.60045674979</v>
      </c>
      <c r="H50" s="235">
        <v>1658493.870073</v>
      </c>
      <c r="I50" s="234">
        <v>451227.37557366665</v>
      </c>
      <c r="J50" s="235">
        <v>367625.65818474983</v>
      </c>
      <c r="K50" s="234">
        <v>10429711.001768999</v>
      </c>
      <c r="L50" s="235">
        <v>23056621.768361662</v>
      </c>
      <c r="M50" s="236">
        <v>88337546.937924013</v>
      </c>
      <c r="N50" s="235">
        <v>21336181.831616014</v>
      </c>
      <c r="O50" s="234">
        <v>200157793.88976201</v>
      </c>
      <c r="P50" s="233">
        <v>6707056.3731513284</v>
      </c>
      <c r="Q50" s="234">
        <v>19251211.046426252</v>
      </c>
      <c r="R50" s="233">
        <v>6140755.3645567512</v>
      </c>
      <c r="S50" s="234">
        <v>7658041.0431338334</v>
      </c>
      <c r="T50" s="233">
        <v>2637265.4958426584</v>
      </c>
      <c r="U50" s="234">
        <v>205089.5886116102</v>
      </c>
      <c r="V50" s="233">
        <v>49685.678405324128</v>
      </c>
      <c r="W50" s="234">
        <v>3184551.6302591823</v>
      </c>
      <c r="X50" s="233">
        <v>473562.68503778748</v>
      </c>
      <c r="Y50" s="234">
        <v>0</v>
      </c>
      <c r="Z50" s="233">
        <v>6273582.0078621302</v>
      </c>
      <c r="AA50" s="234">
        <v>122782.23113743043</v>
      </c>
      <c r="AB50" s="228"/>
    </row>
    <row r="51" spans="1:28">
      <c r="A51" s="265"/>
      <c r="B51" s="264" t="str">
        <f t="shared" si="16"/>
        <v xml:space="preserve">August </v>
      </c>
      <c r="C51" s="234">
        <v>98863154.806961045</v>
      </c>
      <c r="D51" s="235">
        <v>5244384.6665733345</v>
      </c>
      <c r="E51" s="234">
        <v>58533324.259155065</v>
      </c>
      <c r="F51" s="235">
        <v>109190765.39045413</v>
      </c>
      <c r="G51" s="234">
        <v>985837.35587649979</v>
      </c>
      <c r="H51" s="235">
        <v>1654024.3896940001</v>
      </c>
      <c r="I51" s="234">
        <v>450007.79407933331</v>
      </c>
      <c r="J51" s="235">
        <v>367588.17766049982</v>
      </c>
      <c r="K51" s="234">
        <v>10394770.664981999</v>
      </c>
      <c r="L51" s="235">
        <v>23000034.41054333</v>
      </c>
      <c r="M51" s="236">
        <v>87977209.57007201</v>
      </c>
      <c r="N51" s="235">
        <v>21272445.314048015</v>
      </c>
      <c r="O51" s="234">
        <v>199687188.31743604</v>
      </c>
      <c r="P51" s="233">
        <v>6691032.0457014292</v>
      </c>
      <c r="Q51" s="234">
        <v>19209657.869997501</v>
      </c>
      <c r="R51" s="233">
        <v>6124883.5756765008</v>
      </c>
      <c r="S51" s="234">
        <v>7638094.0376056675</v>
      </c>
      <c r="T51" s="233">
        <v>2631339.3352911663</v>
      </c>
      <c r="U51" s="234">
        <v>204626.66326895391</v>
      </c>
      <c r="V51" s="233">
        <v>49573.528588960449</v>
      </c>
      <c r="W51" s="234">
        <v>3177363.5049885423</v>
      </c>
      <c r="X51" s="233">
        <v>472373.48580992495</v>
      </c>
      <c r="Y51" s="234">
        <v>0</v>
      </c>
      <c r="Z51" s="233">
        <v>6259579.4991817055</v>
      </c>
      <c r="AA51" s="234">
        <v>122505.08880755314</v>
      </c>
      <c r="AB51" s="228"/>
    </row>
    <row r="52" spans="1:28">
      <c r="A52" s="265"/>
      <c r="B52" s="264" t="str">
        <f t="shared" si="16"/>
        <v>September</v>
      </c>
      <c r="C52" s="234">
        <v>98587178.948172539</v>
      </c>
      <c r="D52" s="235">
        <v>5223103.6399000017</v>
      </c>
      <c r="E52" s="234">
        <v>58361236.978380427</v>
      </c>
      <c r="F52" s="235">
        <v>108930897.3133437</v>
      </c>
      <c r="G52" s="234">
        <v>983137.11129624979</v>
      </c>
      <c r="H52" s="235">
        <v>1649554.9093150001</v>
      </c>
      <c r="I52" s="234">
        <v>448788.21258499997</v>
      </c>
      <c r="J52" s="235">
        <v>367550.6971362498</v>
      </c>
      <c r="K52" s="234">
        <v>10359830.328194998</v>
      </c>
      <c r="L52" s="235">
        <v>22943447.052724995</v>
      </c>
      <c r="M52" s="236">
        <v>87616872.202220023</v>
      </c>
      <c r="N52" s="235">
        <v>21208708.796480015</v>
      </c>
      <c r="O52" s="234">
        <v>199216582.74511003</v>
      </c>
      <c r="P52" s="233">
        <v>6675007.7182515319</v>
      </c>
      <c r="Q52" s="234">
        <v>19168104.693568751</v>
      </c>
      <c r="R52" s="233">
        <v>6109011.7867962513</v>
      </c>
      <c r="S52" s="234">
        <v>7618147.0320775006</v>
      </c>
      <c r="T52" s="233">
        <v>2625413.1747396737</v>
      </c>
      <c r="U52" s="234">
        <v>204163.73792629765</v>
      </c>
      <c r="V52" s="233">
        <v>49461.378772596778</v>
      </c>
      <c r="W52" s="234">
        <v>3170175.3797179018</v>
      </c>
      <c r="X52" s="233">
        <v>471184.28658206249</v>
      </c>
      <c r="Y52" s="234">
        <v>2543855.5834430731</v>
      </c>
      <c r="Z52" s="233">
        <v>6245576.9905012809</v>
      </c>
      <c r="AA52" s="234">
        <v>122227.94647767584</v>
      </c>
      <c r="AB52" s="228"/>
    </row>
    <row r="53" spans="1:28">
      <c r="A53" s="265"/>
      <c r="B53" s="264" t="str">
        <f t="shared" si="16"/>
        <v>October</v>
      </c>
      <c r="C53" s="234">
        <v>98311203.089384049</v>
      </c>
      <c r="D53" s="235">
        <v>5201822.6132266689</v>
      </c>
      <c r="E53" s="234">
        <v>58189149.697605789</v>
      </c>
      <c r="F53" s="235">
        <v>108671029.23623329</v>
      </c>
      <c r="G53" s="234">
        <v>980436.86671599979</v>
      </c>
      <c r="H53" s="235">
        <v>1645085.428936</v>
      </c>
      <c r="I53" s="234">
        <v>447568.63109066663</v>
      </c>
      <c r="J53" s="235">
        <v>367513.21661199979</v>
      </c>
      <c r="K53" s="234">
        <v>10324889.991407998</v>
      </c>
      <c r="L53" s="235">
        <v>22886859.694906663</v>
      </c>
      <c r="M53" s="236">
        <v>87256534.83436802</v>
      </c>
      <c r="N53" s="235">
        <v>21144972.278912015</v>
      </c>
      <c r="O53" s="234">
        <v>198745977.17278403</v>
      </c>
      <c r="P53" s="233">
        <v>6658983.3908016346</v>
      </c>
      <c r="Q53" s="234">
        <v>19126551.517140001</v>
      </c>
      <c r="R53" s="233">
        <v>6093139.9979160009</v>
      </c>
      <c r="S53" s="234">
        <v>7598200.0265493337</v>
      </c>
      <c r="T53" s="233">
        <v>2619487.0141881811</v>
      </c>
      <c r="U53" s="234">
        <v>203700.81258364135</v>
      </c>
      <c r="V53" s="233">
        <v>49349.228956233099</v>
      </c>
      <c r="W53" s="234">
        <v>3162987.2544472618</v>
      </c>
      <c r="X53" s="233">
        <v>469995.08735419996</v>
      </c>
      <c r="Y53" s="234">
        <v>2538240.3740217891</v>
      </c>
      <c r="Z53" s="233">
        <v>6231574.4818208562</v>
      </c>
      <c r="AA53" s="234">
        <v>121950.80414779855</v>
      </c>
      <c r="AB53" s="228"/>
    </row>
    <row r="54" spans="1:28">
      <c r="A54" s="265"/>
      <c r="B54" s="264" t="str">
        <f t="shared" si="16"/>
        <v>November</v>
      </c>
      <c r="C54" s="234">
        <v>98035227.230595559</v>
      </c>
      <c r="D54" s="235">
        <v>5180541.5865533352</v>
      </c>
      <c r="E54" s="234">
        <v>58017062.416831151</v>
      </c>
      <c r="F54" s="235">
        <v>108411161.15912288</v>
      </c>
      <c r="G54" s="234">
        <v>977736.62213574979</v>
      </c>
      <c r="H54" s="235">
        <v>1640615.9485570001</v>
      </c>
      <c r="I54" s="234">
        <v>446349.04959633329</v>
      </c>
      <c r="J54" s="235">
        <v>367475.73608774977</v>
      </c>
      <c r="K54" s="234">
        <v>10289949.654620998</v>
      </c>
      <c r="L54" s="235">
        <v>22830272.337088328</v>
      </c>
      <c r="M54" s="236">
        <v>86896197.466516018</v>
      </c>
      <c r="N54" s="235">
        <v>21081235.761344016</v>
      </c>
      <c r="O54" s="234">
        <v>198275371.60045803</v>
      </c>
      <c r="P54" s="233">
        <v>6642959.0633517364</v>
      </c>
      <c r="Q54" s="234">
        <v>19084998.340711251</v>
      </c>
      <c r="R54" s="233">
        <v>6077268.2090357514</v>
      </c>
      <c r="S54" s="234">
        <v>7578253.0210211668</v>
      </c>
      <c r="T54" s="233">
        <v>2613560.853636689</v>
      </c>
      <c r="U54" s="234">
        <v>203237.88724098509</v>
      </c>
      <c r="V54" s="233">
        <v>49237.07913986942</v>
      </c>
      <c r="W54" s="234">
        <v>3155799.1291766213</v>
      </c>
      <c r="X54" s="233">
        <v>468805.88812633749</v>
      </c>
      <c r="Y54" s="234">
        <v>2532625.1646005055</v>
      </c>
      <c r="Z54" s="233">
        <v>6217571.9731404316</v>
      </c>
      <c r="AA54" s="234">
        <v>139799.75225704967</v>
      </c>
      <c r="AB54" s="228"/>
    </row>
    <row r="55" spans="1:28">
      <c r="A55" s="265"/>
      <c r="B55" s="264" t="str">
        <f t="shared" si="16"/>
        <v>December 2022</v>
      </c>
      <c r="C55" s="263">
        <v>97759251.371807054</v>
      </c>
      <c r="D55" s="262">
        <v>5159260.5598800015</v>
      </c>
      <c r="E55" s="263">
        <v>57844975.136056513</v>
      </c>
      <c r="F55" s="262">
        <v>108151293.08201246</v>
      </c>
      <c r="G55" s="263">
        <v>975036.37755549978</v>
      </c>
      <c r="H55" s="262">
        <v>1636146.4681780001</v>
      </c>
      <c r="I55" s="263">
        <v>445129.46810199996</v>
      </c>
      <c r="J55" s="262">
        <v>367438.25556349976</v>
      </c>
      <c r="K55" s="263">
        <v>10255009.317833997</v>
      </c>
      <c r="L55" s="262">
        <v>22773684.979269996</v>
      </c>
      <c r="M55" s="275">
        <v>86535860.098664016</v>
      </c>
      <c r="N55" s="262">
        <v>21017499.243776016</v>
      </c>
      <c r="O55" s="263">
        <v>197804766.02813202</v>
      </c>
      <c r="P55" s="274">
        <v>6626934.7359018382</v>
      </c>
      <c r="Q55" s="263">
        <v>19043445.164282501</v>
      </c>
      <c r="R55" s="274">
        <v>6061396.420155501</v>
      </c>
      <c r="S55" s="263">
        <v>7558306.0154929999</v>
      </c>
      <c r="T55" s="274">
        <v>2607634.6930851964</v>
      </c>
      <c r="U55" s="263">
        <v>202774.96189832879</v>
      </c>
      <c r="V55" s="274">
        <v>49124.929323505741</v>
      </c>
      <c r="W55" s="263">
        <v>3148611.0039059813</v>
      </c>
      <c r="X55" s="274">
        <v>467616.68889847497</v>
      </c>
      <c r="Y55" s="234">
        <v>2527009.9551792215</v>
      </c>
      <c r="Z55" s="233">
        <v>6203569.4644600069</v>
      </c>
      <c r="AA55" s="263">
        <v>139482.59908910934</v>
      </c>
      <c r="AB55" s="228"/>
    </row>
    <row r="56" spans="1:28">
      <c r="A56" s="261"/>
      <c r="B56" s="260" t="s">
        <v>614</v>
      </c>
      <c r="C56" s="229">
        <f t="shared" ref="C56:AA56" si="17">AVERAGE(C43:C55)</f>
        <v>99415106.52453804</v>
      </c>
      <c r="D56" s="229">
        <f t="shared" si="17"/>
        <v>5286946.719920001</v>
      </c>
      <c r="E56" s="229">
        <f t="shared" si="17"/>
        <v>58877498.820704333</v>
      </c>
      <c r="F56" s="229">
        <f t="shared" si="17"/>
        <v>109710501.54467496</v>
      </c>
      <c r="G56" s="229">
        <f t="shared" si="17"/>
        <v>991237.84503699979</v>
      </c>
      <c r="H56" s="229">
        <f t="shared" si="17"/>
        <v>1662963.350452</v>
      </c>
      <c r="I56" s="229">
        <f t="shared" si="17"/>
        <v>452446.95706799999</v>
      </c>
      <c r="J56" s="229">
        <f t="shared" si="17"/>
        <v>367663.13870899979</v>
      </c>
      <c r="K56" s="229">
        <f t="shared" si="17"/>
        <v>10464651.338555999</v>
      </c>
      <c r="L56" s="229">
        <f t="shared" si="17"/>
        <v>23113209.126179993</v>
      </c>
      <c r="M56" s="229">
        <f t="shared" si="17"/>
        <v>88697884.305776015</v>
      </c>
      <c r="N56" s="229">
        <f t="shared" si="17"/>
        <v>21399918.349184014</v>
      </c>
      <c r="O56" s="229">
        <f t="shared" si="17"/>
        <v>200628399.46208799</v>
      </c>
      <c r="P56" s="229">
        <f t="shared" si="17"/>
        <v>6723080.7006012248</v>
      </c>
      <c r="Q56" s="229">
        <f t="shared" si="17"/>
        <v>19292764.222855005</v>
      </c>
      <c r="R56" s="229">
        <f t="shared" si="17"/>
        <v>6156627.1534369998</v>
      </c>
      <c r="S56" s="229">
        <f t="shared" si="17"/>
        <v>7677988.0486620022</v>
      </c>
      <c r="T56" s="229">
        <f t="shared" si="17"/>
        <v>2643191.656394151</v>
      </c>
      <c r="U56" s="229">
        <f t="shared" si="17"/>
        <v>205552.51395426644</v>
      </c>
      <c r="V56" s="229">
        <f t="shared" si="17"/>
        <v>49797.828221687807</v>
      </c>
      <c r="W56" s="229">
        <f t="shared" si="17"/>
        <v>3191739.7555298232</v>
      </c>
      <c r="X56" s="229">
        <f t="shared" si="17"/>
        <v>474751.88426565001</v>
      </c>
      <c r="Y56" s="229">
        <f t="shared" si="17"/>
        <v>780133.15978804533</v>
      </c>
      <c r="Z56" s="229">
        <f t="shared" si="17"/>
        <v>5306847.9599865144</v>
      </c>
      <c r="AA56" s="229">
        <f t="shared" si="17"/>
        <v>125844.9250088611</v>
      </c>
      <c r="AB56" s="228"/>
    </row>
    <row r="57" spans="1:28">
      <c r="A57" s="249"/>
      <c r="B57" s="255"/>
      <c r="C57" s="254"/>
      <c r="D57" s="254"/>
      <c r="E57" s="254"/>
      <c r="F57" s="254"/>
      <c r="G57" s="254"/>
      <c r="H57" s="250"/>
      <c r="I57" s="250"/>
      <c r="J57" s="252"/>
      <c r="K57" s="251"/>
      <c r="L57" s="253"/>
      <c r="M57" s="253"/>
      <c r="N57" s="252"/>
      <c r="O57" s="251"/>
      <c r="P57" s="250"/>
      <c r="Q57" s="251"/>
      <c r="R57" s="250"/>
      <c r="S57" s="251"/>
      <c r="T57" s="250"/>
      <c r="U57" s="251"/>
      <c r="V57" s="250"/>
      <c r="W57" s="251"/>
      <c r="X57" s="250"/>
      <c r="Y57" s="251"/>
      <c r="Z57" s="250"/>
      <c r="AA57" s="251"/>
      <c r="AB57" s="228"/>
    </row>
    <row r="58" spans="1:28">
      <c r="A58" s="249"/>
      <c r="B58" s="248"/>
      <c r="C58" s="245"/>
      <c r="D58" s="245"/>
      <c r="E58" s="245"/>
      <c r="F58" s="245"/>
      <c r="G58" s="245"/>
      <c r="H58" s="245"/>
      <c r="I58" s="245"/>
      <c r="J58" s="246"/>
      <c r="K58" s="246"/>
      <c r="L58" s="247"/>
      <c r="M58" s="247"/>
      <c r="N58" s="246"/>
      <c r="O58" s="246"/>
      <c r="P58" s="245"/>
      <c r="Q58" s="246"/>
      <c r="R58" s="245"/>
      <c r="S58" s="246"/>
      <c r="T58" s="245"/>
      <c r="U58" s="246"/>
      <c r="V58" s="245"/>
      <c r="W58" s="246"/>
      <c r="X58" s="245"/>
      <c r="Y58" s="246"/>
      <c r="Z58" s="245"/>
      <c r="AA58" s="246"/>
      <c r="AB58" s="228"/>
    </row>
    <row r="59" spans="1:28">
      <c r="A59" s="244" t="s">
        <v>613</v>
      </c>
      <c r="B59" s="243" t="s">
        <v>541</v>
      </c>
      <c r="C59" s="240">
        <v>3311710.3054620004</v>
      </c>
      <c r="D59" s="241">
        <v>255372.32008000006</v>
      </c>
      <c r="E59" s="240">
        <v>2065047.3692956476</v>
      </c>
      <c r="F59" s="241">
        <v>3118416.9253250002</v>
      </c>
      <c r="G59" s="240">
        <v>32402.934963000003</v>
      </c>
      <c r="H59" s="241">
        <v>53633.764548000006</v>
      </c>
      <c r="I59" s="240">
        <v>14634.977932</v>
      </c>
      <c r="J59" s="241">
        <v>449.76629100000014</v>
      </c>
      <c r="K59" s="240">
        <v>419284.04144400003</v>
      </c>
      <c r="L59" s="241">
        <v>679048.2938199999</v>
      </c>
      <c r="M59" s="242">
        <v>4324048.4142239997</v>
      </c>
      <c r="N59" s="241">
        <v>764838.21081600012</v>
      </c>
      <c r="O59" s="240">
        <v>5647266.867912</v>
      </c>
      <c r="P59" s="239">
        <v>192291.92939877434</v>
      </c>
      <c r="Q59" s="240">
        <v>498638.11714499997</v>
      </c>
      <c r="R59" s="239">
        <v>190461.46656300008</v>
      </c>
      <c r="S59" s="240">
        <v>239364.06633799998</v>
      </c>
      <c r="T59" s="239">
        <v>71113.92661790915</v>
      </c>
      <c r="U59" s="240">
        <v>5555.1041118753164</v>
      </c>
      <c r="V59" s="239">
        <v>1345.7977963641288</v>
      </c>
      <c r="W59" s="240">
        <v>86257.503247683446</v>
      </c>
      <c r="X59" s="239">
        <v>14270.390734350001</v>
      </c>
      <c r="Y59" s="240">
        <v>22460.837685134982</v>
      </c>
      <c r="Z59" s="239">
        <v>153982.71734467283</v>
      </c>
      <c r="AA59" s="240">
        <v>3405.7296346535395</v>
      </c>
      <c r="AB59" s="228"/>
    </row>
    <row r="60" spans="1:28">
      <c r="A60" s="238" t="s">
        <v>612</v>
      </c>
      <c r="B60" s="237" t="s">
        <v>611</v>
      </c>
      <c r="C60" s="234">
        <v>0</v>
      </c>
      <c r="D60" s="235">
        <v>0</v>
      </c>
      <c r="E60" s="234">
        <v>0</v>
      </c>
      <c r="F60" s="235">
        <v>0</v>
      </c>
      <c r="G60" s="234">
        <v>0</v>
      </c>
      <c r="H60" s="235">
        <v>0</v>
      </c>
      <c r="I60" s="234">
        <v>0</v>
      </c>
      <c r="J60" s="235">
        <v>0</v>
      </c>
      <c r="K60" s="234">
        <v>0</v>
      </c>
      <c r="L60" s="235">
        <v>0</v>
      </c>
      <c r="M60" s="236">
        <v>0</v>
      </c>
      <c r="N60" s="235">
        <v>0</v>
      </c>
      <c r="O60" s="234">
        <v>0</v>
      </c>
      <c r="P60" s="233">
        <v>0</v>
      </c>
      <c r="Q60" s="234">
        <v>0</v>
      </c>
      <c r="R60" s="233">
        <v>0</v>
      </c>
      <c r="S60" s="234">
        <v>0</v>
      </c>
      <c r="T60" s="233">
        <v>0</v>
      </c>
      <c r="U60" s="234">
        <v>0</v>
      </c>
      <c r="V60" s="233">
        <v>0</v>
      </c>
      <c r="W60" s="234">
        <v>0</v>
      </c>
      <c r="X60" s="233">
        <v>0</v>
      </c>
      <c r="Y60" s="234">
        <v>0</v>
      </c>
      <c r="Z60" s="233">
        <v>0</v>
      </c>
      <c r="AA60" s="234">
        <v>0</v>
      </c>
      <c r="AB60" s="228"/>
    </row>
    <row r="61" spans="1:28">
      <c r="A61" s="257"/>
      <c r="B61" s="256" t="s">
        <v>610</v>
      </c>
      <c r="C61" s="229">
        <f t="shared" ref="C61:AA61" si="18">SUM(C59:C60)</f>
        <v>3311710.3054620004</v>
      </c>
      <c r="D61" s="229">
        <f t="shared" si="18"/>
        <v>255372.32008000006</v>
      </c>
      <c r="E61" s="229">
        <f t="shared" si="18"/>
        <v>2065047.3692956476</v>
      </c>
      <c r="F61" s="229">
        <f t="shared" si="18"/>
        <v>3118416.9253250002</v>
      </c>
      <c r="G61" s="229">
        <f t="shared" si="18"/>
        <v>32402.934963000003</v>
      </c>
      <c r="H61" s="229">
        <f t="shared" si="18"/>
        <v>53633.764548000006</v>
      </c>
      <c r="I61" s="229">
        <f t="shared" si="18"/>
        <v>14634.977932</v>
      </c>
      <c r="J61" s="229">
        <f t="shared" si="18"/>
        <v>449.76629100000014</v>
      </c>
      <c r="K61" s="229">
        <f t="shared" si="18"/>
        <v>419284.04144400003</v>
      </c>
      <c r="L61" s="229">
        <f t="shared" si="18"/>
        <v>679048.2938199999</v>
      </c>
      <c r="M61" s="229">
        <f t="shared" si="18"/>
        <v>4324048.4142239997</v>
      </c>
      <c r="N61" s="229">
        <f t="shared" si="18"/>
        <v>764838.21081600012</v>
      </c>
      <c r="O61" s="229">
        <f t="shared" si="18"/>
        <v>5647266.867912</v>
      </c>
      <c r="P61" s="229">
        <f t="shared" si="18"/>
        <v>192291.92939877434</v>
      </c>
      <c r="Q61" s="229">
        <f t="shared" si="18"/>
        <v>498638.11714499997</v>
      </c>
      <c r="R61" s="229">
        <f t="shared" si="18"/>
        <v>190461.46656300008</v>
      </c>
      <c r="S61" s="229">
        <f t="shared" si="18"/>
        <v>239364.06633799998</v>
      </c>
      <c r="T61" s="229">
        <f t="shared" si="18"/>
        <v>71113.92661790915</v>
      </c>
      <c r="U61" s="229">
        <f t="shared" si="18"/>
        <v>5555.1041118753164</v>
      </c>
      <c r="V61" s="229">
        <f t="shared" si="18"/>
        <v>1345.7977963641288</v>
      </c>
      <c r="W61" s="229">
        <f t="shared" si="18"/>
        <v>86257.503247683446</v>
      </c>
      <c r="X61" s="229">
        <f t="shared" si="18"/>
        <v>14270.390734350001</v>
      </c>
      <c r="Y61" s="229">
        <f t="shared" si="18"/>
        <v>22460.837685134982</v>
      </c>
      <c r="Z61" s="229">
        <f t="shared" si="18"/>
        <v>153982.71734467283</v>
      </c>
      <c r="AA61" s="229">
        <f t="shared" si="18"/>
        <v>3405.7296346535395</v>
      </c>
      <c r="AB61" s="228"/>
    </row>
    <row r="62" spans="1:28">
      <c r="A62" s="249"/>
      <c r="B62" s="255"/>
      <c r="C62" s="254"/>
      <c r="D62" s="254"/>
      <c r="E62" s="254"/>
      <c r="F62" s="254"/>
      <c r="G62" s="254"/>
      <c r="H62" s="250"/>
      <c r="I62" s="250"/>
      <c r="J62" s="250"/>
      <c r="K62" s="251"/>
      <c r="L62" s="253"/>
      <c r="M62" s="253"/>
      <c r="N62" s="252"/>
      <c r="O62" s="251"/>
      <c r="P62" s="250"/>
      <c r="Q62" s="251"/>
      <c r="R62" s="250"/>
      <c r="S62" s="251"/>
      <c r="T62" s="250"/>
      <c r="U62" s="251"/>
      <c r="V62" s="250"/>
      <c r="W62" s="251"/>
      <c r="X62" s="250"/>
      <c r="Y62" s="251"/>
      <c r="Z62" s="250"/>
      <c r="AA62" s="251"/>
      <c r="AB62" s="228"/>
    </row>
    <row r="63" spans="1:28">
      <c r="A63" s="249"/>
      <c r="B63" s="248"/>
      <c r="C63" s="245"/>
      <c r="D63" s="245"/>
      <c r="E63" s="245"/>
      <c r="F63" s="245"/>
      <c r="G63" s="245"/>
      <c r="H63" s="245"/>
      <c r="I63" s="245"/>
      <c r="J63" s="245"/>
      <c r="K63" s="246"/>
      <c r="L63" s="247"/>
      <c r="M63" s="247"/>
      <c r="N63" s="246"/>
      <c r="O63" s="246"/>
      <c r="P63" s="245"/>
      <c r="Q63" s="246"/>
      <c r="R63" s="245"/>
      <c r="S63" s="246"/>
      <c r="T63" s="245"/>
      <c r="U63" s="246"/>
      <c r="V63" s="245"/>
      <c r="W63" s="246"/>
      <c r="X63" s="245"/>
      <c r="Y63" s="246"/>
      <c r="Z63" s="245"/>
      <c r="AA63" s="246"/>
      <c r="AB63" s="228"/>
    </row>
    <row r="64" spans="1:28">
      <c r="A64" s="244" t="s">
        <v>609</v>
      </c>
      <c r="B64" s="243" t="s">
        <v>608</v>
      </c>
      <c r="C64" s="240">
        <v>0</v>
      </c>
      <c r="D64" s="241">
        <v>0</v>
      </c>
      <c r="E64" s="240">
        <v>0</v>
      </c>
      <c r="F64" s="241">
        <v>0</v>
      </c>
      <c r="G64" s="240">
        <v>0</v>
      </c>
      <c r="H64" s="241">
        <v>0</v>
      </c>
      <c r="I64" s="240">
        <v>0</v>
      </c>
      <c r="J64" s="241">
        <v>0</v>
      </c>
      <c r="K64" s="240">
        <v>0</v>
      </c>
      <c r="L64" s="241">
        <v>0</v>
      </c>
      <c r="M64" s="242">
        <v>0</v>
      </c>
      <c r="N64" s="241">
        <v>0</v>
      </c>
      <c r="O64" s="240">
        <v>0</v>
      </c>
      <c r="P64" s="239">
        <v>0</v>
      </c>
      <c r="Q64" s="240">
        <v>0</v>
      </c>
      <c r="R64" s="239">
        <v>0</v>
      </c>
      <c r="S64" s="240">
        <v>0</v>
      </c>
      <c r="T64" s="239">
        <v>0</v>
      </c>
      <c r="U64" s="240">
        <v>0</v>
      </c>
      <c r="V64" s="239">
        <v>0</v>
      </c>
      <c r="W64" s="240">
        <v>0</v>
      </c>
      <c r="X64" s="239">
        <v>0</v>
      </c>
      <c r="Y64" s="240">
        <v>0</v>
      </c>
      <c r="Z64" s="239">
        <v>0</v>
      </c>
      <c r="AA64" s="240">
        <v>0</v>
      </c>
      <c r="AB64" s="228"/>
    </row>
    <row r="65" spans="1:28">
      <c r="A65" s="238" t="s">
        <v>607</v>
      </c>
      <c r="B65" s="237"/>
      <c r="C65" s="234">
        <v>0</v>
      </c>
      <c r="D65" s="235"/>
      <c r="E65" s="234"/>
      <c r="F65" s="235"/>
      <c r="G65" s="234"/>
      <c r="H65" s="235"/>
      <c r="I65" s="234"/>
      <c r="J65" s="235"/>
      <c r="K65" s="234"/>
      <c r="L65" s="235"/>
      <c r="M65" s="236"/>
      <c r="N65" s="235"/>
      <c r="O65" s="234"/>
      <c r="P65" s="233"/>
      <c r="Q65" s="234"/>
      <c r="R65" s="233"/>
      <c r="S65" s="234"/>
      <c r="T65" s="233"/>
      <c r="U65" s="234"/>
      <c r="V65" s="233"/>
      <c r="W65" s="234"/>
      <c r="X65" s="233"/>
      <c r="Y65" s="234"/>
      <c r="Z65" s="233"/>
      <c r="AA65" s="234"/>
      <c r="AB65" s="228"/>
    </row>
    <row r="66" spans="1:28">
      <c r="A66" s="232"/>
      <c r="B66" s="231" t="s">
        <v>606</v>
      </c>
      <c r="C66" s="230">
        <f t="shared" ref="C66:AA66" si="19">SUM(C64:C65)</f>
        <v>0</v>
      </c>
      <c r="D66" s="230">
        <f t="shared" si="19"/>
        <v>0</v>
      </c>
      <c r="E66" s="230">
        <f t="shared" si="19"/>
        <v>0</v>
      </c>
      <c r="F66" s="230">
        <f t="shared" si="19"/>
        <v>0</v>
      </c>
      <c r="G66" s="230">
        <f t="shared" si="19"/>
        <v>0</v>
      </c>
      <c r="H66" s="230">
        <f t="shared" si="19"/>
        <v>0</v>
      </c>
      <c r="I66" s="230">
        <f t="shared" si="19"/>
        <v>0</v>
      </c>
      <c r="J66" s="230">
        <f t="shared" si="19"/>
        <v>0</v>
      </c>
      <c r="K66" s="230">
        <f t="shared" si="19"/>
        <v>0</v>
      </c>
      <c r="L66" s="230">
        <f t="shared" si="19"/>
        <v>0</v>
      </c>
      <c r="M66" s="229">
        <f t="shared" si="19"/>
        <v>0</v>
      </c>
      <c r="N66" s="230">
        <f t="shared" si="19"/>
        <v>0</v>
      </c>
      <c r="O66" s="230">
        <f t="shared" si="19"/>
        <v>0</v>
      </c>
      <c r="P66" s="229">
        <f t="shared" si="19"/>
        <v>0</v>
      </c>
      <c r="Q66" s="230">
        <f t="shared" si="19"/>
        <v>0</v>
      </c>
      <c r="R66" s="229">
        <f t="shared" si="19"/>
        <v>0</v>
      </c>
      <c r="S66" s="230">
        <f t="shared" si="19"/>
        <v>0</v>
      </c>
      <c r="T66" s="229">
        <f t="shared" si="19"/>
        <v>0</v>
      </c>
      <c r="U66" s="230">
        <f t="shared" si="19"/>
        <v>0</v>
      </c>
      <c r="V66" s="229">
        <f t="shared" si="19"/>
        <v>0</v>
      </c>
      <c r="W66" s="230">
        <f t="shared" si="19"/>
        <v>0</v>
      </c>
      <c r="X66" s="229">
        <f t="shared" si="19"/>
        <v>0</v>
      </c>
      <c r="Y66" s="230">
        <f t="shared" si="19"/>
        <v>0</v>
      </c>
      <c r="Z66" s="229">
        <f t="shared" si="19"/>
        <v>0</v>
      </c>
      <c r="AA66" s="230">
        <f t="shared" si="19"/>
        <v>0</v>
      </c>
      <c r="AB66" s="228"/>
    </row>
  </sheetData>
  <pageMargins left="0.7" right="0.7" top="0.75" bottom="0.75" header="0.3" footer="0.3"/>
  <pageSetup scale="31"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5">
    <pageSetUpPr fitToPage="1"/>
  </sheetPr>
  <dimension ref="A1:AM120"/>
  <sheetViews>
    <sheetView topLeftCell="A45" zoomScale="70" zoomScaleNormal="70" zoomScaleSheetLayoutView="80" workbookViewId="0">
      <pane xSplit="2" topLeftCell="C1" activePane="topRight" state="frozen"/>
      <selection activeCell="AI70" sqref="AI70"/>
      <selection pane="topRight" activeCell="AG82" sqref="AG82"/>
    </sheetView>
  </sheetViews>
  <sheetFormatPr defaultColWidth="11.42578125" defaultRowHeight="15" outlineLevelRow="1" outlineLevelCol="1"/>
  <cols>
    <col min="1" max="1" width="24" style="490" customWidth="1"/>
    <col min="2" max="2" width="67.140625" style="490" customWidth="1"/>
    <col min="3" max="3" width="18.5703125" style="490" hidden="1" customWidth="1" outlineLevel="1"/>
    <col min="4" max="4" width="15.28515625" style="490" hidden="1" customWidth="1" outlineLevel="1"/>
    <col min="5" max="5" width="18" style="491" hidden="1" customWidth="1" outlineLevel="1"/>
    <col min="6" max="6" width="17.85546875" style="490" hidden="1" customWidth="1" outlineLevel="1"/>
    <col min="7" max="7" width="16.42578125" style="490" hidden="1" customWidth="1" outlineLevel="1"/>
    <col min="8" max="8" width="18" style="490" hidden="1" customWidth="1" outlineLevel="1"/>
    <col min="9" max="10" width="17.42578125" style="490" hidden="1" customWidth="1" outlineLevel="1"/>
    <col min="11" max="11" width="20.5703125" style="490" customWidth="1" collapsed="1"/>
    <col min="12" max="12" width="16.42578125" style="490" customWidth="1"/>
    <col min="13" max="14" width="17.85546875" style="490" customWidth="1"/>
    <col min="15" max="15" width="2.7109375" style="490" customWidth="1"/>
    <col min="16" max="17" width="17.85546875" style="490" customWidth="1"/>
    <col min="18" max="18" width="2.7109375" style="490" customWidth="1"/>
    <col min="19" max="19" width="18.5703125" style="490" hidden="1" customWidth="1" outlineLevel="1"/>
    <col min="20" max="20" width="15.28515625" style="490" hidden="1" customWidth="1" outlineLevel="1"/>
    <col min="21" max="21" width="18" style="491" hidden="1" customWidth="1" outlineLevel="1"/>
    <col min="22" max="22" width="17.85546875" style="490" hidden="1" customWidth="1" outlineLevel="1"/>
    <col min="23" max="23" width="16.42578125" style="490" hidden="1" customWidth="1" outlineLevel="1"/>
    <col min="24" max="24" width="18" style="490" hidden="1" customWidth="1" outlineLevel="1"/>
    <col min="25" max="26" width="17.42578125" style="490" hidden="1" customWidth="1" outlineLevel="1"/>
    <col min="27" max="27" width="20.5703125" style="490" customWidth="1" collapsed="1"/>
    <col min="28" max="29" width="17.85546875" style="490" customWidth="1"/>
    <col min="30" max="30" width="2.7109375" style="490" customWidth="1"/>
    <col min="31" max="33" width="17.85546875" style="490" customWidth="1"/>
    <col min="34" max="34" width="2.7109375" style="490" customWidth="1"/>
    <col min="35" max="35" width="17.85546875" style="490" customWidth="1"/>
    <col min="36" max="36" width="14.7109375" style="490" customWidth="1"/>
    <col min="37" max="38" width="16.85546875" style="490" bestFit="1" customWidth="1"/>
    <col min="39" max="39" width="19.28515625" style="490" bestFit="1" customWidth="1"/>
    <col min="40" max="16384" width="11.42578125" style="490"/>
  </cols>
  <sheetData>
    <row r="1" spans="1:36">
      <c r="A1" s="563"/>
      <c r="B1" s="563"/>
      <c r="C1" s="563"/>
      <c r="D1" s="563"/>
      <c r="E1" s="566"/>
      <c r="F1" s="563"/>
      <c r="G1" s="563"/>
      <c r="H1" s="563"/>
      <c r="I1" s="563"/>
      <c r="J1" s="563"/>
      <c r="K1" s="563"/>
      <c r="L1" s="563"/>
      <c r="M1" s="563"/>
      <c r="N1" s="563"/>
      <c r="O1" s="563"/>
      <c r="P1" s="563"/>
      <c r="Q1" s="563"/>
      <c r="R1" s="563"/>
      <c r="S1" s="563"/>
      <c r="T1" s="563"/>
      <c r="U1" s="566"/>
      <c r="V1" s="563"/>
      <c r="W1" s="563"/>
      <c r="X1" s="563"/>
      <c r="Y1" s="563"/>
      <c r="Z1" s="563"/>
      <c r="AA1" s="563"/>
      <c r="AB1" s="563"/>
      <c r="AC1" s="563"/>
      <c r="AD1" s="563"/>
      <c r="AE1" s="563"/>
      <c r="AF1" s="563"/>
      <c r="AG1" s="563"/>
      <c r="AI1" s="563"/>
      <c r="AJ1" s="563"/>
    </row>
    <row r="2" spans="1:36" ht="15.75" hidden="1" outlineLevel="1">
      <c r="A2" s="513"/>
      <c r="B2" s="515" t="s">
        <v>605</v>
      </c>
      <c r="C2" s="515"/>
      <c r="D2" s="515"/>
      <c r="E2" s="515"/>
      <c r="F2" s="516" t="s">
        <v>604</v>
      </c>
      <c r="G2" s="506"/>
      <c r="H2" s="506"/>
      <c r="I2" s="506"/>
      <c r="J2" s="506"/>
      <c r="K2" s="508"/>
      <c r="L2" s="509"/>
      <c r="M2" s="506"/>
      <c r="N2" s="506"/>
      <c r="O2" s="510"/>
      <c r="P2" s="511"/>
      <c r="Q2" s="510"/>
      <c r="R2" s="512"/>
      <c r="S2" s="506"/>
      <c r="T2" s="506"/>
      <c r="U2" s="507"/>
      <c r="V2" s="516" t="s">
        <v>604</v>
      </c>
      <c r="W2" s="506"/>
      <c r="X2" s="506"/>
      <c r="Y2" s="506"/>
      <c r="Z2" s="506"/>
      <c r="AA2" s="508"/>
      <c r="AB2" s="509"/>
      <c r="AC2" s="506"/>
      <c r="AD2" s="510"/>
      <c r="AE2" s="511"/>
      <c r="AF2" s="511"/>
      <c r="AG2" s="511"/>
      <c r="AH2" s="494"/>
      <c r="AI2" s="511"/>
      <c r="AJ2" s="563"/>
    </row>
    <row r="3" spans="1:36" ht="15.75" hidden="1" outlineLevel="1">
      <c r="A3" s="513"/>
      <c r="B3" s="515"/>
      <c r="C3" s="515"/>
      <c r="D3" s="517" t="s">
        <v>3</v>
      </c>
      <c r="E3" s="517"/>
      <c r="F3" s="518" t="s">
        <v>816</v>
      </c>
      <c r="G3" s="506"/>
      <c r="H3" s="506"/>
      <c r="I3" s="506"/>
      <c r="J3" s="506"/>
      <c r="K3" s="508"/>
      <c r="L3" s="509"/>
      <c r="M3" s="506"/>
      <c r="N3" s="506"/>
      <c r="O3" s="510"/>
      <c r="P3" s="511"/>
      <c r="Q3" s="510"/>
      <c r="R3" s="512"/>
      <c r="S3" s="506"/>
      <c r="T3" s="506"/>
      <c r="U3" s="507"/>
      <c r="V3" s="519" t="s">
        <v>816</v>
      </c>
      <c r="W3" s="506"/>
      <c r="X3" s="506"/>
      <c r="Y3" s="506"/>
      <c r="Z3" s="506"/>
      <c r="AA3" s="508"/>
      <c r="AB3" s="509"/>
      <c r="AC3" s="506"/>
      <c r="AD3" s="510"/>
      <c r="AE3" s="511"/>
      <c r="AF3" s="511"/>
      <c r="AG3" s="511"/>
      <c r="AH3" s="494"/>
      <c r="AI3" s="511"/>
      <c r="AJ3" s="563"/>
    </row>
    <row r="4" spans="1:36" ht="15.75" hidden="1" outlineLevel="1">
      <c r="A4" s="513"/>
      <c r="B4" s="514"/>
      <c r="C4" s="506"/>
      <c r="D4" s="506"/>
      <c r="E4" s="507"/>
      <c r="F4" s="506"/>
      <c r="G4" s="506"/>
      <c r="H4" s="506"/>
      <c r="I4" s="506"/>
      <c r="J4" s="506"/>
      <c r="K4" s="508"/>
      <c r="L4" s="509"/>
      <c r="M4" s="506"/>
      <c r="N4" s="506"/>
      <c r="O4" s="510"/>
      <c r="P4" s="511"/>
      <c r="Q4" s="510"/>
      <c r="R4" s="512"/>
      <c r="S4" s="506"/>
      <c r="T4" s="506"/>
      <c r="U4" s="507"/>
      <c r="V4" s="506"/>
      <c r="W4" s="506"/>
      <c r="X4" s="506"/>
      <c r="Y4" s="506"/>
      <c r="Z4" s="506"/>
      <c r="AA4" s="508"/>
      <c r="AB4" s="509"/>
      <c r="AC4" s="506"/>
      <c r="AD4" s="510"/>
      <c r="AE4" s="511"/>
      <c r="AF4" s="511"/>
      <c r="AG4" s="511"/>
      <c r="AH4" s="494"/>
      <c r="AI4" s="511"/>
      <c r="AJ4" s="563"/>
    </row>
    <row r="5" spans="1:36" ht="15.75" hidden="1" outlineLevel="1">
      <c r="A5" s="513"/>
      <c r="B5" s="520" t="s">
        <v>62</v>
      </c>
      <c r="C5" s="506"/>
      <c r="D5" s="520" t="s">
        <v>63</v>
      </c>
      <c r="E5" s="507"/>
      <c r="F5" s="520" t="s">
        <v>64</v>
      </c>
      <c r="G5" s="506"/>
      <c r="H5" s="506"/>
      <c r="I5" s="506"/>
      <c r="J5" s="506"/>
      <c r="K5" s="508"/>
      <c r="L5" s="521" t="s">
        <v>65</v>
      </c>
      <c r="M5" s="506"/>
      <c r="N5" s="506"/>
      <c r="O5" s="510"/>
      <c r="P5" s="511"/>
      <c r="Q5" s="510"/>
      <c r="R5" s="512"/>
      <c r="S5" s="506"/>
      <c r="T5" s="520" t="s">
        <v>63</v>
      </c>
      <c r="U5" s="507"/>
      <c r="V5" s="520" t="s">
        <v>64</v>
      </c>
      <c r="W5" s="506"/>
      <c r="X5" s="506"/>
      <c r="Y5" s="506"/>
      <c r="Z5" s="506"/>
      <c r="AA5" s="508"/>
      <c r="AB5" s="521" t="s">
        <v>65</v>
      </c>
      <c r="AC5" s="506"/>
      <c r="AD5" s="510"/>
      <c r="AE5" s="511"/>
      <c r="AF5" s="511"/>
      <c r="AG5" s="511"/>
      <c r="AH5" s="494"/>
      <c r="AI5" s="511"/>
      <c r="AJ5" s="563"/>
    </row>
    <row r="6" spans="1:36" ht="15.75" hidden="1" outlineLevel="1">
      <c r="A6" s="513"/>
      <c r="B6" s="514"/>
      <c r="C6" s="506"/>
      <c r="D6" s="522" t="s">
        <v>817</v>
      </c>
      <c r="E6" s="507"/>
      <c r="F6" s="523"/>
      <c r="G6" s="506"/>
      <c r="H6" s="506"/>
      <c r="I6" s="506"/>
      <c r="J6" s="506"/>
      <c r="K6" s="508"/>
      <c r="L6" s="524"/>
      <c r="M6" s="506"/>
      <c r="N6" s="506"/>
      <c r="O6" s="510"/>
      <c r="P6" s="511"/>
      <c r="Q6" s="510"/>
      <c r="R6" s="512"/>
      <c r="S6" s="506"/>
      <c r="T6" s="522" t="s">
        <v>817</v>
      </c>
      <c r="U6" s="507"/>
      <c r="V6" s="523"/>
      <c r="W6" s="506"/>
      <c r="X6" s="506"/>
      <c r="Y6" s="506"/>
      <c r="Z6" s="506"/>
      <c r="AA6" s="508"/>
      <c r="AB6" s="524"/>
      <c r="AC6" s="506"/>
      <c r="AD6" s="510"/>
      <c r="AE6" s="511"/>
      <c r="AF6" s="511"/>
      <c r="AG6" s="511"/>
      <c r="AH6" s="494"/>
      <c r="AI6" s="511"/>
      <c r="AJ6" s="563"/>
    </row>
    <row r="7" spans="1:36" ht="15.75" hidden="1" outlineLevel="1">
      <c r="A7" s="513"/>
      <c r="B7" s="514"/>
      <c r="C7" s="506"/>
      <c r="D7" s="525" t="s">
        <v>69</v>
      </c>
      <c r="E7" s="507"/>
      <c r="F7" s="526" t="s">
        <v>68</v>
      </c>
      <c r="G7" s="506"/>
      <c r="H7" s="506"/>
      <c r="I7" s="506"/>
      <c r="J7" s="506"/>
      <c r="K7" s="508"/>
      <c r="L7" s="526" t="s">
        <v>16</v>
      </c>
      <c r="M7" s="506"/>
      <c r="N7" s="506"/>
      <c r="O7" s="510"/>
      <c r="P7" s="511"/>
      <c r="Q7" s="510"/>
      <c r="R7" s="512"/>
      <c r="S7" s="506"/>
      <c r="T7" s="525" t="s">
        <v>69</v>
      </c>
      <c r="U7" s="507"/>
      <c r="V7" s="526" t="s">
        <v>68</v>
      </c>
      <c r="W7" s="506"/>
      <c r="X7" s="506"/>
      <c r="Y7" s="506"/>
      <c r="Z7" s="506"/>
      <c r="AA7" s="508"/>
      <c r="AB7" s="526" t="s">
        <v>16</v>
      </c>
      <c r="AC7" s="506"/>
      <c r="AD7" s="510"/>
      <c r="AE7" s="511"/>
      <c r="AF7" s="511"/>
      <c r="AG7" s="511"/>
      <c r="AH7" s="494"/>
      <c r="AI7" s="511"/>
      <c r="AJ7" s="563"/>
    </row>
    <row r="8" spans="1:36" ht="15.75" hidden="1" outlineLevel="1">
      <c r="A8" s="513"/>
      <c r="B8" s="514"/>
      <c r="C8" s="506"/>
      <c r="D8" s="506"/>
      <c r="E8" s="507"/>
      <c r="F8" s="506"/>
      <c r="G8" s="506"/>
      <c r="H8" s="506"/>
      <c r="I8" s="506"/>
      <c r="J8" s="506"/>
      <c r="K8" s="508"/>
      <c r="L8" s="509"/>
      <c r="M8" s="506"/>
      <c r="N8" s="506"/>
      <c r="O8" s="510"/>
      <c r="P8" s="511"/>
      <c r="Q8" s="510"/>
      <c r="R8" s="512"/>
      <c r="S8" s="506"/>
      <c r="T8" s="506"/>
      <c r="U8" s="507"/>
      <c r="V8" s="506"/>
      <c r="W8" s="506"/>
      <c r="X8" s="506"/>
      <c r="Y8" s="506"/>
      <c r="Z8" s="506"/>
      <c r="AA8" s="508"/>
      <c r="AB8" s="509"/>
      <c r="AC8" s="506"/>
      <c r="AD8" s="510"/>
      <c r="AE8" s="511"/>
      <c r="AF8" s="511"/>
      <c r="AG8" s="511"/>
      <c r="AH8" s="494"/>
      <c r="AI8" s="511"/>
      <c r="AJ8" s="563"/>
    </row>
    <row r="9" spans="1:36" hidden="1" outlineLevel="1">
      <c r="A9" s="527">
        <v>1</v>
      </c>
      <c r="B9" s="528" t="s">
        <v>600</v>
      </c>
      <c r="C9" s="506"/>
      <c r="D9" s="529" t="s">
        <v>818</v>
      </c>
      <c r="E9" s="507"/>
      <c r="F9" s="530">
        <v>6583569300</v>
      </c>
      <c r="G9" s="524" t="s">
        <v>819</v>
      </c>
      <c r="H9" s="506"/>
      <c r="I9" s="506"/>
      <c r="J9" s="506"/>
      <c r="K9" s="508"/>
      <c r="L9" s="524"/>
      <c r="M9" s="506"/>
      <c r="N9" s="506"/>
      <c r="O9" s="510"/>
      <c r="P9" s="511"/>
      <c r="Q9" s="510"/>
      <c r="R9" s="512"/>
      <c r="S9" s="506"/>
      <c r="T9" s="529" t="s">
        <v>818</v>
      </c>
      <c r="U9" s="507"/>
      <c r="V9" s="863">
        <v>6548565126</v>
      </c>
      <c r="W9" s="524" t="s">
        <v>819</v>
      </c>
      <c r="X9" s="506"/>
      <c r="Y9" s="506"/>
      <c r="Z9" s="506"/>
      <c r="AA9" s="508"/>
      <c r="AB9" s="524"/>
      <c r="AC9" s="506"/>
      <c r="AD9" s="510"/>
      <c r="AE9" s="511"/>
      <c r="AF9" s="511"/>
      <c r="AG9" s="511"/>
      <c r="AH9" s="494"/>
      <c r="AI9" s="511"/>
      <c r="AJ9" s="563"/>
    </row>
    <row r="10" spans="1:36" hidden="1" outlineLevel="1">
      <c r="A10" s="527">
        <v>2</v>
      </c>
      <c r="B10" s="528" t="s">
        <v>598</v>
      </c>
      <c r="C10" s="506"/>
      <c r="D10" s="529" t="s">
        <v>820</v>
      </c>
      <c r="E10" s="507"/>
      <c r="F10" s="530">
        <v>4848582707</v>
      </c>
      <c r="G10" s="524" t="s">
        <v>821</v>
      </c>
      <c r="H10" s="506"/>
      <c r="I10" s="506"/>
      <c r="J10" s="506"/>
      <c r="K10" s="508"/>
      <c r="L10" s="524"/>
      <c r="M10" s="506"/>
      <c r="N10" s="506"/>
      <c r="O10" s="510"/>
      <c r="P10" s="511"/>
      <c r="Q10" s="510"/>
      <c r="R10" s="512"/>
      <c r="S10" s="506"/>
      <c r="T10" s="529" t="s">
        <v>820</v>
      </c>
      <c r="U10" s="507"/>
      <c r="V10" s="863">
        <v>4840185285</v>
      </c>
      <c r="W10" s="524" t="s">
        <v>821</v>
      </c>
      <c r="X10" s="506"/>
      <c r="Y10" s="506"/>
      <c r="Z10" s="506"/>
      <c r="AA10" s="508"/>
      <c r="AB10" s="524"/>
      <c r="AC10" s="506"/>
      <c r="AD10" s="510"/>
      <c r="AE10" s="511"/>
      <c r="AF10" s="511"/>
      <c r="AG10" s="511"/>
      <c r="AH10" s="494"/>
      <c r="AI10" s="511"/>
      <c r="AJ10" s="563"/>
    </row>
    <row r="11" spans="1:36" hidden="1" outlineLevel="1">
      <c r="A11" s="527"/>
      <c r="B11" s="524"/>
      <c r="C11" s="506"/>
      <c r="D11" s="529"/>
      <c r="E11" s="507"/>
      <c r="F11" s="524"/>
      <c r="G11" s="524"/>
      <c r="H11" s="506"/>
      <c r="I11" s="506"/>
      <c r="J11" s="506"/>
      <c r="K11" s="508"/>
      <c r="L11" s="524"/>
      <c r="M11" s="506"/>
      <c r="N11" s="506"/>
      <c r="O11" s="510"/>
      <c r="P11" s="511"/>
      <c r="Q11" s="510"/>
      <c r="R11" s="512"/>
      <c r="S11" s="506"/>
      <c r="T11" s="529"/>
      <c r="U11" s="507"/>
      <c r="V11" s="524"/>
      <c r="W11" s="524"/>
      <c r="X11" s="506"/>
      <c r="Y11" s="506"/>
      <c r="Z11" s="506"/>
      <c r="AA11" s="508"/>
      <c r="AB11" s="524"/>
      <c r="AC11" s="506"/>
      <c r="AD11" s="510"/>
      <c r="AE11" s="511"/>
      <c r="AF11" s="511"/>
      <c r="AG11" s="511"/>
      <c r="AH11" s="494"/>
      <c r="AI11" s="511"/>
      <c r="AJ11" s="563"/>
    </row>
    <row r="12" spans="1:36" hidden="1" outlineLevel="1">
      <c r="A12" s="527"/>
      <c r="B12" s="528" t="s">
        <v>596</v>
      </c>
      <c r="C12" s="506"/>
      <c r="D12" s="529"/>
      <c r="E12" s="507"/>
      <c r="F12" s="523"/>
      <c r="G12" s="524"/>
      <c r="H12" s="506"/>
      <c r="I12" s="506"/>
      <c r="J12" s="506"/>
      <c r="K12" s="508"/>
      <c r="L12" s="523"/>
      <c r="M12" s="506"/>
      <c r="N12" s="506"/>
      <c r="O12" s="510"/>
      <c r="P12" s="511"/>
      <c r="Q12" s="510"/>
      <c r="R12" s="512"/>
      <c r="S12" s="506"/>
      <c r="T12" s="529"/>
      <c r="U12" s="507"/>
      <c r="V12" s="523"/>
      <c r="W12" s="524"/>
      <c r="X12" s="506"/>
      <c r="Y12" s="506"/>
      <c r="Z12" s="506"/>
      <c r="AA12" s="508"/>
      <c r="AB12" s="523"/>
      <c r="AC12" s="506"/>
      <c r="AD12" s="510"/>
      <c r="AE12" s="511"/>
      <c r="AF12" s="511"/>
      <c r="AG12" s="511"/>
      <c r="AH12" s="494"/>
      <c r="AI12" s="511"/>
      <c r="AJ12" s="563"/>
    </row>
    <row r="13" spans="1:36" hidden="1" outlineLevel="1">
      <c r="A13" s="527">
        <v>3</v>
      </c>
      <c r="B13" s="528" t="s">
        <v>595</v>
      </c>
      <c r="C13" s="506"/>
      <c r="D13" s="529" t="s">
        <v>822</v>
      </c>
      <c r="E13" s="507"/>
      <c r="F13" s="530">
        <v>135749839.86244482</v>
      </c>
      <c r="G13" s="531" t="s">
        <v>823</v>
      </c>
      <c r="H13" s="506"/>
      <c r="I13" s="506"/>
      <c r="J13" s="506"/>
      <c r="K13" s="508"/>
      <c r="L13" s="524"/>
      <c r="M13" s="506"/>
      <c r="N13" s="506"/>
      <c r="O13" s="510"/>
      <c r="P13" s="511"/>
      <c r="Q13" s="510"/>
      <c r="R13" s="512"/>
      <c r="S13" s="506"/>
      <c r="T13" s="529" t="s">
        <v>822</v>
      </c>
      <c r="U13" s="507"/>
      <c r="V13" s="863">
        <v>133068355.99168481</v>
      </c>
      <c r="W13" s="531" t="s">
        <v>823</v>
      </c>
      <c r="X13" s="506"/>
      <c r="Y13" s="506"/>
      <c r="Z13" s="506"/>
      <c r="AA13" s="508"/>
      <c r="AB13" s="524"/>
      <c r="AC13" s="506"/>
      <c r="AD13" s="510"/>
      <c r="AE13" s="511"/>
      <c r="AF13" s="511"/>
      <c r="AG13" s="511"/>
      <c r="AH13" s="494"/>
      <c r="AI13" s="511"/>
      <c r="AJ13" s="563"/>
    </row>
    <row r="14" spans="1:36" hidden="1" outlineLevel="1">
      <c r="A14" s="527" t="s">
        <v>593</v>
      </c>
      <c r="B14" s="528" t="s">
        <v>861</v>
      </c>
      <c r="C14" s="506"/>
      <c r="D14" s="529" t="s">
        <v>862</v>
      </c>
      <c r="E14" s="507"/>
      <c r="F14" s="530">
        <v>1000500</v>
      </c>
      <c r="G14" s="531"/>
      <c r="H14" s="506"/>
      <c r="I14" s="506"/>
      <c r="J14" s="506"/>
      <c r="K14" s="508"/>
      <c r="L14" s="524"/>
      <c r="M14" s="506"/>
      <c r="N14" s="506"/>
      <c r="O14" s="510"/>
      <c r="P14" s="511"/>
      <c r="Q14" s="510"/>
      <c r="R14" s="512"/>
      <c r="S14" s="506"/>
      <c r="T14" s="529" t="s">
        <v>862</v>
      </c>
      <c r="U14" s="507"/>
      <c r="V14" s="863">
        <v>1175541</v>
      </c>
      <c r="W14" s="531"/>
      <c r="X14" s="506"/>
      <c r="Y14" s="506"/>
      <c r="Z14" s="506"/>
      <c r="AA14" s="508"/>
      <c r="AB14" s="524"/>
      <c r="AC14" s="506"/>
      <c r="AD14" s="510"/>
      <c r="AE14" s="511"/>
      <c r="AF14" s="511"/>
      <c r="AG14" s="511"/>
      <c r="AH14" s="494"/>
      <c r="AI14" s="511"/>
      <c r="AJ14" s="563"/>
    </row>
    <row r="15" spans="1:36" hidden="1" outlineLevel="1">
      <c r="A15" s="527" t="s">
        <v>590</v>
      </c>
      <c r="B15" s="528" t="s">
        <v>863</v>
      </c>
      <c r="C15" s="506"/>
      <c r="D15" s="529"/>
      <c r="E15" s="507"/>
      <c r="F15" s="579">
        <f>F13-F14</f>
        <v>134749339.86244482</v>
      </c>
      <c r="G15" s="531"/>
      <c r="H15" s="506"/>
      <c r="I15" s="506"/>
      <c r="J15" s="506"/>
      <c r="K15" s="508"/>
      <c r="L15" s="524"/>
      <c r="M15" s="506"/>
      <c r="N15" s="506"/>
      <c r="O15" s="510"/>
      <c r="P15" s="511"/>
      <c r="Q15" s="510"/>
      <c r="R15" s="512"/>
      <c r="S15" s="506"/>
      <c r="T15" s="529"/>
      <c r="U15" s="507"/>
      <c r="V15" s="579">
        <f>+V13-V14</f>
        <v>131892814.99168481</v>
      </c>
      <c r="W15" s="531"/>
      <c r="X15" s="506"/>
      <c r="Y15" s="506"/>
      <c r="Z15" s="506"/>
      <c r="AA15" s="508"/>
      <c r="AB15" s="524"/>
      <c r="AC15" s="506"/>
      <c r="AD15" s="510"/>
      <c r="AE15" s="511"/>
      <c r="AF15" s="511"/>
      <c r="AG15" s="511"/>
      <c r="AH15" s="494"/>
      <c r="AI15" s="511"/>
      <c r="AJ15" s="563"/>
    </row>
    <row r="16" spans="1:36" hidden="1" outlineLevel="1">
      <c r="A16" s="527">
        <v>4</v>
      </c>
      <c r="B16" s="528" t="s">
        <v>587</v>
      </c>
      <c r="C16" s="506"/>
      <c r="D16" s="529" t="s">
        <v>824</v>
      </c>
      <c r="E16" s="507"/>
      <c r="F16" s="532">
        <f>IF(F15=0,0,F15/F9)</f>
        <v>2.0467520538204834E-2</v>
      </c>
      <c r="G16" s="524"/>
      <c r="H16" s="506"/>
      <c r="I16" s="506"/>
      <c r="J16" s="506"/>
      <c r="K16" s="508"/>
      <c r="L16" s="501">
        <f>F16</f>
        <v>2.0467520538204834E-2</v>
      </c>
      <c r="M16" s="506"/>
      <c r="N16" s="506"/>
      <c r="O16" s="510"/>
      <c r="P16" s="511"/>
      <c r="Q16" s="510"/>
      <c r="R16" s="512"/>
      <c r="S16" s="506"/>
      <c r="T16" s="529" t="s">
        <v>824</v>
      </c>
      <c r="U16" s="507"/>
      <c r="V16" s="532">
        <f>IF(V15=0,0,V15/V9)</f>
        <v>2.014071975371003E-2</v>
      </c>
      <c r="W16" s="524"/>
      <c r="X16" s="506"/>
      <c r="Y16" s="506"/>
      <c r="Z16" s="506"/>
      <c r="AA16" s="508"/>
      <c r="AB16" s="501">
        <f>V16</f>
        <v>2.014071975371003E-2</v>
      </c>
      <c r="AC16" s="506"/>
      <c r="AD16" s="510"/>
      <c r="AE16" s="511"/>
      <c r="AF16" s="511"/>
      <c r="AG16" s="511"/>
      <c r="AH16" s="494"/>
      <c r="AI16" s="511"/>
      <c r="AJ16" s="563"/>
    </row>
    <row r="17" spans="1:36" hidden="1" outlineLevel="1">
      <c r="A17" s="527"/>
      <c r="B17" s="524"/>
      <c r="C17" s="506"/>
      <c r="D17" s="529"/>
      <c r="E17" s="507"/>
      <c r="F17" s="524"/>
      <c r="G17" s="524"/>
      <c r="H17" s="506"/>
      <c r="I17" s="506"/>
      <c r="J17" s="506"/>
      <c r="K17" s="508"/>
      <c r="L17" s="501"/>
      <c r="M17" s="506"/>
      <c r="N17" s="506"/>
      <c r="O17" s="510"/>
      <c r="P17" s="511"/>
      <c r="Q17" s="510"/>
      <c r="R17" s="512"/>
      <c r="S17" s="506"/>
      <c r="T17" s="529"/>
      <c r="U17" s="507"/>
      <c r="V17" s="524"/>
      <c r="W17" s="524"/>
      <c r="X17" s="506"/>
      <c r="Y17" s="506"/>
      <c r="Z17" s="506"/>
      <c r="AA17" s="508"/>
      <c r="AB17" s="524"/>
      <c r="AC17" s="506"/>
      <c r="AD17" s="510"/>
      <c r="AE17" s="511"/>
      <c r="AF17" s="511"/>
      <c r="AG17" s="511"/>
      <c r="AH17" s="494"/>
      <c r="AI17" s="511"/>
      <c r="AJ17" s="563"/>
    </row>
    <row r="18" spans="1:36" hidden="1" outlineLevel="1">
      <c r="A18" s="527"/>
      <c r="B18" s="524" t="s">
        <v>585</v>
      </c>
      <c r="C18" s="506"/>
      <c r="D18" s="529"/>
      <c r="E18" s="507"/>
      <c r="F18" s="524"/>
      <c r="G18" s="524"/>
      <c r="H18" s="506"/>
      <c r="I18" s="506"/>
      <c r="J18" s="506"/>
      <c r="K18" s="508"/>
      <c r="L18" s="505"/>
      <c r="M18" s="506"/>
      <c r="N18" s="506"/>
      <c r="O18" s="510"/>
      <c r="P18" s="511"/>
      <c r="Q18" s="510"/>
      <c r="R18" s="512"/>
      <c r="S18" s="506"/>
      <c r="T18" s="529"/>
      <c r="U18" s="507"/>
      <c r="V18" s="524"/>
      <c r="W18" s="524"/>
      <c r="X18" s="506"/>
      <c r="Y18" s="506"/>
      <c r="Z18" s="506"/>
      <c r="AA18" s="508"/>
      <c r="AB18" s="524"/>
      <c r="AC18" s="506"/>
      <c r="AD18" s="510"/>
      <c r="AE18" s="511"/>
      <c r="AF18" s="511"/>
      <c r="AG18" s="511"/>
      <c r="AH18" s="494"/>
      <c r="AI18" s="511"/>
      <c r="AJ18" s="563"/>
    </row>
    <row r="19" spans="1:36" hidden="1" outlineLevel="1">
      <c r="A19" s="527"/>
      <c r="B19" s="524" t="s">
        <v>583</v>
      </c>
      <c r="C19" s="506"/>
      <c r="D19" s="529" t="s">
        <v>825</v>
      </c>
      <c r="E19" s="507"/>
      <c r="F19" s="530">
        <v>17523860</v>
      </c>
      <c r="G19" s="524"/>
      <c r="H19" s="506"/>
      <c r="I19" s="506"/>
      <c r="J19" s="506"/>
      <c r="K19" s="508"/>
      <c r="L19" s="494"/>
      <c r="M19" s="506"/>
      <c r="N19" s="506"/>
      <c r="O19" s="510"/>
      <c r="P19" s="511"/>
      <c r="Q19" s="510"/>
      <c r="R19" s="512"/>
      <c r="S19" s="506"/>
      <c r="T19" s="529" t="s">
        <v>825</v>
      </c>
      <c r="U19" s="507"/>
      <c r="V19" s="863">
        <v>17410401</v>
      </c>
      <c r="W19" s="524"/>
      <c r="X19" s="506"/>
      <c r="Y19" s="506"/>
      <c r="Z19" s="506"/>
      <c r="AA19" s="508"/>
      <c r="AB19" s="524"/>
      <c r="AC19" s="506"/>
      <c r="AD19" s="510"/>
      <c r="AE19" s="511"/>
      <c r="AF19" s="511"/>
      <c r="AG19" s="511"/>
      <c r="AH19" s="494"/>
      <c r="AI19" s="511"/>
      <c r="AJ19" s="563"/>
    </row>
    <row r="20" spans="1:36" hidden="1" outlineLevel="1">
      <c r="A20" s="527"/>
      <c r="B20" s="524" t="s">
        <v>580</v>
      </c>
      <c r="C20" s="506"/>
      <c r="D20" s="529" t="s">
        <v>579</v>
      </c>
      <c r="E20" s="507"/>
      <c r="F20" s="200">
        <f>IF(F19=0,0,F19/F9)</f>
        <v>2.6617567464505918E-3</v>
      </c>
      <c r="G20" s="524"/>
      <c r="H20" s="506"/>
      <c r="I20" s="506"/>
      <c r="J20" s="506"/>
      <c r="K20" s="508"/>
      <c r="L20" s="501">
        <f>F20</f>
        <v>2.6617567464505918E-3</v>
      </c>
      <c r="M20" s="506"/>
      <c r="N20" s="506"/>
      <c r="O20" s="510"/>
      <c r="P20" s="511"/>
      <c r="Q20" s="510"/>
      <c r="R20" s="512"/>
      <c r="S20" s="506"/>
      <c r="T20" s="529" t="s">
        <v>579</v>
      </c>
      <c r="U20" s="507"/>
      <c r="V20" s="200">
        <f>IF(V19=0,0,V19/V9)</f>
        <v>2.6586589069527411E-3</v>
      </c>
      <c r="W20" s="524"/>
      <c r="X20" s="506"/>
      <c r="Y20" s="506"/>
      <c r="Z20" s="506"/>
      <c r="AA20" s="508"/>
      <c r="AB20" s="501">
        <f>+V20</f>
        <v>2.6586589069527411E-3</v>
      </c>
      <c r="AC20" s="506"/>
      <c r="AD20" s="510"/>
      <c r="AE20" s="511"/>
      <c r="AF20" s="511"/>
      <c r="AG20" s="511"/>
      <c r="AH20" s="494"/>
      <c r="AI20" s="511"/>
      <c r="AJ20" s="563"/>
    </row>
    <row r="21" spans="1:36" hidden="1" outlineLevel="1">
      <c r="A21" s="527"/>
      <c r="B21" s="524"/>
      <c r="C21" s="506"/>
      <c r="D21" s="529"/>
      <c r="E21" s="507"/>
      <c r="F21" s="524"/>
      <c r="G21" s="524"/>
      <c r="H21" s="506"/>
      <c r="I21" s="506"/>
      <c r="J21" s="506"/>
      <c r="K21" s="508"/>
      <c r="L21" s="501"/>
      <c r="M21" s="506"/>
      <c r="N21" s="506"/>
      <c r="O21" s="510"/>
      <c r="P21" s="511"/>
      <c r="Q21" s="510"/>
      <c r="R21" s="512"/>
      <c r="S21" s="506"/>
      <c r="T21" s="529"/>
      <c r="U21" s="507"/>
      <c r="V21" s="524"/>
      <c r="W21" s="524"/>
      <c r="X21" s="506"/>
      <c r="Y21" s="506"/>
      <c r="Z21" s="506"/>
      <c r="AA21" s="508"/>
      <c r="AB21" s="524"/>
      <c r="AC21" s="506"/>
      <c r="AD21" s="510"/>
      <c r="AE21" s="511"/>
      <c r="AF21" s="511"/>
      <c r="AG21" s="511"/>
      <c r="AH21" s="494"/>
      <c r="AI21" s="511"/>
      <c r="AJ21" s="563"/>
    </row>
    <row r="22" spans="1:36" hidden="1" outlineLevel="1">
      <c r="A22" s="533"/>
      <c r="B22" s="528" t="s">
        <v>578</v>
      </c>
      <c r="C22" s="506"/>
      <c r="D22" s="534"/>
      <c r="E22" s="507"/>
      <c r="F22" s="523"/>
      <c r="G22" s="524"/>
      <c r="H22" s="506"/>
      <c r="I22" s="506"/>
      <c r="J22" s="506"/>
      <c r="K22" s="508"/>
      <c r="L22" s="505"/>
      <c r="M22" s="506"/>
      <c r="N22" s="506"/>
      <c r="O22" s="510"/>
      <c r="P22" s="511"/>
      <c r="Q22" s="510"/>
      <c r="R22" s="512"/>
      <c r="S22" s="506"/>
      <c r="T22" s="534"/>
      <c r="U22" s="507"/>
      <c r="V22" s="523"/>
      <c r="W22" s="524"/>
      <c r="X22" s="506"/>
      <c r="Y22" s="506"/>
      <c r="Z22" s="506"/>
      <c r="AA22" s="508"/>
      <c r="AB22" s="523"/>
      <c r="AC22" s="506"/>
      <c r="AD22" s="510"/>
      <c r="AE22" s="511"/>
      <c r="AF22" s="511"/>
      <c r="AG22" s="511"/>
      <c r="AH22" s="494"/>
      <c r="AI22" s="511"/>
      <c r="AJ22" s="563"/>
    </row>
    <row r="23" spans="1:36" hidden="1" outlineLevel="1">
      <c r="A23" s="533" t="s">
        <v>584</v>
      </c>
      <c r="B23" s="528" t="s">
        <v>576</v>
      </c>
      <c r="C23" s="506"/>
      <c r="D23" s="529" t="s">
        <v>826</v>
      </c>
      <c r="E23" s="507"/>
      <c r="F23" s="530">
        <v>28947317</v>
      </c>
      <c r="G23" s="524" t="s">
        <v>827</v>
      </c>
      <c r="H23" s="506"/>
      <c r="I23" s="506"/>
      <c r="J23" s="506"/>
      <c r="K23" s="508"/>
      <c r="M23" s="506"/>
      <c r="N23" s="506"/>
      <c r="O23" s="510"/>
      <c r="P23" s="511"/>
      <c r="Q23" s="510"/>
      <c r="R23" s="512"/>
      <c r="S23" s="506"/>
      <c r="T23" s="529" t="s">
        <v>826</v>
      </c>
      <c r="U23" s="507"/>
      <c r="V23" s="863">
        <v>29415999</v>
      </c>
      <c r="W23" s="524" t="s">
        <v>827</v>
      </c>
      <c r="X23" s="506"/>
      <c r="Y23" s="506"/>
      <c r="Z23" s="506"/>
      <c r="AA23" s="508"/>
      <c r="AB23" s="524"/>
      <c r="AC23" s="506"/>
      <c r="AD23" s="510"/>
      <c r="AE23" s="511"/>
      <c r="AF23" s="511"/>
      <c r="AG23" s="511"/>
      <c r="AH23" s="494"/>
      <c r="AI23" s="511"/>
      <c r="AJ23" s="563"/>
    </row>
    <row r="24" spans="1:36" hidden="1" outlineLevel="1">
      <c r="A24" s="533" t="s">
        <v>581</v>
      </c>
      <c r="B24" s="528" t="s">
        <v>573</v>
      </c>
      <c r="C24" s="506"/>
      <c r="D24" s="529" t="s">
        <v>572</v>
      </c>
      <c r="E24" s="507"/>
      <c r="F24" s="532">
        <f>IF(F23=0,0,F23/F9)</f>
        <v>4.3969032117577925E-3</v>
      </c>
      <c r="G24" s="524"/>
      <c r="H24" s="506"/>
      <c r="I24" s="506"/>
      <c r="J24" s="506"/>
      <c r="K24" s="508"/>
      <c r="L24" s="501">
        <f>F24</f>
        <v>4.3969032117577925E-3</v>
      </c>
      <c r="M24" s="506"/>
      <c r="N24" s="506"/>
      <c r="O24" s="510"/>
      <c r="P24" s="511"/>
      <c r="Q24" s="510"/>
      <c r="R24" s="512"/>
      <c r="S24" s="506"/>
      <c r="T24" s="529" t="s">
        <v>572</v>
      </c>
      <c r="U24" s="507"/>
      <c r="V24" s="532">
        <f>IF(V23=0,0,V23/V9)</f>
        <v>4.4919762473169299E-3</v>
      </c>
      <c r="W24" s="524"/>
      <c r="X24" s="506"/>
      <c r="Y24" s="506"/>
      <c r="Z24" s="506"/>
      <c r="AA24" s="508"/>
      <c r="AB24" s="501">
        <f>V24</f>
        <v>4.4919762473169299E-3</v>
      </c>
      <c r="AC24" s="506"/>
      <c r="AD24" s="510"/>
      <c r="AE24" s="511"/>
      <c r="AF24" s="511"/>
      <c r="AG24" s="511"/>
      <c r="AH24" s="494"/>
      <c r="AI24" s="511"/>
      <c r="AJ24" s="563"/>
    </row>
    <row r="25" spans="1:36" hidden="1" outlineLevel="1">
      <c r="A25" s="533"/>
      <c r="B25" s="528"/>
      <c r="C25" s="506"/>
      <c r="D25" s="529"/>
      <c r="E25" s="507"/>
      <c r="F25" s="523"/>
      <c r="G25" s="524"/>
      <c r="H25" s="506"/>
      <c r="I25" s="506"/>
      <c r="J25" s="506"/>
      <c r="K25" s="508"/>
      <c r="L25" s="505"/>
      <c r="M25" s="506"/>
      <c r="N25" s="506"/>
      <c r="O25" s="510"/>
      <c r="P25" s="511"/>
      <c r="Q25" s="510"/>
      <c r="R25" s="512"/>
      <c r="S25" s="506"/>
      <c r="T25" s="529"/>
      <c r="U25" s="507"/>
      <c r="V25" s="523"/>
      <c r="W25" s="524"/>
      <c r="X25" s="506"/>
      <c r="Y25" s="506"/>
      <c r="Z25" s="506"/>
      <c r="AA25" s="508"/>
      <c r="AB25" s="523"/>
      <c r="AC25" s="506"/>
      <c r="AD25" s="510"/>
      <c r="AE25" s="511"/>
      <c r="AF25" s="511"/>
      <c r="AG25" s="511"/>
      <c r="AH25" s="494"/>
      <c r="AI25" s="511"/>
      <c r="AJ25" s="563"/>
    </row>
    <row r="26" spans="1:36" ht="15.75" hidden="1" outlineLevel="1">
      <c r="A26" s="535" t="s">
        <v>577</v>
      </c>
      <c r="B26" s="536" t="s">
        <v>546</v>
      </c>
      <c r="C26" s="506"/>
      <c r="D26" s="522" t="s">
        <v>570</v>
      </c>
      <c r="E26" s="507"/>
      <c r="F26" s="537"/>
      <c r="G26" s="524"/>
      <c r="H26" s="506"/>
      <c r="I26" s="506"/>
      <c r="J26" s="506"/>
      <c r="K26" s="508"/>
      <c r="L26" s="192">
        <f>L16+L20+L24</f>
        <v>2.752618049641322E-2</v>
      </c>
      <c r="M26" s="506"/>
      <c r="N26" s="506"/>
      <c r="O26" s="510"/>
      <c r="P26" s="511"/>
      <c r="Q26" s="510"/>
      <c r="R26" s="512"/>
      <c r="S26" s="506"/>
      <c r="T26" s="522" t="s">
        <v>570</v>
      </c>
      <c r="U26" s="507"/>
      <c r="V26" s="537"/>
      <c r="W26" s="524"/>
      <c r="X26" s="506"/>
      <c r="Y26" s="506"/>
      <c r="Z26" s="506"/>
      <c r="AA26" s="508"/>
      <c r="AB26" s="192">
        <f>AB16+AB20+AB24</f>
        <v>2.7291354907979699E-2</v>
      </c>
      <c r="AC26" s="506"/>
      <c r="AD26" s="510"/>
      <c r="AE26" s="511"/>
      <c r="AF26" s="511"/>
      <c r="AG26" s="511"/>
      <c r="AH26" s="494"/>
      <c r="AI26" s="511"/>
      <c r="AJ26" s="563"/>
    </row>
    <row r="27" spans="1:36" hidden="1" outlineLevel="1">
      <c r="A27" s="533"/>
      <c r="B27" s="528"/>
      <c r="C27" s="506"/>
      <c r="D27" s="529"/>
      <c r="E27" s="507"/>
      <c r="F27" s="523"/>
      <c r="G27" s="524"/>
      <c r="H27" s="506"/>
      <c r="I27" s="506"/>
      <c r="J27" s="506"/>
      <c r="K27" s="508"/>
      <c r="L27" s="505"/>
      <c r="M27" s="506"/>
      <c r="N27" s="506"/>
      <c r="O27" s="510"/>
      <c r="P27" s="511"/>
      <c r="Q27" s="510"/>
      <c r="R27" s="512"/>
      <c r="S27" s="506"/>
      <c r="T27" s="529"/>
      <c r="U27" s="507"/>
      <c r="V27" s="523"/>
      <c r="W27" s="524"/>
      <c r="X27" s="506"/>
      <c r="Y27" s="506"/>
      <c r="Z27" s="506"/>
      <c r="AA27" s="508"/>
      <c r="AB27" s="523"/>
      <c r="AC27" s="506"/>
      <c r="AD27" s="510"/>
      <c r="AE27" s="511"/>
      <c r="AF27" s="511"/>
      <c r="AG27" s="511"/>
      <c r="AH27" s="494"/>
      <c r="AI27" s="511"/>
      <c r="AJ27" s="563"/>
    </row>
    <row r="28" spans="1:36" hidden="1" outlineLevel="1">
      <c r="A28" s="538"/>
      <c r="B28" s="523" t="s">
        <v>569</v>
      </c>
      <c r="C28" s="506"/>
      <c r="D28" s="529"/>
      <c r="E28" s="507"/>
      <c r="F28" s="523"/>
      <c r="G28" s="524"/>
      <c r="H28" s="506"/>
      <c r="I28" s="506"/>
      <c r="J28" s="506"/>
      <c r="K28" s="508"/>
      <c r="L28" s="505"/>
      <c r="M28" s="506"/>
      <c r="N28" s="506"/>
      <c r="O28" s="510"/>
      <c r="P28" s="511"/>
      <c r="Q28" s="510"/>
      <c r="R28" s="512"/>
      <c r="S28" s="506"/>
      <c r="T28" s="529"/>
      <c r="U28" s="507"/>
      <c r="V28" s="523"/>
      <c r="W28" s="524"/>
      <c r="X28" s="506"/>
      <c r="Y28" s="506"/>
      <c r="Z28" s="506"/>
      <c r="AA28" s="508"/>
      <c r="AB28" s="523"/>
      <c r="AC28" s="506"/>
      <c r="AD28" s="510"/>
      <c r="AE28" s="511"/>
      <c r="AF28" s="511"/>
      <c r="AG28" s="511"/>
      <c r="AH28" s="494"/>
      <c r="AI28" s="511"/>
      <c r="AJ28" s="563"/>
    </row>
    <row r="29" spans="1:36" hidden="1" outlineLevel="1">
      <c r="A29" s="533" t="s">
        <v>574</v>
      </c>
      <c r="B29" s="523" t="s">
        <v>500</v>
      </c>
      <c r="C29" s="506"/>
      <c r="D29" s="529" t="s">
        <v>828</v>
      </c>
      <c r="E29" s="507"/>
      <c r="F29" s="530">
        <v>72627013.844064206</v>
      </c>
      <c r="G29" s="524" t="s">
        <v>829</v>
      </c>
      <c r="H29" s="506"/>
      <c r="I29" s="506"/>
      <c r="J29" s="506"/>
      <c r="K29" s="508"/>
      <c r="L29" s="505"/>
      <c r="M29" s="506"/>
      <c r="N29" s="506"/>
      <c r="O29" s="510"/>
      <c r="P29" s="511"/>
      <c r="Q29" s="510"/>
      <c r="R29" s="512"/>
      <c r="S29" s="506"/>
      <c r="T29" s="529" t="s">
        <v>828</v>
      </c>
      <c r="U29" s="507"/>
      <c r="V29" s="863">
        <v>70576048.1803343</v>
      </c>
      <c r="W29" s="524" t="s">
        <v>829</v>
      </c>
      <c r="X29" s="506"/>
      <c r="Y29" s="506"/>
      <c r="Z29" s="506"/>
      <c r="AA29" s="508"/>
      <c r="AB29" s="523"/>
      <c r="AC29" s="506"/>
      <c r="AD29" s="510"/>
      <c r="AE29" s="511"/>
      <c r="AF29" s="511"/>
      <c r="AG29" s="511"/>
      <c r="AH29" s="494"/>
      <c r="AI29" s="511"/>
      <c r="AJ29" s="563"/>
    </row>
    <row r="30" spans="1:36" hidden="1" outlineLevel="1">
      <c r="A30" s="533" t="s">
        <v>571</v>
      </c>
      <c r="B30" s="523" t="s">
        <v>565</v>
      </c>
      <c r="C30" s="506"/>
      <c r="D30" s="529" t="s">
        <v>564</v>
      </c>
      <c r="E30" s="507"/>
      <c r="F30" s="532">
        <f>IF(F29=0,0,F29/F10)</f>
        <v>1.4979019279017571E-2</v>
      </c>
      <c r="G30" s="524"/>
      <c r="H30" s="506"/>
      <c r="I30" s="506"/>
      <c r="J30" s="506"/>
      <c r="K30" s="508"/>
      <c r="L30" s="501">
        <f>F30</f>
        <v>1.4979019279017571E-2</v>
      </c>
      <c r="M30" s="506"/>
      <c r="N30" s="506"/>
      <c r="O30" s="510"/>
      <c r="P30" s="511"/>
      <c r="Q30" s="510"/>
      <c r="R30" s="512"/>
      <c r="S30" s="506"/>
      <c r="T30" s="529" t="s">
        <v>564</v>
      </c>
      <c r="U30" s="507"/>
      <c r="V30" s="532">
        <f>IF(V29=0,0,V29/V10)</f>
        <v>1.4581269935895501E-2</v>
      </c>
      <c r="W30" s="524"/>
      <c r="X30" s="506"/>
      <c r="Y30" s="506"/>
      <c r="Z30" s="506"/>
      <c r="AA30" s="508"/>
      <c r="AB30" s="501">
        <f>V30</f>
        <v>1.4581269935895501E-2</v>
      </c>
      <c r="AC30" s="506"/>
      <c r="AD30" s="510"/>
      <c r="AE30" s="511"/>
      <c r="AF30" s="511"/>
      <c r="AG30" s="511"/>
      <c r="AH30" s="494"/>
      <c r="AI30" s="511"/>
      <c r="AJ30" s="563"/>
    </row>
    <row r="31" spans="1:36" hidden="1" outlineLevel="1">
      <c r="A31" s="533"/>
      <c r="B31" s="523"/>
      <c r="C31" s="506"/>
      <c r="D31" s="529"/>
      <c r="E31" s="507"/>
      <c r="F31" s="523"/>
      <c r="G31" s="524"/>
      <c r="H31" s="506"/>
      <c r="I31" s="506"/>
      <c r="J31" s="506"/>
      <c r="K31" s="508"/>
      <c r="L31" s="505"/>
      <c r="M31" s="506"/>
      <c r="N31" s="506"/>
      <c r="O31" s="510"/>
      <c r="P31" s="511"/>
      <c r="Q31" s="510"/>
      <c r="R31" s="512"/>
      <c r="S31" s="506"/>
      <c r="T31" s="529"/>
      <c r="U31" s="507"/>
      <c r="V31" s="523"/>
      <c r="W31" s="524"/>
      <c r="X31" s="506"/>
      <c r="Y31" s="506"/>
      <c r="Z31" s="506"/>
      <c r="AA31" s="508"/>
      <c r="AB31" s="523"/>
      <c r="AC31" s="506"/>
      <c r="AD31" s="510"/>
      <c r="AE31" s="511"/>
      <c r="AF31" s="511"/>
      <c r="AG31" s="511"/>
      <c r="AH31" s="494"/>
      <c r="AI31" s="511"/>
      <c r="AJ31" s="563"/>
    </row>
    <row r="32" spans="1:36" hidden="1" outlineLevel="1">
      <c r="A32" s="533"/>
      <c r="B32" s="528" t="s">
        <v>190</v>
      </c>
      <c r="C32" s="506"/>
      <c r="D32" s="539"/>
      <c r="E32" s="507"/>
      <c r="F32" s="524"/>
      <c r="G32" s="524"/>
      <c r="H32" s="506"/>
      <c r="I32" s="506"/>
      <c r="J32" s="506"/>
      <c r="K32" s="508"/>
      <c r="M32" s="506"/>
      <c r="N32" s="506"/>
      <c r="O32" s="510"/>
      <c r="P32" s="511"/>
      <c r="Q32" s="510"/>
      <c r="R32" s="512"/>
      <c r="S32" s="506"/>
      <c r="T32" s="539"/>
      <c r="U32" s="507"/>
      <c r="V32" s="524"/>
      <c r="W32" s="524"/>
      <c r="X32" s="506"/>
      <c r="Y32" s="506"/>
      <c r="Z32" s="506"/>
      <c r="AA32" s="508"/>
      <c r="AB32" s="524"/>
      <c r="AC32" s="506"/>
      <c r="AD32" s="510"/>
      <c r="AE32" s="511"/>
      <c r="AF32" s="511"/>
      <c r="AG32" s="511"/>
      <c r="AH32" s="494"/>
      <c r="AI32" s="511"/>
      <c r="AJ32" s="563"/>
    </row>
    <row r="33" spans="1:38" hidden="1" outlineLevel="1">
      <c r="A33" s="533" t="s">
        <v>568</v>
      </c>
      <c r="B33" s="528" t="s">
        <v>562</v>
      </c>
      <c r="C33" s="506"/>
      <c r="D33" s="529" t="s">
        <v>830</v>
      </c>
      <c r="E33" s="507"/>
      <c r="F33" s="530">
        <v>302712893.95036954</v>
      </c>
      <c r="G33" s="524" t="s">
        <v>831</v>
      </c>
      <c r="H33" s="506"/>
      <c r="I33" s="506"/>
      <c r="J33" s="506"/>
      <c r="K33" s="508"/>
      <c r="L33" s="505"/>
      <c r="M33" s="506"/>
      <c r="N33" s="506"/>
      <c r="O33" s="510"/>
      <c r="P33" s="511"/>
      <c r="Q33" s="510"/>
      <c r="R33" s="512"/>
      <c r="S33" s="506"/>
      <c r="T33" s="529" t="s">
        <v>830</v>
      </c>
      <c r="U33" s="507"/>
      <c r="V33" s="863">
        <v>301623393.89588213</v>
      </c>
      <c r="W33" s="524" t="s">
        <v>831</v>
      </c>
      <c r="X33" s="506"/>
      <c r="Y33" s="506"/>
      <c r="Z33" s="506"/>
      <c r="AA33" s="508"/>
      <c r="AB33" s="523"/>
      <c r="AC33" s="506"/>
      <c r="AD33" s="510"/>
      <c r="AE33" s="511"/>
      <c r="AF33" s="511"/>
      <c r="AG33" s="511"/>
      <c r="AH33" s="494"/>
      <c r="AI33" s="511"/>
      <c r="AJ33" s="563"/>
    </row>
    <row r="34" spans="1:38" hidden="1" outlineLevel="1">
      <c r="A34" s="533" t="s">
        <v>566</v>
      </c>
      <c r="B34" s="523" t="s">
        <v>559</v>
      </c>
      <c r="C34" s="506"/>
      <c r="D34" s="529" t="s">
        <v>558</v>
      </c>
      <c r="E34" s="507"/>
      <c r="F34" s="200">
        <f>IF(F33=0,0,F33/F10)</f>
        <v>6.2433274266588588E-2</v>
      </c>
      <c r="G34" s="524"/>
      <c r="H34" s="506"/>
      <c r="I34" s="506"/>
      <c r="J34" s="506"/>
      <c r="K34" s="508"/>
      <c r="L34" s="501">
        <f>F34</f>
        <v>6.2433274266588588E-2</v>
      </c>
      <c r="M34" s="506"/>
      <c r="N34" s="506"/>
      <c r="O34" s="510"/>
      <c r="P34" s="511"/>
      <c r="Q34" s="510"/>
      <c r="R34" s="512"/>
      <c r="S34" s="506"/>
      <c r="T34" s="529" t="s">
        <v>558</v>
      </c>
      <c r="U34" s="507"/>
      <c r="V34" s="200">
        <f>IF(V33=0,0,V33/V10)</f>
        <v>6.2316497434639455E-2</v>
      </c>
      <c r="W34" s="524"/>
      <c r="X34" s="506"/>
      <c r="Y34" s="506"/>
      <c r="Z34" s="506"/>
      <c r="AA34" s="508"/>
      <c r="AB34" s="501">
        <f>V34</f>
        <v>6.2316497434639455E-2</v>
      </c>
      <c r="AC34" s="506"/>
      <c r="AD34" s="510"/>
      <c r="AE34" s="511"/>
      <c r="AF34" s="511"/>
      <c r="AG34" s="511"/>
      <c r="AH34" s="494"/>
      <c r="AI34" s="511"/>
      <c r="AJ34" s="563"/>
    </row>
    <row r="35" spans="1:38" hidden="1" outlineLevel="1">
      <c r="A35" s="533"/>
      <c r="B35" s="528"/>
      <c r="C35" s="506"/>
      <c r="D35" s="529"/>
      <c r="E35" s="507"/>
      <c r="F35" s="523"/>
      <c r="G35" s="524"/>
      <c r="H35" s="506"/>
      <c r="I35" s="506"/>
      <c r="J35" s="506"/>
      <c r="K35" s="508"/>
      <c r="L35" s="505"/>
      <c r="M35" s="506"/>
      <c r="N35" s="506"/>
      <c r="O35" s="510"/>
      <c r="P35" s="511"/>
      <c r="Q35" s="510"/>
      <c r="R35" s="512"/>
      <c r="S35" s="506"/>
      <c r="T35" s="529"/>
      <c r="U35" s="507"/>
      <c r="V35" s="523"/>
      <c r="W35" s="524"/>
      <c r="X35" s="506"/>
      <c r="Y35" s="506"/>
      <c r="Z35" s="506"/>
      <c r="AA35" s="508"/>
      <c r="AB35" s="523"/>
      <c r="AC35" s="506"/>
      <c r="AD35" s="510"/>
      <c r="AE35" s="511"/>
      <c r="AF35" s="511"/>
      <c r="AG35" s="511"/>
      <c r="AH35" s="494"/>
      <c r="AI35" s="511"/>
      <c r="AJ35" s="563"/>
    </row>
    <row r="36" spans="1:38" ht="15.75" hidden="1" outlineLevel="1">
      <c r="A36" s="535" t="s">
        <v>563</v>
      </c>
      <c r="B36" s="536" t="s">
        <v>543</v>
      </c>
      <c r="C36" s="506"/>
      <c r="D36" s="522" t="s">
        <v>556</v>
      </c>
      <c r="E36" s="507"/>
      <c r="F36" s="537"/>
      <c r="G36" s="524"/>
      <c r="H36" s="506"/>
      <c r="I36" s="506"/>
      <c r="J36" s="506"/>
      <c r="K36" s="508"/>
      <c r="L36" s="192">
        <f>L30+L34</f>
        <v>7.7412293545606164E-2</v>
      </c>
      <c r="M36" s="506"/>
      <c r="N36" s="506"/>
      <c r="O36" s="510"/>
      <c r="P36" s="511"/>
      <c r="Q36" s="510"/>
      <c r="R36" s="512"/>
      <c r="S36" s="506"/>
      <c r="T36" s="522" t="s">
        <v>556</v>
      </c>
      <c r="U36" s="507"/>
      <c r="V36" s="537"/>
      <c r="W36" s="524"/>
      <c r="X36" s="506"/>
      <c r="Y36" s="506"/>
      <c r="Z36" s="506"/>
      <c r="AA36" s="508"/>
      <c r="AB36" s="192">
        <f>AB30+AB34</f>
        <v>7.6897767370534956E-2</v>
      </c>
      <c r="AC36" s="506"/>
      <c r="AD36" s="510"/>
      <c r="AE36" s="511"/>
      <c r="AF36" s="511"/>
      <c r="AG36" s="511"/>
      <c r="AH36" s="494"/>
      <c r="AI36" s="511"/>
      <c r="AJ36" s="563"/>
    </row>
    <row r="37" spans="1:38" ht="15.75" hidden="1" outlineLevel="1">
      <c r="A37" s="513"/>
      <c r="B37" s="514"/>
      <c r="C37" s="506"/>
      <c r="D37" s="506"/>
      <c r="E37" s="507"/>
      <c r="F37" s="506"/>
      <c r="G37" s="506"/>
      <c r="H37" s="506"/>
      <c r="I37" s="506"/>
      <c r="J37" s="506"/>
      <c r="K37" s="508"/>
      <c r="L37" s="509"/>
      <c r="M37" s="506"/>
      <c r="N37" s="506"/>
      <c r="O37" s="510"/>
      <c r="P37" s="511"/>
      <c r="Q37" s="510"/>
      <c r="R37" s="512"/>
      <c r="S37" s="506"/>
      <c r="T37" s="506"/>
      <c r="U37" s="507"/>
      <c r="V37" s="506"/>
      <c r="W37" s="506"/>
      <c r="X37" s="506"/>
      <c r="Y37" s="506"/>
      <c r="Z37" s="506"/>
      <c r="AA37" s="508"/>
      <c r="AB37" s="509"/>
      <c r="AC37" s="506"/>
      <c r="AD37" s="510"/>
      <c r="AE37" s="511"/>
      <c r="AF37" s="511"/>
      <c r="AG37" s="511"/>
      <c r="AH37" s="494"/>
      <c r="AI37" s="511"/>
      <c r="AJ37" s="563"/>
    </row>
    <row r="38" spans="1:38" ht="15.75" hidden="1" outlineLevel="1">
      <c r="A38" s="513"/>
      <c r="B38" s="514"/>
      <c r="C38" s="506"/>
      <c r="D38" s="506"/>
      <c r="E38" s="507"/>
      <c r="F38" s="506"/>
      <c r="G38" s="506"/>
      <c r="H38" s="506"/>
      <c r="I38" s="506"/>
      <c r="J38" s="506"/>
      <c r="K38" s="508"/>
      <c r="L38" s="509"/>
      <c r="M38" s="506"/>
      <c r="N38" s="506"/>
      <c r="O38" s="510"/>
      <c r="P38" s="511"/>
      <c r="Q38" s="510"/>
      <c r="R38" s="512"/>
      <c r="S38" s="506"/>
      <c r="T38" s="506"/>
      <c r="U38" s="507"/>
      <c r="V38" s="506"/>
      <c r="W38" s="506"/>
      <c r="X38" s="506"/>
      <c r="Y38" s="506"/>
      <c r="Z38" s="506"/>
      <c r="AA38" s="508"/>
      <c r="AB38" s="509"/>
      <c r="AC38" s="506"/>
      <c r="AD38" s="510"/>
      <c r="AE38" s="511"/>
      <c r="AF38" s="511"/>
      <c r="AG38" s="511"/>
      <c r="AH38" s="494"/>
      <c r="AI38" s="511"/>
      <c r="AJ38" s="563"/>
    </row>
    <row r="39" spans="1:38" collapsed="1">
      <c r="C39" s="540"/>
      <c r="D39" s="540"/>
      <c r="E39" s="541"/>
      <c r="F39" s="540"/>
      <c r="G39" s="540"/>
      <c r="H39" s="540"/>
      <c r="I39" s="540"/>
      <c r="J39" s="540"/>
      <c r="K39" s="540"/>
      <c r="L39" s="540"/>
      <c r="M39" s="540"/>
      <c r="N39" s="540"/>
      <c r="Q39" s="496"/>
      <c r="R39" s="494"/>
      <c r="S39" s="540"/>
      <c r="T39" s="540"/>
      <c r="U39" s="541"/>
      <c r="V39" s="540"/>
      <c r="W39" s="540"/>
      <c r="X39" s="540"/>
      <c r="Y39" s="540"/>
      <c r="Z39" s="540"/>
      <c r="AA39" s="540"/>
      <c r="AB39" s="540"/>
      <c r="AC39" s="540"/>
      <c r="AD39" s="493"/>
      <c r="AE39" s="500"/>
      <c r="AF39" s="500"/>
      <c r="AG39" s="500"/>
      <c r="AH39" s="494"/>
      <c r="AI39" s="511"/>
    </row>
    <row r="40" spans="1:38" ht="18.75">
      <c r="A40" s="492" t="s">
        <v>360</v>
      </c>
      <c r="C40" s="976" t="str">
        <f>A43&amp;" Projected Revenue Requirement Calculation"</f>
        <v>2020 Projected Revenue Requirement Calculation</v>
      </c>
      <c r="D40" s="976"/>
      <c r="E40" s="976"/>
      <c r="F40" s="976"/>
      <c r="G40" s="976"/>
      <c r="H40" s="976"/>
      <c r="I40" s="976"/>
      <c r="J40" s="976"/>
      <c r="K40" s="976"/>
      <c r="L40" s="976"/>
      <c r="M40" s="976"/>
      <c r="N40" s="976"/>
      <c r="O40" s="493"/>
      <c r="P40" s="977" t="s">
        <v>811</v>
      </c>
      <c r="Q40" s="977"/>
      <c r="R40" s="494"/>
      <c r="S40" s="978" t="str">
        <f>+A43&amp;" Actual Revenue Requirement"</f>
        <v>2020 Actual Revenue Requirement</v>
      </c>
      <c r="T40" s="978"/>
      <c r="U40" s="978"/>
      <c r="V40" s="978"/>
      <c r="W40" s="978"/>
      <c r="X40" s="978"/>
      <c r="Y40" s="978"/>
      <c r="Z40" s="978"/>
      <c r="AA40" s="978"/>
      <c r="AB40" s="978"/>
      <c r="AC40" s="978"/>
      <c r="AD40" s="493"/>
      <c r="AE40" s="977" t="str">
        <f>A43&amp;" Annual True-up Calculation"</f>
        <v>2020 Annual True-up Calculation</v>
      </c>
      <c r="AF40" s="977"/>
      <c r="AG40" s="977"/>
      <c r="AH40" s="494"/>
      <c r="AI40" s="511"/>
    </row>
    <row r="41" spans="1:38" ht="15.75">
      <c r="A41" s="568"/>
      <c r="C41" s="568"/>
      <c r="D41" s="568"/>
      <c r="E41" s="568"/>
      <c r="F41" s="568"/>
      <c r="G41" s="568"/>
      <c r="H41" s="568"/>
      <c r="I41" s="568"/>
      <c r="J41" s="568"/>
      <c r="K41" s="568"/>
      <c r="L41" s="568"/>
      <c r="M41" s="568"/>
      <c r="N41" s="568"/>
      <c r="O41" s="493"/>
      <c r="P41" s="875">
        <v>98077735.599999994</v>
      </c>
      <c r="Q41" s="497" t="s">
        <v>855</v>
      </c>
      <c r="R41" s="494"/>
      <c r="S41" s="569"/>
      <c r="T41" s="569"/>
      <c r="U41" s="569"/>
      <c r="V41" s="569"/>
      <c r="W41" s="569"/>
      <c r="X41" s="569"/>
      <c r="Y41" s="569"/>
      <c r="Z41" s="569"/>
      <c r="AA41" s="569"/>
      <c r="AB41" s="569"/>
      <c r="AC41" s="569"/>
      <c r="AD41" s="493"/>
      <c r="AE41" s="570"/>
      <c r="AF41" s="570"/>
      <c r="AG41" s="570"/>
      <c r="AH41" s="494"/>
      <c r="AI41" s="511"/>
    </row>
    <row r="42" spans="1:38" ht="15.75">
      <c r="A42" s="568"/>
      <c r="C42" s="568"/>
      <c r="D42" s="568"/>
      <c r="E42" s="568"/>
      <c r="F42" s="568"/>
      <c r="G42" s="568"/>
      <c r="H42" s="568"/>
      <c r="I42" s="568"/>
      <c r="J42" s="568"/>
      <c r="K42" s="568"/>
      <c r="L42" s="568"/>
      <c r="M42" s="568"/>
      <c r="N42" s="568"/>
      <c r="O42" s="493"/>
      <c r="P42" s="146">
        <f>+L82</f>
        <v>-9540238.606121907</v>
      </c>
      <c r="Q42" s="497" t="s">
        <v>384</v>
      </c>
      <c r="R42" s="494"/>
      <c r="S42" s="569"/>
      <c r="T42" s="569"/>
      <c r="U42" s="569"/>
      <c r="V42" s="569"/>
      <c r="W42" s="569"/>
      <c r="X42" s="569"/>
      <c r="Y42" s="569"/>
      <c r="Z42" s="569"/>
      <c r="AA42" s="569"/>
      <c r="AB42" s="569"/>
      <c r="AC42" s="569"/>
      <c r="AD42" s="493"/>
      <c r="AE42" s="570"/>
      <c r="AF42" s="501">
        <f>'GG TU Interest'!E29</f>
        <v>7.9167592443813231E-3</v>
      </c>
      <c r="AG42" s="497" t="s">
        <v>814</v>
      </c>
      <c r="AH42" s="494"/>
      <c r="AI42" s="511"/>
    </row>
    <row r="43" spans="1:38">
      <c r="A43" s="495">
        <v>2020</v>
      </c>
      <c r="C43" s="542" t="str">
        <f>+A43&amp;" Annual Expense Factor "</f>
        <v xml:space="preserve">2020 Annual Expense Factor </v>
      </c>
      <c r="D43" s="499">
        <f>+L26</f>
        <v>2.752618049641322E-2</v>
      </c>
      <c r="F43" s="542" t="str">
        <f>A43&amp;" Annual Return Factor "</f>
        <v xml:space="preserve">2020 Annual Return Factor </v>
      </c>
      <c r="G43" s="499">
        <f>+L36</f>
        <v>7.7412293545606164E-2</v>
      </c>
      <c r="H43" s="543"/>
      <c r="I43" s="543"/>
      <c r="J43" s="543"/>
      <c r="K43" s="543"/>
      <c r="L43" s="505"/>
      <c r="M43" s="505"/>
      <c r="N43" s="505"/>
      <c r="O43" s="544"/>
      <c r="P43" s="502">
        <f>+P41+P42</f>
        <v>88537496.993878081</v>
      </c>
      <c r="Q43" s="496"/>
      <c r="R43" s="494"/>
      <c r="S43" s="542" t="s">
        <v>832</v>
      </c>
      <c r="T43" s="864">
        <f>+AB26</f>
        <v>2.7291354907979699E-2</v>
      </c>
      <c r="V43" s="542" t="s">
        <v>833</v>
      </c>
      <c r="W43" s="864">
        <f>+AB36</f>
        <v>7.6897767370534956E-2</v>
      </c>
      <c r="X43" s="543"/>
      <c r="Y43" s="543"/>
      <c r="Z43" s="543"/>
      <c r="AA43" s="543"/>
      <c r="AB43" s="505"/>
      <c r="AC43" s="497"/>
      <c r="AD43" s="497"/>
      <c r="AE43" s="497"/>
      <c r="AF43" s="146">
        <f>'GG TU Interest'!E35</f>
        <v>16290.25265208364</v>
      </c>
      <c r="AG43" s="497" t="s">
        <v>812</v>
      </c>
      <c r="AH43" s="494"/>
      <c r="AI43" s="511"/>
    </row>
    <row r="44" spans="1:38">
      <c r="A44" s="545" t="s">
        <v>288</v>
      </c>
      <c r="B44" s="545" t="s">
        <v>290</v>
      </c>
      <c r="C44" s="546" t="s">
        <v>834</v>
      </c>
      <c r="D44" s="545" t="s">
        <v>835</v>
      </c>
      <c r="E44" s="545" t="s">
        <v>836</v>
      </c>
      <c r="F44" s="545" t="s">
        <v>837</v>
      </c>
      <c r="G44" s="545" t="s">
        <v>838</v>
      </c>
      <c r="H44" s="545" t="s">
        <v>839</v>
      </c>
      <c r="I44" s="545" t="s">
        <v>840</v>
      </c>
      <c r="J44" s="545" t="s">
        <v>864</v>
      </c>
      <c r="K44" s="545" t="s">
        <v>292</v>
      </c>
      <c r="L44" s="545" t="s">
        <v>294</v>
      </c>
      <c r="M44" s="545" t="s">
        <v>295</v>
      </c>
      <c r="N44" s="545" t="s">
        <v>297</v>
      </c>
      <c r="O44" s="493"/>
      <c r="P44" s="547">
        <v>0</v>
      </c>
      <c r="Q44" s="548" t="s">
        <v>301</v>
      </c>
      <c r="R44" s="494"/>
      <c r="S44" s="545" t="s">
        <v>841</v>
      </c>
      <c r="T44" s="545" t="s">
        <v>842</v>
      </c>
      <c r="U44" s="545" t="s">
        <v>843</v>
      </c>
      <c r="V44" s="545" t="s">
        <v>844</v>
      </c>
      <c r="W44" s="545" t="s">
        <v>845</v>
      </c>
      <c r="X44" s="545" t="s">
        <v>846</v>
      </c>
      <c r="Y44" s="545" t="s">
        <v>847</v>
      </c>
      <c r="Z44" s="545" t="s">
        <v>865</v>
      </c>
      <c r="AA44" s="545" t="s">
        <v>303</v>
      </c>
      <c r="AB44" s="545" t="s">
        <v>305</v>
      </c>
      <c r="AC44" s="545" t="s">
        <v>307</v>
      </c>
      <c r="AD44" s="493"/>
      <c r="AE44" s="547" t="s">
        <v>316</v>
      </c>
      <c r="AF44" s="547" t="s">
        <v>318</v>
      </c>
      <c r="AG44" s="547" t="s">
        <v>320</v>
      </c>
      <c r="AH44" s="494"/>
      <c r="AI44" s="511"/>
    </row>
    <row r="45" spans="1:38" ht="60">
      <c r="A45" s="549" t="s">
        <v>548</v>
      </c>
      <c r="B45" s="498" t="s">
        <v>549</v>
      </c>
      <c r="C45" s="550" t="s">
        <v>848</v>
      </c>
      <c r="D45" s="550" t="s">
        <v>832</v>
      </c>
      <c r="E45" s="551" t="s">
        <v>545</v>
      </c>
      <c r="F45" s="550" t="s">
        <v>544</v>
      </c>
      <c r="G45" s="550" t="s">
        <v>833</v>
      </c>
      <c r="H45" s="552" t="s">
        <v>542</v>
      </c>
      <c r="I45" s="550" t="s">
        <v>541</v>
      </c>
      <c r="J45" s="578" t="s">
        <v>540</v>
      </c>
      <c r="K45" s="553" t="s">
        <v>539</v>
      </c>
      <c r="L45" s="554" t="s">
        <v>849</v>
      </c>
      <c r="M45" s="553" t="s">
        <v>537</v>
      </c>
      <c r="N45" s="553" t="s">
        <v>850</v>
      </c>
      <c r="O45" s="555"/>
      <c r="P45" s="553" t="s">
        <v>851</v>
      </c>
      <c r="Q45" s="553" t="s">
        <v>813</v>
      </c>
      <c r="R45" s="556"/>
      <c r="S45" s="557" t="s">
        <v>852</v>
      </c>
      <c r="T45" s="550" t="s">
        <v>832</v>
      </c>
      <c r="U45" s="551" t="s">
        <v>545</v>
      </c>
      <c r="V45" s="550" t="s">
        <v>544</v>
      </c>
      <c r="W45" s="550" t="s">
        <v>833</v>
      </c>
      <c r="X45" s="552" t="s">
        <v>542</v>
      </c>
      <c r="Y45" s="550" t="s">
        <v>541</v>
      </c>
      <c r="Z45" s="578" t="s">
        <v>540</v>
      </c>
      <c r="AA45" s="553" t="s">
        <v>539</v>
      </c>
      <c r="AB45" s="554" t="s">
        <v>849</v>
      </c>
      <c r="AC45" s="553" t="s">
        <v>537</v>
      </c>
      <c r="AD45" s="555"/>
      <c r="AE45" s="553" t="s">
        <v>853</v>
      </c>
      <c r="AF45" s="553" t="s">
        <v>854</v>
      </c>
      <c r="AG45" s="553" t="str">
        <f>"Total "&amp;A43&amp;" True-up"</f>
        <v>Total 2020 True-up</v>
      </c>
      <c r="AH45" s="556"/>
      <c r="AI45" s="511"/>
    </row>
    <row r="46" spans="1:38">
      <c r="A46" s="558"/>
      <c r="B46" s="840"/>
      <c r="C46" s="543"/>
      <c r="D46" s="543"/>
      <c r="E46" s="559"/>
      <c r="F46" s="543"/>
      <c r="G46" s="543"/>
      <c r="H46" s="560"/>
      <c r="I46" s="543"/>
      <c r="J46" s="560"/>
      <c r="K46" s="560"/>
      <c r="L46" s="505"/>
      <c r="M46" s="561"/>
      <c r="N46" s="561"/>
      <c r="O46" s="493"/>
      <c r="P46" s="561"/>
      <c r="Q46" s="561"/>
      <c r="R46" s="494"/>
      <c r="S46" s="562"/>
      <c r="T46" s="543"/>
      <c r="U46" s="559"/>
      <c r="V46" s="543"/>
      <c r="W46" s="543"/>
      <c r="X46" s="560"/>
      <c r="Y46" s="543"/>
      <c r="Z46" s="560"/>
      <c r="AA46" s="560"/>
      <c r="AB46" s="505"/>
      <c r="AC46" s="561"/>
      <c r="AD46" s="493"/>
      <c r="AE46" s="561"/>
      <c r="AF46" s="561"/>
      <c r="AG46" s="561"/>
      <c r="AH46" s="494"/>
      <c r="AI46" s="511"/>
    </row>
    <row r="47" spans="1:38">
      <c r="A47" s="841">
        <v>345</v>
      </c>
      <c r="B47" s="842" t="s">
        <v>933</v>
      </c>
      <c r="C47" s="846">
        <v>141574630</v>
      </c>
      <c r="D47" s="850">
        <f>D$43</f>
        <v>2.752618049641322E-2</v>
      </c>
      <c r="E47" s="857">
        <f t="shared" ref="E47:E70" si="0">C47*D47</f>
        <v>3897008.8190929182</v>
      </c>
      <c r="F47" s="846">
        <v>106178868</v>
      </c>
      <c r="G47" s="850">
        <f>G$43</f>
        <v>7.7412293545606164E-2</v>
      </c>
      <c r="H47" s="845">
        <f t="shared" ref="H47:H70" si="1">F47*G47</f>
        <v>8219549.697956169</v>
      </c>
      <c r="I47" s="846">
        <v>3525800</v>
      </c>
      <c r="J47" s="862">
        <v>0</v>
      </c>
      <c r="K47" s="845">
        <f t="shared" ref="K47:K70" si="2">E47+H47+I47+J47</f>
        <v>15642358.517049087</v>
      </c>
      <c r="L47" s="846">
        <v>-1378490.6610403582</v>
      </c>
      <c r="M47" s="847">
        <f t="shared" ref="M47:M70" si="3">K47+L47</f>
        <v>14263867.856008729</v>
      </c>
      <c r="N47" s="848">
        <f>+M47/$M82</f>
        <v>0.15670067247573452</v>
      </c>
      <c r="O47" s="849"/>
      <c r="P47" s="847">
        <f>+$P$43*N47</f>
        <v>13873885.318259019</v>
      </c>
      <c r="Q47" s="848">
        <f t="shared" ref="Q47:Q75" si="4">+P47/P$82</f>
        <v>0.15670067247573449</v>
      </c>
      <c r="R47" s="849"/>
      <c r="S47" s="865">
        <v>141574630.03999999</v>
      </c>
      <c r="T47" s="850">
        <f>T$43</f>
        <v>2.7291354907979699E-2</v>
      </c>
      <c r="U47" s="851">
        <f t="shared" ref="U47:U70" si="5">S47*T47</f>
        <v>3863763.4743875638</v>
      </c>
      <c r="V47" s="865">
        <v>106180097.64307696</v>
      </c>
      <c r="W47" s="850">
        <f>W$43</f>
        <v>7.6897767370534956E-2</v>
      </c>
      <c r="X47" s="845">
        <f t="shared" ref="X47:X70" si="6">V47*W47</f>
        <v>8165012.4479380185</v>
      </c>
      <c r="Y47" s="865">
        <v>3524662.5599999991</v>
      </c>
      <c r="Z47" s="865">
        <v>0</v>
      </c>
      <c r="AA47" s="845">
        <f t="shared" ref="AA47:AA70" si="7">U47+X47+Y47+Z47</f>
        <v>15553438.48232558</v>
      </c>
      <c r="AB47" s="852">
        <f>L47</f>
        <v>-1378490.6610403582</v>
      </c>
      <c r="AC47" s="847">
        <f t="shared" ref="AC47:AC70" si="8">AA47+AB47</f>
        <v>14174947.821285222</v>
      </c>
      <c r="AD47" s="849"/>
      <c r="AE47" s="847">
        <f t="shared" ref="AE47:AE70" si="9">+AC47-P47</f>
        <v>301062.50302620232</v>
      </c>
      <c r="AF47" s="847">
        <f t="shared" ref="AF47:AF80" si="10">(AE47/$AE$82)*$AF$43</f>
        <v>4800.0306934817063</v>
      </c>
      <c r="AG47" s="847">
        <f t="shared" ref="AG47:AG70" si="11">+AE47+AF47</f>
        <v>305862.53371968406</v>
      </c>
      <c r="AI47" s="511"/>
      <c r="AK47" s="660"/>
      <c r="AL47" s="660"/>
    </row>
    <row r="48" spans="1:38">
      <c r="A48" s="841">
        <v>1453</v>
      </c>
      <c r="B48" s="842" t="s">
        <v>934</v>
      </c>
      <c r="C48" s="846">
        <v>8751972</v>
      </c>
      <c r="D48" s="850">
        <f t="shared" ref="D48:D80" si="12">D$43</f>
        <v>2.752618049641322E-2</v>
      </c>
      <c r="E48" s="857">
        <f t="shared" si="0"/>
        <v>240908.36097155462</v>
      </c>
      <c r="F48" s="846">
        <v>5794377</v>
      </c>
      <c r="G48" s="850">
        <f t="shared" ref="G48:G80" si="13">G$43</f>
        <v>7.7412293545606164E-2</v>
      </c>
      <c r="H48" s="845">
        <f t="shared" si="1"/>
        <v>448556.01323790883</v>
      </c>
      <c r="I48" s="846">
        <v>253987</v>
      </c>
      <c r="J48" s="862">
        <v>0</v>
      </c>
      <c r="K48" s="845">
        <f t="shared" si="2"/>
        <v>943451.37420946348</v>
      </c>
      <c r="L48" s="846">
        <v>-59059.317912671162</v>
      </c>
      <c r="M48" s="847">
        <f t="shared" si="3"/>
        <v>884392.05629679235</v>
      </c>
      <c r="N48" s="848">
        <f>+M48/$M82</f>
        <v>9.7157959785448677E-3</v>
      </c>
      <c r="O48" s="849"/>
      <c r="P48" s="847">
        <f t="shared" ref="P48:P80" si="14">+$P$43*N48</f>
        <v>860212.25724354899</v>
      </c>
      <c r="Q48" s="848">
        <f t="shared" si="4"/>
        <v>9.715795978544866E-3</v>
      </c>
      <c r="R48" s="849"/>
      <c r="S48" s="865">
        <v>8747579.4861538485</v>
      </c>
      <c r="T48" s="850">
        <f t="shared" ref="T48:T80" si="15">T$43</f>
        <v>2.7291354907979699E-2</v>
      </c>
      <c r="U48" s="851">
        <f t="shared" si="5"/>
        <v>238733.29634238736</v>
      </c>
      <c r="V48" s="865">
        <v>5796155.2885384569</v>
      </c>
      <c r="W48" s="850">
        <f t="shared" ref="W48:W80" si="16">W$43</f>
        <v>7.6897767370534956E-2</v>
      </c>
      <c r="X48" s="845">
        <f t="shared" si="6"/>
        <v>445711.4010215262</v>
      </c>
      <c r="Y48" s="865">
        <v>253843.12000000005</v>
      </c>
      <c r="Z48" s="865">
        <v>0</v>
      </c>
      <c r="AA48" s="845">
        <f t="shared" si="7"/>
        <v>938287.81736391364</v>
      </c>
      <c r="AB48" s="852">
        <f t="shared" ref="AB48:AB70" si="17">L48</f>
        <v>-59059.317912671162</v>
      </c>
      <c r="AC48" s="847">
        <f t="shared" si="8"/>
        <v>879228.4994512425</v>
      </c>
      <c r="AD48" s="849"/>
      <c r="AE48" s="847">
        <f t="shared" si="9"/>
        <v>19016.242207693518</v>
      </c>
      <c r="AF48" s="847">
        <f t="shared" si="10"/>
        <v>303.18802691834054</v>
      </c>
      <c r="AG48" s="847">
        <f t="shared" si="11"/>
        <v>19319.43023461186</v>
      </c>
      <c r="AI48" s="511"/>
      <c r="AK48" s="660"/>
      <c r="AL48" s="660"/>
    </row>
    <row r="49" spans="1:39">
      <c r="A49" s="841">
        <v>352</v>
      </c>
      <c r="B49" s="842" t="s">
        <v>935</v>
      </c>
      <c r="C49" s="846">
        <v>88215724</v>
      </c>
      <c r="D49" s="850">
        <f t="shared" si="12"/>
        <v>2.752618049641322E-2</v>
      </c>
      <c r="E49" s="857">
        <f t="shared" si="0"/>
        <v>2428241.9414457716</v>
      </c>
      <c r="F49" s="846">
        <v>63093367</v>
      </c>
      <c r="G49" s="850">
        <f t="shared" si="13"/>
        <v>7.7412293545606164E-2</v>
      </c>
      <c r="H49" s="845">
        <f t="shared" si="1"/>
        <v>4884202.2469846606</v>
      </c>
      <c r="I49" s="846">
        <v>2214656</v>
      </c>
      <c r="J49" s="862">
        <v>0</v>
      </c>
      <c r="K49" s="845">
        <f t="shared" si="2"/>
        <v>9527100.1884304322</v>
      </c>
      <c r="L49" s="846">
        <v>-603955.23302446411</v>
      </c>
      <c r="M49" s="847">
        <f t="shared" si="3"/>
        <v>8923144.9554059673</v>
      </c>
      <c r="N49" s="848">
        <f>+M49/$M82</f>
        <v>9.8028306853778627E-2</v>
      </c>
      <c r="O49" s="849"/>
      <c r="P49" s="847">
        <f t="shared" si="14"/>
        <v>8679180.9233813826</v>
      </c>
      <c r="Q49" s="848">
        <f t="shared" si="4"/>
        <v>9.8028306853778599E-2</v>
      </c>
      <c r="R49" s="849"/>
      <c r="S49" s="865">
        <v>88200310.366923079</v>
      </c>
      <c r="T49" s="850">
        <f t="shared" si="15"/>
        <v>2.7291354907979699E-2</v>
      </c>
      <c r="U49" s="851">
        <f t="shared" si="5"/>
        <v>2407105.9732176587</v>
      </c>
      <c r="V49" s="865">
        <v>63099231.949230716</v>
      </c>
      <c r="W49" s="850">
        <f t="shared" si="16"/>
        <v>7.6897767370534956E-2</v>
      </c>
      <c r="X49" s="845">
        <f t="shared" si="6"/>
        <v>4852190.0596913705</v>
      </c>
      <c r="Y49" s="865">
        <v>2210047.6100000003</v>
      </c>
      <c r="Z49" s="865">
        <v>0</v>
      </c>
      <c r="AA49" s="845">
        <f t="shared" si="7"/>
        <v>9469343.6429090295</v>
      </c>
      <c r="AB49" s="852">
        <f t="shared" si="17"/>
        <v>-603955.23302446411</v>
      </c>
      <c r="AC49" s="847">
        <f t="shared" si="8"/>
        <v>8865388.4098845646</v>
      </c>
      <c r="AD49" s="849"/>
      <c r="AE49" s="847">
        <f t="shared" si="9"/>
        <v>186207.48650318198</v>
      </c>
      <c r="AF49" s="847">
        <f t="shared" si="10"/>
        <v>2968.8242195128632</v>
      </c>
      <c r="AG49" s="847">
        <f t="shared" si="11"/>
        <v>189176.31072269485</v>
      </c>
      <c r="AI49" s="511"/>
      <c r="AK49" s="660"/>
      <c r="AL49" s="660"/>
    </row>
    <row r="50" spans="1:39">
      <c r="A50" s="841">
        <v>356</v>
      </c>
      <c r="B50" s="842" t="s">
        <v>942</v>
      </c>
      <c r="C50" s="846">
        <v>141117812</v>
      </c>
      <c r="D50" s="850">
        <f t="shared" si="12"/>
        <v>2.752618049641322E-2</v>
      </c>
      <c r="E50" s="857">
        <f t="shared" si="0"/>
        <v>3884434.3643709077</v>
      </c>
      <c r="F50" s="846">
        <v>116048675</v>
      </c>
      <c r="G50" s="850">
        <f t="shared" si="13"/>
        <v>7.7412293545606164E-2</v>
      </c>
      <c r="H50" s="845">
        <f t="shared" si="1"/>
        <v>8983594.0946786478</v>
      </c>
      <c r="I50" s="846">
        <v>3274017</v>
      </c>
      <c r="J50" s="862">
        <v>0</v>
      </c>
      <c r="K50" s="845">
        <f t="shared" si="2"/>
        <v>16142045.459049556</v>
      </c>
      <c r="L50" s="846">
        <v>-1023494.694419538</v>
      </c>
      <c r="M50" s="847">
        <f t="shared" si="3"/>
        <v>15118550.764630018</v>
      </c>
      <c r="N50" s="848">
        <f>+M50/$M82</f>
        <v>0.16609008829803928</v>
      </c>
      <c r="O50" s="849"/>
      <c r="P50" s="847">
        <f t="shared" si="14"/>
        <v>14705200.693400599</v>
      </c>
      <c r="Q50" s="848">
        <f t="shared" si="4"/>
        <v>0.16609008829803926</v>
      </c>
      <c r="R50" s="849"/>
      <c r="S50" s="865">
        <v>141105836.22076923</v>
      </c>
      <c r="T50" s="850">
        <f t="shared" si="15"/>
        <v>2.7291354907979699E-2</v>
      </c>
      <c r="U50" s="851">
        <f t="shared" si="5"/>
        <v>3850969.4558882699</v>
      </c>
      <c r="V50" s="865">
        <v>116049605.13923083</v>
      </c>
      <c r="W50" s="850">
        <f t="shared" si="16"/>
        <v>7.6897767370534956E-2</v>
      </c>
      <c r="X50" s="845">
        <f t="shared" si="6"/>
        <v>8923955.5394390095</v>
      </c>
      <c r="Y50" s="865">
        <v>3273673.5200000005</v>
      </c>
      <c r="Z50" s="865">
        <v>0</v>
      </c>
      <c r="AA50" s="845">
        <f t="shared" si="7"/>
        <v>16048598.515327279</v>
      </c>
      <c r="AB50" s="852">
        <f t="shared" si="17"/>
        <v>-1023494.694419538</v>
      </c>
      <c r="AC50" s="847">
        <f t="shared" si="8"/>
        <v>15025103.82090774</v>
      </c>
      <c r="AD50" s="849"/>
      <c r="AE50" s="847">
        <f t="shared" si="9"/>
        <v>319903.12750714086</v>
      </c>
      <c r="AF50" s="847">
        <f t="shared" si="10"/>
        <v>5100.41873544586</v>
      </c>
      <c r="AG50" s="847">
        <f t="shared" si="11"/>
        <v>325003.54624258674</v>
      </c>
      <c r="AI50" s="511"/>
      <c r="AK50" s="660"/>
      <c r="AL50" s="660"/>
    </row>
    <row r="51" spans="1:39">
      <c r="A51" s="841">
        <v>1616</v>
      </c>
      <c r="B51" s="842" t="s">
        <v>943</v>
      </c>
      <c r="C51" s="846">
        <v>1345005</v>
      </c>
      <c r="D51" s="850">
        <f t="shared" si="12"/>
        <v>2.752618049641322E-2</v>
      </c>
      <c r="E51" s="857">
        <f t="shared" si="0"/>
        <v>37022.850398578266</v>
      </c>
      <c r="F51" s="846">
        <v>998725</v>
      </c>
      <c r="G51" s="850">
        <f t="shared" si="13"/>
        <v>7.7412293545606164E-2</v>
      </c>
      <c r="H51" s="845">
        <f t="shared" si="1"/>
        <v>77313.59287133551</v>
      </c>
      <c r="I51" s="846">
        <v>37377</v>
      </c>
      <c r="J51" s="862">
        <v>0</v>
      </c>
      <c r="K51" s="845">
        <f t="shared" si="2"/>
        <v>151713.44326991378</v>
      </c>
      <c r="L51" s="846">
        <v>-11034.721310041343</v>
      </c>
      <c r="M51" s="847">
        <f t="shared" si="3"/>
        <v>140678.72195987243</v>
      </c>
      <c r="N51" s="848">
        <f>+M51/$M82</f>
        <v>1.5454749410660413E-3</v>
      </c>
      <c r="O51" s="849"/>
      <c r="P51" s="847">
        <f t="shared" si="14"/>
        <v>136832.48294874854</v>
      </c>
      <c r="Q51" s="848">
        <f t="shared" si="4"/>
        <v>1.5454749410660411E-3</v>
      </c>
      <c r="R51" s="849"/>
      <c r="S51" s="865">
        <v>1267684.8330769232</v>
      </c>
      <c r="T51" s="850">
        <f t="shared" si="15"/>
        <v>2.7291354907979699E-2</v>
      </c>
      <c r="U51" s="851">
        <f t="shared" si="5"/>
        <v>34596.836690965312</v>
      </c>
      <c r="V51" s="865">
        <v>1052692.3673076937</v>
      </c>
      <c r="W51" s="850">
        <f t="shared" si="16"/>
        <v>7.6897767370534956E-2</v>
      </c>
      <c r="X51" s="845">
        <f t="shared" si="6"/>
        <v>80949.692773964765</v>
      </c>
      <c r="Y51" s="865">
        <v>35198.12000000001</v>
      </c>
      <c r="Z51" s="865">
        <v>0</v>
      </c>
      <c r="AA51" s="845">
        <f t="shared" si="7"/>
        <v>150744.64946493009</v>
      </c>
      <c r="AB51" s="852">
        <f t="shared" si="17"/>
        <v>-11034.721310041343</v>
      </c>
      <c r="AC51" s="847">
        <f t="shared" si="8"/>
        <v>139709.92815488874</v>
      </c>
      <c r="AD51" s="849"/>
      <c r="AE51" s="847">
        <f t="shared" si="9"/>
        <v>2877.4452061401971</v>
      </c>
      <c r="AF51" s="847">
        <f t="shared" si="10"/>
        <v>45.876936415036248</v>
      </c>
      <c r="AG51" s="847">
        <f t="shared" si="11"/>
        <v>2923.3221425552333</v>
      </c>
      <c r="AI51" s="511"/>
      <c r="AK51" s="660"/>
      <c r="AL51" s="660"/>
    </row>
    <row r="52" spans="1:39">
      <c r="A52" s="841" t="s">
        <v>958</v>
      </c>
      <c r="B52" s="842" t="s">
        <v>944</v>
      </c>
      <c r="C52" s="846">
        <v>2141427</v>
      </c>
      <c r="D52" s="850">
        <f t="shared" si="12"/>
        <v>2.752618049641322E-2</v>
      </c>
      <c r="E52" s="857">
        <f t="shared" si="0"/>
        <v>58945.306121892674</v>
      </c>
      <c r="F52" s="846">
        <v>1662673</v>
      </c>
      <c r="G52" s="850">
        <f t="shared" si="13"/>
        <v>7.7412293545606164E-2</v>
      </c>
      <c r="H52" s="845">
        <f t="shared" si="1"/>
        <v>128711.33034635364</v>
      </c>
      <c r="I52" s="846">
        <v>61276</v>
      </c>
      <c r="J52" s="862">
        <v>0</v>
      </c>
      <c r="K52" s="845">
        <f t="shared" si="2"/>
        <v>248932.63646824632</v>
      </c>
      <c r="L52" s="846">
        <v>-15241.868535304624</v>
      </c>
      <c r="M52" s="847">
        <f t="shared" si="3"/>
        <v>233690.7679329417</v>
      </c>
      <c r="N52" s="848">
        <f>+M52/$M82</f>
        <v>2.5672910641160087E-3</v>
      </c>
      <c r="O52" s="849"/>
      <c r="P52" s="847">
        <f t="shared" si="14"/>
        <v>227301.52487158118</v>
      </c>
      <c r="Q52" s="848">
        <f t="shared" si="4"/>
        <v>2.5672910641160083E-3</v>
      </c>
      <c r="R52" s="849"/>
      <c r="S52" s="865">
        <v>2060651.5392307697</v>
      </c>
      <c r="T52" s="850">
        <f t="shared" si="15"/>
        <v>2.7291354907979699E-2</v>
      </c>
      <c r="U52" s="851">
        <f t="shared" si="5"/>
        <v>56237.972498821589</v>
      </c>
      <c r="V52" s="865">
        <v>1731258.201923077</v>
      </c>
      <c r="W52" s="850">
        <f t="shared" si="16"/>
        <v>7.6897767370534956E-2</v>
      </c>
      <c r="X52" s="845">
        <f t="shared" si="6"/>
        <v>133129.89046981142</v>
      </c>
      <c r="Y52" s="865">
        <v>59328.054999999978</v>
      </c>
      <c r="Z52" s="865">
        <v>0</v>
      </c>
      <c r="AA52" s="845">
        <f t="shared" si="7"/>
        <v>248695.917968633</v>
      </c>
      <c r="AB52" s="852">
        <f t="shared" si="17"/>
        <v>-15241.868535304624</v>
      </c>
      <c r="AC52" s="847">
        <f t="shared" si="8"/>
        <v>233454.04943332839</v>
      </c>
      <c r="AD52" s="849"/>
      <c r="AE52" s="847">
        <f t="shared" si="9"/>
        <v>6152.5245617472101</v>
      </c>
      <c r="AF52" s="847">
        <f t="shared" si="10"/>
        <v>98.093606616352389</v>
      </c>
      <c r="AG52" s="847">
        <f t="shared" si="11"/>
        <v>6250.6181683635623</v>
      </c>
      <c r="AI52" s="511"/>
      <c r="AK52" s="660"/>
      <c r="AL52" s="660"/>
      <c r="AM52" s="660"/>
    </row>
    <row r="53" spans="1:39">
      <c r="A53" s="841">
        <v>2837</v>
      </c>
      <c r="B53" s="842" t="s">
        <v>945</v>
      </c>
      <c r="C53" s="846">
        <v>520818</v>
      </c>
      <c r="D53" s="850">
        <f t="shared" si="12"/>
        <v>2.752618049641322E-2</v>
      </c>
      <c r="E53" s="857">
        <f t="shared" si="0"/>
        <v>14336.13027378094</v>
      </c>
      <c r="F53" s="846">
        <v>482463</v>
      </c>
      <c r="G53" s="850">
        <f t="shared" si="13"/>
        <v>7.7412293545606164E-2</v>
      </c>
      <c r="H53" s="845">
        <f t="shared" si="1"/>
        <v>37348.567380893786</v>
      </c>
      <c r="I53" s="846">
        <v>15785</v>
      </c>
      <c r="J53" s="862">
        <v>0</v>
      </c>
      <c r="K53" s="845">
        <f t="shared" si="2"/>
        <v>67469.697654674732</v>
      </c>
      <c r="L53" s="846">
        <v>-10679.373319337989</v>
      </c>
      <c r="M53" s="847">
        <f t="shared" si="3"/>
        <v>56790.324335336743</v>
      </c>
      <c r="N53" s="848">
        <f>+M53/$M82</f>
        <v>6.2388982450601953E-4</v>
      </c>
      <c r="O53" s="849"/>
      <c r="P53" s="847">
        <f t="shared" si="14"/>
        <v>55237.643461712825</v>
      </c>
      <c r="Q53" s="848">
        <f t="shared" si="4"/>
        <v>6.2388982450601942E-4</v>
      </c>
      <c r="R53" s="849"/>
      <c r="S53" s="865">
        <v>520817.72</v>
      </c>
      <c r="T53" s="850">
        <f t="shared" si="15"/>
        <v>2.7291354907979699E-2</v>
      </c>
      <c r="U53" s="851">
        <f t="shared" si="5"/>
        <v>14213.821238884795</v>
      </c>
      <c r="V53" s="865">
        <v>482478.89500000019</v>
      </c>
      <c r="W53" s="850">
        <f t="shared" si="16"/>
        <v>7.6897767370534956E-2</v>
      </c>
      <c r="X53" s="845">
        <f t="shared" si="6"/>
        <v>37101.549828902775</v>
      </c>
      <c r="Y53" s="865">
        <v>15784.5</v>
      </c>
      <c r="Z53" s="865">
        <v>0</v>
      </c>
      <c r="AA53" s="845">
        <f t="shared" si="7"/>
        <v>67099.871067787579</v>
      </c>
      <c r="AB53" s="852">
        <f t="shared" si="17"/>
        <v>-10679.373319337989</v>
      </c>
      <c r="AC53" s="847">
        <f t="shared" si="8"/>
        <v>56420.49774844959</v>
      </c>
      <c r="AD53" s="849"/>
      <c r="AE53" s="847">
        <f t="shared" si="9"/>
        <v>1182.8542867367651</v>
      </c>
      <c r="AF53" s="847">
        <f t="shared" si="10"/>
        <v>18.858997135750027</v>
      </c>
      <c r="AG53" s="847">
        <f t="shared" si="11"/>
        <v>1201.7132838725151</v>
      </c>
      <c r="AI53" s="511"/>
      <c r="AK53" s="660"/>
      <c r="AL53" s="660"/>
    </row>
    <row r="54" spans="1:39">
      <c r="A54" s="841">
        <v>2793</v>
      </c>
      <c r="B54" s="842" t="s">
        <v>946</v>
      </c>
      <c r="C54" s="846">
        <v>8871</v>
      </c>
      <c r="D54" s="850">
        <f t="shared" si="12"/>
        <v>2.752618049641322E-2</v>
      </c>
      <c r="E54" s="857">
        <f t="shared" si="0"/>
        <v>244.18474718368168</v>
      </c>
      <c r="F54" s="846">
        <v>368587</v>
      </c>
      <c r="G54" s="850">
        <f t="shared" si="13"/>
        <v>7.7412293545606164E-2</v>
      </c>
      <c r="H54" s="845">
        <f t="shared" si="1"/>
        <v>28533.16504109434</v>
      </c>
      <c r="I54" s="846">
        <v>440</v>
      </c>
      <c r="J54" s="862">
        <v>0</v>
      </c>
      <c r="K54" s="845">
        <f t="shared" si="2"/>
        <v>29217.349788278021</v>
      </c>
      <c r="L54" s="846">
        <v>-28173.698906023645</v>
      </c>
      <c r="M54" s="847">
        <f t="shared" si="3"/>
        <v>1043.6508822543765</v>
      </c>
      <c r="N54" s="848">
        <f>+M54/$M82</f>
        <v>1.1465389102736394E-5</v>
      </c>
      <c r="O54" s="849"/>
      <c r="P54" s="847">
        <f t="shared" si="14"/>
        <v>1015.1168532171661</v>
      </c>
      <c r="Q54" s="848">
        <f t="shared" si="4"/>
        <v>1.1465389102736393E-5</v>
      </c>
      <c r="R54" s="849"/>
      <c r="S54" s="865">
        <v>8871.130000000001</v>
      </c>
      <c r="T54" s="850">
        <f t="shared" si="15"/>
        <v>2.7291354907979699E-2</v>
      </c>
      <c r="U54" s="851">
        <f t="shared" si="5"/>
        <v>242.10515726482598</v>
      </c>
      <c r="V54" s="865">
        <v>368555.26266266726</v>
      </c>
      <c r="W54" s="850">
        <f t="shared" si="16"/>
        <v>7.6897767370534956E-2</v>
      </c>
      <c r="X54" s="845">
        <f t="shared" si="6"/>
        <v>28341.076851420195</v>
      </c>
      <c r="Y54" s="865">
        <v>439.98000000000008</v>
      </c>
      <c r="Z54" s="865">
        <v>0</v>
      </c>
      <c r="AA54" s="845">
        <f t="shared" si="7"/>
        <v>29023.16200868502</v>
      </c>
      <c r="AB54" s="852">
        <f t="shared" si="17"/>
        <v>-28173.698906023645</v>
      </c>
      <c r="AC54" s="847">
        <f t="shared" si="8"/>
        <v>849.46310266137516</v>
      </c>
      <c r="AD54" s="849"/>
      <c r="AE54" s="847">
        <f t="shared" si="9"/>
        <v>-165.65375055579091</v>
      </c>
      <c r="AF54" s="847">
        <f t="shared" si="10"/>
        <v>-2.6411229534252394</v>
      </c>
      <c r="AG54" s="847">
        <f t="shared" si="11"/>
        <v>-168.29487350921616</v>
      </c>
      <c r="AI54" s="511"/>
      <c r="AK54" s="660"/>
      <c r="AL54" s="660"/>
    </row>
    <row r="55" spans="1:39">
      <c r="A55" s="841">
        <v>1950</v>
      </c>
      <c r="B55" s="842" t="s">
        <v>947</v>
      </c>
      <c r="C55" s="846">
        <v>14923757</v>
      </c>
      <c r="D55" s="850">
        <f t="shared" si="12"/>
        <v>2.752618049641322E-2</v>
      </c>
      <c r="E55" s="857">
        <f t="shared" si="0"/>
        <v>410794.02886661026</v>
      </c>
      <c r="F55" s="846">
        <v>11302944</v>
      </c>
      <c r="G55" s="850">
        <f t="shared" si="13"/>
        <v>7.7412293545606164E-2</v>
      </c>
      <c r="H55" s="845">
        <f t="shared" si="1"/>
        <v>874986.81885754794</v>
      </c>
      <c r="I55" s="846">
        <v>462465</v>
      </c>
      <c r="J55" s="862">
        <v>0</v>
      </c>
      <c r="K55" s="845">
        <f t="shared" si="2"/>
        <v>1748245.8477241583</v>
      </c>
      <c r="L55" s="846">
        <v>-108965.23701440287</v>
      </c>
      <c r="M55" s="847">
        <f t="shared" si="3"/>
        <v>1639280.6107097554</v>
      </c>
      <c r="N55" s="848">
        <f>+M55/$M82</f>
        <v>1.8008886275992869E-2</v>
      </c>
      <c r="O55" s="849"/>
      <c r="P55" s="847">
        <f t="shared" si="14"/>
        <v>1594461.7145238109</v>
      </c>
      <c r="Q55" s="848">
        <f t="shared" si="4"/>
        <v>1.8008886275992866E-2</v>
      </c>
      <c r="R55" s="849"/>
      <c r="S55" s="865">
        <v>14876596.472307689</v>
      </c>
      <c r="T55" s="850">
        <f t="shared" si="15"/>
        <v>2.7291354907979699E-2</v>
      </c>
      <c r="U55" s="851">
        <f t="shared" si="5"/>
        <v>406002.47414854792</v>
      </c>
      <c r="V55" s="865">
        <v>11304391.449230768</v>
      </c>
      <c r="W55" s="850">
        <f t="shared" si="16"/>
        <v>7.6897767370534956E-2</v>
      </c>
      <c r="X55" s="845">
        <f t="shared" si="6"/>
        <v>869282.46392841206</v>
      </c>
      <c r="Y55" s="865">
        <v>460210.20000000007</v>
      </c>
      <c r="Z55" s="865">
        <v>0</v>
      </c>
      <c r="AA55" s="845">
        <f t="shared" si="7"/>
        <v>1735495.1380769601</v>
      </c>
      <c r="AB55" s="852">
        <f t="shared" si="17"/>
        <v>-108965.23701440287</v>
      </c>
      <c r="AC55" s="847">
        <f t="shared" si="8"/>
        <v>1626529.9010625572</v>
      </c>
      <c r="AD55" s="849"/>
      <c r="AE55" s="847">
        <f t="shared" si="9"/>
        <v>32068.186538746348</v>
      </c>
      <c r="AF55" s="847">
        <f t="shared" si="10"/>
        <v>511.28346480558741</v>
      </c>
      <c r="AG55" s="847">
        <f t="shared" si="11"/>
        <v>32579.470003551934</v>
      </c>
      <c r="AI55" s="511"/>
      <c r="AK55" s="660"/>
      <c r="AL55" s="660"/>
      <c r="AM55" s="660"/>
    </row>
    <row r="56" spans="1:39">
      <c r="A56" s="841">
        <v>3206</v>
      </c>
      <c r="B56" s="842" t="s">
        <v>948</v>
      </c>
      <c r="C56" s="846">
        <v>26092237</v>
      </c>
      <c r="D56" s="850">
        <f t="shared" si="12"/>
        <v>2.752618049641322E-2</v>
      </c>
      <c r="E56" s="857">
        <f t="shared" si="0"/>
        <v>718219.62521719141</v>
      </c>
      <c r="F56" s="846">
        <v>24442170</v>
      </c>
      <c r="G56" s="850">
        <f t="shared" si="13"/>
        <v>7.7412293545606164E-2</v>
      </c>
      <c r="H56" s="845">
        <f t="shared" si="1"/>
        <v>1892124.4389316086</v>
      </c>
      <c r="I56" s="846">
        <v>724842</v>
      </c>
      <c r="J56" s="862">
        <v>0</v>
      </c>
      <c r="K56" s="845">
        <f t="shared" si="2"/>
        <v>3335186.0641488</v>
      </c>
      <c r="L56" s="846">
        <v>-356419.90945025091</v>
      </c>
      <c r="M56" s="847">
        <f t="shared" si="3"/>
        <v>2978766.1546985488</v>
      </c>
      <c r="N56" s="848">
        <f>+M56/$M82</f>
        <v>3.2724269763379027E-2</v>
      </c>
      <c r="O56" s="849"/>
      <c r="P56" s="847">
        <f t="shared" si="14"/>
        <v>2897324.9358020262</v>
      </c>
      <c r="Q56" s="848">
        <f t="shared" si="4"/>
        <v>3.2724269763379027E-2</v>
      </c>
      <c r="R56" s="849"/>
      <c r="S56" s="865">
        <v>26116097.913076919</v>
      </c>
      <c r="T56" s="850">
        <f t="shared" si="15"/>
        <v>2.7291354907979699E-2</v>
      </c>
      <c r="U56" s="851">
        <f t="shared" si="5"/>
        <v>712743.6969573301</v>
      </c>
      <c r="V56" s="865">
        <v>24488831.104615387</v>
      </c>
      <c r="W56" s="850">
        <f t="shared" si="16"/>
        <v>7.6897767370534956E-2</v>
      </c>
      <c r="X56" s="845">
        <f t="shared" si="6"/>
        <v>1883136.4374590346</v>
      </c>
      <c r="Y56" s="865">
        <v>703589.66000000027</v>
      </c>
      <c r="Z56" s="865">
        <v>0</v>
      </c>
      <c r="AA56" s="845">
        <f t="shared" si="7"/>
        <v>3299469.7944163647</v>
      </c>
      <c r="AB56" s="852">
        <f t="shared" si="17"/>
        <v>-356419.90945025091</v>
      </c>
      <c r="AC56" s="847">
        <f t="shared" si="8"/>
        <v>2943049.8849661136</v>
      </c>
      <c r="AD56" s="849"/>
      <c r="AE56" s="847">
        <f t="shared" si="9"/>
        <v>45724.949164087418</v>
      </c>
      <c r="AF56" s="847">
        <f t="shared" si="10"/>
        <v>729.02190488467522</v>
      </c>
      <c r="AG56" s="847">
        <f t="shared" si="11"/>
        <v>46453.971068972096</v>
      </c>
      <c r="AI56" s="511"/>
      <c r="AK56" s="660"/>
      <c r="AL56" s="660"/>
    </row>
    <row r="57" spans="1:39">
      <c r="A57" s="841">
        <v>2846</v>
      </c>
      <c r="B57" s="842" t="s">
        <v>949</v>
      </c>
      <c r="C57" s="846">
        <v>121302137</v>
      </c>
      <c r="D57" s="850">
        <f t="shared" si="12"/>
        <v>2.752618049641322E-2</v>
      </c>
      <c r="E57" s="857">
        <f t="shared" si="0"/>
        <v>3338984.5176626444</v>
      </c>
      <c r="F57" s="846">
        <v>97172058</v>
      </c>
      <c r="G57" s="850">
        <f t="shared" si="13"/>
        <v>7.7412293545606164E-2</v>
      </c>
      <c r="H57" s="845">
        <f t="shared" si="1"/>
        <v>7522311.8783266675</v>
      </c>
      <c r="I57" s="846">
        <v>4420132</v>
      </c>
      <c r="J57" s="862">
        <v>0</v>
      </c>
      <c r="K57" s="845">
        <f t="shared" si="2"/>
        <v>15281428.395989312</v>
      </c>
      <c r="L57" s="846">
        <v>-1445771.1161948917</v>
      </c>
      <c r="M57" s="847">
        <f t="shared" si="3"/>
        <v>13835657.279794421</v>
      </c>
      <c r="N57" s="848">
        <f>+M57/$M82</f>
        <v>0.15199641652416684</v>
      </c>
      <c r="O57" s="849"/>
      <c r="P57" s="847">
        <f t="shared" si="14"/>
        <v>13457382.271088663</v>
      </c>
      <c r="Q57" s="848">
        <f t="shared" si="4"/>
        <v>0.15199641652416682</v>
      </c>
      <c r="R57" s="849"/>
      <c r="S57" s="865">
        <v>121186349.6223077</v>
      </c>
      <c r="T57" s="850">
        <f t="shared" si="15"/>
        <v>2.7291354907979699E-2</v>
      </c>
      <c r="U57" s="851">
        <f t="shared" si="5"/>
        <v>3307339.6775449109</v>
      </c>
      <c r="V57" s="865">
        <v>97386588.417692289</v>
      </c>
      <c r="W57" s="850">
        <f t="shared" si="16"/>
        <v>7.6897767370534956E-2</v>
      </c>
      <c r="X57" s="845">
        <f t="shared" si="6"/>
        <v>7488811.2211537352</v>
      </c>
      <c r="Y57" s="865">
        <v>4379245.370000002</v>
      </c>
      <c r="Z57" s="865">
        <v>0</v>
      </c>
      <c r="AA57" s="845">
        <f t="shared" si="7"/>
        <v>15175396.268698648</v>
      </c>
      <c r="AB57" s="852">
        <f t="shared" si="17"/>
        <v>-1445771.1161948917</v>
      </c>
      <c r="AC57" s="847">
        <f t="shared" si="8"/>
        <v>13729625.152503755</v>
      </c>
      <c r="AD57" s="849"/>
      <c r="AE57" s="847">
        <f t="shared" si="9"/>
        <v>272242.88141509145</v>
      </c>
      <c r="AF57" s="847">
        <f t="shared" si="10"/>
        <v>4340.5411625127135</v>
      </c>
      <c r="AG57" s="847">
        <f t="shared" si="11"/>
        <v>276583.42257760419</v>
      </c>
      <c r="AI57" s="511"/>
      <c r="AK57" s="660"/>
      <c r="AL57" s="660"/>
      <c r="AM57" s="660"/>
    </row>
    <row r="58" spans="1:39">
      <c r="A58" s="841">
        <v>1270</v>
      </c>
      <c r="B58" s="842" t="s">
        <v>950</v>
      </c>
      <c r="C58" s="846">
        <v>0</v>
      </c>
      <c r="D58" s="850">
        <f t="shared" si="12"/>
        <v>2.752618049641322E-2</v>
      </c>
      <c r="E58" s="857">
        <f t="shared" si="0"/>
        <v>0</v>
      </c>
      <c r="F58" s="846">
        <v>0</v>
      </c>
      <c r="G58" s="850">
        <f t="shared" si="13"/>
        <v>7.7412293545606164E-2</v>
      </c>
      <c r="H58" s="845">
        <f t="shared" si="1"/>
        <v>0</v>
      </c>
      <c r="I58" s="846">
        <v>0</v>
      </c>
      <c r="J58" s="862">
        <v>0</v>
      </c>
      <c r="K58" s="845">
        <f t="shared" si="2"/>
        <v>0</v>
      </c>
      <c r="L58" s="846">
        <v>-75.221289985529552</v>
      </c>
      <c r="M58" s="847">
        <f t="shared" si="3"/>
        <v>-75.221289985529552</v>
      </c>
      <c r="N58" s="848">
        <f>+M58/$M82</f>
        <v>-8.2636959653683865E-7</v>
      </c>
      <c r="O58" s="849"/>
      <c r="P58" s="847">
        <f t="shared" si="14"/>
        <v>-73.164695669212591</v>
      </c>
      <c r="Q58" s="848">
        <f t="shared" si="4"/>
        <v>-8.2636959653683844E-7</v>
      </c>
      <c r="R58" s="849"/>
      <c r="S58" s="865">
        <v>0</v>
      </c>
      <c r="T58" s="850">
        <f t="shared" si="15"/>
        <v>2.7291354907979699E-2</v>
      </c>
      <c r="U58" s="851">
        <f t="shared" si="5"/>
        <v>0</v>
      </c>
      <c r="V58" s="865">
        <v>0</v>
      </c>
      <c r="W58" s="850">
        <f t="shared" si="16"/>
        <v>7.6897767370534956E-2</v>
      </c>
      <c r="X58" s="845">
        <f t="shared" si="6"/>
        <v>0</v>
      </c>
      <c r="Y58" s="865">
        <v>0</v>
      </c>
      <c r="Z58" s="865">
        <v>0</v>
      </c>
      <c r="AA58" s="845">
        <f t="shared" si="7"/>
        <v>0</v>
      </c>
      <c r="AB58" s="852">
        <f t="shared" si="17"/>
        <v>-75.221289985529552</v>
      </c>
      <c r="AC58" s="847">
        <f t="shared" si="8"/>
        <v>-75.221289985529552</v>
      </c>
      <c r="AD58" s="849"/>
      <c r="AE58" s="847">
        <f t="shared" si="9"/>
        <v>-2.0565943163169607</v>
      </c>
      <c r="AF58" s="847">
        <f t="shared" si="10"/>
        <v>-3.2789589348170244E-2</v>
      </c>
      <c r="AG58" s="847">
        <f t="shared" si="11"/>
        <v>-2.0893839056651311</v>
      </c>
      <c r="AI58" s="511"/>
      <c r="AK58" s="660"/>
      <c r="AL58" s="660"/>
    </row>
    <row r="59" spans="1:39">
      <c r="A59" s="841">
        <v>3125</v>
      </c>
      <c r="B59" s="842" t="s">
        <v>951</v>
      </c>
      <c r="C59" s="846">
        <v>26690398</v>
      </c>
      <c r="D59" s="850">
        <f t="shared" si="12"/>
        <v>2.752618049641322E-2</v>
      </c>
      <c r="E59" s="857">
        <f t="shared" si="0"/>
        <v>734684.71286910644</v>
      </c>
      <c r="F59" s="846">
        <v>22925847</v>
      </c>
      <c r="G59" s="850">
        <f t="shared" si="13"/>
        <v>7.7412293545606164E-2</v>
      </c>
      <c r="H59" s="845">
        <f t="shared" si="1"/>
        <v>1774742.3977456545</v>
      </c>
      <c r="I59" s="846">
        <v>821166</v>
      </c>
      <c r="J59" s="862">
        <v>0</v>
      </c>
      <c r="K59" s="845">
        <f t="shared" si="2"/>
        <v>3330593.1106147608</v>
      </c>
      <c r="L59" s="846">
        <v>-128950.63450316933</v>
      </c>
      <c r="M59" s="847">
        <f t="shared" si="3"/>
        <v>3201642.4761115913</v>
      </c>
      <c r="N59" s="848">
        <f>+M59/$M82</f>
        <v>3.5172754970680592E-2</v>
      </c>
      <c r="O59" s="849"/>
      <c r="P59" s="847">
        <f t="shared" si="14"/>
        <v>3114107.6874830434</v>
      </c>
      <c r="Q59" s="848">
        <f t="shared" si="4"/>
        <v>3.5172754970680585E-2</v>
      </c>
      <c r="R59" s="849"/>
      <c r="S59" s="865">
        <v>26619196.087692313</v>
      </c>
      <c r="T59" s="850">
        <f t="shared" si="15"/>
        <v>2.7291354907979699E-2</v>
      </c>
      <c r="U59" s="851">
        <f t="shared" si="5"/>
        <v>726473.92779431562</v>
      </c>
      <c r="V59" s="865">
        <v>22958557.609230779</v>
      </c>
      <c r="W59" s="850">
        <f t="shared" si="16"/>
        <v>7.6897767370534956E-2</v>
      </c>
      <c r="X59" s="845">
        <f t="shared" si="6"/>
        <v>1765461.8221976536</v>
      </c>
      <c r="Y59" s="865">
        <v>815025.19000000018</v>
      </c>
      <c r="Z59" s="865">
        <v>0</v>
      </c>
      <c r="AA59" s="845">
        <f t="shared" si="7"/>
        <v>3306960.9399919696</v>
      </c>
      <c r="AB59" s="852">
        <f t="shared" si="17"/>
        <v>-128950.63450316933</v>
      </c>
      <c r="AC59" s="847">
        <f t="shared" si="8"/>
        <v>3178010.3054888002</v>
      </c>
      <c r="AD59" s="849"/>
      <c r="AE59" s="847">
        <f t="shared" si="9"/>
        <v>63902.618005756754</v>
      </c>
      <c r="AF59" s="847">
        <f t="shared" si="10"/>
        <v>1018.8400240423605</v>
      </c>
      <c r="AG59" s="847">
        <f t="shared" si="11"/>
        <v>64921.458029799112</v>
      </c>
      <c r="AI59" s="511"/>
      <c r="AK59" s="660"/>
      <c r="AL59" s="660"/>
    </row>
    <row r="60" spans="1:39" ht="30">
      <c r="A60" s="841">
        <v>3679</v>
      </c>
      <c r="B60" s="842" t="s">
        <v>952</v>
      </c>
      <c r="C60" s="846">
        <v>225619126</v>
      </c>
      <c r="D60" s="850">
        <f t="shared" si="12"/>
        <v>2.752618049641322E-2</v>
      </c>
      <c r="E60" s="857">
        <f t="shared" si="0"/>
        <v>6210432.785718997</v>
      </c>
      <c r="F60" s="846">
        <v>210305200</v>
      </c>
      <c r="G60" s="850">
        <f t="shared" si="13"/>
        <v>7.7412293545606164E-2</v>
      </c>
      <c r="H60" s="845">
        <f t="shared" si="1"/>
        <v>16280207.876567414</v>
      </c>
      <c r="I60" s="846">
        <v>6049095</v>
      </c>
      <c r="J60" s="862">
        <v>0</v>
      </c>
      <c r="K60" s="845">
        <f t="shared" si="2"/>
        <v>28539735.662286412</v>
      </c>
      <c r="L60" s="846">
        <v>-4352272.6653639534</v>
      </c>
      <c r="M60" s="847">
        <f t="shared" si="3"/>
        <v>24187462.996922459</v>
      </c>
      <c r="N60" s="848">
        <f>+M60/$M82</f>
        <v>0.26571977217967957</v>
      </c>
      <c r="O60" s="849"/>
      <c r="P60" s="847">
        <f t="shared" si="14"/>
        <v>23526163.530572347</v>
      </c>
      <c r="Q60" s="848">
        <f t="shared" si="4"/>
        <v>0.26571977217967951</v>
      </c>
      <c r="R60" s="849"/>
      <c r="S60" s="865">
        <v>227263236.77846152</v>
      </c>
      <c r="T60" s="850">
        <f t="shared" si="15"/>
        <v>2.7291354907979699E-2</v>
      </c>
      <c r="U60" s="851">
        <f t="shared" si="5"/>
        <v>6202321.6524572177</v>
      </c>
      <c r="V60" s="865">
        <v>212043463.13999999</v>
      </c>
      <c r="W60" s="850">
        <f t="shared" si="16"/>
        <v>7.6897767370534956E-2</v>
      </c>
      <c r="X60" s="845">
        <f t="shared" si="6"/>
        <v>16305668.900982322</v>
      </c>
      <c r="Y60" s="865">
        <v>5990279.4900000002</v>
      </c>
      <c r="Z60" s="865">
        <v>0</v>
      </c>
      <c r="AA60" s="845">
        <f t="shared" si="7"/>
        <v>28498270.043439537</v>
      </c>
      <c r="AB60" s="852">
        <f t="shared" si="17"/>
        <v>-4352272.6653639534</v>
      </c>
      <c r="AC60" s="847">
        <f t="shared" si="8"/>
        <v>24145997.378075585</v>
      </c>
      <c r="AD60" s="849"/>
      <c r="AE60" s="847">
        <f t="shared" si="9"/>
        <v>619833.84750323743</v>
      </c>
      <c r="AF60" s="847">
        <f t="shared" si="10"/>
        <v>9882.4046932721376</v>
      </c>
      <c r="AG60" s="847">
        <f t="shared" si="11"/>
        <v>629716.25219650951</v>
      </c>
      <c r="AI60" s="511"/>
      <c r="AK60" s="660"/>
      <c r="AL60" s="660"/>
    </row>
    <row r="61" spans="1:39" ht="30">
      <c r="A61" s="841">
        <v>12284</v>
      </c>
      <c r="B61" s="842" t="s">
        <v>953</v>
      </c>
      <c r="C61" s="846">
        <v>7421549</v>
      </c>
      <c r="D61" s="850">
        <f t="shared" si="12"/>
        <v>2.752618049641322E-2</v>
      </c>
      <c r="E61" s="857">
        <f t="shared" si="0"/>
        <v>204286.89733697503</v>
      </c>
      <c r="F61" s="846">
        <v>7075734</v>
      </c>
      <c r="G61" s="850">
        <f t="shared" si="13"/>
        <v>7.7412293545606164E-2</v>
      </c>
      <c r="H61" s="845">
        <f t="shared" si="1"/>
        <v>547748.7974586261</v>
      </c>
      <c r="I61" s="846">
        <v>206043</v>
      </c>
      <c r="J61" s="862">
        <v>0</v>
      </c>
      <c r="K61" s="845">
        <f t="shared" si="2"/>
        <v>958078.69479560107</v>
      </c>
      <c r="L61" s="846">
        <v>-17654.253837514068</v>
      </c>
      <c r="M61" s="847">
        <f t="shared" si="3"/>
        <v>940424.44095808698</v>
      </c>
      <c r="N61" s="848">
        <f>+M61/$M82</f>
        <v>1.0331359193619463E-2</v>
      </c>
      <c r="O61" s="849"/>
      <c r="P61" s="847">
        <f t="shared" si="14"/>
        <v>914712.6835477578</v>
      </c>
      <c r="Q61" s="848">
        <f t="shared" si="4"/>
        <v>1.0331359193619461E-2</v>
      </c>
      <c r="R61" s="849"/>
      <c r="S61" s="865">
        <v>7495926.5426923055</v>
      </c>
      <c r="T61" s="850">
        <f t="shared" si="15"/>
        <v>2.7291354907979699E-2</v>
      </c>
      <c r="U61" s="851">
        <f t="shared" si="5"/>
        <v>204573.99164076094</v>
      </c>
      <c r="V61" s="865">
        <v>7155721.7726923069</v>
      </c>
      <c r="W61" s="850">
        <f t="shared" si="16"/>
        <v>7.6897767370534956E-2</v>
      </c>
      <c r="X61" s="845">
        <f t="shared" si="6"/>
        <v>550259.02824476501</v>
      </c>
      <c r="Y61" s="865">
        <v>201076.59000000003</v>
      </c>
      <c r="Z61" s="865">
        <v>0</v>
      </c>
      <c r="AA61" s="845">
        <f t="shared" si="7"/>
        <v>955909.60988552589</v>
      </c>
      <c r="AB61" s="852">
        <f t="shared" si="17"/>
        <v>-17654.253837514068</v>
      </c>
      <c r="AC61" s="847">
        <f t="shared" si="8"/>
        <v>938255.3560480118</v>
      </c>
      <c r="AD61" s="849"/>
      <c r="AE61" s="847">
        <f t="shared" si="9"/>
        <v>23542.672500254004</v>
      </c>
      <c r="AF61" s="847">
        <f t="shared" si="10"/>
        <v>375.35577985270299</v>
      </c>
      <c r="AG61" s="847">
        <f t="shared" si="11"/>
        <v>23918.028280106708</v>
      </c>
      <c r="AI61" s="511"/>
    </row>
    <row r="62" spans="1:39">
      <c r="A62" s="841">
        <v>13103</v>
      </c>
      <c r="B62" s="842" t="s">
        <v>954</v>
      </c>
      <c r="C62" s="846">
        <v>20191506</v>
      </c>
      <c r="D62" s="850">
        <f t="shared" si="12"/>
        <v>2.752618049641322E-2</v>
      </c>
      <c r="E62" s="857">
        <f t="shared" si="0"/>
        <v>555795.03865041048</v>
      </c>
      <c r="F62" s="846">
        <v>19817565</v>
      </c>
      <c r="G62" s="850">
        <f t="shared" si="13"/>
        <v>7.7412293545606164E-2</v>
      </c>
      <c r="H62" s="845">
        <f t="shared" si="1"/>
        <v>1534123.1591391307</v>
      </c>
      <c r="I62" s="846">
        <v>560920</v>
      </c>
      <c r="J62" s="862">
        <v>0</v>
      </c>
      <c r="K62" s="845">
        <f t="shared" si="2"/>
        <v>2650838.1977895414</v>
      </c>
      <c r="L62" s="846">
        <v>0</v>
      </c>
      <c r="M62" s="847">
        <f t="shared" si="3"/>
        <v>2650838.1977895414</v>
      </c>
      <c r="N62" s="848">
        <f>+M62/$M82</f>
        <v>2.9121703342407289E-2</v>
      </c>
      <c r="O62" s="849"/>
      <c r="P62" s="847">
        <f t="shared" si="14"/>
        <v>2578362.7221349948</v>
      </c>
      <c r="Q62" s="848">
        <f t="shared" si="4"/>
        <v>2.9121703342407285E-2</v>
      </c>
      <c r="R62" s="849"/>
      <c r="S62" s="865">
        <v>12713751.38230769</v>
      </c>
      <c r="T62" s="850">
        <f t="shared" si="15"/>
        <v>2.7291354907979699E-2</v>
      </c>
      <c r="U62" s="851">
        <f t="shared" si="5"/>
        <v>346975.50118637667</v>
      </c>
      <c r="V62" s="865">
        <v>12617622.62153846</v>
      </c>
      <c r="W62" s="850">
        <f t="shared" si="16"/>
        <v>7.6897767370534956E-2</v>
      </c>
      <c r="X62" s="845">
        <f t="shared" si="6"/>
        <v>970267.00912026397</v>
      </c>
      <c r="Y62" s="865">
        <v>312612.24499999994</v>
      </c>
      <c r="Z62" s="865">
        <v>0</v>
      </c>
      <c r="AA62" s="845">
        <f t="shared" si="7"/>
        <v>1629854.7553066404</v>
      </c>
      <c r="AB62" s="852">
        <f t="shared" si="17"/>
        <v>0</v>
      </c>
      <c r="AC62" s="847">
        <f t="shared" si="8"/>
        <v>1629854.7553066404</v>
      </c>
      <c r="AD62" s="849"/>
      <c r="AE62" s="847">
        <f t="shared" si="9"/>
        <v>-948507.9668283544</v>
      </c>
      <c r="AF62" s="847">
        <f t="shared" si="10"/>
        <v>-15122.664921814525</v>
      </c>
      <c r="AG62" s="847">
        <f t="shared" si="11"/>
        <v>-963630.63175016898</v>
      </c>
      <c r="AI62" s="511"/>
    </row>
    <row r="63" spans="1:39">
      <c r="A63" s="841">
        <v>13784</v>
      </c>
      <c r="B63" s="842" t="s">
        <v>955</v>
      </c>
      <c r="C63" s="846">
        <v>6684836</v>
      </c>
      <c r="D63" s="850">
        <f t="shared" si="12"/>
        <v>2.752618049641322E-2</v>
      </c>
      <c r="E63" s="857">
        <f t="shared" si="0"/>
        <v>184008.00232492096</v>
      </c>
      <c r="F63" s="846">
        <v>6483102</v>
      </c>
      <c r="G63" s="850">
        <f t="shared" si="13"/>
        <v>7.7412293545606164E-2</v>
      </c>
      <c r="H63" s="845">
        <f t="shared" si="1"/>
        <v>501871.79511010641</v>
      </c>
      <c r="I63" s="846">
        <v>185705</v>
      </c>
      <c r="J63" s="862">
        <v>0</v>
      </c>
      <c r="K63" s="845">
        <f t="shared" si="2"/>
        <v>871584.79743502731</v>
      </c>
      <c r="L63" s="846">
        <v>0</v>
      </c>
      <c r="M63" s="847">
        <f t="shared" si="3"/>
        <v>871584.79743502731</v>
      </c>
      <c r="N63" s="848">
        <f>+M63/$M82</f>
        <v>9.575097389882329E-3</v>
      </c>
      <c r="O63" s="849"/>
      <c r="P63" s="847">
        <f t="shared" si="14"/>
        <v>847755.15637279651</v>
      </c>
      <c r="Q63" s="848">
        <f t="shared" si="4"/>
        <v>9.5750973898823272E-3</v>
      </c>
      <c r="R63" s="849"/>
      <c r="S63" s="865">
        <v>6752800.9900000012</v>
      </c>
      <c r="T63" s="850">
        <f t="shared" si="15"/>
        <v>2.7291354907979699E-2</v>
      </c>
      <c r="U63" s="851">
        <f t="shared" si="5"/>
        <v>184293.08844104671</v>
      </c>
      <c r="V63" s="865">
        <v>6540664.0138461553</v>
      </c>
      <c r="W63" s="850">
        <f t="shared" si="16"/>
        <v>7.6897767370534956E-2</v>
      </c>
      <c r="X63" s="845">
        <f t="shared" si="6"/>
        <v>502962.45978557109</v>
      </c>
      <c r="Y63" s="865">
        <v>196690.76500000007</v>
      </c>
      <c r="Z63" s="865">
        <v>0</v>
      </c>
      <c r="AA63" s="845">
        <f t="shared" si="7"/>
        <v>883946.31322661787</v>
      </c>
      <c r="AB63" s="852">
        <f t="shared" si="17"/>
        <v>0</v>
      </c>
      <c r="AC63" s="847">
        <f t="shared" si="8"/>
        <v>883946.31322661787</v>
      </c>
      <c r="AD63" s="849"/>
      <c r="AE63" s="847">
        <f t="shared" si="9"/>
        <v>36191.156853821361</v>
      </c>
      <c r="AF63" s="847">
        <f t="shared" si="10"/>
        <v>577.01859907752817</v>
      </c>
      <c r="AG63" s="847">
        <f t="shared" si="11"/>
        <v>36768.175452898889</v>
      </c>
      <c r="AI63" s="511"/>
    </row>
    <row r="64" spans="1:39">
      <c r="A64" s="841">
        <v>13769</v>
      </c>
      <c r="B64" s="842" t="s">
        <v>956</v>
      </c>
      <c r="C64" s="846">
        <v>8297708</v>
      </c>
      <c r="D64" s="850">
        <f t="shared" si="12"/>
        <v>2.752618049641322E-2</v>
      </c>
      <c r="E64" s="857">
        <f t="shared" si="0"/>
        <v>228404.20811453194</v>
      </c>
      <c r="F64" s="846">
        <v>8047265</v>
      </c>
      <c r="G64" s="850">
        <f t="shared" si="13"/>
        <v>7.7412293545606164E-2</v>
      </c>
      <c r="H64" s="845">
        <f t="shared" si="1"/>
        <v>622957.24041928235</v>
      </c>
      <c r="I64" s="846">
        <v>230510</v>
      </c>
      <c r="J64" s="862">
        <v>0</v>
      </c>
      <c r="K64" s="845">
        <f t="shared" si="2"/>
        <v>1081871.4485338144</v>
      </c>
      <c r="L64" s="846">
        <v>0</v>
      </c>
      <c r="M64" s="847">
        <f t="shared" si="3"/>
        <v>1081871.4485338144</v>
      </c>
      <c r="N64" s="848">
        <f>+M64/$M82</f>
        <v>1.1885274403052629E-2</v>
      </c>
      <c r="O64" s="849"/>
      <c r="P64" s="847">
        <f>+$P$43*N64</f>
        <v>1052292.4467316882</v>
      </c>
      <c r="Q64" s="848">
        <f t="shared" si="4"/>
        <v>1.1885274403052627E-2</v>
      </c>
      <c r="R64" s="849"/>
      <c r="S64" s="865">
        <v>8425942.3223076891</v>
      </c>
      <c r="T64" s="850">
        <f t="shared" si="15"/>
        <v>2.7291354907979699E-2</v>
      </c>
      <c r="U64" s="851">
        <f t="shared" si="5"/>
        <v>229955.38235226582</v>
      </c>
      <c r="V64" s="865">
        <v>8159890.0634615384</v>
      </c>
      <c r="W64" s="850">
        <f t="shared" si="16"/>
        <v>7.6897767370534956E-2</v>
      </c>
      <c r="X64" s="845">
        <f t="shared" si="6"/>
        <v>627477.32786920515</v>
      </c>
      <c r="Y64" s="865">
        <v>247530.68000000005</v>
      </c>
      <c r="Z64" s="865">
        <v>0</v>
      </c>
      <c r="AA64" s="845">
        <f t="shared" si="7"/>
        <v>1104963.390221471</v>
      </c>
      <c r="AB64" s="852">
        <f t="shared" si="17"/>
        <v>0</v>
      </c>
      <c r="AC64" s="847">
        <f t="shared" si="8"/>
        <v>1104963.390221471</v>
      </c>
      <c r="AD64" s="849"/>
      <c r="AE64" s="847">
        <f t="shared" si="9"/>
        <v>52670.943489782745</v>
      </c>
      <c r="AF64" s="847">
        <f t="shared" si="10"/>
        <v>839.76630388804608</v>
      </c>
      <c r="AG64" s="847">
        <f t="shared" si="11"/>
        <v>53510.709793670794</v>
      </c>
      <c r="AI64" s="511"/>
    </row>
    <row r="65" spans="1:35" ht="30">
      <c r="A65" s="841">
        <v>14925</v>
      </c>
      <c r="B65" s="842" t="s">
        <v>957</v>
      </c>
      <c r="C65" s="846">
        <v>0</v>
      </c>
      <c r="D65" s="850">
        <f t="shared" si="12"/>
        <v>2.752618049641322E-2</v>
      </c>
      <c r="E65" s="857">
        <f>C65*D65</f>
        <v>0</v>
      </c>
      <c r="F65" s="846">
        <v>0</v>
      </c>
      <c r="G65" s="850">
        <f t="shared" si="13"/>
        <v>7.7412293545606164E-2</v>
      </c>
      <c r="H65" s="845">
        <f>F65*G65</f>
        <v>0</v>
      </c>
      <c r="I65" s="846">
        <v>0</v>
      </c>
      <c r="J65" s="862">
        <v>0</v>
      </c>
      <c r="K65" s="845">
        <f>E65+H65+I65+J65</f>
        <v>0</v>
      </c>
      <c r="L65" s="846">
        <v>0</v>
      </c>
      <c r="M65" s="847">
        <f>K65+L65</f>
        <v>0</v>
      </c>
      <c r="N65" s="848">
        <f>+M65/M$82</f>
        <v>0</v>
      </c>
      <c r="O65" s="849"/>
      <c r="P65" s="847">
        <f>+$P$43*N65</f>
        <v>0</v>
      </c>
      <c r="Q65" s="848">
        <f t="shared" si="4"/>
        <v>0</v>
      </c>
      <c r="R65" s="849"/>
      <c r="S65" s="865">
        <v>0</v>
      </c>
      <c r="T65" s="850">
        <f t="shared" si="15"/>
        <v>2.7291354907979699E-2</v>
      </c>
      <c r="U65" s="851">
        <f>S65*T65</f>
        <v>0</v>
      </c>
      <c r="V65" s="865">
        <v>0</v>
      </c>
      <c r="W65" s="850">
        <f t="shared" si="16"/>
        <v>7.6897767370534956E-2</v>
      </c>
      <c r="X65" s="845">
        <f>V65*W65</f>
        <v>0</v>
      </c>
      <c r="Y65" s="865">
        <v>0</v>
      </c>
      <c r="Z65" s="865">
        <v>0</v>
      </c>
      <c r="AA65" s="845">
        <f>U65+X65+Y65+Z65</f>
        <v>0</v>
      </c>
      <c r="AB65" s="852">
        <f>L65</f>
        <v>0</v>
      </c>
      <c r="AC65" s="847">
        <f>AA65+AB65</f>
        <v>0</v>
      </c>
      <c r="AD65" s="849"/>
      <c r="AE65" s="847">
        <f>+AC65-P65</f>
        <v>0</v>
      </c>
      <c r="AF65" s="847">
        <f t="shared" si="10"/>
        <v>0</v>
      </c>
      <c r="AG65" s="847">
        <f>+AE65+AF65</f>
        <v>0</v>
      </c>
      <c r="AI65" s="511"/>
    </row>
    <row r="66" spans="1:35" ht="30">
      <c r="A66" s="841">
        <v>16492</v>
      </c>
      <c r="B66" s="842" t="s">
        <v>984</v>
      </c>
      <c r="C66" s="846">
        <v>0</v>
      </c>
      <c r="D66" s="850">
        <f t="shared" si="12"/>
        <v>2.752618049641322E-2</v>
      </c>
      <c r="E66" s="857">
        <f>C66*D66</f>
        <v>0</v>
      </c>
      <c r="F66" s="846">
        <v>0</v>
      </c>
      <c r="G66" s="850">
        <f t="shared" si="13"/>
        <v>7.7412293545606164E-2</v>
      </c>
      <c r="H66" s="845">
        <f>F66*G66</f>
        <v>0</v>
      </c>
      <c r="I66" s="846">
        <v>0</v>
      </c>
      <c r="J66" s="862">
        <v>0</v>
      </c>
      <c r="K66" s="845">
        <f>E66+H66+I66+J66</f>
        <v>0</v>
      </c>
      <c r="L66" s="846">
        <v>0</v>
      </c>
      <c r="M66" s="847">
        <f>K66+L66</f>
        <v>0</v>
      </c>
      <c r="N66" s="848">
        <f>+M66/M$82</f>
        <v>0</v>
      </c>
      <c r="O66" s="849"/>
      <c r="P66" s="847">
        <f>+$P$43*N66</f>
        <v>0</v>
      </c>
      <c r="Q66" s="848">
        <f t="shared" si="4"/>
        <v>0</v>
      </c>
      <c r="R66" s="849"/>
      <c r="S66" s="865">
        <v>0</v>
      </c>
      <c r="T66" s="850">
        <f t="shared" si="15"/>
        <v>2.7291354907979699E-2</v>
      </c>
      <c r="U66" s="851">
        <f>S66*T66</f>
        <v>0</v>
      </c>
      <c r="V66" s="865">
        <v>0</v>
      </c>
      <c r="W66" s="850">
        <f t="shared" si="16"/>
        <v>7.6897767370534956E-2</v>
      </c>
      <c r="X66" s="845">
        <f>V66*W66</f>
        <v>0</v>
      </c>
      <c r="Y66" s="865">
        <v>0</v>
      </c>
      <c r="Z66" s="865">
        <v>0</v>
      </c>
      <c r="AA66" s="845">
        <f>U66+X66+Y66+Z66</f>
        <v>0</v>
      </c>
      <c r="AB66" s="852">
        <f>L66</f>
        <v>0</v>
      </c>
      <c r="AC66" s="847">
        <f>AA66+AB66</f>
        <v>0</v>
      </c>
      <c r="AD66" s="849"/>
      <c r="AE66" s="847">
        <f>+AC66-P66</f>
        <v>0</v>
      </c>
      <c r="AF66" s="847">
        <f t="shared" si="10"/>
        <v>0</v>
      </c>
      <c r="AG66" s="847">
        <f>+AE66+AF66</f>
        <v>0</v>
      </c>
      <c r="AI66" s="511"/>
    </row>
    <row r="67" spans="1:35">
      <c r="A67" s="927">
        <v>16494</v>
      </c>
      <c r="B67" s="842" t="s">
        <v>936</v>
      </c>
      <c r="C67" s="846">
        <v>28247</v>
      </c>
      <c r="D67" s="850">
        <f t="shared" si="12"/>
        <v>2.752618049641322E-2</v>
      </c>
      <c r="E67" s="857">
        <f>C67*D67</f>
        <v>777.53202048218418</v>
      </c>
      <c r="F67" s="846">
        <v>28247</v>
      </c>
      <c r="G67" s="850">
        <f t="shared" si="13"/>
        <v>7.7412293545606164E-2</v>
      </c>
      <c r="H67" s="845">
        <f>F67*G67</f>
        <v>2186.6650557827375</v>
      </c>
      <c r="I67" s="846">
        <v>0</v>
      </c>
      <c r="J67" s="862">
        <v>0</v>
      </c>
      <c r="K67" s="845">
        <f>E67+H67+I67+J67</f>
        <v>2964.1970762649216</v>
      </c>
      <c r="L67" s="846">
        <v>0</v>
      </c>
      <c r="M67" s="847">
        <f>K67+L67</f>
        <v>2964.1970762649216</v>
      </c>
      <c r="N67" s="848">
        <f>+M67/M$82</f>
        <v>3.2564216094139553E-5</v>
      </c>
      <c r="O67" s="849"/>
      <c r="P67" s="847">
        <f>+$P$43*N67</f>
        <v>2883.1541845428769</v>
      </c>
      <c r="Q67" s="848">
        <f t="shared" si="4"/>
        <v>3.2564216094139546E-5</v>
      </c>
      <c r="R67" s="849"/>
      <c r="S67" s="865">
        <v>0</v>
      </c>
      <c r="T67" s="850">
        <f t="shared" si="15"/>
        <v>2.7291354907979699E-2</v>
      </c>
      <c r="U67" s="851">
        <f>S67*T67</f>
        <v>0</v>
      </c>
      <c r="V67" s="865">
        <v>0</v>
      </c>
      <c r="W67" s="850">
        <f t="shared" si="16"/>
        <v>7.6897767370534956E-2</v>
      </c>
      <c r="X67" s="845">
        <f>V67*W67</f>
        <v>0</v>
      </c>
      <c r="Y67" s="865">
        <v>0</v>
      </c>
      <c r="Z67" s="865">
        <v>0</v>
      </c>
      <c r="AA67" s="845">
        <f>U67+X67+Y67+Z67</f>
        <v>0</v>
      </c>
      <c r="AB67" s="852">
        <f>L67</f>
        <v>0</v>
      </c>
      <c r="AC67" s="847">
        <f>AA67+AB67</f>
        <v>0</v>
      </c>
      <c r="AD67" s="849"/>
      <c r="AE67" s="847">
        <f>+AC67-P67</f>
        <v>-2883.1541845428769</v>
      </c>
      <c r="AF67" s="847">
        <f t="shared" si="10"/>
        <v>-45.967958283538088</v>
      </c>
      <c r="AG67" s="847">
        <f>+AE67+AF67</f>
        <v>-2929.1221428264148</v>
      </c>
      <c r="AI67" s="511"/>
    </row>
    <row r="68" spans="1:35">
      <c r="A68" s="841">
        <v>17064</v>
      </c>
      <c r="B68" s="842" t="s">
        <v>937</v>
      </c>
      <c r="C68" s="846">
        <v>129891</v>
      </c>
      <c r="D68" s="850">
        <f t="shared" si="12"/>
        <v>2.752618049641322E-2</v>
      </c>
      <c r="E68" s="857">
        <f t="shared" si="0"/>
        <v>3575.4031108596096</v>
      </c>
      <c r="F68" s="846">
        <v>129891</v>
      </c>
      <c r="G68" s="850">
        <f t="shared" si="13"/>
        <v>7.7412293545606164E-2</v>
      </c>
      <c r="H68" s="845">
        <f t="shared" si="1"/>
        <v>10055.16022093233</v>
      </c>
      <c r="I68" s="846">
        <v>0</v>
      </c>
      <c r="J68" s="862">
        <v>0</v>
      </c>
      <c r="K68" s="845">
        <f t="shared" si="2"/>
        <v>13630.56333179194</v>
      </c>
      <c r="L68" s="846">
        <v>0</v>
      </c>
      <c r="M68" s="847">
        <f t="shared" si="3"/>
        <v>13630.56333179194</v>
      </c>
      <c r="N68" s="848">
        <f>+M68/$M82</f>
        <v>1.4974328575366875E-4</v>
      </c>
      <c r="O68" s="849"/>
      <c r="P68" s="847">
        <f t="shared" si="14"/>
        <v>13257.895712268873</v>
      </c>
      <c r="Q68" s="848">
        <f t="shared" si="4"/>
        <v>1.4974328575366873E-4</v>
      </c>
      <c r="R68" s="849"/>
      <c r="S68" s="865">
        <v>0</v>
      </c>
      <c r="T68" s="850">
        <f t="shared" si="15"/>
        <v>2.7291354907979699E-2</v>
      </c>
      <c r="U68" s="851">
        <f t="shared" si="5"/>
        <v>0</v>
      </c>
      <c r="V68" s="865">
        <v>0</v>
      </c>
      <c r="W68" s="850">
        <f t="shared" si="16"/>
        <v>7.6897767370534956E-2</v>
      </c>
      <c r="X68" s="845">
        <f t="shared" si="6"/>
        <v>0</v>
      </c>
      <c r="Y68" s="865">
        <v>0</v>
      </c>
      <c r="Z68" s="865">
        <v>0</v>
      </c>
      <c r="AA68" s="845">
        <f t="shared" si="7"/>
        <v>0</v>
      </c>
      <c r="AB68" s="852">
        <f t="shared" si="17"/>
        <v>0</v>
      </c>
      <c r="AC68" s="847">
        <f t="shared" si="8"/>
        <v>0</v>
      </c>
      <c r="AD68" s="849"/>
      <c r="AE68" s="847">
        <f t="shared" si="9"/>
        <v>-13257.895712268873</v>
      </c>
      <c r="AF68" s="847">
        <f t="shared" si="10"/>
        <v>-211.37905155970714</v>
      </c>
      <c r="AG68" s="847">
        <f t="shared" si="11"/>
        <v>-13469.27476382858</v>
      </c>
      <c r="AI68" s="511"/>
    </row>
    <row r="69" spans="1:35" ht="30">
      <c r="A69" s="841">
        <v>17525</v>
      </c>
      <c r="B69" s="842" t="s">
        <v>938</v>
      </c>
      <c r="C69" s="846">
        <v>0</v>
      </c>
      <c r="D69" s="850">
        <f t="shared" si="12"/>
        <v>2.752618049641322E-2</v>
      </c>
      <c r="E69" s="857">
        <f t="shared" si="0"/>
        <v>0</v>
      </c>
      <c r="F69" s="846">
        <v>0</v>
      </c>
      <c r="G69" s="850">
        <f t="shared" si="13"/>
        <v>7.7412293545606164E-2</v>
      </c>
      <c r="H69" s="845">
        <f t="shared" si="1"/>
        <v>0</v>
      </c>
      <c r="I69" s="846">
        <v>0</v>
      </c>
      <c r="J69" s="862">
        <v>0</v>
      </c>
      <c r="K69" s="845">
        <f t="shared" si="2"/>
        <v>0</v>
      </c>
      <c r="L69" s="846">
        <v>0</v>
      </c>
      <c r="M69" s="847">
        <f t="shared" si="3"/>
        <v>0</v>
      </c>
      <c r="N69" s="848">
        <f>+M69/$M82</f>
        <v>0</v>
      </c>
      <c r="O69" s="849"/>
      <c r="P69" s="847">
        <f t="shared" si="14"/>
        <v>0</v>
      </c>
      <c r="Q69" s="848">
        <f t="shared" si="4"/>
        <v>0</v>
      </c>
      <c r="R69" s="849"/>
      <c r="S69" s="865">
        <v>0</v>
      </c>
      <c r="T69" s="850">
        <f t="shared" si="15"/>
        <v>2.7291354907979699E-2</v>
      </c>
      <c r="U69" s="851">
        <f t="shared" si="5"/>
        <v>0</v>
      </c>
      <c r="V69" s="865">
        <v>0</v>
      </c>
      <c r="W69" s="850">
        <f t="shared" si="16"/>
        <v>7.6897767370534956E-2</v>
      </c>
      <c r="X69" s="845">
        <f t="shared" si="6"/>
        <v>0</v>
      </c>
      <c r="Y69" s="865">
        <v>0</v>
      </c>
      <c r="Z69" s="865">
        <v>0</v>
      </c>
      <c r="AA69" s="845">
        <f t="shared" si="7"/>
        <v>0</v>
      </c>
      <c r="AB69" s="852">
        <f t="shared" si="17"/>
        <v>0</v>
      </c>
      <c r="AC69" s="847">
        <f t="shared" si="8"/>
        <v>0</v>
      </c>
      <c r="AD69" s="849"/>
      <c r="AE69" s="847">
        <f t="shared" si="9"/>
        <v>0</v>
      </c>
      <c r="AF69" s="847">
        <f t="shared" si="10"/>
        <v>0</v>
      </c>
      <c r="AG69" s="847">
        <f t="shared" si="11"/>
        <v>0</v>
      </c>
      <c r="AI69" s="511"/>
    </row>
    <row r="70" spans="1:35" ht="30">
      <c r="A70" s="841">
        <v>17526</v>
      </c>
      <c r="B70" s="842" t="s">
        <v>939</v>
      </c>
      <c r="C70" s="846">
        <v>0</v>
      </c>
      <c r="D70" s="850">
        <f t="shared" si="12"/>
        <v>2.752618049641322E-2</v>
      </c>
      <c r="E70" s="857">
        <f t="shared" si="0"/>
        <v>0</v>
      </c>
      <c r="F70" s="846">
        <v>0</v>
      </c>
      <c r="G70" s="850">
        <f t="shared" si="13"/>
        <v>7.7412293545606164E-2</v>
      </c>
      <c r="H70" s="845">
        <f t="shared" si="1"/>
        <v>0</v>
      </c>
      <c r="I70" s="846">
        <v>0</v>
      </c>
      <c r="J70" s="862">
        <v>0</v>
      </c>
      <c r="K70" s="845">
        <f t="shared" si="2"/>
        <v>0</v>
      </c>
      <c r="L70" s="846">
        <v>0</v>
      </c>
      <c r="M70" s="847">
        <f t="shared" si="3"/>
        <v>0</v>
      </c>
      <c r="N70" s="848">
        <f>+M70/$M82</f>
        <v>0</v>
      </c>
      <c r="O70" s="849"/>
      <c r="P70" s="847">
        <f t="shared" si="14"/>
        <v>0</v>
      </c>
      <c r="Q70" s="848">
        <f t="shared" si="4"/>
        <v>0</v>
      </c>
      <c r="R70" s="849"/>
      <c r="S70" s="865">
        <v>40569.328076923077</v>
      </c>
      <c r="T70" s="850">
        <f t="shared" si="15"/>
        <v>2.7291354907979699E-2</v>
      </c>
      <c r="U70" s="851">
        <f t="shared" si="5"/>
        <v>1107.1919309255732</v>
      </c>
      <c r="V70" s="865">
        <v>37325.910769230773</v>
      </c>
      <c r="W70" s="850">
        <f t="shared" si="16"/>
        <v>7.6897767370534956E-2</v>
      </c>
      <c r="X70" s="845">
        <f t="shared" si="6"/>
        <v>2870.2792032256534</v>
      </c>
      <c r="Y70" s="865">
        <v>0</v>
      </c>
      <c r="Z70" s="865">
        <v>0</v>
      </c>
      <c r="AA70" s="845">
        <f t="shared" si="7"/>
        <v>3977.4711341512266</v>
      </c>
      <c r="AB70" s="852">
        <f t="shared" si="17"/>
        <v>0</v>
      </c>
      <c r="AC70" s="847">
        <f t="shared" si="8"/>
        <v>3977.4711341512266</v>
      </c>
      <c r="AD70" s="849"/>
      <c r="AE70" s="847">
        <f t="shared" si="9"/>
        <v>3977.4711341512266</v>
      </c>
      <c r="AF70" s="847">
        <f t="shared" si="10"/>
        <v>63.415348422522584</v>
      </c>
      <c r="AG70" s="847">
        <f t="shared" si="11"/>
        <v>4040.8864825737492</v>
      </c>
      <c r="AI70" s="511"/>
    </row>
    <row r="71" spans="1:35" ht="30">
      <c r="A71" s="841">
        <v>18849</v>
      </c>
      <c r="B71" s="842" t="s">
        <v>976</v>
      </c>
      <c r="C71" s="846">
        <v>0</v>
      </c>
      <c r="D71" s="850">
        <f t="shared" si="12"/>
        <v>2.752618049641322E-2</v>
      </c>
      <c r="E71" s="857">
        <f>C71*D71</f>
        <v>0</v>
      </c>
      <c r="F71" s="846">
        <v>0</v>
      </c>
      <c r="G71" s="850">
        <f t="shared" si="13"/>
        <v>7.7412293545606164E-2</v>
      </c>
      <c r="H71" s="845">
        <f>F71*G71</f>
        <v>0</v>
      </c>
      <c r="I71" s="846">
        <v>0</v>
      </c>
      <c r="J71" s="862">
        <v>0</v>
      </c>
      <c r="K71" s="845">
        <f>E71+H71+I71+J71</f>
        <v>0</v>
      </c>
      <c r="L71" s="846">
        <v>0</v>
      </c>
      <c r="M71" s="847">
        <f>K71+L71</f>
        <v>0</v>
      </c>
      <c r="N71" s="848">
        <f>+M71/M$82</f>
        <v>0</v>
      </c>
      <c r="O71" s="849"/>
      <c r="P71" s="847">
        <f>+$P$43*N71</f>
        <v>0</v>
      </c>
      <c r="Q71" s="848">
        <f t="shared" si="4"/>
        <v>0</v>
      </c>
      <c r="R71" s="849"/>
      <c r="S71" s="865">
        <v>0</v>
      </c>
      <c r="T71" s="850">
        <f t="shared" si="15"/>
        <v>2.7291354907979699E-2</v>
      </c>
      <c r="U71" s="851">
        <f>S71*T71</f>
        <v>0</v>
      </c>
      <c r="V71" s="866">
        <v>0</v>
      </c>
      <c r="W71" s="850">
        <f t="shared" si="16"/>
        <v>7.6897767370534956E-2</v>
      </c>
      <c r="X71" s="845">
        <f>V71*W71</f>
        <v>0</v>
      </c>
      <c r="Y71" s="865">
        <v>0</v>
      </c>
      <c r="Z71" s="865">
        <v>0</v>
      </c>
      <c r="AA71" s="845">
        <f>U71+X71+Y71+Z71</f>
        <v>0</v>
      </c>
      <c r="AB71" s="852">
        <f>L71</f>
        <v>0</v>
      </c>
      <c r="AC71" s="847">
        <f>AA71+AB71</f>
        <v>0</v>
      </c>
      <c r="AD71" s="849"/>
      <c r="AE71" s="847">
        <f>+AC71-P71</f>
        <v>0</v>
      </c>
      <c r="AF71" s="847">
        <f t="shared" si="10"/>
        <v>0</v>
      </c>
      <c r="AG71" s="847">
        <f>+AE71+AF71</f>
        <v>0</v>
      </c>
      <c r="AI71" s="511"/>
    </row>
    <row r="72" spans="1:35" ht="30">
      <c r="A72" s="841">
        <v>18925</v>
      </c>
      <c r="B72" s="842" t="s">
        <v>940</v>
      </c>
      <c r="C72" s="846">
        <v>0</v>
      </c>
      <c r="D72" s="850">
        <f t="shared" si="12"/>
        <v>2.752618049641322E-2</v>
      </c>
      <c r="E72" s="857">
        <f t="shared" ref="E72" si="18">C72*D72</f>
        <v>0</v>
      </c>
      <c r="F72" s="846">
        <v>0</v>
      </c>
      <c r="G72" s="850">
        <f t="shared" si="13"/>
        <v>7.7412293545606164E-2</v>
      </c>
      <c r="H72" s="845">
        <f t="shared" ref="H72" si="19">F72*G72</f>
        <v>0</v>
      </c>
      <c r="I72" s="846">
        <v>0</v>
      </c>
      <c r="J72" s="862">
        <v>0</v>
      </c>
      <c r="K72" s="845">
        <f t="shared" ref="K72" si="20">E72+H72+I72+J72</f>
        <v>0</v>
      </c>
      <c r="L72" s="846">
        <v>0</v>
      </c>
      <c r="M72" s="847">
        <f t="shared" ref="M72" si="21">K72+L72</f>
        <v>0</v>
      </c>
      <c r="N72" s="848">
        <f>+M72/M$82</f>
        <v>0</v>
      </c>
      <c r="O72" s="849"/>
      <c r="P72" s="847">
        <f t="shared" ref="P72" si="22">+$P$43*N72</f>
        <v>0</v>
      </c>
      <c r="Q72" s="848">
        <f t="shared" si="4"/>
        <v>0</v>
      </c>
      <c r="R72" s="849"/>
      <c r="S72" s="865">
        <v>0</v>
      </c>
      <c r="T72" s="850">
        <f t="shared" si="15"/>
        <v>2.7291354907979699E-2</v>
      </c>
      <c r="U72" s="851">
        <f>S72*T72</f>
        <v>0</v>
      </c>
      <c r="V72" s="866">
        <v>0</v>
      </c>
      <c r="W72" s="850">
        <f t="shared" si="16"/>
        <v>7.6897767370534956E-2</v>
      </c>
      <c r="X72" s="845">
        <f>V72*W72</f>
        <v>0</v>
      </c>
      <c r="Y72" s="865">
        <v>0</v>
      </c>
      <c r="Z72" s="865">
        <v>0</v>
      </c>
      <c r="AA72" s="845">
        <f>U72+X72+Y72+Z72</f>
        <v>0</v>
      </c>
      <c r="AB72" s="852">
        <f>L72</f>
        <v>0</v>
      </c>
      <c r="AC72" s="847">
        <f>AA72+AB72</f>
        <v>0</v>
      </c>
      <c r="AD72" s="849"/>
      <c r="AE72" s="847">
        <f>+AC72-P72</f>
        <v>0</v>
      </c>
      <c r="AF72" s="847">
        <f t="shared" si="10"/>
        <v>0</v>
      </c>
      <c r="AG72" s="847">
        <f>+AE72+AF72</f>
        <v>0</v>
      </c>
      <c r="AI72" s="511"/>
    </row>
    <row r="73" spans="1:35">
      <c r="A73" s="841">
        <v>18985</v>
      </c>
      <c r="B73" s="842" t="s">
        <v>983</v>
      </c>
      <c r="C73" s="846">
        <v>0</v>
      </c>
      <c r="D73" s="850">
        <f t="shared" si="12"/>
        <v>2.752618049641322E-2</v>
      </c>
      <c r="E73" s="857">
        <f>C73*D73</f>
        <v>0</v>
      </c>
      <c r="F73" s="846">
        <v>0</v>
      </c>
      <c r="G73" s="850">
        <f t="shared" si="13"/>
        <v>7.7412293545606164E-2</v>
      </c>
      <c r="H73" s="845">
        <f>F73*G73</f>
        <v>0</v>
      </c>
      <c r="I73" s="846">
        <v>0</v>
      </c>
      <c r="J73" s="862">
        <v>0</v>
      </c>
      <c r="K73" s="845">
        <f>E73+H73+I73+J73</f>
        <v>0</v>
      </c>
      <c r="L73" s="846">
        <v>0</v>
      </c>
      <c r="M73" s="847">
        <f>K73+L73</f>
        <v>0</v>
      </c>
      <c r="N73" s="848">
        <f>+M73/M$82</f>
        <v>0</v>
      </c>
      <c r="O73" s="849"/>
      <c r="P73" s="847">
        <f>+$P$43*N73</f>
        <v>0</v>
      </c>
      <c r="Q73" s="848">
        <f t="shared" si="4"/>
        <v>0</v>
      </c>
      <c r="R73" s="849"/>
      <c r="S73" s="865">
        <v>0</v>
      </c>
      <c r="T73" s="850">
        <f t="shared" si="15"/>
        <v>2.7291354907979699E-2</v>
      </c>
      <c r="U73" s="851">
        <f>S73*T73</f>
        <v>0</v>
      </c>
      <c r="V73" s="866">
        <v>0</v>
      </c>
      <c r="W73" s="850">
        <f t="shared" si="16"/>
        <v>7.6897767370534956E-2</v>
      </c>
      <c r="X73" s="845">
        <f>V73*W73</f>
        <v>0</v>
      </c>
      <c r="Y73" s="865">
        <v>0</v>
      </c>
      <c r="Z73" s="865">
        <v>0</v>
      </c>
      <c r="AA73" s="845">
        <f>U73+X73+Y73+Z73</f>
        <v>0</v>
      </c>
      <c r="AB73" s="852">
        <f>L73</f>
        <v>0</v>
      </c>
      <c r="AC73" s="847">
        <f>AA73+AB73</f>
        <v>0</v>
      </c>
      <c r="AD73" s="849"/>
      <c r="AE73" s="847">
        <f>+AC73-P73</f>
        <v>0</v>
      </c>
      <c r="AF73" s="847">
        <f t="shared" si="10"/>
        <v>0</v>
      </c>
      <c r="AG73" s="847">
        <f>+AE73+AF73</f>
        <v>0</v>
      </c>
      <c r="AI73" s="511"/>
    </row>
    <row r="74" spans="1:35" ht="30">
      <c r="A74" s="841">
        <v>19145</v>
      </c>
      <c r="B74" s="842" t="s">
        <v>982</v>
      </c>
      <c r="C74" s="846">
        <v>0</v>
      </c>
      <c r="D74" s="850">
        <f t="shared" si="12"/>
        <v>2.752618049641322E-2</v>
      </c>
      <c r="E74" s="857">
        <f>C74*D74</f>
        <v>0</v>
      </c>
      <c r="F74" s="846">
        <v>0</v>
      </c>
      <c r="G74" s="850">
        <f t="shared" si="13"/>
        <v>7.7412293545606164E-2</v>
      </c>
      <c r="H74" s="845">
        <f>F74*G74</f>
        <v>0</v>
      </c>
      <c r="I74" s="846">
        <v>0</v>
      </c>
      <c r="J74" s="862">
        <v>0</v>
      </c>
      <c r="K74" s="845">
        <f>E74+H74+I74+J74</f>
        <v>0</v>
      </c>
      <c r="L74" s="846">
        <v>0</v>
      </c>
      <c r="M74" s="847">
        <f>K74+L74</f>
        <v>0</v>
      </c>
      <c r="N74" s="848">
        <f>+M74/M$82</f>
        <v>0</v>
      </c>
      <c r="O74" s="849"/>
      <c r="P74" s="847">
        <f>+$P$43*N74</f>
        <v>0</v>
      </c>
      <c r="Q74" s="848">
        <f t="shared" si="4"/>
        <v>0</v>
      </c>
      <c r="R74" s="849"/>
      <c r="S74" s="865">
        <v>0</v>
      </c>
      <c r="T74" s="850">
        <f t="shared" si="15"/>
        <v>2.7291354907979699E-2</v>
      </c>
      <c r="U74" s="851">
        <f>S74*T74</f>
        <v>0</v>
      </c>
      <c r="V74" s="866">
        <v>0</v>
      </c>
      <c r="W74" s="850">
        <f t="shared" si="16"/>
        <v>7.6897767370534956E-2</v>
      </c>
      <c r="X74" s="845">
        <f>V74*W74</f>
        <v>0</v>
      </c>
      <c r="Y74" s="865">
        <v>0</v>
      </c>
      <c r="Z74" s="865">
        <v>0</v>
      </c>
      <c r="AA74" s="845">
        <f>U74+X74+Y74+Z74</f>
        <v>0</v>
      </c>
      <c r="AB74" s="852">
        <f>L74</f>
        <v>0</v>
      </c>
      <c r="AC74" s="847">
        <f>AA74+AB74</f>
        <v>0</v>
      </c>
      <c r="AD74" s="849"/>
      <c r="AE74" s="847">
        <f>+AC74-P74</f>
        <v>0</v>
      </c>
      <c r="AF74" s="847">
        <f t="shared" si="10"/>
        <v>0</v>
      </c>
      <c r="AG74" s="847">
        <f>+AE74+AF74</f>
        <v>0</v>
      </c>
      <c r="AI74" s="511"/>
    </row>
    <row r="75" spans="1:35">
      <c r="A75" s="841">
        <v>19269</v>
      </c>
      <c r="B75" s="842" t="s">
        <v>941</v>
      </c>
      <c r="C75" s="846">
        <v>0</v>
      </c>
      <c r="D75" s="850">
        <f t="shared" si="12"/>
        <v>2.752618049641322E-2</v>
      </c>
      <c r="E75" s="857">
        <f t="shared" ref="E75:E80" si="23">C75*D75</f>
        <v>0</v>
      </c>
      <c r="F75" s="846">
        <v>0</v>
      </c>
      <c r="G75" s="850">
        <f t="shared" si="13"/>
        <v>7.7412293545606164E-2</v>
      </c>
      <c r="H75" s="845">
        <f t="shared" ref="H75:H80" si="24">F75*G75</f>
        <v>0</v>
      </c>
      <c r="I75" s="846">
        <v>0</v>
      </c>
      <c r="J75" s="862">
        <v>0</v>
      </c>
      <c r="K75" s="845">
        <f t="shared" ref="K75:K80" si="25">E75+H75+I75+J75</f>
        <v>0</v>
      </c>
      <c r="L75" s="846">
        <v>0</v>
      </c>
      <c r="M75" s="847">
        <f t="shared" ref="M75:M80" si="26">K75+L75</f>
        <v>0</v>
      </c>
      <c r="N75" s="848">
        <f>+M75/M$82</f>
        <v>0</v>
      </c>
      <c r="O75" s="849"/>
      <c r="P75" s="847">
        <f t="shared" si="14"/>
        <v>0</v>
      </c>
      <c r="Q75" s="848">
        <f t="shared" si="4"/>
        <v>0</v>
      </c>
      <c r="R75" s="849"/>
      <c r="S75" s="865">
        <v>0</v>
      </c>
      <c r="T75" s="850">
        <f t="shared" si="15"/>
        <v>2.7291354907979699E-2</v>
      </c>
      <c r="U75" s="851">
        <f t="shared" ref="U75:U80" si="27">S75*T75</f>
        <v>0</v>
      </c>
      <c r="V75" s="866">
        <v>0</v>
      </c>
      <c r="W75" s="850">
        <f t="shared" si="16"/>
        <v>7.6897767370534956E-2</v>
      </c>
      <c r="X75" s="845">
        <f t="shared" ref="X75:X80" si="28">V75*W75</f>
        <v>0</v>
      </c>
      <c r="Y75" s="865">
        <v>0</v>
      </c>
      <c r="Z75" s="865">
        <v>0</v>
      </c>
      <c r="AA75" s="845">
        <f t="shared" ref="AA75:AA80" si="29">U75+X75+Y75+Z75</f>
        <v>0</v>
      </c>
      <c r="AB75" s="852">
        <f t="shared" ref="AB75:AB80" si="30">L75</f>
        <v>0</v>
      </c>
      <c r="AC75" s="847">
        <f t="shared" ref="AC75:AC80" si="31">AA75+AB75</f>
        <v>0</v>
      </c>
      <c r="AD75" s="849"/>
      <c r="AE75" s="847">
        <f t="shared" ref="AE75:AE80" si="32">+AC75-P75</f>
        <v>0</v>
      </c>
      <c r="AF75" s="847">
        <f t="shared" si="10"/>
        <v>0</v>
      </c>
      <c r="AG75" s="847">
        <f t="shared" ref="AG75:AG80" si="33">+AE75+AF75</f>
        <v>0</v>
      </c>
      <c r="AI75" s="511"/>
    </row>
    <row r="76" spans="1:35" ht="30">
      <c r="A76" s="841">
        <v>20625</v>
      </c>
      <c r="B76" s="842" t="s">
        <v>981</v>
      </c>
      <c r="C76" s="846">
        <v>0</v>
      </c>
      <c r="D76" s="850">
        <f t="shared" si="12"/>
        <v>2.752618049641322E-2</v>
      </c>
      <c r="E76" s="857">
        <f t="shared" ref="E76:E78" si="34">C76*D76</f>
        <v>0</v>
      </c>
      <c r="F76" s="846">
        <v>0</v>
      </c>
      <c r="G76" s="850">
        <f t="shared" si="13"/>
        <v>7.7412293545606164E-2</v>
      </c>
      <c r="H76" s="845">
        <f t="shared" ref="H76:H78" si="35">F76*G76</f>
        <v>0</v>
      </c>
      <c r="I76" s="846">
        <v>0</v>
      </c>
      <c r="J76" s="862">
        <v>0</v>
      </c>
      <c r="K76" s="845">
        <f t="shared" ref="K76:K78" si="36">E76+H76+I76+J76</f>
        <v>0</v>
      </c>
      <c r="L76" s="846">
        <v>0</v>
      </c>
      <c r="M76" s="847">
        <f t="shared" ref="M76:M78" si="37">K76+L76</f>
        <v>0</v>
      </c>
      <c r="N76" s="848">
        <f t="shared" ref="N76:N78" si="38">+M76/M$82</f>
        <v>0</v>
      </c>
      <c r="O76" s="849"/>
      <c r="P76" s="847">
        <f t="shared" ref="P76:P78" si="39">+$P$43*N76</f>
        <v>0</v>
      </c>
      <c r="Q76" s="848">
        <f t="shared" ref="Q76:Q78" si="40">+P76/P$82</f>
        <v>0</v>
      </c>
      <c r="R76" s="849"/>
      <c r="S76" s="865">
        <v>0</v>
      </c>
      <c r="T76" s="850">
        <f t="shared" si="15"/>
        <v>2.7291354907979699E-2</v>
      </c>
      <c r="U76" s="851">
        <f t="shared" ref="U76:U78" si="41">S76*T76</f>
        <v>0</v>
      </c>
      <c r="V76" s="866">
        <v>0</v>
      </c>
      <c r="W76" s="850">
        <f t="shared" si="16"/>
        <v>7.6897767370534956E-2</v>
      </c>
      <c r="X76" s="845">
        <f t="shared" ref="X76:X78" si="42">V76*W76</f>
        <v>0</v>
      </c>
      <c r="Y76" s="865">
        <v>0</v>
      </c>
      <c r="Z76" s="865">
        <v>0</v>
      </c>
      <c r="AA76" s="845">
        <f t="shared" ref="AA76:AA78" si="43">U76+X76+Y76+Z76</f>
        <v>0</v>
      </c>
      <c r="AB76" s="852">
        <f t="shared" ref="AB76:AB78" si="44">L76</f>
        <v>0</v>
      </c>
      <c r="AC76" s="847">
        <f t="shared" ref="AC76:AC78" si="45">AA76+AB76</f>
        <v>0</v>
      </c>
      <c r="AD76" s="849"/>
      <c r="AE76" s="847">
        <f t="shared" ref="AE76:AE78" si="46">+AC76-P76</f>
        <v>0</v>
      </c>
      <c r="AF76" s="847">
        <f t="shared" si="10"/>
        <v>0</v>
      </c>
      <c r="AG76" s="847">
        <f t="shared" ref="AG76:AG78" si="47">+AE76+AF76</f>
        <v>0</v>
      </c>
      <c r="AI76" s="511"/>
    </row>
    <row r="77" spans="1:35">
      <c r="A77" s="841"/>
      <c r="B77" s="842"/>
      <c r="C77" s="846">
        <v>0</v>
      </c>
      <c r="D77" s="850">
        <f t="shared" si="12"/>
        <v>2.752618049641322E-2</v>
      </c>
      <c r="E77" s="857">
        <f t="shared" si="34"/>
        <v>0</v>
      </c>
      <c r="F77" s="846">
        <v>0</v>
      </c>
      <c r="G77" s="850">
        <f t="shared" si="13"/>
        <v>7.7412293545606164E-2</v>
      </c>
      <c r="H77" s="845">
        <f t="shared" si="35"/>
        <v>0</v>
      </c>
      <c r="I77" s="846">
        <v>0</v>
      </c>
      <c r="J77" s="862">
        <v>0</v>
      </c>
      <c r="K77" s="845">
        <f t="shared" si="36"/>
        <v>0</v>
      </c>
      <c r="L77" s="846">
        <v>0</v>
      </c>
      <c r="M77" s="847">
        <f t="shared" si="37"/>
        <v>0</v>
      </c>
      <c r="N77" s="848">
        <f t="shared" si="38"/>
        <v>0</v>
      </c>
      <c r="O77" s="849"/>
      <c r="P77" s="847">
        <f t="shared" si="39"/>
        <v>0</v>
      </c>
      <c r="Q77" s="848">
        <f t="shared" si="40"/>
        <v>0</v>
      </c>
      <c r="R77" s="849"/>
      <c r="S77" s="865">
        <v>0</v>
      </c>
      <c r="T77" s="850">
        <f t="shared" si="15"/>
        <v>2.7291354907979699E-2</v>
      </c>
      <c r="U77" s="851">
        <f t="shared" si="41"/>
        <v>0</v>
      </c>
      <c r="V77" s="866">
        <v>0</v>
      </c>
      <c r="W77" s="850">
        <f t="shared" si="16"/>
        <v>7.6897767370534956E-2</v>
      </c>
      <c r="X77" s="845">
        <f t="shared" si="42"/>
        <v>0</v>
      </c>
      <c r="Y77" s="865">
        <v>0</v>
      </c>
      <c r="Z77" s="865">
        <v>0</v>
      </c>
      <c r="AA77" s="845">
        <f t="shared" si="43"/>
        <v>0</v>
      </c>
      <c r="AB77" s="852">
        <f t="shared" si="44"/>
        <v>0</v>
      </c>
      <c r="AC77" s="847">
        <f t="shared" si="45"/>
        <v>0</v>
      </c>
      <c r="AD77" s="849"/>
      <c r="AE77" s="847">
        <f t="shared" si="46"/>
        <v>0</v>
      </c>
      <c r="AF77" s="847">
        <f t="shared" si="10"/>
        <v>0</v>
      </c>
      <c r="AG77" s="847">
        <f t="shared" si="47"/>
        <v>0</v>
      </c>
      <c r="AI77" s="511"/>
    </row>
    <row r="78" spans="1:35">
      <c r="A78" s="841"/>
      <c r="B78" s="842"/>
      <c r="C78" s="846">
        <v>0</v>
      </c>
      <c r="D78" s="850">
        <f t="shared" si="12"/>
        <v>2.752618049641322E-2</v>
      </c>
      <c r="E78" s="857">
        <f t="shared" si="34"/>
        <v>0</v>
      </c>
      <c r="F78" s="846">
        <v>0</v>
      </c>
      <c r="G78" s="850">
        <f t="shared" si="13"/>
        <v>7.7412293545606164E-2</v>
      </c>
      <c r="H78" s="845">
        <f t="shared" si="35"/>
        <v>0</v>
      </c>
      <c r="I78" s="846">
        <v>0</v>
      </c>
      <c r="J78" s="862">
        <v>0</v>
      </c>
      <c r="K78" s="845">
        <f t="shared" si="36"/>
        <v>0</v>
      </c>
      <c r="L78" s="846">
        <v>0</v>
      </c>
      <c r="M78" s="847">
        <f t="shared" si="37"/>
        <v>0</v>
      </c>
      <c r="N78" s="848">
        <f t="shared" si="38"/>
        <v>0</v>
      </c>
      <c r="O78" s="849"/>
      <c r="P78" s="847">
        <f t="shared" si="39"/>
        <v>0</v>
      </c>
      <c r="Q78" s="848">
        <f t="shared" si="40"/>
        <v>0</v>
      </c>
      <c r="R78" s="849"/>
      <c r="S78" s="865">
        <v>0</v>
      </c>
      <c r="T78" s="850">
        <f t="shared" si="15"/>
        <v>2.7291354907979699E-2</v>
      </c>
      <c r="U78" s="851">
        <f t="shared" si="41"/>
        <v>0</v>
      </c>
      <c r="V78" s="866">
        <v>0</v>
      </c>
      <c r="W78" s="850">
        <f t="shared" si="16"/>
        <v>7.6897767370534956E-2</v>
      </c>
      <c r="X78" s="845">
        <f t="shared" si="42"/>
        <v>0</v>
      </c>
      <c r="Y78" s="865">
        <v>0</v>
      </c>
      <c r="Z78" s="865">
        <v>0</v>
      </c>
      <c r="AA78" s="845">
        <f t="shared" si="43"/>
        <v>0</v>
      </c>
      <c r="AB78" s="852">
        <f t="shared" si="44"/>
        <v>0</v>
      </c>
      <c r="AC78" s="847">
        <f t="shared" si="45"/>
        <v>0</v>
      </c>
      <c r="AD78" s="849"/>
      <c r="AE78" s="847">
        <f t="shared" si="46"/>
        <v>0</v>
      </c>
      <c r="AF78" s="847">
        <f t="shared" si="10"/>
        <v>0</v>
      </c>
      <c r="AG78" s="847">
        <f t="shared" si="47"/>
        <v>0</v>
      </c>
      <c r="AI78" s="511"/>
    </row>
    <row r="79" spans="1:35">
      <c r="A79" s="841"/>
      <c r="B79" s="842"/>
      <c r="C79" s="846">
        <v>0</v>
      </c>
      <c r="D79" s="850">
        <f t="shared" si="12"/>
        <v>2.752618049641322E-2</v>
      </c>
      <c r="E79" s="857">
        <f t="shared" si="23"/>
        <v>0</v>
      </c>
      <c r="F79" s="846">
        <v>0</v>
      </c>
      <c r="G79" s="850">
        <f t="shared" si="13"/>
        <v>7.7412293545606164E-2</v>
      </c>
      <c r="H79" s="845">
        <f t="shared" si="24"/>
        <v>0</v>
      </c>
      <c r="I79" s="846">
        <v>0</v>
      </c>
      <c r="J79" s="862">
        <v>0</v>
      </c>
      <c r="K79" s="845">
        <f t="shared" si="25"/>
        <v>0</v>
      </c>
      <c r="L79" s="846">
        <v>0</v>
      </c>
      <c r="M79" s="847">
        <f t="shared" si="26"/>
        <v>0</v>
      </c>
      <c r="N79" s="848">
        <f>+M79/M$82</f>
        <v>0</v>
      </c>
      <c r="O79" s="849"/>
      <c r="P79" s="847">
        <f t="shared" si="14"/>
        <v>0</v>
      </c>
      <c r="Q79" s="848">
        <f>+P79/P$82</f>
        <v>0</v>
      </c>
      <c r="R79" s="849"/>
      <c r="S79" s="865">
        <v>0</v>
      </c>
      <c r="T79" s="850">
        <f t="shared" si="15"/>
        <v>2.7291354907979699E-2</v>
      </c>
      <c r="U79" s="851">
        <f t="shared" si="27"/>
        <v>0</v>
      </c>
      <c r="V79" s="866">
        <v>0</v>
      </c>
      <c r="W79" s="850">
        <f t="shared" si="16"/>
        <v>7.6897767370534956E-2</v>
      </c>
      <c r="X79" s="845">
        <f t="shared" si="28"/>
        <v>0</v>
      </c>
      <c r="Y79" s="865">
        <v>0</v>
      </c>
      <c r="Z79" s="865">
        <v>0</v>
      </c>
      <c r="AA79" s="845">
        <f t="shared" si="29"/>
        <v>0</v>
      </c>
      <c r="AB79" s="852">
        <f t="shared" si="30"/>
        <v>0</v>
      </c>
      <c r="AC79" s="847">
        <f t="shared" si="31"/>
        <v>0</v>
      </c>
      <c r="AD79" s="849"/>
      <c r="AE79" s="847">
        <f t="shared" si="32"/>
        <v>0</v>
      </c>
      <c r="AF79" s="847">
        <f t="shared" si="10"/>
        <v>0</v>
      </c>
      <c r="AG79" s="847">
        <f t="shared" si="33"/>
        <v>0</v>
      </c>
      <c r="AI79" s="511"/>
    </row>
    <row r="80" spans="1:35">
      <c r="A80" s="841"/>
      <c r="B80" s="842"/>
      <c r="C80" s="846">
        <v>0</v>
      </c>
      <c r="D80" s="850">
        <f t="shared" si="12"/>
        <v>2.752618049641322E-2</v>
      </c>
      <c r="E80" s="857">
        <f t="shared" si="23"/>
        <v>0</v>
      </c>
      <c r="F80" s="846">
        <v>0</v>
      </c>
      <c r="G80" s="850">
        <f t="shared" si="13"/>
        <v>7.7412293545606164E-2</v>
      </c>
      <c r="H80" s="845">
        <f t="shared" si="24"/>
        <v>0</v>
      </c>
      <c r="I80" s="846">
        <v>0</v>
      </c>
      <c r="J80" s="862">
        <v>0</v>
      </c>
      <c r="K80" s="845">
        <f t="shared" si="25"/>
        <v>0</v>
      </c>
      <c r="L80" s="846">
        <v>0</v>
      </c>
      <c r="M80" s="847">
        <f t="shared" si="26"/>
        <v>0</v>
      </c>
      <c r="N80" s="848">
        <f>+M80/M$82</f>
        <v>0</v>
      </c>
      <c r="O80" s="849"/>
      <c r="P80" s="847">
        <f t="shared" si="14"/>
        <v>0</v>
      </c>
      <c r="Q80" s="848">
        <f>+P80/P$82</f>
        <v>0</v>
      </c>
      <c r="R80" s="849"/>
      <c r="S80" s="865">
        <v>0</v>
      </c>
      <c r="T80" s="850">
        <f t="shared" si="15"/>
        <v>2.7291354907979699E-2</v>
      </c>
      <c r="U80" s="851">
        <f t="shared" si="27"/>
        <v>0</v>
      </c>
      <c r="V80" s="866">
        <v>0</v>
      </c>
      <c r="W80" s="850">
        <f t="shared" si="16"/>
        <v>7.6897767370534956E-2</v>
      </c>
      <c r="X80" s="845">
        <f t="shared" si="28"/>
        <v>0</v>
      </c>
      <c r="Y80" s="865">
        <v>0</v>
      </c>
      <c r="Z80" s="865">
        <v>0</v>
      </c>
      <c r="AA80" s="845">
        <f t="shared" si="29"/>
        <v>0</v>
      </c>
      <c r="AB80" s="852">
        <f t="shared" si="30"/>
        <v>0</v>
      </c>
      <c r="AC80" s="847">
        <f t="shared" si="31"/>
        <v>0</v>
      </c>
      <c r="AD80" s="849"/>
      <c r="AE80" s="847">
        <f t="shared" si="32"/>
        <v>0</v>
      </c>
      <c r="AF80" s="847">
        <f t="shared" si="10"/>
        <v>0</v>
      </c>
      <c r="AG80" s="847">
        <f t="shared" si="33"/>
        <v>0</v>
      </c>
      <c r="AI80" s="511"/>
    </row>
    <row r="81" spans="1:35">
      <c r="A81" s="843"/>
      <c r="B81" s="844"/>
      <c r="C81" s="855"/>
      <c r="D81" s="855"/>
      <c r="E81" s="856"/>
      <c r="F81" s="855"/>
      <c r="G81" s="855"/>
      <c r="H81" s="853"/>
      <c r="I81" s="855"/>
      <c r="J81" s="853"/>
      <c r="K81" s="853"/>
      <c r="L81" s="853"/>
      <c r="M81" s="853"/>
      <c r="N81" s="853"/>
      <c r="O81" s="849"/>
      <c r="P81" s="853"/>
      <c r="Q81" s="853"/>
      <c r="R81" s="849"/>
      <c r="S81" s="854"/>
      <c r="T81" s="855"/>
      <c r="U81" s="856"/>
      <c r="V81" s="855"/>
      <c r="W81" s="855"/>
      <c r="X81" s="853"/>
      <c r="Y81" s="855"/>
      <c r="Z81" s="853"/>
      <c r="AA81" s="853"/>
      <c r="AB81" s="855"/>
      <c r="AC81" s="853"/>
      <c r="AD81" s="849"/>
      <c r="AE81" s="853"/>
      <c r="AF81" s="853"/>
      <c r="AG81" s="853"/>
      <c r="AI81" s="511"/>
    </row>
    <row r="82" spans="1:35">
      <c r="A82" s="540"/>
      <c r="B82" s="540" t="s">
        <v>513</v>
      </c>
      <c r="C82" s="564"/>
      <c r="D82" s="564"/>
      <c r="E82" s="541"/>
      <c r="F82" s="505"/>
      <c r="G82" s="505"/>
      <c r="H82" s="505"/>
      <c r="I82" s="505"/>
      <c r="J82" s="505"/>
      <c r="K82" s="500">
        <f>SUM(K47:K81)</f>
        <v>100566445.64564514</v>
      </c>
      <c r="L82" s="500">
        <f>SUM(L47:L81)</f>
        <v>-9540238.606121907</v>
      </c>
      <c r="M82" s="500">
        <f>SUM(M47:M81)</f>
        <v>91026207.039523229</v>
      </c>
      <c r="N82" s="200">
        <f>SUM(N47:N81)</f>
        <v>1</v>
      </c>
      <c r="O82" s="563"/>
      <c r="P82" s="500">
        <f>SUM(P47:P81)</f>
        <v>88537496.993878096</v>
      </c>
      <c r="Q82" s="200">
        <f>SUM(Q47:Q81)</f>
        <v>0.99999999999999978</v>
      </c>
      <c r="R82" s="563"/>
      <c r="S82" s="564"/>
      <c r="T82" s="564"/>
      <c r="U82" s="541"/>
      <c r="V82" s="505"/>
      <c r="W82" s="505"/>
      <c r="X82" s="505"/>
      <c r="Y82" s="505"/>
      <c r="Z82" s="505"/>
      <c r="AA82" s="500">
        <f>SUM(AA47:AA81)</f>
        <v>99099475.782833725</v>
      </c>
      <c r="AB82" s="500">
        <f>SUM(AB47:AB81)</f>
        <v>-9540238.606121907</v>
      </c>
      <c r="AC82" s="500">
        <f>SUM(AC47:AC81)</f>
        <v>89559237.176711828</v>
      </c>
      <c r="AD82" s="563"/>
      <c r="AE82" s="500">
        <f>SUM(AE47:AE81)</f>
        <v>1021740.1828337335</v>
      </c>
      <c r="AF82" s="500">
        <f>SUM(AF47:AF81)</f>
        <v>16290.252652083635</v>
      </c>
      <c r="AG82" s="500">
        <f>SUM(AG47:AG81)</f>
        <v>1038030.4354858167</v>
      </c>
      <c r="AI82" s="626"/>
    </row>
    <row r="83" spans="1:35">
      <c r="A83" s="563"/>
      <c r="B83" s="563"/>
      <c r="C83" s="563"/>
      <c r="D83" s="563"/>
      <c r="E83" s="566"/>
      <c r="F83" s="563"/>
      <c r="G83" s="563"/>
      <c r="H83" s="563"/>
      <c r="I83" s="563"/>
      <c r="J83" s="563"/>
      <c r="K83" s="563"/>
      <c r="L83" s="567"/>
      <c r="M83" s="563"/>
      <c r="N83" s="563"/>
      <c r="O83" s="563"/>
      <c r="P83" s="563"/>
      <c r="Q83" s="563"/>
      <c r="R83" s="563"/>
      <c r="S83" s="563"/>
      <c r="T83" s="563"/>
      <c r="U83" s="566"/>
      <c r="V83" s="563"/>
      <c r="W83" s="563"/>
      <c r="X83" s="563"/>
      <c r="Y83" s="563"/>
      <c r="Z83" s="563"/>
      <c r="AA83" s="563"/>
      <c r="AB83" s="567"/>
      <c r="AC83" s="563"/>
      <c r="AD83" s="563"/>
      <c r="AE83" s="563"/>
      <c r="AF83" s="563"/>
      <c r="AG83" s="563"/>
      <c r="AI83" s="511"/>
    </row>
    <row r="84" spans="1:35" ht="15.75">
      <c r="A84" s="572" t="s">
        <v>426</v>
      </c>
      <c r="B84" s="504"/>
      <c r="C84" s="563"/>
      <c r="D84" s="563"/>
      <c r="E84" s="566"/>
      <c r="F84" s="563"/>
      <c r="G84" s="563"/>
      <c r="H84" s="563"/>
      <c r="I84" s="563"/>
      <c r="J84" s="563"/>
      <c r="K84" s="573"/>
      <c r="L84" s="567"/>
      <c r="M84" s="563"/>
      <c r="N84" s="563"/>
      <c r="O84" s="563"/>
      <c r="P84" s="563"/>
      <c r="Q84" s="563"/>
      <c r="R84" s="563"/>
      <c r="S84" s="563"/>
      <c r="T84" s="563"/>
      <c r="U84" s="566"/>
      <c r="V84" s="563"/>
      <c r="W84" s="563"/>
      <c r="X84" s="563"/>
      <c r="Y84" s="563"/>
      <c r="Z84" s="563"/>
      <c r="AA84" s="573"/>
      <c r="AB84" s="567"/>
      <c r="AC84" s="563"/>
      <c r="AD84" s="563"/>
      <c r="AE84" s="659"/>
      <c r="AF84" s="659"/>
      <c r="AG84" s="659"/>
      <c r="AI84" s="511"/>
    </row>
    <row r="85" spans="1:35" ht="15.75">
      <c r="A85" s="574" t="s">
        <v>856</v>
      </c>
      <c r="B85" s="563"/>
      <c r="C85" s="563"/>
      <c r="D85" s="563"/>
      <c r="E85" s="566"/>
      <c r="F85" s="563"/>
      <c r="G85" s="563"/>
      <c r="H85" s="563"/>
      <c r="I85" s="563"/>
      <c r="J85" s="563"/>
      <c r="K85" s="563"/>
      <c r="L85" s="567"/>
      <c r="M85" s="563"/>
      <c r="N85" s="563"/>
      <c r="O85" s="563"/>
      <c r="P85" s="563"/>
      <c r="Q85" s="563"/>
      <c r="R85" s="563"/>
      <c r="S85" s="563"/>
      <c r="T85" s="563"/>
      <c r="U85" s="566"/>
      <c r="V85" s="563"/>
      <c r="W85" s="563"/>
      <c r="X85" s="563"/>
      <c r="Y85" s="563"/>
      <c r="Z85" s="563"/>
      <c r="AA85" s="563"/>
      <c r="AB85" s="567"/>
      <c r="AC85" s="563"/>
      <c r="AD85" s="563"/>
      <c r="AE85" s="563"/>
      <c r="AF85" s="563"/>
      <c r="AG85" s="563"/>
      <c r="AI85" s="563"/>
    </row>
    <row r="86" spans="1:35" ht="15.75">
      <c r="A86" s="574" t="s">
        <v>857</v>
      </c>
      <c r="B86" s="563"/>
      <c r="C86" s="563"/>
      <c r="D86" s="563"/>
      <c r="E86" s="566"/>
      <c r="F86" s="563"/>
      <c r="G86" s="563"/>
      <c r="H86" s="563"/>
      <c r="I86" s="563"/>
      <c r="J86" s="563"/>
      <c r="K86" s="563"/>
      <c r="L86" s="567"/>
      <c r="M86" s="563"/>
      <c r="N86" s="563"/>
      <c r="O86" s="563"/>
      <c r="P86" s="563"/>
      <c r="Q86" s="563"/>
      <c r="R86" s="563"/>
      <c r="S86" s="563"/>
      <c r="T86" s="563"/>
      <c r="U86" s="566"/>
      <c r="V86" s="563"/>
      <c r="W86" s="563"/>
      <c r="X86" s="563"/>
      <c r="Y86" s="563"/>
      <c r="Z86" s="563"/>
      <c r="AA86" s="563"/>
      <c r="AB86" s="567"/>
      <c r="AC86" s="563"/>
      <c r="AD86" s="563"/>
      <c r="AE86" s="563"/>
      <c r="AF86" s="563"/>
      <c r="AG86" s="563"/>
      <c r="AI86" s="563"/>
    </row>
    <row r="87" spans="1:35" ht="15.75">
      <c r="A87" s="574" t="s">
        <v>858</v>
      </c>
      <c r="B87" s="563"/>
      <c r="C87" s="563"/>
      <c r="D87" s="563"/>
      <c r="E87" s="566"/>
      <c r="F87" s="563"/>
      <c r="G87" s="563"/>
      <c r="H87" s="563"/>
      <c r="I87" s="563"/>
      <c r="J87" s="563"/>
      <c r="K87" s="563"/>
      <c r="L87" s="563"/>
      <c r="M87" s="563"/>
      <c r="N87" s="563"/>
      <c r="O87" s="563"/>
      <c r="P87" s="563"/>
      <c r="Q87" s="563"/>
      <c r="R87" s="563"/>
      <c r="S87" s="563"/>
      <c r="T87" s="563"/>
      <c r="U87" s="566"/>
      <c r="V87" s="563"/>
      <c r="W87" s="563"/>
      <c r="X87" s="563"/>
      <c r="Y87" s="563"/>
      <c r="Z87" s="563"/>
      <c r="AA87" s="563"/>
      <c r="AB87" s="563"/>
      <c r="AC87" s="563"/>
      <c r="AD87" s="563"/>
      <c r="AE87" s="563"/>
      <c r="AF87" s="563"/>
      <c r="AG87" s="563"/>
      <c r="AI87" s="563"/>
    </row>
    <row r="88" spans="1:35" ht="15.75">
      <c r="A88" s="574" t="s">
        <v>859</v>
      </c>
      <c r="B88" s="563"/>
      <c r="C88" s="563"/>
      <c r="D88" s="563"/>
      <c r="E88" s="566"/>
      <c r="F88" s="563"/>
      <c r="G88" s="563"/>
      <c r="H88" s="563"/>
      <c r="I88" s="563"/>
      <c r="J88" s="563"/>
      <c r="K88" s="563"/>
      <c r="L88" s="563"/>
      <c r="M88" s="563"/>
      <c r="N88" s="563"/>
      <c r="O88" s="563"/>
      <c r="P88" s="563"/>
      <c r="Q88" s="563"/>
      <c r="R88" s="563"/>
      <c r="S88" s="563"/>
      <c r="T88" s="563"/>
      <c r="U88" s="566"/>
      <c r="V88" s="563"/>
      <c r="W88" s="563"/>
      <c r="X88" s="563"/>
      <c r="Y88" s="563"/>
      <c r="Z88" s="563"/>
      <c r="AA88" s="563"/>
      <c r="AB88" s="563"/>
      <c r="AC88" s="563"/>
      <c r="AD88" s="563"/>
      <c r="AE88" s="563"/>
      <c r="AF88" s="563"/>
      <c r="AG88" s="563"/>
      <c r="AI88" s="563"/>
    </row>
    <row r="89" spans="1:35" ht="15.75">
      <c r="A89" s="574" t="s">
        <v>860</v>
      </c>
      <c r="B89" s="575"/>
      <c r="C89" s="575"/>
      <c r="D89" s="575"/>
      <c r="E89" s="575"/>
      <c r="F89" s="575"/>
      <c r="G89" s="575"/>
      <c r="H89" s="575"/>
      <c r="I89" s="575"/>
      <c r="J89" s="575"/>
      <c r="K89" s="575"/>
      <c r="L89" s="575"/>
      <c r="M89" s="575"/>
      <c r="N89" s="563"/>
      <c r="O89" s="563"/>
      <c r="P89" s="563"/>
      <c r="Q89" s="563"/>
      <c r="R89" s="563"/>
      <c r="S89" s="563"/>
      <c r="U89" s="490"/>
      <c r="AD89" s="563"/>
      <c r="AE89" s="563"/>
      <c r="AF89" s="563"/>
      <c r="AG89" s="563"/>
      <c r="AI89" s="563"/>
    </row>
    <row r="90" spans="1:35" ht="15.75">
      <c r="A90" s="576" t="s">
        <v>815</v>
      </c>
      <c r="B90" s="575"/>
      <c r="C90" s="575"/>
      <c r="D90" s="575"/>
      <c r="E90" s="575"/>
      <c r="F90" s="575"/>
      <c r="G90" s="575"/>
      <c r="H90" s="575"/>
      <c r="I90" s="575"/>
      <c r="J90" s="575"/>
      <c r="K90" s="575"/>
      <c r="L90" s="575"/>
      <c r="M90" s="575"/>
      <c r="N90" s="563"/>
      <c r="O90" s="563"/>
      <c r="P90" s="563"/>
      <c r="Q90" s="563"/>
      <c r="R90" s="563"/>
      <c r="S90" s="563"/>
      <c r="U90" s="490"/>
      <c r="AD90" s="563"/>
      <c r="AE90" s="563"/>
      <c r="AF90" s="563"/>
      <c r="AG90" s="563"/>
      <c r="AI90" s="563"/>
    </row>
    <row r="91" spans="1:35" ht="15.75" thickBot="1">
      <c r="A91" s="565"/>
      <c r="B91" s="565"/>
      <c r="C91" s="565"/>
      <c r="D91" s="565"/>
      <c r="E91" s="577"/>
      <c r="F91" s="565"/>
      <c r="G91" s="565"/>
      <c r="H91" s="565"/>
      <c r="I91" s="565"/>
      <c r="J91" s="565"/>
      <c r="K91" s="565"/>
      <c r="L91" s="565"/>
      <c r="M91" s="565"/>
      <c r="N91" s="565"/>
      <c r="O91" s="565"/>
      <c r="P91" s="565"/>
      <c r="Q91" s="565"/>
      <c r="R91" s="565"/>
      <c r="S91" s="565"/>
      <c r="T91" s="565"/>
      <c r="U91" s="577"/>
      <c r="V91" s="565"/>
      <c r="W91" s="565"/>
      <c r="X91" s="565"/>
      <c r="Y91" s="565"/>
      <c r="Z91" s="565"/>
      <c r="AA91" s="565"/>
      <c r="AB91" s="565"/>
      <c r="AC91" s="565"/>
      <c r="AD91" s="565"/>
      <c r="AE91" s="565"/>
      <c r="AF91" s="565"/>
      <c r="AG91" s="565"/>
      <c r="AH91" s="503"/>
      <c r="AI91" s="563"/>
    </row>
    <row r="96" spans="1:35">
      <c r="B96" s="671"/>
      <c r="C96" s="671"/>
    </row>
    <row r="97" spans="2:3">
      <c r="B97" s="670"/>
      <c r="C97" s="670"/>
    </row>
    <row r="98" spans="2:3">
      <c r="B98" s="670"/>
      <c r="C98" s="670"/>
    </row>
    <row r="99" spans="2:3">
      <c r="B99" s="670"/>
      <c r="C99" s="670"/>
    </row>
    <row r="100" spans="2:3">
      <c r="B100" s="670"/>
      <c r="C100" s="670"/>
    </row>
    <row r="101" spans="2:3">
      <c r="B101" s="670"/>
      <c r="C101" s="670"/>
    </row>
    <row r="102" spans="2:3">
      <c r="B102" s="670"/>
      <c r="C102" s="670"/>
    </row>
    <row r="103" spans="2:3">
      <c r="B103" s="670"/>
      <c r="C103" s="670"/>
    </row>
    <row r="104" spans="2:3">
      <c r="B104" s="670"/>
      <c r="C104" s="670"/>
    </row>
    <row r="105" spans="2:3">
      <c r="B105" s="670"/>
      <c r="C105" s="670"/>
    </row>
    <row r="106" spans="2:3">
      <c r="B106" s="670"/>
      <c r="C106" s="670"/>
    </row>
    <row r="107" spans="2:3">
      <c r="B107" s="670"/>
      <c r="C107" s="670"/>
    </row>
    <row r="108" spans="2:3">
      <c r="B108" s="670"/>
      <c r="C108" s="670"/>
    </row>
    <row r="109" spans="2:3">
      <c r="B109" s="670"/>
      <c r="C109" s="670"/>
    </row>
    <row r="110" spans="2:3">
      <c r="B110" s="670"/>
      <c r="C110" s="670"/>
    </row>
    <row r="111" spans="2:3">
      <c r="B111" s="670"/>
      <c r="C111" s="670"/>
    </row>
    <row r="112" spans="2:3">
      <c r="B112" s="670"/>
      <c r="C112" s="670"/>
    </row>
    <row r="113" spans="2:3">
      <c r="B113" s="670"/>
      <c r="C113" s="670"/>
    </row>
    <row r="114" spans="2:3">
      <c r="B114" s="670"/>
      <c r="C114" s="670"/>
    </row>
    <row r="115" spans="2:3">
      <c r="B115" s="670"/>
      <c r="C115" s="670"/>
    </row>
    <row r="116" spans="2:3">
      <c r="B116" s="670"/>
      <c r="C116" s="670"/>
    </row>
    <row r="117" spans="2:3">
      <c r="B117" s="670"/>
      <c r="C117" s="670"/>
    </row>
    <row r="118" spans="2:3">
      <c r="B118" s="670"/>
      <c r="C118" s="670"/>
    </row>
    <row r="119" spans="2:3">
      <c r="B119" s="670"/>
      <c r="C119" s="670"/>
    </row>
    <row r="120" spans="2:3">
      <c r="C120" s="670"/>
    </row>
  </sheetData>
  <mergeCells count="4">
    <mergeCell ref="C40:N40"/>
    <mergeCell ref="P40:Q40"/>
    <mergeCell ref="S40:AC40"/>
    <mergeCell ref="AE40:AG40"/>
  </mergeCells>
  <pageMargins left="0.25" right="0.25" top="0.75" bottom="0.75" header="0.3" footer="0.3"/>
  <pageSetup scale="41" orientation="landscape" r:id="rId1"/>
  <colBreaks count="1" manualBreakCount="1">
    <brk id="33"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E45"/>
  <sheetViews>
    <sheetView zoomScaleNormal="100" zoomScaleSheetLayoutView="100" workbookViewId="0">
      <pane xSplit="1" ySplit="2" topLeftCell="B3" activePane="bottomRight" state="frozen"/>
      <selection activeCell="C6" sqref="C6"/>
      <selection pane="topRight" activeCell="C6" sqref="C6"/>
      <selection pane="bottomLeft" activeCell="C6" sqref="C6"/>
      <selection pane="bottomRight" activeCell="E37" sqref="E37"/>
    </sheetView>
  </sheetViews>
  <sheetFormatPr defaultRowHeight="15" outlineLevelRow="1"/>
  <cols>
    <col min="1" max="1" width="9.140625" style="632"/>
    <col min="2" max="2" width="34.140625" style="634" customWidth="1"/>
    <col min="3" max="5" width="15.5703125" style="634" customWidth="1"/>
    <col min="6" max="16384" width="9.140625" style="634"/>
  </cols>
  <sheetData>
    <row r="1" spans="1:5">
      <c r="A1" s="631"/>
    </row>
    <row r="2" spans="1:5">
      <c r="B2" s="633" t="s">
        <v>991</v>
      </c>
      <c r="C2" s="630"/>
      <c r="D2" s="630"/>
      <c r="E2" s="632"/>
    </row>
    <row r="3" spans="1:5">
      <c r="B3" s="625" t="s">
        <v>992</v>
      </c>
      <c r="C3" s="630"/>
      <c r="D3" s="630"/>
      <c r="E3" s="632"/>
    </row>
    <row r="4" spans="1:5">
      <c r="B4" s="630" t="s">
        <v>887</v>
      </c>
      <c r="C4" s="630"/>
      <c r="D4" s="630"/>
      <c r="E4" s="632"/>
    </row>
    <row r="5" spans="1:5" ht="30">
      <c r="B5" s="635" t="str">
        <f>IF($E$32&lt;0,"Applicable Annual Quarter","Month")</f>
        <v>Month</v>
      </c>
      <c r="C5" s="635" t="str">
        <f>IF($E$32&lt;0,"","Debt Amount")</f>
        <v>Debt Amount</v>
      </c>
      <c r="D5" s="635" t="str">
        <f>IF($E$32&lt;0,"Annual Rate","Monthly Effective Rate")</f>
        <v>Monthly Effective Rate</v>
      </c>
      <c r="E5" s="635" t="str">
        <f>IF($E$32&lt;0,"Monthly Rate","Weighted Effective Rate")</f>
        <v>Weighted Effective Rate</v>
      </c>
    </row>
    <row r="6" spans="1:5">
      <c r="B6" s="632"/>
      <c r="C6" s="632"/>
      <c r="D6" s="636"/>
      <c r="E6" s="632"/>
    </row>
    <row r="7" spans="1:5">
      <c r="B7" s="637" t="s">
        <v>993</v>
      </c>
      <c r="C7" s="638">
        <v>249051290.30000001</v>
      </c>
      <c r="D7" s="639">
        <v>1.87108E-2</v>
      </c>
      <c r="E7" s="640">
        <f t="shared" ref="E7:E13" si="0">IF($E$32&lt;0,ROUND(D7/12,4),$C7/SUM($C$7:$C$27)*$D7)</f>
        <v>1.0302148804171602E-3</v>
      </c>
    </row>
    <row r="8" spans="1:5">
      <c r="B8" s="637" t="s">
        <v>994</v>
      </c>
      <c r="C8" s="638">
        <v>307202586.19999999</v>
      </c>
      <c r="D8" s="639">
        <v>1.8594792999999998E-2</v>
      </c>
      <c r="E8" s="640">
        <f t="shared" si="0"/>
        <v>1.2628823145693095E-3</v>
      </c>
    </row>
    <row r="9" spans="1:5">
      <c r="B9" s="637" t="s">
        <v>995</v>
      </c>
      <c r="C9" s="638">
        <v>306479677.39999998</v>
      </c>
      <c r="D9" s="639">
        <v>1.6799768999999999E-2</v>
      </c>
      <c r="E9" s="640">
        <f t="shared" si="0"/>
        <v>1.1382866903444514E-3</v>
      </c>
    </row>
    <row r="10" spans="1:5">
      <c r="B10" s="637" t="s">
        <v>996</v>
      </c>
      <c r="C10" s="638">
        <v>293779033.30000001</v>
      </c>
      <c r="D10" s="639">
        <v>1.1235906E-2</v>
      </c>
      <c r="E10" s="640">
        <f t="shared" si="0"/>
        <v>7.2975244789744468E-4</v>
      </c>
    </row>
    <row r="11" spans="1:5">
      <c r="B11" s="637" t="s">
        <v>997</v>
      </c>
      <c r="C11" s="638">
        <v>255307645.19999999</v>
      </c>
      <c r="D11" s="639">
        <v>8.8809379999999997E-3</v>
      </c>
      <c r="E11" s="640">
        <f t="shared" si="0"/>
        <v>5.0126724167308238E-4</v>
      </c>
    </row>
    <row r="12" spans="1:5">
      <c r="B12" s="637" t="s">
        <v>998</v>
      </c>
      <c r="C12" s="638">
        <v>272235133.30000001</v>
      </c>
      <c r="D12" s="639">
        <v>7.1941829999999998E-3</v>
      </c>
      <c r="E12" s="640">
        <f t="shared" si="0"/>
        <v>4.3298446939985273E-4</v>
      </c>
    </row>
    <row r="13" spans="1:5">
      <c r="B13" s="637" t="s">
        <v>999</v>
      </c>
      <c r="C13" s="638">
        <v>187256451.59999999</v>
      </c>
      <c r="D13" s="639">
        <v>6.3545140000000003E-3</v>
      </c>
      <c r="E13" s="640">
        <f t="shared" si="0"/>
        <v>2.6306665111351516E-4</v>
      </c>
    </row>
    <row r="14" spans="1:5" outlineLevel="1">
      <c r="B14" s="637" t="s">
        <v>1000</v>
      </c>
      <c r="C14" s="638">
        <v>215172032.30000001</v>
      </c>
      <c r="D14" s="639">
        <v>5.526769E-3</v>
      </c>
      <c r="E14" s="640">
        <f t="shared" ref="E14:E27" si="1">IF($E$32&lt;0,"",$C14/SUM($C$7:$C$27)*$D14)</f>
        <v>2.62907999487246E-4</v>
      </c>
    </row>
    <row r="15" spans="1:5" outlineLevel="1">
      <c r="B15" s="637" t="s">
        <v>1001</v>
      </c>
      <c r="C15" s="638">
        <v>203150266.69999999</v>
      </c>
      <c r="D15" s="639">
        <v>5.036942E-3</v>
      </c>
      <c r="E15" s="640">
        <f t="shared" si="1"/>
        <v>2.2622000761007036E-4</v>
      </c>
    </row>
    <row r="16" spans="1:5" s="632" customFormat="1" outlineLevel="1">
      <c r="B16" s="637" t="s">
        <v>1002</v>
      </c>
      <c r="C16" s="638">
        <v>190053419.40000001</v>
      </c>
      <c r="D16" s="639">
        <v>4.7299860000000003E-3</v>
      </c>
      <c r="E16" s="640">
        <f t="shared" si="1"/>
        <v>1.9873859209642607E-4</v>
      </c>
    </row>
    <row r="17" spans="2:5" s="632" customFormat="1" outlineLevel="1">
      <c r="B17" s="637" t="s">
        <v>1003</v>
      </c>
      <c r="C17" s="638">
        <v>226022633.30000001</v>
      </c>
      <c r="D17" s="639">
        <v>4.7293279999999997E-3</v>
      </c>
      <c r="E17" s="640">
        <f t="shared" si="1"/>
        <v>2.3631866879659819E-4</v>
      </c>
    </row>
    <row r="18" spans="2:5" s="632" customFormat="1" outlineLevel="1">
      <c r="B18" s="637" t="s">
        <v>1004</v>
      </c>
      <c r="C18" s="638">
        <v>169022806.5</v>
      </c>
      <c r="D18" s="639">
        <v>4.878828E-3</v>
      </c>
      <c r="E18" s="640">
        <f t="shared" si="1"/>
        <v>1.8230873684664092E-4</v>
      </c>
    </row>
    <row r="19" spans="2:5" s="632" customFormat="1" outlineLevel="1">
      <c r="B19" s="637" t="s">
        <v>1005</v>
      </c>
      <c r="C19" s="638">
        <v>156011741.90000001</v>
      </c>
      <c r="D19" s="639">
        <v>4.592011E-3</v>
      </c>
      <c r="E19" s="640">
        <f t="shared" si="1"/>
        <v>1.5838238241581523E-4</v>
      </c>
    </row>
    <row r="20" spans="2:5" s="632" customFormat="1" outlineLevel="1">
      <c r="B20" s="637" t="s">
        <v>1006</v>
      </c>
      <c r="C20" s="638">
        <v>188358535.69999999</v>
      </c>
      <c r="D20" s="639">
        <v>4.5597270000000004E-3</v>
      </c>
      <c r="E20" s="640">
        <f t="shared" si="1"/>
        <v>1.8987632293579696E-4</v>
      </c>
    </row>
    <row r="21" spans="2:5" s="632" customFormat="1" outlineLevel="1">
      <c r="B21" s="637" t="s">
        <v>1007</v>
      </c>
      <c r="C21" s="638">
        <v>178394161.30000001</v>
      </c>
      <c r="D21" s="639">
        <v>4.4870989999999996E-3</v>
      </c>
      <c r="E21" s="640">
        <f t="shared" si="1"/>
        <v>1.7696727094174624E-4</v>
      </c>
    </row>
    <row r="22" spans="2:5" s="632" customFormat="1" outlineLevel="1">
      <c r="B22" s="637" t="s">
        <v>1008</v>
      </c>
      <c r="C22" s="638">
        <v>163983600</v>
      </c>
      <c r="D22" s="639">
        <v>4.150015E-3</v>
      </c>
      <c r="E22" s="640">
        <f t="shared" si="1"/>
        <v>1.5045157853306657E-4</v>
      </c>
    </row>
    <row r="23" spans="2:5" s="632" customFormat="1" outlineLevel="1">
      <c r="B23" s="637" t="s">
        <v>1009</v>
      </c>
      <c r="C23" s="638">
        <v>205070741.90000001</v>
      </c>
      <c r="D23" s="639">
        <v>3.9982350000000002E-3</v>
      </c>
      <c r="E23" s="640">
        <f t="shared" si="1"/>
        <v>1.8126697406640341E-4</v>
      </c>
    </row>
    <row r="24" spans="2:5" s="632" customFormat="1" outlineLevel="1">
      <c r="B24" s="637" t="s">
        <v>1010</v>
      </c>
      <c r="C24" s="638">
        <v>179746466.69999999</v>
      </c>
      <c r="D24" s="639">
        <v>3.5945780000000002E-3</v>
      </c>
      <c r="E24" s="640">
        <f t="shared" si="1"/>
        <v>1.4284167688609903E-4</v>
      </c>
    </row>
    <row r="25" spans="2:5" s="632" customFormat="1" outlineLevel="1">
      <c r="B25" s="637" t="s">
        <v>1011</v>
      </c>
      <c r="C25" s="638">
        <v>162573870.96774188</v>
      </c>
      <c r="D25" s="639">
        <v>3.5287710400631798E-3</v>
      </c>
      <c r="E25" s="640">
        <f t="shared" si="1"/>
        <v>1.2682967894090915E-4</v>
      </c>
    </row>
    <row r="26" spans="2:5" s="632" customFormat="1" outlineLevel="1">
      <c r="B26" s="637" t="s">
        <v>1012</v>
      </c>
      <c r="C26" s="638">
        <v>203740967.74193537</v>
      </c>
      <c r="D26" s="639">
        <v>3.5593733029130959E-3</v>
      </c>
      <c r="E26" s="640">
        <f t="shared" si="1"/>
        <v>1.6032401086883772E-4</v>
      </c>
    </row>
    <row r="27" spans="2:5" s="632" customFormat="1">
      <c r="B27" s="637" t="s">
        <v>1013</v>
      </c>
      <c r="C27" s="638">
        <v>210665500</v>
      </c>
      <c r="D27" s="639">
        <v>3.5400000000000002E-3</v>
      </c>
      <c r="E27" s="640">
        <f t="shared" si="1"/>
        <v>1.6487064854085051E-4</v>
      </c>
    </row>
    <row r="28" spans="2:5" s="632" customFormat="1">
      <c r="B28" s="637"/>
      <c r="C28" s="638"/>
      <c r="D28" s="641"/>
    </row>
    <row r="29" spans="2:5" s="632" customFormat="1">
      <c r="B29" s="629"/>
      <c r="C29" s="642" t="str">
        <f>IF($E$32&lt;0,"Average FERC Rate","Average ST Debt Rate")</f>
        <v>Average ST Debt Rate</v>
      </c>
      <c r="D29" s="643"/>
      <c r="E29" s="649">
        <f>IF(E32&lt;0,AVERAGE(E7:E28)*12,SUM(E7:E28))</f>
        <v>7.9167592443813231E-3</v>
      </c>
    </row>
    <row r="30" spans="2:5" s="632" customFormat="1">
      <c r="B30" s="629"/>
      <c r="C30" s="642"/>
      <c r="D30" s="643"/>
      <c r="E30" s="643"/>
    </row>
    <row r="31" spans="2:5" s="632" customFormat="1">
      <c r="B31" s="629"/>
      <c r="C31" s="642"/>
      <c r="D31" s="643"/>
      <c r="E31" s="643"/>
    </row>
    <row r="32" spans="2:5" s="632" customFormat="1">
      <c r="D32" s="642" t="str">
        <f>IF(E32&lt;0,"Over Collected Amount","Under Collected Amount")</f>
        <v>Under Collected Amount</v>
      </c>
      <c r="E32" s="644">
        <f>'GG True-up Template'!AE82</f>
        <v>1021740.1828337335</v>
      </c>
    </row>
    <row r="33" spans="4:5" s="632" customFormat="1">
      <c r="D33" s="642"/>
      <c r="E33" s="644"/>
    </row>
    <row r="34" spans="4:5" s="632" customFormat="1">
      <c r="D34" s="642" t="s">
        <v>886</v>
      </c>
      <c r="E34" s="632">
        <v>2</v>
      </c>
    </row>
    <row r="35" spans="4:5" s="632" customFormat="1">
      <c r="D35" s="642" t="s">
        <v>885</v>
      </c>
      <c r="E35" s="645">
        <f>IF(E32&lt;0,-FV(E29/4,E34*4,0,E32)-E32,FV(E29/4,E34*4,0,-E32)-E32)</f>
        <v>16290.25265208364</v>
      </c>
    </row>
    <row r="36" spans="4:5" s="632" customFormat="1"/>
    <row r="37" spans="4:5" s="632" customFormat="1" ht="15.75" thickBot="1">
      <c r="E37" s="647">
        <f>E32+E35</f>
        <v>1038030.4354858171</v>
      </c>
    </row>
    <row r="38" spans="4:5" s="632" customFormat="1" ht="15.75" thickTop="1"/>
    <row r="39" spans="4:5" s="632" customFormat="1"/>
    <row r="40" spans="4:5" s="632" customFormat="1"/>
    <row r="41" spans="4:5" s="632" customFormat="1"/>
    <row r="42" spans="4:5" s="632" customFormat="1"/>
    <row r="43" spans="4:5" s="632" customFormat="1"/>
    <row r="44" spans="4:5" s="632" customFormat="1"/>
    <row r="45" spans="4:5" s="632" customFormat="1"/>
  </sheetData>
  <pageMargins left="0.7" right="0.7" top="0.75" bottom="0.75" header="0.3" footer="0.3"/>
  <pageSetup orientation="portrait" verticalDpi="597"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6">
    <pageSetUpPr fitToPage="1"/>
  </sheetPr>
  <dimension ref="A1:D34"/>
  <sheetViews>
    <sheetView showGridLines="0" zoomScaleNormal="100" zoomScaleSheetLayoutView="90" workbookViewId="0">
      <pane ySplit="3" topLeftCell="A4" activePane="bottomLeft" state="frozen"/>
      <selection activeCell="I37" sqref="I37"/>
      <selection pane="bottomLeft" activeCell="D46" sqref="D46"/>
    </sheetView>
  </sheetViews>
  <sheetFormatPr defaultRowHeight="12.75"/>
  <cols>
    <col min="1" max="1" width="12.28515625" style="225" customWidth="1"/>
    <col min="2" max="2" width="20" style="225" bestFit="1" customWidth="1"/>
    <col min="3" max="3" width="39" style="225" customWidth="1"/>
    <col min="4" max="4" width="123.5703125" style="225" customWidth="1"/>
    <col min="5" max="16384" width="9.140625" style="225"/>
  </cols>
  <sheetData>
    <row r="1" spans="1:4">
      <c r="A1" s="301" t="s">
        <v>653</v>
      </c>
    </row>
    <row r="3" spans="1:4" ht="25.5">
      <c r="A3" s="299" t="s">
        <v>625</v>
      </c>
      <c r="B3" s="300" t="s">
        <v>652</v>
      </c>
      <c r="C3" s="300" t="s">
        <v>651</v>
      </c>
      <c r="D3" s="299" t="s">
        <v>650</v>
      </c>
    </row>
    <row r="4" spans="1:4" ht="25.5">
      <c r="A4" s="295">
        <v>345</v>
      </c>
      <c r="B4" s="296">
        <v>39896</v>
      </c>
      <c r="C4" s="297" t="s">
        <v>649</v>
      </c>
      <c r="D4" s="298" t="s">
        <v>648</v>
      </c>
    </row>
    <row r="5" spans="1:4">
      <c r="A5" s="295">
        <v>1453</v>
      </c>
      <c r="B5" s="296">
        <v>39023</v>
      </c>
      <c r="C5" s="297" t="s">
        <v>647</v>
      </c>
      <c r="D5" s="298" t="s">
        <v>646</v>
      </c>
    </row>
    <row r="6" spans="1:4" ht="38.25">
      <c r="A6" s="295">
        <v>352</v>
      </c>
      <c r="B6" s="296">
        <v>39896</v>
      </c>
      <c r="C6" s="297" t="s">
        <v>898</v>
      </c>
      <c r="D6" s="298" t="s">
        <v>645</v>
      </c>
    </row>
    <row r="7" spans="1:4" ht="38.25">
      <c r="A7" s="295">
        <v>356</v>
      </c>
      <c r="B7" s="296">
        <v>41368</v>
      </c>
      <c r="C7" s="297" t="s">
        <v>644</v>
      </c>
      <c r="D7" s="298" t="s">
        <v>643</v>
      </c>
    </row>
    <row r="8" spans="1:4">
      <c r="A8" s="295">
        <v>1616</v>
      </c>
      <c r="B8" s="296">
        <v>39294</v>
      </c>
      <c r="C8" s="297" t="s">
        <v>642</v>
      </c>
      <c r="D8" s="298" t="s">
        <v>641</v>
      </c>
    </row>
    <row r="9" spans="1:4">
      <c r="A9" s="295" t="s">
        <v>523</v>
      </c>
      <c r="B9" s="296" t="s">
        <v>911</v>
      </c>
      <c r="C9" s="297" t="s">
        <v>640</v>
      </c>
      <c r="D9" s="298" t="s">
        <v>639</v>
      </c>
    </row>
    <row r="10" spans="1:4">
      <c r="A10" s="295">
        <v>2837</v>
      </c>
      <c r="B10" s="296">
        <v>40148</v>
      </c>
      <c r="C10" s="297">
        <v>5042</v>
      </c>
      <c r="D10" s="298" t="s">
        <v>638</v>
      </c>
    </row>
    <row r="11" spans="1:4">
      <c r="A11" s="295">
        <v>2793</v>
      </c>
      <c r="B11" s="296">
        <v>40298</v>
      </c>
      <c r="C11" s="297">
        <v>4913</v>
      </c>
      <c r="D11" s="298" t="s">
        <v>637</v>
      </c>
    </row>
    <row r="12" spans="1:4">
      <c r="A12" s="295">
        <v>1950</v>
      </c>
      <c r="B12" s="296">
        <v>41460</v>
      </c>
      <c r="C12" s="297">
        <v>3831</v>
      </c>
      <c r="D12" s="298" t="s">
        <v>636</v>
      </c>
    </row>
    <row r="13" spans="1:4" ht="204">
      <c r="A13" s="295">
        <v>3206</v>
      </c>
      <c r="B13" s="296">
        <v>41460</v>
      </c>
      <c r="C13" s="297" t="s">
        <v>635</v>
      </c>
      <c r="D13" s="298" t="s">
        <v>634</v>
      </c>
    </row>
    <row r="14" spans="1:4">
      <c r="A14" s="295">
        <v>2846</v>
      </c>
      <c r="B14" s="296">
        <v>41803</v>
      </c>
      <c r="C14" s="297">
        <v>5068</v>
      </c>
      <c r="D14" s="292" t="s">
        <v>633</v>
      </c>
    </row>
    <row r="15" spans="1:4">
      <c r="A15" s="295">
        <v>1270</v>
      </c>
      <c r="B15" s="296">
        <v>41460</v>
      </c>
      <c r="C15" s="293" t="s">
        <v>632</v>
      </c>
      <c r="D15" s="292" t="s">
        <v>631</v>
      </c>
    </row>
    <row r="16" spans="1:4">
      <c r="A16" s="295">
        <v>3125</v>
      </c>
      <c r="B16" s="296">
        <v>41460</v>
      </c>
      <c r="C16" s="297">
        <v>5476</v>
      </c>
      <c r="D16" s="292" t="s">
        <v>630</v>
      </c>
    </row>
    <row r="17" spans="1:4">
      <c r="A17" s="295">
        <v>3679</v>
      </c>
      <c r="B17" s="296">
        <v>41803</v>
      </c>
      <c r="C17" s="293" t="s">
        <v>899</v>
      </c>
      <c r="D17" s="292" t="s">
        <v>629</v>
      </c>
    </row>
    <row r="18" spans="1:4">
      <c r="A18" s="295">
        <v>12284</v>
      </c>
      <c r="B18" s="296">
        <v>43077</v>
      </c>
      <c r="C18" s="293" t="s">
        <v>900</v>
      </c>
      <c r="D18" s="292" t="s">
        <v>901</v>
      </c>
    </row>
    <row r="19" spans="1:4">
      <c r="A19" s="295">
        <v>13103</v>
      </c>
      <c r="B19" s="296">
        <v>43077</v>
      </c>
      <c r="C19" s="293">
        <v>22574</v>
      </c>
      <c r="D19" s="292" t="s">
        <v>904</v>
      </c>
    </row>
    <row r="20" spans="1:4">
      <c r="A20" s="295">
        <v>13784</v>
      </c>
      <c r="B20" s="296">
        <v>43475</v>
      </c>
      <c r="C20" s="293">
        <v>22844</v>
      </c>
      <c r="D20" s="292" t="s">
        <v>902</v>
      </c>
    </row>
    <row r="21" spans="1:4">
      <c r="A21" s="295">
        <v>13769</v>
      </c>
      <c r="B21" s="296">
        <v>43475</v>
      </c>
      <c r="C21" s="293">
        <v>22838</v>
      </c>
      <c r="D21" s="292" t="s">
        <v>903</v>
      </c>
    </row>
    <row r="22" spans="1:4">
      <c r="A22" s="295">
        <v>14925</v>
      </c>
      <c r="B22" s="296">
        <v>43475</v>
      </c>
      <c r="C22" s="293">
        <v>23408</v>
      </c>
      <c r="D22" s="292" t="s">
        <v>912</v>
      </c>
    </row>
    <row r="23" spans="1:4">
      <c r="A23" s="295">
        <v>16492</v>
      </c>
      <c r="B23" s="294">
        <v>43815</v>
      </c>
      <c r="C23" s="293" t="s">
        <v>966</v>
      </c>
      <c r="D23" s="292" t="s">
        <v>967</v>
      </c>
    </row>
    <row r="24" spans="1:4">
      <c r="A24" s="295">
        <v>16494</v>
      </c>
      <c r="B24" s="294">
        <v>43815</v>
      </c>
      <c r="C24" s="293">
        <v>24319</v>
      </c>
      <c r="D24" s="292" t="s">
        <v>921</v>
      </c>
    </row>
    <row r="25" spans="1:4">
      <c r="A25" s="423">
        <v>17064</v>
      </c>
      <c r="B25" s="294">
        <v>43815</v>
      </c>
      <c r="C25" s="293" t="s">
        <v>922</v>
      </c>
      <c r="D25" s="292" t="s">
        <v>923</v>
      </c>
    </row>
    <row r="26" spans="1:4">
      <c r="A26" s="423">
        <v>17525</v>
      </c>
      <c r="B26" s="294">
        <v>43875</v>
      </c>
      <c r="C26" s="293" t="s">
        <v>924</v>
      </c>
      <c r="D26" s="292" t="s">
        <v>925</v>
      </c>
    </row>
    <row r="27" spans="1:4">
      <c r="A27" s="423">
        <v>17526</v>
      </c>
      <c r="B27" s="294">
        <v>43843</v>
      </c>
      <c r="C27" s="293">
        <v>24584</v>
      </c>
      <c r="D27" s="292" t="s">
        <v>926</v>
      </c>
    </row>
    <row r="28" spans="1:4">
      <c r="A28" s="423">
        <v>18665</v>
      </c>
      <c r="B28" s="294">
        <v>43781</v>
      </c>
      <c r="C28" s="293" t="s">
        <v>927</v>
      </c>
      <c r="D28" s="292" t="s">
        <v>928</v>
      </c>
    </row>
    <row r="29" spans="1:4">
      <c r="A29" s="425">
        <v>18849</v>
      </c>
      <c r="B29" s="929">
        <v>44204</v>
      </c>
      <c r="C29" s="930" t="s">
        <v>968</v>
      </c>
      <c r="D29" s="426" t="s">
        <v>969</v>
      </c>
    </row>
    <row r="30" spans="1:4">
      <c r="A30" s="425">
        <v>18985</v>
      </c>
      <c r="B30" s="929">
        <v>44204</v>
      </c>
      <c r="C30" s="931" t="s">
        <v>971</v>
      </c>
      <c r="D30" s="426" t="s">
        <v>972</v>
      </c>
    </row>
    <row r="31" spans="1:4">
      <c r="A31" s="425">
        <v>19145</v>
      </c>
      <c r="B31" s="929">
        <v>44239</v>
      </c>
      <c r="C31" s="931" t="s">
        <v>973</v>
      </c>
      <c r="D31" s="426" t="s">
        <v>974</v>
      </c>
    </row>
    <row r="32" spans="1:4">
      <c r="A32" s="423">
        <v>19269</v>
      </c>
      <c r="B32" s="294">
        <v>44204</v>
      </c>
      <c r="C32" s="293" t="s">
        <v>964</v>
      </c>
      <c r="D32" s="292" t="s">
        <v>965</v>
      </c>
    </row>
    <row r="33" spans="1:4">
      <c r="A33" s="425">
        <v>20625</v>
      </c>
      <c r="B33" s="929">
        <v>44420</v>
      </c>
      <c r="C33" s="930">
        <v>26056</v>
      </c>
      <c r="D33" s="426" t="s">
        <v>970</v>
      </c>
    </row>
    <row r="34" spans="1:4">
      <c r="A34" s="423"/>
      <c r="B34" s="294"/>
      <c r="C34" s="293"/>
      <c r="D34" s="292"/>
    </row>
  </sheetData>
  <pageMargins left="0.7" right="0.7" top="0.75" bottom="0.75" header="0.3" footer="0.3"/>
  <pageSetup scale="63"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7">
    <tabColor rgb="FF00FFFF"/>
  </sheetPr>
  <dimension ref="A1:BR314"/>
  <sheetViews>
    <sheetView showGridLines="0" topLeftCell="A62" zoomScale="70" zoomScaleNormal="70" zoomScaleSheetLayoutView="70" workbookViewId="0">
      <selection activeCell="Q100" sqref="Q100"/>
    </sheetView>
  </sheetViews>
  <sheetFormatPr defaultColWidth="9.140625" defaultRowHeight="15"/>
  <cols>
    <col min="1" max="1" width="7.7109375" style="302" customWidth="1"/>
    <col min="2" max="2" width="1.85546875" style="302" customWidth="1"/>
    <col min="3" max="3" width="72" style="302" customWidth="1"/>
    <col min="4" max="4" width="17.85546875" style="302" customWidth="1"/>
    <col min="5" max="7" width="17.140625" style="302" customWidth="1"/>
    <col min="8" max="8" width="23.85546875" style="302" customWidth="1"/>
    <col min="9" max="9" width="17.140625" style="302" customWidth="1"/>
    <col min="10" max="10" width="18.5703125" style="302" customWidth="1"/>
    <col min="11" max="16" width="17.140625" style="302" customWidth="1"/>
    <col min="17" max="17" width="20.140625" style="302" bestFit="1" customWidth="1"/>
    <col min="18" max="19" width="19.7109375" style="302" customWidth="1"/>
    <col min="20" max="20" width="2.42578125" style="302" customWidth="1"/>
    <col min="21" max="21" width="16.7109375" style="302" customWidth="1"/>
    <col min="22" max="16384" width="9.140625" style="302"/>
  </cols>
  <sheetData>
    <row r="1" spans="1:70">
      <c r="S1" s="363"/>
    </row>
    <row r="2" spans="1:70">
      <c r="S2" s="363"/>
    </row>
    <row r="4" spans="1:70">
      <c r="S4" s="401" t="s">
        <v>695</v>
      </c>
    </row>
    <row r="5" spans="1:70" ht="15.75">
      <c r="C5" s="398" t="s">
        <v>605</v>
      </c>
      <c r="D5" s="398"/>
      <c r="E5" s="398"/>
      <c r="F5" s="398"/>
      <c r="G5" s="398"/>
      <c r="H5" s="398"/>
      <c r="I5" s="398"/>
      <c r="J5" s="400" t="s">
        <v>604</v>
      </c>
      <c r="K5" s="400"/>
      <c r="L5" s="398"/>
      <c r="M5" s="398"/>
      <c r="N5" s="398"/>
      <c r="O5" s="397"/>
      <c r="P5" s="397"/>
      <c r="R5" s="399"/>
      <c r="S5" s="6" t="s">
        <v>985</v>
      </c>
      <c r="T5" s="336"/>
      <c r="U5" s="394"/>
      <c r="V5" s="394"/>
      <c r="W5" s="336"/>
      <c r="X5" s="136"/>
      <c r="Y5" s="136"/>
      <c r="Z5" s="136"/>
      <c r="AA5" s="136"/>
      <c r="AB5" s="136"/>
      <c r="AC5" s="136"/>
      <c r="AD5" s="136"/>
      <c r="AE5" s="136"/>
      <c r="AF5" s="136"/>
      <c r="AG5" s="136"/>
      <c r="AH5" s="136"/>
      <c r="AI5" s="136"/>
      <c r="AJ5" s="136"/>
      <c r="AK5" s="136"/>
      <c r="AL5" s="136"/>
      <c r="AM5" s="136"/>
      <c r="AN5" s="136"/>
      <c r="AO5" s="136"/>
      <c r="AP5" s="136"/>
      <c r="AQ5" s="136"/>
      <c r="AR5" s="136"/>
      <c r="AS5" s="136"/>
      <c r="AT5" s="136"/>
      <c r="AU5" s="136"/>
      <c r="AV5" s="136"/>
      <c r="AW5" s="136"/>
      <c r="AX5" s="136"/>
      <c r="AY5" s="136"/>
      <c r="AZ5" s="136"/>
      <c r="BA5" s="136"/>
      <c r="BB5" s="136"/>
      <c r="BC5" s="136"/>
      <c r="BD5" s="136"/>
      <c r="BE5" s="136"/>
      <c r="BF5" s="136"/>
      <c r="BG5" s="136"/>
      <c r="BH5" s="136"/>
      <c r="BI5" s="136"/>
      <c r="BJ5" s="136"/>
      <c r="BK5" s="136"/>
      <c r="BL5" s="136"/>
      <c r="BM5" s="136"/>
      <c r="BN5" s="136"/>
      <c r="BO5" s="136"/>
      <c r="BP5" s="136"/>
      <c r="BQ5" s="136"/>
      <c r="BR5" s="136"/>
    </row>
    <row r="6" spans="1:70">
      <c r="C6" s="398"/>
      <c r="D6" s="398"/>
      <c r="E6" s="398"/>
      <c r="F6" s="398"/>
      <c r="G6" s="398"/>
      <c r="H6" s="304" t="s">
        <v>3</v>
      </c>
      <c r="I6" s="304"/>
      <c r="J6" s="304" t="s">
        <v>554</v>
      </c>
      <c r="K6" s="304"/>
      <c r="L6" s="304"/>
      <c r="M6" s="304"/>
      <c r="N6" s="304"/>
      <c r="O6" s="397"/>
      <c r="P6" s="397"/>
      <c r="R6" s="157"/>
      <c r="S6" s="397"/>
      <c r="T6" s="336"/>
      <c r="U6" s="396"/>
      <c r="V6" s="394"/>
      <c r="W6" s="3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row>
    <row r="7" spans="1:70">
      <c r="C7" s="157"/>
      <c r="D7" s="157"/>
      <c r="E7" s="157"/>
      <c r="F7" s="157"/>
      <c r="G7" s="157"/>
      <c r="H7" s="157"/>
      <c r="I7" s="157"/>
      <c r="J7" s="157"/>
      <c r="K7" s="157"/>
      <c r="L7" s="157"/>
      <c r="M7" s="157"/>
      <c r="N7" s="157"/>
      <c r="O7" s="157"/>
      <c r="P7" s="157"/>
      <c r="R7" s="157"/>
      <c r="S7" s="157" t="s">
        <v>603</v>
      </c>
      <c r="T7" s="336"/>
      <c r="U7" s="394"/>
      <c r="V7" s="394"/>
      <c r="W7" s="336"/>
      <c r="X7" s="136"/>
      <c r="Y7" s="136"/>
      <c r="Z7" s="136"/>
      <c r="AA7" s="136"/>
      <c r="AB7" s="136"/>
      <c r="AC7" s="136"/>
      <c r="AD7" s="136"/>
      <c r="AE7" s="136"/>
      <c r="AF7" s="136"/>
      <c r="AG7" s="136"/>
      <c r="AH7" s="136"/>
      <c r="AI7" s="136"/>
      <c r="AJ7" s="136"/>
      <c r="AK7" s="136"/>
      <c r="AL7" s="136"/>
      <c r="AM7" s="136"/>
      <c r="AN7" s="136"/>
      <c r="AO7" s="136"/>
      <c r="AP7" s="136"/>
      <c r="AQ7" s="136"/>
      <c r="AR7" s="136"/>
      <c r="AS7" s="136"/>
      <c r="AT7" s="136"/>
      <c r="AU7" s="136"/>
      <c r="AV7" s="136"/>
      <c r="AW7" s="136"/>
      <c r="AX7" s="136"/>
      <c r="AY7" s="136"/>
      <c r="AZ7" s="136"/>
      <c r="BA7" s="136"/>
      <c r="BB7" s="136"/>
      <c r="BC7" s="136"/>
      <c r="BD7" s="136"/>
      <c r="BE7" s="136"/>
      <c r="BF7" s="136"/>
      <c r="BG7" s="136"/>
      <c r="BH7" s="136"/>
      <c r="BI7" s="136"/>
      <c r="BJ7" s="136"/>
      <c r="BK7" s="136"/>
      <c r="BL7" s="136"/>
      <c r="BM7" s="136"/>
      <c r="BN7" s="136"/>
      <c r="BO7" s="136"/>
      <c r="BP7" s="136"/>
      <c r="BQ7" s="136"/>
      <c r="BR7" s="136"/>
    </row>
    <row r="8" spans="1:70">
      <c r="A8" s="361"/>
      <c r="C8" s="157"/>
      <c r="D8" s="157"/>
      <c r="E8" s="157"/>
      <c r="F8" s="157"/>
      <c r="G8" s="157"/>
      <c r="H8" s="157"/>
      <c r="I8" s="324"/>
      <c r="J8" s="395" t="s">
        <v>5</v>
      </c>
      <c r="K8" s="395"/>
      <c r="L8" s="324"/>
      <c r="M8" s="157"/>
      <c r="N8" s="157"/>
      <c r="O8" s="157"/>
      <c r="P8" s="157"/>
      <c r="Q8" s="157"/>
      <c r="R8" s="157"/>
      <c r="S8" s="157"/>
      <c r="T8" s="336"/>
      <c r="U8" s="394"/>
      <c r="V8" s="394"/>
      <c r="W8" s="336"/>
      <c r="X8" s="136"/>
      <c r="Y8" s="136"/>
      <c r="Z8" s="136"/>
      <c r="AA8" s="136"/>
      <c r="AB8" s="136"/>
      <c r="AC8" s="136"/>
      <c r="AD8" s="136"/>
      <c r="AE8" s="136"/>
      <c r="AF8" s="136"/>
      <c r="AG8" s="136"/>
      <c r="AH8" s="136"/>
      <c r="AI8" s="136"/>
      <c r="AJ8" s="136"/>
      <c r="AK8" s="136"/>
      <c r="AL8" s="136"/>
      <c r="AM8" s="136"/>
      <c r="AN8" s="136"/>
      <c r="AO8" s="136"/>
      <c r="AP8" s="136"/>
      <c r="AQ8" s="136"/>
      <c r="AR8" s="136"/>
      <c r="AS8" s="136"/>
      <c r="AT8" s="136"/>
      <c r="AU8" s="136"/>
      <c r="AV8" s="136"/>
      <c r="AW8" s="136"/>
      <c r="AX8" s="136"/>
      <c r="AY8" s="136"/>
      <c r="AZ8" s="136"/>
      <c r="BA8" s="136"/>
      <c r="BB8" s="136"/>
      <c r="BC8" s="136"/>
      <c r="BD8" s="136"/>
      <c r="BE8" s="136"/>
      <c r="BF8" s="136"/>
      <c r="BG8" s="136"/>
      <c r="BH8" s="136"/>
      <c r="BI8" s="136"/>
      <c r="BJ8" s="136"/>
      <c r="BK8" s="136"/>
      <c r="BL8" s="136"/>
      <c r="BM8" s="136"/>
      <c r="BN8" s="136"/>
      <c r="BO8" s="136"/>
      <c r="BP8" s="136"/>
      <c r="BQ8" s="136"/>
      <c r="BR8" s="136"/>
    </row>
    <row r="9" spans="1:70">
      <c r="A9" s="361"/>
      <c r="C9" s="157"/>
      <c r="D9" s="157"/>
      <c r="E9" s="157"/>
      <c r="F9" s="157"/>
      <c r="G9" s="157"/>
      <c r="H9" s="157"/>
      <c r="I9" s="157"/>
      <c r="J9" s="392"/>
      <c r="K9" s="392"/>
      <c r="L9" s="157"/>
      <c r="M9" s="157"/>
      <c r="N9" s="157"/>
      <c r="O9" s="157"/>
      <c r="P9" s="157"/>
      <c r="Q9" s="157"/>
      <c r="R9" s="157"/>
      <c r="S9" s="157"/>
      <c r="T9" s="336"/>
      <c r="U9" s="394"/>
      <c r="V9" s="394"/>
      <c r="W9" s="336"/>
      <c r="X9" s="136"/>
      <c r="Y9" s="136"/>
      <c r="Z9" s="136"/>
      <c r="AA9" s="136"/>
      <c r="AB9" s="136"/>
      <c r="AC9" s="136"/>
      <c r="AD9" s="136"/>
      <c r="AE9" s="136"/>
      <c r="AF9" s="136"/>
      <c r="AG9" s="136"/>
      <c r="AH9" s="136"/>
      <c r="AI9" s="136"/>
      <c r="AJ9" s="136"/>
      <c r="AK9" s="136"/>
      <c r="AL9" s="136"/>
      <c r="AM9" s="136"/>
      <c r="AN9" s="136"/>
      <c r="AO9" s="136"/>
      <c r="AP9" s="136"/>
      <c r="AQ9" s="136"/>
      <c r="AR9" s="136"/>
      <c r="AS9" s="136"/>
      <c r="AT9" s="136"/>
      <c r="AU9" s="136"/>
      <c r="AV9" s="136"/>
      <c r="AW9" s="136"/>
      <c r="AX9" s="136"/>
      <c r="AY9" s="136"/>
      <c r="AZ9" s="136"/>
      <c r="BA9" s="136"/>
      <c r="BB9" s="136"/>
      <c r="BC9" s="136"/>
      <c r="BD9" s="136"/>
      <c r="BE9" s="136"/>
      <c r="BF9" s="136"/>
      <c r="BG9" s="136"/>
      <c r="BH9" s="136"/>
      <c r="BI9" s="136"/>
      <c r="BJ9" s="136"/>
      <c r="BK9" s="136"/>
      <c r="BL9" s="136"/>
      <c r="BM9" s="136"/>
      <c r="BN9" s="136"/>
      <c r="BO9" s="136"/>
      <c r="BP9" s="136"/>
      <c r="BQ9" s="136"/>
      <c r="BR9" s="136"/>
    </row>
    <row r="10" spans="1:70">
      <c r="A10" s="361"/>
      <c r="C10" s="157" t="s">
        <v>602</v>
      </c>
      <c r="D10" s="157"/>
      <c r="E10" s="157"/>
      <c r="F10" s="157"/>
      <c r="G10" s="157"/>
      <c r="H10" s="157"/>
      <c r="I10" s="157"/>
      <c r="J10" s="392"/>
      <c r="K10" s="392"/>
      <c r="L10" s="157"/>
      <c r="M10" s="157"/>
      <c r="N10" s="157"/>
      <c r="O10" s="157"/>
      <c r="P10" s="157"/>
      <c r="Q10" s="157"/>
      <c r="R10" s="157"/>
      <c r="S10" s="157"/>
      <c r="T10" s="336"/>
      <c r="U10" s="394"/>
      <c r="V10" s="394"/>
      <c r="W10" s="336"/>
      <c r="X10" s="136"/>
      <c r="Y10" s="136"/>
      <c r="Z10" s="136"/>
      <c r="AA10" s="136"/>
      <c r="AB10" s="136"/>
      <c r="AC10" s="136"/>
      <c r="AD10" s="136"/>
      <c r="AE10" s="136"/>
      <c r="AF10" s="136"/>
      <c r="AG10" s="136"/>
      <c r="AH10" s="136"/>
      <c r="AI10" s="136"/>
      <c r="AJ10" s="136"/>
      <c r="AK10" s="136"/>
      <c r="AL10" s="136"/>
      <c r="AM10" s="136"/>
      <c r="AN10" s="136"/>
      <c r="AO10" s="136"/>
      <c r="AP10" s="136"/>
      <c r="AQ10" s="136"/>
      <c r="AR10" s="136"/>
      <c r="AS10" s="136"/>
      <c r="AT10" s="136"/>
      <c r="AU10" s="136"/>
      <c r="AV10" s="136"/>
      <c r="AW10" s="136"/>
      <c r="AX10" s="136"/>
      <c r="AY10" s="136"/>
      <c r="AZ10" s="136"/>
      <c r="BA10" s="136"/>
      <c r="BB10" s="136"/>
      <c r="BC10" s="136"/>
      <c r="BD10" s="136"/>
      <c r="BE10" s="136"/>
      <c r="BF10" s="136"/>
      <c r="BG10" s="136"/>
      <c r="BH10" s="136"/>
      <c r="BI10" s="136"/>
      <c r="BJ10" s="136"/>
      <c r="BK10" s="136"/>
      <c r="BL10" s="136"/>
      <c r="BM10" s="136"/>
      <c r="BN10" s="136"/>
      <c r="BO10" s="136"/>
      <c r="BP10" s="136"/>
      <c r="BQ10" s="136"/>
      <c r="BR10" s="136"/>
    </row>
    <row r="11" spans="1:70">
      <c r="A11" s="361"/>
      <c r="C11" s="393" t="s">
        <v>724</v>
      </c>
      <c r="D11" s="157"/>
      <c r="E11" s="157"/>
      <c r="F11" s="157"/>
      <c r="G11" s="157"/>
      <c r="H11" s="157"/>
      <c r="I11" s="157"/>
      <c r="J11" s="392"/>
      <c r="K11" s="392"/>
      <c r="Q11" s="157"/>
      <c r="R11" s="157"/>
      <c r="S11" s="157"/>
      <c r="T11" s="336"/>
      <c r="U11" s="336"/>
      <c r="V11" s="336"/>
      <c r="W11" s="3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6"/>
      <c r="AU11" s="136"/>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row>
    <row r="12" spans="1:70">
      <c r="A12" s="361"/>
      <c r="C12" s="157"/>
      <c r="D12" s="157"/>
      <c r="E12" s="157"/>
      <c r="F12" s="157"/>
      <c r="G12" s="157"/>
      <c r="H12" s="157"/>
      <c r="I12" s="157"/>
      <c r="J12" s="157"/>
      <c r="K12" s="157"/>
      <c r="Q12" s="391"/>
      <c r="R12" s="157"/>
      <c r="S12" s="157"/>
      <c r="T12" s="336"/>
      <c r="U12" s="336"/>
      <c r="V12" s="336"/>
      <c r="W12" s="336"/>
      <c r="X12" s="136"/>
      <c r="Y12" s="136"/>
      <c r="Z12" s="136"/>
      <c r="AA12" s="136"/>
      <c r="AB12" s="136"/>
      <c r="AC12" s="136"/>
      <c r="AD12" s="136"/>
      <c r="AE12" s="136"/>
      <c r="AF12" s="136"/>
      <c r="AG12" s="136"/>
      <c r="AH12" s="136"/>
      <c r="AI12" s="136"/>
      <c r="AJ12" s="136"/>
      <c r="AK12" s="136"/>
      <c r="AL12" s="136"/>
      <c r="AM12" s="136"/>
      <c r="AN12" s="136"/>
      <c r="AO12" s="136"/>
      <c r="AP12" s="136"/>
      <c r="AQ12" s="136"/>
      <c r="AR12" s="136"/>
      <c r="AS12" s="136"/>
      <c r="AT12" s="136"/>
      <c r="AU12" s="136"/>
      <c r="AV12" s="136"/>
      <c r="AW12" s="136"/>
      <c r="AX12" s="136"/>
      <c r="AY12" s="136"/>
      <c r="AZ12" s="136"/>
      <c r="BA12" s="136"/>
      <c r="BB12" s="136"/>
      <c r="BC12" s="136"/>
      <c r="BD12" s="136"/>
      <c r="BE12" s="136"/>
      <c r="BF12" s="136"/>
      <c r="BG12" s="136"/>
      <c r="BH12" s="136"/>
      <c r="BI12" s="136"/>
      <c r="BJ12" s="136"/>
      <c r="BK12" s="136"/>
      <c r="BL12" s="136"/>
      <c r="BM12" s="136"/>
      <c r="BN12" s="136"/>
      <c r="BO12" s="136"/>
      <c r="BP12" s="136"/>
      <c r="BQ12" s="136"/>
      <c r="BR12" s="136"/>
    </row>
    <row r="13" spans="1:70">
      <c r="C13" s="390" t="s">
        <v>62</v>
      </c>
      <c r="D13" s="390"/>
      <c r="E13" s="390"/>
      <c r="F13" s="390"/>
      <c r="G13" s="390"/>
      <c r="H13" s="390" t="s">
        <v>63</v>
      </c>
      <c r="I13" s="390"/>
      <c r="J13" s="390" t="s">
        <v>64</v>
      </c>
      <c r="K13" s="390"/>
      <c r="L13" s="324" t="s">
        <v>65</v>
      </c>
      <c r="R13" s="304"/>
      <c r="S13" s="324"/>
      <c r="T13" s="335"/>
      <c r="U13" s="324"/>
      <c r="V13" s="335"/>
      <c r="W13" s="334"/>
      <c r="X13" s="136"/>
      <c r="Y13" s="136"/>
      <c r="Z13" s="136"/>
      <c r="AA13" s="136"/>
      <c r="AB13" s="136"/>
      <c r="AC13" s="136"/>
      <c r="AD13" s="136"/>
      <c r="AE13" s="136"/>
      <c r="AF13" s="136"/>
      <c r="AG13" s="136"/>
      <c r="AH13" s="136"/>
      <c r="AI13" s="136"/>
      <c r="AJ13" s="136"/>
      <c r="AK13" s="136"/>
      <c r="AL13" s="136"/>
      <c r="AM13" s="136"/>
      <c r="AN13" s="136"/>
      <c r="AO13" s="136"/>
      <c r="AP13" s="136"/>
      <c r="AQ13" s="136"/>
      <c r="AR13" s="136"/>
      <c r="AS13" s="136"/>
      <c r="AT13" s="136"/>
      <c r="AU13" s="136"/>
      <c r="AV13" s="136"/>
      <c r="AW13" s="136"/>
      <c r="AX13" s="136"/>
      <c r="AY13" s="136"/>
      <c r="AZ13" s="136"/>
      <c r="BA13" s="136"/>
      <c r="BB13" s="136"/>
      <c r="BC13" s="136"/>
      <c r="BD13" s="136"/>
      <c r="BE13" s="136"/>
      <c r="BF13" s="136"/>
      <c r="BG13" s="136"/>
      <c r="BH13" s="136"/>
      <c r="BI13" s="136"/>
      <c r="BJ13" s="136"/>
      <c r="BK13" s="136"/>
      <c r="BL13" s="136"/>
      <c r="BM13" s="136"/>
      <c r="BN13" s="136"/>
      <c r="BO13" s="136"/>
      <c r="BP13" s="136"/>
      <c r="BQ13" s="136"/>
      <c r="BR13" s="136"/>
    </row>
    <row r="14" spans="1:70" ht="15.75">
      <c r="A14" s="136"/>
      <c r="B14" s="136"/>
      <c r="C14" s="322"/>
      <c r="D14" s="322"/>
      <c r="E14" s="322"/>
      <c r="F14" s="322"/>
      <c r="G14" s="322"/>
      <c r="H14" s="369" t="s">
        <v>601</v>
      </c>
      <c r="I14" s="369"/>
      <c r="J14" s="304"/>
      <c r="K14" s="304"/>
      <c r="R14" s="304"/>
      <c r="T14" s="335"/>
      <c r="U14" s="364"/>
      <c r="V14" s="364"/>
      <c r="W14" s="334"/>
      <c r="X14" s="136"/>
      <c r="Y14" s="136"/>
      <c r="Z14" s="136"/>
      <c r="AA14" s="136"/>
      <c r="AB14" s="136"/>
      <c r="AC14" s="136"/>
      <c r="AD14" s="136"/>
      <c r="AE14" s="136"/>
      <c r="AF14" s="136"/>
      <c r="AG14" s="136"/>
      <c r="AH14" s="136"/>
      <c r="AI14" s="136"/>
      <c r="AJ14" s="136"/>
      <c r="AK14" s="136"/>
      <c r="AL14" s="136"/>
      <c r="AM14" s="136"/>
      <c r="AN14" s="136"/>
      <c r="AO14" s="136"/>
      <c r="AP14" s="136"/>
      <c r="AQ14" s="136"/>
      <c r="AR14" s="136"/>
      <c r="AS14" s="136"/>
      <c r="AT14" s="136"/>
      <c r="AU14" s="136"/>
      <c r="AV14" s="136"/>
      <c r="AW14" s="136"/>
      <c r="AX14" s="136"/>
      <c r="AY14" s="136"/>
      <c r="AZ14" s="136"/>
      <c r="BA14" s="136"/>
      <c r="BB14" s="136"/>
      <c r="BC14" s="136"/>
      <c r="BD14" s="136"/>
      <c r="BE14" s="136"/>
      <c r="BF14" s="136"/>
      <c r="BG14" s="136"/>
      <c r="BH14" s="136"/>
      <c r="BI14" s="136"/>
      <c r="BJ14" s="136"/>
      <c r="BK14" s="136"/>
      <c r="BL14" s="136"/>
      <c r="BM14" s="136"/>
      <c r="BN14" s="136"/>
      <c r="BO14" s="136"/>
      <c r="BP14" s="136"/>
      <c r="BQ14" s="136"/>
      <c r="BR14" s="136"/>
    </row>
    <row r="15" spans="1:70" ht="15.75">
      <c r="A15" s="365" t="s">
        <v>8</v>
      </c>
      <c r="B15" s="136"/>
      <c r="C15" s="322"/>
      <c r="D15" s="322"/>
      <c r="E15" s="322"/>
      <c r="F15" s="322"/>
      <c r="G15" s="322"/>
      <c r="H15" s="389" t="s">
        <v>69</v>
      </c>
      <c r="I15" s="389"/>
      <c r="J15" s="388" t="s">
        <v>68</v>
      </c>
      <c r="K15" s="388"/>
      <c r="L15" s="388" t="s">
        <v>16</v>
      </c>
      <c r="R15" s="304"/>
      <c r="T15" s="336"/>
      <c r="U15" s="387"/>
      <c r="V15" s="364"/>
      <c r="W15" s="334"/>
      <c r="X15" s="136"/>
      <c r="Y15" s="136"/>
      <c r="Z15" s="136"/>
      <c r="AA15" s="136"/>
      <c r="AB15" s="136"/>
      <c r="AC15" s="136"/>
      <c r="AD15" s="136"/>
      <c r="AE15" s="136"/>
      <c r="AF15" s="136"/>
      <c r="AG15" s="136"/>
      <c r="AH15" s="136"/>
      <c r="AI15" s="136"/>
      <c r="AJ15" s="136"/>
      <c r="AK15" s="136"/>
      <c r="AL15" s="136"/>
      <c r="AM15" s="136"/>
      <c r="AN15" s="136"/>
      <c r="AO15" s="136"/>
      <c r="AP15" s="136"/>
      <c r="AQ15" s="136"/>
      <c r="AR15" s="136"/>
      <c r="AS15" s="136"/>
      <c r="AT15" s="136"/>
      <c r="AU15" s="136"/>
      <c r="AV15" s="136"/>
      <c r="AW15" s="136"/>
      <c r="AX15" s="136"/>
      <c r="AY15" s="136"/>
      <c r="AZ15" s="136"/>
      <c r="BA15" s="136"/>
      <c r="BB15" s="136"/>
      <c r="BC15" s="136"/>
      <c r="BD15" s="136"/>
      <c r="BE15" s="136"/>
      <c r="BF15" s="136"/>
      <c r="BG15" s="136"/>
      <c r="BH15" s="136"/>
      <c r="BI15" s="136"/>
      <c r="BJ15" s="136"/>
      <c r="BK15" s="136"/>
      <c r="BL15" s="136"/>
      <c r="BM15" s="136"/>
      <c r="BN15" s="136"/>
      <c r="BO15" s="136"/>
      <c r="BP15" s="136"/>
      <c r="BQ15" s="136"/>
      <c r="BR15" s="136"/>
    </row>
    <row r="16" spans="1:70" ht="15.75">
      <c r="A16" s="365" t="s">
        <v>10</v>
      </c>
      <c r="B16" s="136"/>
      <c r="C16" s="360"/>
      <c r="D16" s="360"/>
      <c r="E16" s="360"/>
      <c r="F16" s="360"/>
      <c r="G16" s="360"/>
      <c r="H16" s="304"/>
      <c r="I16" s="304"/>
      <c r="J16" s="304"/>
      <c r="K16" s="304"/>
      <c r="L16" s="304"/>
      <c r="R16" s="304"/>
      <c r="S16" s="304"/>
      <c r="T16" s="336"/>
      <c r="U16" s="335"/>
      <c r="V16" s="335"/>
      <c r="W16" s="334"/>
      <c r="X16" s="136"/>
      <c r="Y16" s="136"/>
      <c r="Z16" s="136"/>
      <c r="AA16" s="136"/>
      <c r="AB16" s="136"/>
      <c r="AC16" s="136"/>
      <c r="AD16" s="136"/>
      <c r="AE16" s="136"/>
      <c r="AF16" s="136"/>
      <c r="AG16" s="136"/>
      <c r="AH16" s="136"/>
      <c r="AI16" s="136"/>
      <c r="AJ16" s="136"/>
      <c r="AK16" s="136"/>
      <c r="AL16" s="136"/>
      <c r="AM16" s="136"/>
      <c r="AN16" s="136"/>
      <c r="AO16" s="136"/>
      <c r="AP16" s="136"/>
      <c r="AQ16" s="136"/>
      <c r="AR16" s="136"/>
      <c r="AS16" s="136"/>
      <c r="AT16" s="136"/>
      <c r="AU16" s="136"/>
      <c r="AV16" s="136"/>
      <c r="AW16" s="136"/>
      <c r="AX16" s="136"/>
      <c r="AY16" s="136"/>
      <c r="AZ16" s="136"/>
      <c r="BA16" s="136"/>
      <c r="BB16" s="136"/>
      <c r="BC16" s="136"/>
      <c r="BD16" s="136"/>
      <c r="BE16" s="136"/>
      <c r="BF16" s="136"/>
      <c r="BG16" s="136"/>
      <c r="BH16" s="136"/>
      <c r="BI16" s="136"/>
      <c r="BJ16" s="136"/>
      <c r="BK16" s="136"/>
      <c r="BL16" s="136"/>
      <c r="BM16" s="136"/>
      <c r="BN16" s="136"/>
      <c r="BO16" s="136"/>
      <c r="BP16" s="136"/>
      <c r="BQ16" s="136"/>
      <c r="BR16" s="136"/>
    </row>
    <row r="17" spans="1:70" ht="15.75">
      <c r="A17" s="386"/>
      <c r="B17" s="136"/>
      <c r="C17" s="322"/>
      <c r="D17" s="322"/>
      <c r="E17" s="322"/>
      <c r="F17" s="322"/>
      <c r="G17" s="322"/>
      <c r="H17" s="304"/>
      <c r="I17" s="304"/>
      <c r="J17" s="304"/>
      <c r="K17" s="304"/>
      <c r="L17" s="304"/>
      <c r="R17" s="304"/>
      <c r="S17" s="304"/>
      <c r="T17" s="336"/>
      <c r="U17" s="335"/>
      <c r="V17" s="335"/>
      <c r="W17" s="334"/>
      <c r="X17" s="136"/>
      <c r="Y17" s="136"/>
      <c r="Z17" s="136"/>
      <c r="AA17" s="136"/>
      <c r="AB17" s="136"/>
      <c r="AC17" s="136"/>
      <c r="AD17" s="136"/>
      <c r="AE17" s="136"/>
      <c r="AF17" s="136"/>
      <c r="AG17" s="136"/>
      <c r="AH17" s="136"/>
      <c r="AI17" s="136"/>
      <c r="AJ17" s="136"/>
      <c r="AK17" s="136"/>
      <c r="AL17" s="136"/>
      <c r="AM17" s="136"/>
      <c r="AN17" s="136"/>
      <c r="AO17" s="136"/>
      <c r="AP17" s="136"/>
      <c r="AQ17" s="136"/>
      <c r="AR17" s="136"/>
      <c r="AS17" s="136"/>
      <c r="AT17" s="136"/>
      <c r="AU17" s="136"/>
      <c r="AV17" s="136"/>
      <c r="AW17" s="136"/>
      <c r="AX17" s="136"/>
      <c r="AY17" s="136"/>
      <c r="AZ17" s="136"/>
      <c r="BA17" s="136"/>
      <c r="BB17" s="136"/>
      <c r="BC17" s="136"/>
      <c r="BD17" s="136"/>
      <c r="BE17" s="136"/>
      <c r="BF17" s="136"/>
      <c r="BG17" s="136"/>
      <c r="BH17" s="136"/>
      <c r="BI17" s="136"/>
      <c r="BJ17" s="136"/>
      <c r="BK17" s="136"/>
      <c r="BL17" s="136"/>
      <c r="BM17" s="136"/>
      <c r="BN17" s="136"/>
      <c r="BO17" s="136"/>
      <c r="BP17" s="136"/>
      <c r="BQ17" s="136"/>
      <c r="BR17" s="136"/>
    </row>
    <row r="18" spans="1:70">
      <c r="A18" s="379">
        <v>1</v>
      </c>
      <c r="B18" s="136"/>
      <c r="C18" s="322" t="s">
        <v>600</v>
      </c>
      <c r="D18" s="322"/>
      <c r="E18" s="322"/>
      <c r="F18" s="322"/>
      <c r="G18" s="322"/>
      <c r="H18" s="372" t="s">
        <v>723</v>
      </c>
      <c r="I18" s="372"/>
      <c r="J18" s="375">
        <f>'ATC Att O'!I87+'ATC Att O'!I88</f>
        <v>7218345337</v>
      </c>
      <c r="K18" s="304"/>
      <c r="R18" s="304"/>
      <c r="S18" s="304"/>
      <c r="T18" s="336"/>
      <c r="U18" s="335"/>
      <c r="V18" s="335"/>
      <c r="W18" s="334"/>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6"/>
      <c r="BA18" s="136"/>
      <c r="BB18" s="136"/>
      <c r="BC18" s="136"/>
      <c r="BD18" s="136"/>
      <c r="BE18" s="136"/>
      <c r="BF18" s="136"/>
      <c r="BG18" s="136"/>
      <c r="BH18" s="136"/>
      <c r="BI18" s="136"/>
      <c r="BJ18" s="136"/>
      <c r="BK18" s="136"/>
      <c r="BL18" s="136"/>
      <c r="BM18" s="136"/>
      <c r="BN18" s="136"/>
      <c r="BO18" s="136"/>
      <c r="BP18" s="136"/>
      <c r="BQ18" s="136"/>
      <c r="BR18" s="136"/>
    </row>
    <row r="19" spans="1:70">
      <c r="A19" s="379" t="s">
        <v>143</v>
      </c>
      <c r="B19" s="136"/>
      <c r="C19" s="322" t="s">
        <v>722</v>
      </c>
      <c r="D19" s="322"/>
      <c r="E19" s="322"/>
      <c r="F19" s="322"/>
      <c r="G19" s="322"/>
      <c r="H19" s="372" t="s">
        <v>721</v>
      </c>
      <c r="I19" s="372"/>
      <c r="J19" s="384">
        <f>'ATC Att O'!I96+'ATC Att O'!I97</f>
        <v>2018956919</v>
      </c>
      <c r="K19" s="383"/>
      <c r="R19" s="304"/>
      <c r="S19" s="304"/>
      <c r="T19" s="336"/>
      <c r="U19" s="335"/>
      <c r="V19" s="335"/>
      <c r="W19" s="334"/>
      <c r="X19" s="136"/>
      <c r="Y19" s="136"/>
      <c r="Z19" s="136"/>
      <c r="AA19" s="136"/>
      <c r="AB19" s="136"/>
      <c r="AC19" s="136"/>
      <c r="AD19" s="136"/>
      <c r="AE19" s="136"/>
      <c r="AF19" s="136"/>
      <c r="AG19" s="136"/>
      <c r="AH19" s="136"/>
      <c r="AI19" s="136"/>
      <c r="AJ19" s="136"/>
      <c r="AK19" s="136"/>
      <c r="AL19" s="136"/>
      <c r="AM19" s="136"/>
      <c r="AN19" s="136"/>
      <c r="AO19" s="136"/>
      <c r="AP19" s="136"/>
      <c r="AQ19" s="136"/>
      <c r="AR19" s="136"/>
      <c r="AS19" s="136"/>
      <c r="AT19" s="136"/>
      <c r="AU19" s="136"/>
      <c r="AV19" s="136"/>
      <c r="AW19" s="136"/>
      <c r="AX19" s="136"/>
      <c r="AY19" s="136"/>
      <c r="AZ19" s="136"/>
      <c r="BA19" s="136"/>
      <c r="BB19" s="136"/>
      <c r="BC19" s="136"/>
      <c r="BD19" s="136"/>
      <c r="BE19" s="136"/>
      <c r="BF19" s="136"/>
      <c r="BG19" s="136"/>
      <c r="BH19" s="136"/>
      <c r="BI19" s="136"/>
      <c r="BJ19" s="136"/>
      <c r="BK19" s="136"/>
      <c r="BL19" s="136"/>
      <c r="BM19" s="136"/>
      <c r="BN19" s="136"/>
      <c r="BO19" s="136"/>
      <c r="BP19" s="136"/>
      <c r="BQ19" s="136"/>
      <c r="BR19" s="136"/>
    </row>
    <row r="20" spans="1:70">
      <c r="A20" s="379">
        <v>2</v>
      </c>
      <c r="B20" s="136"/>
      <c r="C20" s="322" t="s">
        <v>598</v>
      </c>
      <c r="D20" s="322"/>
      <c r="E20" s="322"/>
      <c r="F20" s="322"/>
      <c r="G20" s="322"/>
      <c r="H20" s="372" t="s">
        <v>720</v>
      </c>
      <c r="I20" s="372"/>
      <c r="J20" s="381">
        <f>J18-J19</f>
        <v>5199388418</v>
      </c>
      <c r="K20" s="385"/>
      <c r="R20" s="304"/>
      <c r="S20" s="304"/>
      <c r="T20" s="336"/>
      <c r="U20" s="335"/>
      <c r="V20" s="335"/>
      <c r="W20" s="334"/>
      <c r="X20" s="136"/>
      <c r="Y20" s="136"/>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6"/>
      <c r="BA20" s="136"/>
      <c r="BB20" s="136"/>
      <c r="BC20" s="136"/>
      <c r="BD20" s="136"/>
      <c r="BE20" s="136"/>
      <c r="BF20" s="136"/>
      <c r="BG20" s="136"/>
      <c r="BH20" s="136"/>
      <c r="BI20" s="136"/>
      <c r="BJ20" s="136"/>
      <c r="BK20" s="136"/>
      <c r="BL20" s="136"/>
      <c r="BM20" s="136"/>
      <c r="BN20" s="136"/>
      <c r="BO20" s="136"/>
      <c r="BP20" s="136"/>
      <c r="BQ20" s="136"/>
      <c r="BR20" s="136"/>
    </row>
    <row r="21" spans="1:70">
      <c r="A21" s="379"/>
      <c r="B21" s="136"/>
      <c r="C21" s="136"/>
      <c r="D21" s="136"/>
      <c r="E21" s="136"/>
      <c r="F21" s="136"/>
      <c r="G21" s="136"/>
      <c r="H21" s="372"/>
      <c r="I21" s="372"/>
      <c r="R21" s="304"/>
      <c r="S21" s="304"/>
      <c r="T21" s="336"/>
      <c r="U21" s="335"/>
      <c r="V21" s="335"/>
      <c r="W21" s="334"/>
      <c r="X21" s="136"/>
      <c r="Y21" s="136"/>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6"/>
      <c r="BA21" s="136"/>
      <c r="BB21" s="136"/>
      <c r="BC21" s="136"/>
      <c r="BD21" s="136"/>
      <c r="BE21" s="136"/>
      <c r="BF21" s="136"/>
      <c r="BG21" s="136"/>
      <c r="BH21" s="136"/>
      <c r="BI21" s="136"/>
      <c r="BJ21" s="136"/>
      <c r="BK21" s="136"/>
      <c r="BL21" s="136"/>
      <c r="BM21" s="136"/>
      <c r="BN21" s="136"/>
      <c r="BO21" s="136"/>
      <c r="BP21" s="136"/>
      <c r="BQ21" s="136"/>
      <c r="BR21" s="136"/>
    </row>
    <row r="22" spans="1:70">
      <c r="A22" s="379"/>
      <c r="B22" s="136"/>
      <c r="C22" s="322" t="s">
        <v>719</v>
      </c>
      <c r="D22" s="322"/>
      <c r="E22" s="322"/>
      <c r="F22" s="322"/>
      <c r="G22" s="322"/>
      <c r="H22" s="372"/>
      <c r="I22" s="372"/>
      <c r="J22" s="304"/>
      <c r="K22" s="304"/>
      <c r="L22" s="304"/>
      <c r="R22" s="304"/>
      <c r="S22" s="304"/>
      <c r="T22" s="335"/>
      <c r="U22" s="335"/>
      <c r="V22" s="335"/>
      <c r="W22" s="334"/>
      <c r="X22" s="136"/>
      <c r="Y22" s="136"/>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6"/>
      <c r="BA22" s="136"/>
      <c r="BB22" s="136"/>
      <c r="BC22" s="136"/>
      <c r="BD22" s="136"/>
      <c r="BE22" s="136"/>
      <c r="BF22" s="136"/>
      <c r="BG22" s="136"/>
      <c r="BH22" s="136"/>
      <c r="BI22" s="136"/>
      <c r="BJ22" s="136"/>
      <c r="BK22" s="136"/>
      <c r="BL22" s="136"/>
      <c r="BM22" s="136"/>
      <c r="BN22" s="136"/>
      <c r="BO22" s="136"/>
      <c r="BP22" s="136"/>
      <c r="BQ22" s="136"/>
      <c r="BR22" s="136"/>
    </row>
    <row r="23" spans="1:70">
      <c r="A23" s="379">
        <v>3</v>
      </c>
      <c r="B23" s="136"/>
      <c r="C23" s="322" t="s">
        <v>595</v>
      </c>
      <c r="D23" s="322"/>
      <c r="E23" s="322"/>
      <c r="F23" s="322"/>
      <c r="G23" s="322"/>
      <c r="H23" s="372" t="s">
        <v>594</v>
      </c>
      <c r="I23" s="372"/>
      <c r="J23" s="375">
        <f>'ATC Att O'!I165</f>
        <v>132391043.23876327</v>
      </c>
      <c r="K23" s="304"/>
      <c r="R23" s="304"/>
      <c r="S23" s="304"/>
      <c r="T23" s="335"/>
      <c r="U23" s="335"/>
      <c r="V23" s="335"/>
      <c r="W23" s="334"/>
      <c r="X23" s="136"/>
      <c r="Y23" s="136"/>
      <c r="Z23" s="136"/>
      <c r="AA23" s="136"/>
      <c r="AB23" s="136"/>
      <c r="AC23" s="136"/>
      <c r="AD23" s="136"/>
      <c r="AE23" s="136"/>
      <c r="AF23" s="136"/>
      <c r="AG23" s="136"/>
      <c r="AH23" s="136"/>
      <c r="AI23" s="136"/>
      <c r="AJ23" s="136"/>
      <c r="AK23" s="136"/>
      <c r="AL23" s="136"/>
      <c r="AM23" s="136"/>
      <c r="AN23" s="136"/>
      <c r="AO23" s="136"/>
      <c r="AP23" s="136"/>
      <c r="AQ23" s="136"/>
      <c r="AR23" s="136"/>
      <c r="AS23" s="136"/>
      <c r="AT23" s="136"/>
      <c r="AU23" s="136"/>
      <c r="AV23" s="136"/>
      <c r="AW23" s="136"/>
      <c r="AX23" s="136"/>
      <c r="AY23" s="136"/>
      <c r="AZ23" s="136"/>
      <c r="BA23" s="136"/>
      <c r="BB23" s="136"/>
      <c r="BC23" s="136"/>
      <c r="BD23" s="136"/>
      <c r="BE23" s="136"/>
      <c r="BF23" s="136"/>
      <c r="BG23" s="136"/>
      <c r="BH23" s="136"/>
      <c r="BI23" s="136"/>
      <c r="BJ23" s="136"/>
      <c r="BK23" s="136"/>
      <c r="BL23" s="136"/>
      <c r="BM23" s="136"/>
      <c r="BN23" s="136"/>
      <c r="BO23" s="136"/>
      <c r="BP23" s="136"/>
      <c r="BQ23" s="136"/>
      <c r="BR23" s="136"/>
    </row>
    <row r="24" spans="1:70">
      <c r="A24" s="379" t="s">
        <v>593</v>
      </c>
      <c r="B24" s="136"/>
      <c r="C24" s="322" t="s">
        <v>501</v>
      </c>
      <c r="D24" s="322"/>
      <c r="E24" s="322"/>
      <c r="F24" s="322"/>
      <c r="G24" s="322"/>
      <c r="H24" s="372" t="s">
        <v>718</v>
      </c>
      <c r="I24" s="372"/>
      <c r="J24" s="375">
        <f>'ATC Att O'!I156</f>
        <v>93457123</v>
      </c>
      <c r="K24" s="304"/>
      <c r="R24" s="304"/>
      <c r="S24" s="304"/>
      <c r="T24" s="335"/>
      <c r="U24" s="335"/>
      <c r="V24" s="335"/>
      <c r="W24" s="334"/>
      <c r="X24" s="136"/>
      <c r="Y24" s="136"/>
      <c r="Z24" s="136"/>
      <c r="AA24" s="136"/>
      <c r="AB24" s="136"/>
      <c r="AC24" s="136"/>
      <c r="AD24" s="136"/>
      <c r="AE24" s="136"/>
      <c r="AF24" s="136"/>
      <c r="AG24" s="136"/>
      <c r="AH24" s="136"/>
      <c r="AI24" s="136"/>
      <c r="AJ24" s="136"/>
      <c r="AK24" s="136"/>
      <c r="AL24" s="136"/>
      <c r="AM24" s="136"/>
      <c r="AN24" s="136"/>
      <c r="AO24" s="136"/>
      <c r="AP24" s="136"/>
      <c r="AQ24" s="136"/>
      <c r="AR24" s="136"/>
      <c r="AS24" s="136"/>
      <c r="AT24" s="136"/>
      <c r="AU24" s="136"/>
      <c r="AV24" s="136"/>
      <c r="AW24" s="136"/>
      <c r="AX24" s="136"/>
      <c r="AY24" s="136"/>
      <c r="AZ24" s="136"/>
      <c r="BA24" s="136"/>
      <c r="BB24" s="136"/>
      <c r="BC24" s="136"/>
      <c r="BD24" s="136"/>
      <c r="BE24" s="136"/>
      <c r="BF24" s="136"/>
      <c r="BG24" s="136"/>
      <c r="BH24" s="136"/>
      <c r="BI24" s="136"/>
      <c r="BJ24" s="136"/>
      <c r="BK24" s="136"/>
      <c r="BL24" s="136"/>
      <c r="BM24" s="136"/>
      <c r="BN24" s="136"/>
      <c r="BO24" s="136"/>
      <c r="BP24" s="136"/>
      <c r="BQ24" s="136"/>
      <c r="BR24" s="136"/>
    </row>
    <row r="25" spans="1:70" ht="32.25" customHeight="1">
      <c r="A25" s="379" t="s">
        <v>717</v>
      </c>
      <c r="B25" s="136"/>
      <c r="C25" s="322" t="s">
        <v>716</v>
      </c>
      <c r="D25" s="322"/>
      <c r="E25" s="322"/>
      <c r="F25" s="322"/>
      <c r="G25" s="980" t="s">
        <v>715</v>
      </c>
      <c r="H25" s="980"/>
      <c r="I25" s="980"/>
      <c r="J25" s="375">
        <f>'Precert Exp'!B19</f>
        <v>3220883</v>
      </c>
      <c r="K25" s="304"/>
      <c r="R25" s="304"/>
      <c r="S25" s="304"/>
      <c r="T25" s="335"/>
      <c r="U25" s="335"/>
      <c r="V25" s="335"/>
      <c r="W25" s="334"/>
      <c r="X25" s="136"/>
      <c r="Y25" s="136"/>
      <c r="Z25" s="136"/>
      <c r="AA25" s="136"/>
      <c r="AB25" s="136"/>
      <c r="AC25" s="136"/>
      <c r="AD25" s="136"/>
      <c r="AE25" s="136"/>
      <c r="AF25" s="136"/>
      <c r="AG25" s="136"/>
      <c r="AH25" s="136"/>
      <c r="AI25" s="136"/>
      <c r="AJ25" s="136"/>
      <c r="AK25" s="136"/>
      <c r="AL25" s="136"/>
      <c r="AM25" s="136"/>
      <c r="AN25" s="136"/>
      <c r="AO25" s="136"/>
      <c r="AP25" s="136"/>
      <c r="AQ25" s="136"/>
      <c r="AR25" s="136"/>
      <c r="AS25" s="136"/>
      <c r="AT25" s="136"/>
      <c r="AU25" s="136"/>
      <c r="AV25" s="136"/>
      <c r="AW25" s="136"/>
      <c r="AX25" s="136"/>
      <c r="AY25" s="136"/>
      <c r="AZ25" s="136"/>
      <c r="BA25" s="136"/>
      <c r="BB25" s="136"/>
      <c r="BC25" s="136"/>
      <c r="BD25" s="136"/>
      <c r="BE25" s="136"/>
      <c r="BF25" s="136"/>
      <c r="BG25" s="136"/>
      <c r="BH25" s="136"/>
      <c r="BI25" s="136"/>
      <c r="BJ25" s="136"/>
      <c r="BK25" s="136"/>
      <c r="BL25" s="136"/>
      <c r="BM25" s="136"/>
      <c r="BN25" s="136"/>
      <c r="BO25" s="136"/>
      <c r="BP25" s="136"/>
      <c r="BQ25" s="136"/>
      <c r="BR25" s="136"/>
    </row>
    <row r="26" spans="1:70">
      <c r="A26" s="379" t="s">
        <v>590</v>
      </c>
      <c r="B26" s="136"/>
      <c r="C26" s="322" t="s">
        <v>714</v>
      </c>
      <c r="D26" s="322"/>
      <c r="E26" s="322"/>
      <c r="F26" s="322"/>
      <c r="G26" s="322"/>
      <c r="H26" s="372" t="s">
        <v>713</v>
      </c>
      <c r="I26" s="372"/>
      <c r="J26" s="375">
        <v>0</v>
      </c>
      <c r="K26" s="304"/>
      <c r="R26" s="304"/>
      <c r="S26" s="304"/>
      <c r="T26" s="335"/>
      <c r="U26" s="335"/>
      <c r="V26" s="335"/>
      <c r="W26" s="334"/>
      <c r="X26" s="136"/>
      <c r="Y26" s="136"/>
      <c r="Z26" s="136"/>
      <c r="AA26" s="136"/>
      <c r="AB26" s="136"/>
      <c r="AC26" s="136"/>
      <c r="AD26" s="136"/>
      <c r="AE26" s="136"/>
      <c r="AF26" s="136"/>
      <c r="AG26" s="136"/>
      <c r="AH26" s="136"/>
      <c r="AI26" s="136"/>
      <c r="AJ26" s="136"/>
      <c r="AK26" s="136"/>
      <c r="AL26" s="136"/>
      <c r="AM26" s="136"/>
      <c r="AN26" s="136"/>
      <c r="AO26" s="136"/>
      <c r="AP26" s="136"/>
      <c r="AQ26" s="136"/>
      <c r="AR26" s="136"/>
      <c r="AS26" s="136"/>
      <c r="AT26" s="136"/>
      <c r="AU26" s="136"/>
      <c r="AV26" s="136"/>
      <c r="AW26" s="136"/>
      <c r="AX26" s="136"/>
      <c r="AY26" s="136"/>
      <c r="AZ26" s="136"/>
      <c r="BA26" s="136"/>
      <c r="BB26" s="136"/>
      <c r="BC26" s="136"/>
      <c r="BD26" s="136"/>
      <c r="BE26" s="136"/>
      <c r="BF26" s="136"/>
      <c r="BG26" s="136"/>
      <c r="BH26" s="136"/>
      <c r="BI26" s="136"/>
      <c r="BJ26" s="136"/>
      <c r="BK26" s="136"/>
      <c r="BL26" s="136"/>
      <c r="BM26" s="136"/>
      <c r="BN26" s="136"/>
      <c r="BO26" s="136"/>
      <c r="BP26" s="136"/>
      <c r="BQ26" s="136"/>
      <c r="BR26" s="136"/>
    </row>
    <row r="27" spans="1:70">
      <c r="A27" s="379" t="s">
        <v>712</v>
      </c>
      <c r="B27" s="136"/>
      <c r="C27" s="322" t="s">
        <v>711</v>
      </c>
      <c r="D27" s="322"/>
      <c r="E27" s="322"/>
      <c r="F27" s="322"/>
      <c r="G27" s="322"/>
      <c r="H27" s="372" t="s">
        <v>710</v>
      </c>
      <c r="I27" s="372"/>
      <c r="J27" s="384">
        <v>0</v>
      </c>
      <c r="K27" s="383"/>
      <c r="R27" s="304"/>
      <c r="S27" s="304"/>
      <c r="T27" s="335"/>
      <c r="U27" s="335"/>
      <c r="V27" s="335"/>
      <c r="W27" s="334"/>
      <c r="X27" s="136"/>
      <c r="Y27" s="136"/>
      <c r="Z27" s="136"/>
      <c r="AA27" s="136"/>
      <c r="AB27" s="136"/>
      <c r="AC27" s="136"/>
      <c r="AD27" s="136"/>
      <c r="AE27" s="136"/>
      <c r="AF27" s="136"/>
      <c r="AG27" s="136"/>
      <c r="AH27" s="136"/>
      <c r="AI27" s="136"/>
      <c r="AJ27" s="136"/>
      <c r="AK27" s="136"/>
      <c r="AL27" s="136"/>
      <c r="AM27" s="136"/>
      <c r="AN27" s="136"/>
      <c r="AO27" s="136"/>
      <c r="AP27" s="136"/>
      <c r="AQ27" s="136"/>
      <c r="AR27" s="136"/>
      <c r="AS27" s="136"/>
      <c r="AT27" s="136"/>
      <c r="AU27" s="136"/>
      <c r="AV27" s="136"/>
      <c r="AW27" s="136"/>
      <c r="AX27" s="136"/>
      <c r="AY27" s="136"/>
      <c r="AZ27" s="136"/>
      <c r="BA27" s="136"/>
      <c r="BB27" s="136"/>
      <c r="BC27" s="136"/>
      <c r="BD27" s="136"/>
      <c r="BE27" s="136"/>
      <c r="BF27" s="136"/>
      <c r="BG27" s="136"/>
      <c r="BH27" s="136"/>
      <c r="BI27" s="136"/>
      <c r="BJ27" s="136"/>
      <c r="BK27" s="136"/>
      <c r="BL27" s="136"/>
      <c r="BM27" s="136"/>
      <c r="BN27" s="136"/>
      <c r="BO27" s="136"/>
      <c r="BP27" s="136"/>
      <c r="BQ27" s="136"/>
      <c r="BR27" s="136"/>
    </row>
    <row r="28" spans="1:70">
      <c r="A28" s="379" t="s">
        <v>709</v>
      </c>
      <c r="B28" s="136"/>
      <c r="C28" s="322" t="s">
        <v>708</v>
      </c>
      <c r="D28" s="322"/>
      <c r="E28" s="322"/>
      <c r="F28" s="322"/>
      <c r="G28" s="322"/>
      <c r="H28" s="372" t="s">
        <v>707</v>
      </c>
      <c r="I28" s="372"/>
      <c r="J28" s="381">
        <f>J24-(J26+J27+J25)</f>
        <v>90236240</v>
      </c>
      <c r="K28" s="304"/>
      <c r="R28" s="304"/>
      <c r="S28" s="304"/>
      <c r="T28" s="335"/>
      <c r="U28" s="335"/>
      <c r="V28" s="335"/>
      <c r="W28" s="334"/>
      <c r="X28" s="136"/>
      <c r="Y28" s="136"/>
      <c r="Z28" s="136"/>
      <c r="AA28" s="136"/>
      <c r="AB28" s="136"/>
      <c r="AC28" s="136"/>
      <c r="AD28" s="136"/>
      <c r="AE28" s="136"/>
      <c r="AF28" s="136"/>
      <c r="AG28" s="136"/>
      <c r="AH28" s="136"/>
      <c r="AI28" s="136"/>
      <c r="AJ28" s="136"/>
      <c r="AK28" s="136"/>
      <c r="AL28" s="136"/>
      <c r="AM28" s="136"/>
      <c r="AN28" s="136"/>
      <c r="AO28" s="136"/>
      <c r="AP28" s="136"/>
      <c r="AQ28" s="136"/>
      <c r="AR28" s="136"/>
      <c r="AS28" s="136"/>
      <c r="AT28" s="136"/>
      <c r="AU28" s="136"/>
      <c r="AV28" s="136"/>
      <c r="AW28" s="136"/>
      <c r="AX28" s="136"/>
      <c r="AY28" s="136"/>
      <c r="AZ28" s="136"/>
      <c r="BA28" s="136"/>
      <c r="BB28" s="136"/>
      <c r="BC28" s="136"/>
      <c r="BD28" s="136"/>
      <c r="BE28" s="136"/>
      <c r="BF28" s="136"/>
      <c r="BG28" s="136"/>
      <c r="BH28" s="136"/>
      <c r="BI28" s="136"/>
      <c r="BJ28" s="136"/>
      <c r="BK28" s="136"/>
      <c r="BL28" s="136"/>
      <c r="BM28" s="136"/>
      <c r="BN28" s="136"/>
      <c r="BO28" s="136"/>
      <c r="BP28" s="136"/>
      <c r="BQ28" s="136"/>
      <c r="BR28" s="136"/>
    </row>
    <row r="29" spans="1:70">
      <c r="A29" s="379"/>
      <c r="B29" s="136"/>
      <c r="C29" s="322"/>
      <c r="D29" s="322"/>
      <c r="E29" s="322"/>
      <c r="F29" s="322"/>
      <c r="G29" s="322"/>
      <c r="H29" s="372"/>
      <c r="I29" s="372"/>
      <c r="J29" s="304"/>
      <c r="K29" s="304"/>
      <c r="R29" s="304"/>
      <c r="S29" s="304"/>
      <c r="T29" s="335"/>
      <c r="U29" s="335"/>
      <c r="V29" s="335"/>
      <c r="W29" s="334"/>
      <c r="X29" s="136"/>
      <c r="Y29" s="136"/>
      <c r="Z29" s="136"/>
      <c r="AA29" s="136"/>
      <c r="AB29" s="136"/>
      <c r="AC29" s="136"/>
      <c r="AD29" s="136"/>
      <c r="AE29" s="136"/>
      <c r="AF29" s="136"/>
      <c r="AG29" s="136"/>
      <c r="AH29" s="136"/>
      <c r="AI29" s="136"/>
      <c r="AJ29" s="136"/>
      <c r="AK29" s="136"/>
      <c r="AL29" s="136"/>
      <c r="AM29" s="136"/>
      <c r="AN29" s="136"/>
      <c r="AO29" s="136"/>
      <c r="AP29" s="136"/>
      <c r="AQ29" s="136"/>
      <c r="AR29" s="136"/>
      <c r="AS29" s="136"/>
      <c r="AT29" s="136"/>
      <c r="AU29" s="136"/>
      <c r="AV29" s="136"/>
      <c r="AW29" s="136"/>
      <c r="AX29" s="136"/>
      <c r="AY29" s="136"/>
      <c r="AZ29" s="136"/>
      <c r="BA29" s="136"/>
      <c r="BB29" s="136"/>
      <c r="BC29" s="136"/>
      <c r="BD29" s="136"/>
      <c r="BE29" s="136"/>
      <c r="BF29" s="136"/>
      <c r="BG29" s="136"/>
      <c r="BH29" s="136"/>
      <c r="BI29" s="136"/>
      <c r="BJ29" s="136"/>
      <c r="BK29" s="136"/>
      <c r="BL29" s="136"/>
      <c r="BM29" s="136"/>
      <c r="BN29" s="136"/>
      <c r="BO29" s="136"/>
      <c r="BP29" s="136"/>
      <c r="BQ29" s="136"/>
      <c r="BR29" s="136"/>
    </row>
    <row r="30" spans="1:70" ht="15.75">
      <c r="A30" s="379">
        <v>4</v>
      </c>
      <c r="B30" s="136"/>
      <c r="C30" s="360" t="s">
        <v>706</v>
      </c>
      <c r="D30" s="360"/>
      <c r="E30" s="360"/>
      <c r="F30" s="360"/>
      <c r="G30" s="322"/>
      <c r="H30" s="372" t="s">
        <v>705</v>
      </c>
      <c r="I30" s="372"/>
      <c r="J30" s="303">
        <f>IF(J28=0,0,J28/J19)</f>
        <v>4.4694485132795447E-2</v>
      </c>
      <c r="K30" s="303"/>
      <c r="L30" s="382">
        <f>J30</f>
        <v>4.4694485132795447E-2</v>
      </c>
      <c r="R30" s="304"/>
      <c r="S30" s="304"/>
      <c r="T30" s="335"/>
      <c r="U30" s="335"/>
      <c r="V30" s="335"/>
      <c r="W30" s="334"/>
      <c r="X30" s="136"/>
      <c r="Y30" s="136"/>
      <c r="Z30" s="136"/>
      <c r="AA30" s="136"/>
      <c r="AB30" s="136"/>
      <c r="AC30" s="136"/>
      <c r="AD30" s="136"/>
      <c r="AE30" s="136"/>
      <c r="AF30" s="136"/>
      <c r="AG30" s="136"/>
      <c r="AH30" s="136"/>
      <c r="AI30" s="136"/>
      <c r="AJ30" s="136"/>
      <c r="AK30" s="136"/>
      <c r="AL30" s="136"/>
      <c r="AM30" s="136"/>
      <c r="AN30" s="136"/>
      <c r="AO30" s="136"/>
      <c r="AP30" s="136"/>
      <c r="AQ30" s="136"/>
      <c r="AR30" s="136"/>
      <c r="AS30" s="136"/>
      <c r="AT30" s="136"/>
      <c r="AU30" s="136"/>
      <c r="AV30" s="136"/>
      <c r="AW30" s="136"/>
      <c r="AX30" s="136"/>
      <c r="AY30" s="136"/>
      <c r="AZ30" s="136"/>
      <c r="BA30" s="136"/>
      <c r="BB30" s="136"/>
      <c r="BC30" s="136"/>
      <c r="BD30" s="136"/>
      <c r="BE30" s="136"/>
      <c r="BF30" s="136"/>
      <c r="BG30" s="136"/>
      <c r="BH30" s="136"/>
      <c r="BI30" s="136"/>
      <c r="BJ30" s="136"/>
      <c r="BK30" s="136"/>
      <c r="BL30" s="136"/>
      <c r="BM30" s="136"/>
      <c r="BN30" s="136"/>
      <c r="BO30" s="136"/>
      <c r="BP30" s="136"/>
      <c r="BQ30" s="136"/>
      <c r="BR30" s="136"/>
    </row>
    <row r="31" spans="1:70">
      <c r="A31" s="379"/>
      <c r="B31" s="136"/>
      <c r="C31" s="322"/>
      <c r="D31" s="322"/>
      <c r="E31" s="322"/>
      <c r="F31" s="322"/>
      <c r="G31" s="322"/>
      <c r="H31" s="372"/>
      <c r="I31" s="372"/>
      <c r="J31" s="304"/>
      <c r="K31" s="304"/>
      <c r="R31" s="304"/>
      <c r="S31" s="304"/>
      <c r="T31" s="335"/>
      <c r="U31" s="335"/>
      <c r="V31" s="335"/>
      <c r="W31" s="334"/>
      <c r="X31" s="136"/>
      <c r="Y31" s="136"/>
      <c r="Z31" s="136"/>
      <c r="AA31" s="136"/>
      <c r="AB31" s="136"/>
      <c r="AC31" s="136"/>
      <c r="AD31" s="136"/>
      <c r="AE31" s="136"/>
      <c r="AF31" s="136"/>
      <c r="AG31" s="136"/>
      <c r="AH31" s="136"/>
      <c r="AI31" s="136"/>
      <c r="AJ31" s="136"/>
      <c r="AK31" s="136"/>
      <c r="AL31" s="136"/>
      <c r="AM31" s="136"/>
      <c r="AN31" s="136"/>
      <c r="AO31" s="136"/>
      <c r="AP31" s="136"/>
      <c r="AQ31" s="136"/>
      <c r="AR31" s="136"/>
      <c r="AS31" s="136"/>
      <c r="AT31" s="136"/>
      <c r="AU31" s="136"/>
      <c r="AV31" s="136"/>
      <c r="AW31" s="136"/>
      <c r="AX31" s="136"/>
      <c r="AY31" s="136"/>
      <c r="AZ31" s="136"/>
      <c r="BA31" s="136"/>
      <c r="BB31" s="136"/>
      <c r="BC31" s="136"/>
      <c r="BD31" s="136"/>
      <c r="BE31" s="136"/>
      <c r="BF31" s="136"/>
      <c r="BG31" s="136"/>
      <c r="BH31" s="136"/>
      <c r="BI31" s="136"/>
      <c r="BJ31" s="136"/>
      <c r="BK31" s="136"/>
      <c r="BL31" s="136"/>
      <c r="BM31" s="136"/>
      <c r="BN31" s="136"/>
      <c r="BO31" s="136"/>
      <c r="BP31" s="136"/>
      <c r="BQ31" s="136"/>
      <c r="BR31" s="136"/>
    </row>
    <row r="32" spans="1:70">
      <c r="A32" s="379"/>
      <c r="B32" s="136"/>
      <c r="C32" s="322"/>
      <c r="D32" s="322"/>
      <c r="E32" s="322"/>
      <c r="F32" s="322"/>
      <c r="G32" s="322"/>
      <c r="H32" s="372"/>
      <c r="I32" s="372"/>
      <c r="J32" s="304"/>
      <c r="K32" s="304"/>
      <c r="R32" s="304"/>
      <c r="S32" s="304"/>
      <c r="T32" s="335"/>
      <c r="U32" s="335"/>
      <c r="V32" s="335"/>
      <c r="W32" s="334"/>
      <c r="X32" s="136"/>
      <c r="Y32" s="136"/>
      <c r="Z32" s="136"/>
      <c r="AA32" s="136"/>
      <c r="AB32" s="136"/>
      <c r="AC32" s="136"/>
      <c r="AD32" s="136"/>
      <c r="AE32" s="136"/>
      <c r="AF32" s="136"/>
      <c r="AG32" s="136"/>
      <c r="AH32" s="136"/>
      <c r="AI32" s="136"/>
      <c r="AJ32" s="136"/>
      <c r="AK32" s="136"/>
      <c r="AL32" s="136"/>
      <c r="AM32" s="136"/>
      <c r="AN32" s="136"/>
      <c r="AO32" s="136"/>
      <c r="AP32" s="136"/>
      <c r="AQ32" s="136"/>
      <c r="AR32" s="136"/>
      <c r="AS32" s="136"/>
      <c r="AT32" s="136"/>
      <c r="AU32" s="136"/>
      <c r="AV32" s="136"/>
      <c r="AW32" s="136"/>
      <c r="AX32" s="136"/>
      <c r="AY32" s="136"/>
      <c r="AZ32" s="136"/>
      <c r="BA32" s="136"/>
      <c r="BB32" s="136"/>
      <c r="BC32" s="136"/>
      <c r="BD32" s="136"/>
      <c r="BE32" s="136"/>
      <c r="BF32" s="136"/>
      <c r="BG32" s="136"/>
      <c r="BH32" s="136"/>
      <c r="BI32" s="136"/>
      <c r="BJ32" s="136"/>
      <c r="BK32" s="136"/>
      <c r="BL32" s="136"/>
      <c r="BM32" s="136"/>
      <c r="BN32" s="136"/>
      <c r="BO32" s="136"/>
      <c r="BP32" s="136"/>
      <c r="BQ32" s="136"/>
      <c r="BR32" s="136"/>
    </row>
    <row r="33" spans="1:70" ht="15.75">
      <c r="A33" s="379"/>
      <c r="B33" s="136"/>
      <c r="C33" s="322" t="s">
        <v>704</v>
      </c>
      <c r="D33" s="322"/>
      <c r="E33" s="322"/>
      <c r="F33" s="322"/>
      <c r="G33" s="322"/>
      <c r="H33" s="372"/>
      <c r="I33" s="372"/>
      <c r="J33" s="306"/>
      <c r="K33" s="306"/>
      <c r="L33" s="374"/>
      <c r="R33" s="304"/>
      <c r="S33" s="303"/>
      <c r="T33" s="350"/>
      <c r="U33" s="378"/>
      <c r="V33" s="335"/>
      <c r="W33" s="334"/>
      <c r="X33" s="136"/>
      <c r="Y33" s="136"/>
      <c r="Z33" s="136"/>
      <c r="AA33" s="136"/>
      <c r="AB33" s="136"/>
      <c r="AC33" s="136"/>
      <c r="AD33" s="136"/>
      <c r="AE33" s="136"/>
      <c r="AF33" s="136"/>
      <c r="AG33" s="136"/>
      <c r="AH33" s="136"/>
      <c r="AI33" s="136"/>
      <c r="AJ33" s="136"/>
      <c r="AK33" s="136"/>
      <c r="AL33" s="136"/>
      <c r="AM33" s="136"/>
      <c r="AN33" s="136"/>
      <c r="AO33" s="136"/>
      <c r="AP33" s="136"/>
      <c r="AQ33" s="136"/>
      <c r="AR33" s="136"/>
      <c r="AS33" s="136"/>
      <c r="AT33" s="136"/>
      <c r="AU33" s="136"/>
      <c r="AV33" s="136"/>
      <c r="AW33" s="136"/>
      <c r="AX33" s="136"/>
      <c r="AY33" s="136"/>
      <c r="AZ33" s="136"/>
      <c r="BA33" s="136"/>
      <c r="BB33" s="136"/>
      <c r="BC33" s="136"/>
      <c r="BD33" s="136"/>
      <c r="BE33" s="136"/>
      <c r="BF33" s="136"/>
      <c r="BG33" s="136"/>
      <c r="BH33" s="136"/>
      <c r="BI33" s="136"/>
      <c r="BJ33" s="136"/>
      <c r="BK33" s="136"/>
      <c r="BL33" s="136"/>
      <c r="BM33" s="136"/>
      <c r="BN33" s="136"/>
      <c r="BO33" s="136"/>
      <c r="BP33" s="136"/>
      <c r="BQ33" s="136"/>
      <c r="BR33" s="136"/>
    </row>
    <row r="34" spans="1:70" ht="15.75">
      <c r="A34" s="379" t="s">
        <v>703</v>
      </c>
      <c r="B34" s="136"/>
      <c r="C34" s="322" t="s">
        <v>702</v>
      </c>
      <c r="D34" s="322"/>
      <c r="E34" s="322"/>
      <c r="F34" s="322"/>
      <c r="G34" s="322"/>
      <c r="H34" s="372" t="s">
        <v>701</v>
      </c>
      <c r="I34" s="372"/>
      <c r="J34" s="381">
        <f>J23-J28-J25</f>
        <v>38933920.238763273</v>
      </c>
      <c r="K34" s="306"/>
      <c r="L34" s="374"/>
      <c r="R34" s="304"/>
      <c r="S34" s="303"/>
      <c r="T34" s="350"/>
      <c r="U34" s="378"/>
      <c r="V34" s="335"/>
      <c r="W34" s="334"/>
      <c r="X34" s="136"/>
      <c r="Y34" s="136"/>
      <c r="Z34" s="136"/>
      <c r="AA34" s="136"/>
      <c r="AB34" s="136"/>
      <c r="AC34" s="136"/>
      <c r="AD34" s="136"/>
      <c r="AE34" s="136"/>
      <c r="AF34" s="136"/>
      <c r="AG34" s="136"/>
      <c r="AH34" s="136"/>
      <c r="AI34" s="136"/>
      <c r="AJ34" s="136"/>
      <c r="AK34" s="136"/>
      <c r="AL34" s="136"/>
      <c r="AM34" s="136"/>
      <c r="AN34" s="136"/>
      <c r="AO34" s="136"/>
      <c r="AP34" s="136"/>
      <c r="AQ34" s="136"/>
      <c r="AR34" s="136"/>
      <c r="AS34" s="136"/>
      <c r="AT34" s="136"/>
      <c r="AU34" s="136"/>
      <c r="AV34" s="136"/>
      <c r="AW34" s="136"/>
      <c r="AX34" s="136"/>
      <c r="AY34" s="136"/>
      <c r="AZ34" s="136"/>
      <c r="BA34" s="136"/>
      <c r="BB34" s="136"/>
      <c r="BC34" s="136"/>
      <c r="BD34" s="136"/>
      <c r="BE34" s="136"/>
      <c r="BF34" s="136"/>
      <c r="BG34" s="136"/>
      <c r="BH34" s="136"/>
      <c r="BI34" s="136"/>
      <c r="BJ34" s="136"/>
      <c r="BK34" s="136"/>
      <c r="BL34" s="136"/>
      <c r="BM34" s="136"/>
      <c r="BN34" s="136"/>
      <c r="BO34" s="136"/>
      <c r="BP34" s="136"/>
      <c r="BQ34" s="136"/>
      <c r="BR34" s="136"/>
    </row>
    <row r="35" spans="1:70" ht="15.75">
      <c r="A35" s="379" t="s">
        <v>700</v>
      </c>
      <c r="B35" s="136"/>
      <c r="C35" s="322" t="s">
        <v>699</v>
      </c>
      <c r="D35" s="322"/>
      <c r="E35" s="322"/>
      <c r="F35" s="322"/>
      <c r="G35" s="322"/>
      <c r="H35" s="372" t="s">
        <v>698</v>
      </c>
      <c r="I35" s="372"/>
      <c r="J35" s="306">
        <f>IF(J34=0,0,J34/J18)</f>
        <v>5.3937458546343964E-3</v>
      </c>
      <c r="K35" s="306"/>
      <c r="L35" s="374">
        <f>J35</f>
        <v>5.3937458546343964E-3</v>
      </c>
      <c r="R35" s="304"/>
      <c r="S35" s="303"/>
      <c r="T35" s="350"/>
      <c r="U35" s="378"/>
      <c r="V35" s="335"/>
      <c r="W35" s="334"/>
      <c r="X35" s="136"/>
      <c r="Y35" s="136"/>
      <c r="Z35" s="136"/>
      <c r="AA35" s="136"/>
      <c r="AB35" s="136"/>
      <c r="AC35" s="136"/>
      <c r="AD35" s="136"/>
      <c r="AE35" s="136"/>
      <c r="AF35" s="136"/>
      <c r="AG35" s="136"/>
      <c r="AH35" s="136"/>
      <c r="AI35" s="136"/>
      <c r="AJ35" s="136"/>
      <c r="AK35" s="136"/>
      <c r="AL35" s="136"/>
      <c r="AM35" s="136"/>
      <c r="AN35" s="136"/>
      <c r="AO35" s="136"/>
      <c r="AP35" s="136"/>
      <c r="AQ35" s="136"/>
      <c r="AR35" s="136"/>
      <c r="AS35" s="136"/>
      <c r="AT35" s="136"/>
      <c r="AU35" s="136"/>
      <c r="AV35" s="136"/>
      <c r="AW35" s="136"/>
      <c r="AX35" s="136"/>
      <c r="AY35" s="136"/>
      <c r="AZ35" s="136"/>
      <c r="BA35" s="136"/>
      <c r="BB35" s="136"/>
      <c r="BC35" s="136"/>
      <c r="BD35" s="136"/>
      <c r="BE35" s="136"/>
      <c r="BF35" s="136"/>
      <c r="BG35" s="136"/>
      <c r="BH35" s="136"/>
      <c r="BI35" s="136"/>
      <c r="BJ35" s="136"/>
      <c r="BK35" s="136"/>
      <c r="BL35" s="136"/>
      <c r="BM35" s="136"/>
      <c r="BN35" s="136"/>
      <c r="BO35" s="136"/>
      <c r="BP35" s="136"/>
      <c r="BQ35" s="136"/>
      <c r="BR35" s="136"/>
    </row>
    <row r="36" spans="1:70" ht="15.75">
      <c r="A36" s="379"/>
      <c r="B36" s="136"/>
      <c r="C36" s="322"/>
      <c r="D36" s="322"/>
      <c r="E36" s="322"/>
      <c r="F36" s="322"/>
      <c r="G36" s="322"/>
      <c r="H36" s="372"/>
      <c r="I36" s="372"/>
      <c r="J36" s="306"/>
      <c r="K36" s="306"/>
      <c r="L36" s="374"/>
      <c r="R36" s="304"/>
      <c r="S36" s="303"/>
      <c r="T36" s="350"/>
      <c r="U36" s="378"/>
      <c r="V36" s="335"/>
      <c r="W36" s="334"/>
      <c r="X36" s="136"/>
      <c r="Y36" s="136"/>
      <c r="Z36" s="136"/>
      <c r="AA36" s="136"/>
      <c r="AB36" s="136"/>
      <c r="AC36" s="136"/>
      <c r="AD36" s="136"/>
      <c r="AE36" s="136"/>
      <c r="AF36" s="136"/>
      <c r="AG36" s="136"/>
      <c r="AH36" s="136"/>
      <c r="AI36" s="136"/>
      <c r="AJ36" s="136"/>
      <c r="AK36" s="136"/>
      <c r="AL36" s="136"/>
      <c r="AM36" s="136"/>
      <c r="AN36" s="136"/>
      <c r="AO36" s="136"/>
      <c r="AP36" s="136"/>
      <c r="AQ36" s="136"/>
      <c r="AR36" s="136"/>
      <c r="AS36" s="136"/>
      <c r="AT36" s="136"/>
      <c r="AU36" s="136"/>
      <c r="AV36" s="136"/>
      <c r="AW36" s="136"/>
      <c r="AX36" s="136"/>
      <c r="AY36" s="136"/>
      <c r="AZ36" s="136"/>
      <c r="BA36" s="136"/>
      <c r="BB36" s="136"/>
      <c r="BC36" s="136"/>
      <c r="BD36" s="136"/>
      <c r="BE36" s="136"/>
      <c r="BF36" s="136"/>
      <c r="BG36" s="136"/>
      <c r="BH36" s="136"/>
      <c r="BI36" s="136"/>
      <c r="BJ36" s="136"/>
      <c r="BK36" s="136"/>
      <c r="BL36" s="136"/>
      <c r="BM36" s="136"/>
      <c r="BN36" s="136"/>
      <c r="BO36" s="136"/>
      <c r="BP36" s="136"/>
      <c r="BQ36" s="136"/>
      <c r="BR36" s="136"/>
    </row>
    <row r="37" spans="1:70" ht="15.75">
      <c r="A37" s="308"/>
      <c r="B37" s="136"/>
      <c r="C37" s="322" t="s">
        <v>585</v>
      </c>
      <c r="D37" s="322"/>
      <c r="E37" s="322"/>
      <c r="F37" s="322"/>
      <c r="G37" s="322"/>
      <c r="H37" s="307"/>
      <c r="I37" s="307"/>
      <c r="J37" s="304"/>
      <c r="K37" s="304"/>
      <c r="L37" s="304"/>
      <c r="N37" s="136"/>
      <c r="O37" s="136"/>
      <c r="P37" s="136"/>
      <c r="R37" s="304"/>
      <c r="S37" s="303"/>
      <c r="T37" s="350"/>
      <c r="U37" s="378"/>
      <c r="V37" s="335"/>
      <c r="W37" s="334"/>
      <c r="X37" s="136"/>
      <c r="Y37" s="136"/>
      <c r="Z37" s="136"/>
      <c r="AA37" s="136"/>
      <c r="AB37" s="136"/>
      <c r="AC37" s="136"/>
      <c r="AD37" s="136"/>
      <c r="AE37" s="136"/>
      <c r="AF37" s="136"/>
      <c r="AG37" s="136"/>
      <c r="AH37" s="136"/>
      <c r="AI37" s="136"/>
      <c r="AJ37" s="136"/>
      <c r="AK37" s="136"/>
      <c r="AL37" s="136"/>
      <c r="AM37" s="136"/>
      <c r="AN37" s="136"/>
      <c r="AO37" s="136"/>
      <c r="AP37" s="136"/>
      <c r="AQ37" s="136"/>
      <c r="AR37" s="136"/>
      <c r="AS37" s="136"/>
      <c r="AT37" s="136"/>
      <c r="AU37" s="136"/>
      <c r="AV37" s="136"/>
      <c r="AW37" s="136"/>
      <c r="AX37" s="136"/>
      <c r="AY37" s="136"/>
      <c r="AZ37" s="136"/>
      <c r="BA37" s="136"/>
      <c r="BB37" s="136"/>
      <c r="BC37" s="136"/>
      <c r="BD37" s="136"/>
      <c r="BE37" s="136"/>
      <c r="BF37" s="136"/>
      <c r="BG37" s="136"/>
      <c r="BH37" s="136"/>
      <c r="BI37" s="136"/>
      <c r="BJ37" s="136"/>
      <c r="BK37" s="136"/>
      <c r="BL37" s="136"/>
      <c r="BM37" s="136"/>
      <c r="BN37" s="136"/>
      <c r="BO37" s="136"/>
      <c r="BP37" s="136"/>
      <c r="BQ37" s="136"/>
      <c r="BR37" s="136"/>
    </row>
    <row r="38" spans="1:70" ht="15.75">
      <c r="A38" s="308" t="s">
        <v>584</v>
      </c>
      <c r="B38" s="136"/>
      <c r="C38" s="322" t="s">
        <v>583</v>
      </c>
      <c r="D38" s="322"/>
      <c r="E38" s="322"/>
      <c r="F38" s="322"/>
      <c r="G38" s="322"/>
      <c r="H38" s="372" t="s">
        <v>582</v>
      </c>
      <c r="I38" s="372"/>
      <c r="J38" s="375">
        <f>'ATC Att O'!I169+'ATC Att O'!I170</f>
        <v>21713387</v>
      </c>
      <c r="K38" s="304"/>
      <c r="L38" s="136"/>
      <c r="N38" s="136"/>
      <c r="O38" s="136"/>
      <c r="P38" s="136"/>
      <c r="R38" s="304"/>
      <c r="S38" s="303"/>
      <c r="T38" s="350"/>
      <c r="U38" s="378"/>
      <c r="V38" s="335"/>
      <c r="W38" s="334"/>
      <c r="X38" s="136"/>
      <c r="Y38" s="136"/>
      <c r="Z38" s="136"/>
      <c r="AA38" s="136"/>
      <c r="AB38" s="136"/>
      <c r="AC38" s="136"/>
      <c r="AD38" s="136"/>
      <c r="AE38" s="136"/>
      <c r="AF38" s="136"/>
      <c r="AG38" s="136"/>
      <c r="AH38" s="136"/>
      <c r="AI38" s="136"/>
      <c r="AJ38" s="136"/>
      <c r="AK38" s="136"/>
      <c r="AL38" s="136"/>
      <c r="AM38" s="136"/>
      <c r="AN38" s="136"/>
      <c r="AO38" s="136"/>
      <c r="AP38" s="136"/>
      <c r="AQ38" s="136"/>
      <c r="AR38" s="136"/>
      <c r="AS38" s="136"/>
      <c r="AT38" s="136"/>
      <c r="AU38" s="136"/>
      <c r="AV38" s="136"/>
      <c r="AW38" s="136"/>
      <c r="AX38" s="136"/>
      <c r="AY38" s="136"/>
      <c r="AZ38" s="136"/>
      <c r="BA38" s="136"/>
      <c r="BB38" s="136"/>
      <c r="BC38" s="136"/>
      <c r="BD38" s="136"/>
      <c r="BE38" s="136"/>
      <c r="BF38" s="136"/>
      <c r="BG38" s="136"/>
      <c r="BH38" s="136"/>
      <c r="BI38" s="136"/>
      <c r="BJ38" s="136"/>
      <c r="BK38" s="136"/>
      <c r="BL38" s="136"/>
      <c r="BM38" s="136"/>
      <c r="BN38" s="136"/>
      <c r="BO38" s="136"/>
      <c r="BP38" s="136"/>
      <c r="BQ38" s="136"/>
      <c r="BR38" s="136"/>
    </row>
    <row r="39" spans="1:70" ht="15.75">
      <c r="A39" s="308" t="s">
        <v>581</v>
      </c>
      <c r="B39" s="136"/>
      <c r="C39" s="322" t="s">
        <v>580</v>
      </c>
      <c r="D39" s="322"/>
      <c r="E39" s="322"/>
      <c r="F39" s="322"/>
      <c r="G39" s="322"/>
      <c r="H39" s="372" t="s">
        <v>579</v>
      </c>
      <c r="I39" s="372"/>
      <c r="J39" s="306">
        <f>IF(J38=0,0,J38/J18)</f>
        <v>3.0080837070375261E-3</v>
      </c>
      <c r="K39" s="306"/>
      <c r="L39" s="374">
        <f>J39</f>
        <v>3.0080837070375261E-3</v>
      </c>
      <c r="N39" s="136"/>
      <c r="O39" s="136"/>
      <c r="P39" s="136"/>
      <c r="R39" s="304"/>
      <c r="S39" s="303"/>
      <c r="T39" s="350"/>
      <c r="U39" s="378"/>
      <c r="V39" s="335"/>
      <c r="W39" s="334"/>
      <c r="X39" s="136"/>
      <c r="Y39" s="136"/>
      <c r="Z39" s="136"/>
      <c r="AA39" s="136"/>
      <c r="AB39" s="136"/>
      <c r="AC39" s="136"/>
      <c r="AD39" s="136"/>
      <c r="AE39" s="136"/>
      <c r="AF39" s="136"/>
      <c r="AG39" s="136"/>
      <c r="AH39" s="136"/>
      <c r="AI39" s="136"/>
      <c r="AJ39" s="136"/>
      <c r="AK39" s="136"/>
      <c r="AL39" s="136"/>
      <c r="AM39" s="136"/>
      <c r="AN39" s="136"/>
      <c r="AO39" s="136"/>
      <c r="AP39" s="136"/>
      <c r="AQ39" s="136"/>
      <c r="AR39" s="136"/>
      <c r="AS39" s="136"/>
      <c r="AT39" s="136"/>
      <c r="AU39" s="136"/>
      <c r="AV39" s="136"/>
      <c r="AW39" s="136"/>
      <c r="AX39" s="136"/>
      <c r="AY39" s="136"/>
      <c r="AZ39" s="136"/>
      <c r="BA39" s="136"/>
      <c r="BB39" s="136"/>
      <c r="BC39" s="136"/>
      <c r="BD39" s="136"/>
      <c r="BE39" s="136"/>
      <c r="BF39" s="136"/>
      <c r="BG39" s="136"/>
      <c r="BH39" s="136"/>
      <c r="BI39" s="136"/>
      <c r="BJ39" s="136"/>
      <c r="BK39" s="136"/>
      <c r="BL39" s="136"/>
      <c r="BM39" s="136"/>
      <c r="BN39" s="136"/>
      <c r="BO39" s="136"/>
      <c r="BP39" s="136"/>
      <c r="BQ39" s="136"/>
      <c r="BR39" s="136"/>
    </row>
    <row r="40" spans="1:70" ht="15.75">
      <c r="A40" s="379"/>
      <c r="B40" s="136"/>
      <c r="C40" s="322"/>
      <c r="D40" s="322"/>
      <c r="E40" s="322"/>
      <c r="F40" s="322"/>
      <c r="G40" s="322"/>
      <c r="H40" s="372"/>
      <c r="I40" s="372"/>
      <c r="J40" s="306"/>
      <c r="K40" s="306"/>
      <c r="L40" s="374"/>
      <c r="R40" s="304"/>
      <c r="S40" s="303"/>
      <c r="T40" s="350"/>
      <c r="U40" s="378"/>
      <c r="V40" s="335"/>
      <c r="W40" s="334"/>
      <c r="X40" s="136"/>
      <c r="Y40" s="136"/>
      <c r="Z40" s="136"/>
      <c r="AA40" s="136"/>
      <c r="AB40" s="136"/>
      <c r="AC40" s="136"/>
      <c r="AD40" s="136"/>
      <c r="AE40" s="136"/>
      <c r="AF40" s="136"/>
      <c r="AG40" s="136"/>
      <c r="AH40" s="136"/>
      <c r="AI40" s="136"/>
      <c r="AJ40" s="136"/>
      <c r="AK40" s="136"/>
      <c r="AL40" s="136"/>
      <c r="AM40" s="136"/>
      <c r="AN40" s="136"/>
      <c r="AO40" s="136"/>
      <c r="AP40" s="136"/>
      <c r="AQ40" s="136"/>
      <c r="AR40" s="136"/>
      <c r="AS40" s="136"/>
      <c r="AT40" s="136"/>
      <c r="AU40" s="136"/>
      <c r="AV40" s="136"/>
      <c r="AW40" s="136"/>
      <c r="AX40" s="136"/>
      <c r="AY40" s="136"/>
      <c r="AZ40" s="136"/>
      <c r="BA40" s="136"/>
      <c r="BB40" s="136"/>
      <c r="BC40" s="136"/>
      <c r="BD40" s="136"/>
      <c r="BE40" s="136"/>
      <c r="BF40" s="136"/>
      <c r="BG40" s="136"/>
      <c r="BH40" s="136"/>
      <c r="BI40" s="136"/>
      <c r="BJ40" s="136"/>
      <c r="BK40" s="136"/>
      <c r="BL40" s="136"/>
      <c r="BM40" s="136"/>
      <c r="BN40" s="136"/>
      <c r="BO40" s="136"/>
      <c r="BP40" s="136"/>
      <c r="BQ40" s="136"/>
      <c r="BR40" s="136"/>
    </row>
    <row r="41" spans="1:70">
      <c r="A41" s="308"/>
      <c r="B41" s="136"/>
      <c r="C41" s="322" t="s">
        <v>578</v>
      </c>
      <c r="D41" s="322"/>
      <c r="E41" s="322"/>
      <c r="F41" s="322"/>
      <c r="G41" s="322"/>
      <c r="H41" s="307"/>
      <c r="I41" s="307"/>
      <c r="J41" s="304"/>
      <c r="K41" s="304"/>
      <c r="L41" s="304"/>
      <c r="R41" s="304"/>
      <c r="S41" s="304"/>
      <c r="T41" s="335"/>
      <c r="U41" s="304"/>
      <c r="V41" s="335"/>
      <c r="W41" s="334"/>
      <c r="X41" s="136"/>
      <c r="Y41" s="136"/>
      <c r="Z41" s="136"/>
      <c r="AA41" s="136"/>
      <c r="AB41" s="136"/>
      <c r="AC41" s="136"/>
      <c r="AD41" s="136"/>
      <c r="AE41" s="136"/>
      <c r="AF41" s="136"/>
      <c r="AG41" s="136"/>
      <c r="AH41" s="136"/>
      <c r="AI41" s="136"/>
      <c r="AJ41" s="136"/>
      <c r="AK41" s="136"/>
      <c r="AL41" s="136"/>
      <c r="AM41" s="136"/>
      <c r="AN41" s="136"/>
      <c r="AO41" s="136"/>
      <c r="AP41" s="136"/>
      <c r="AQ41" s="136"/>
      <c r="AR41" s="136"/>
      <c r="AS41" s="136"/>
      <c r="AT41" s="136"/>
      <c r="AU41" s="136"/>
      <c r="AV41" s="136"/>
      <c r="AW41" s="136"/>
      <c r="AX41" s="136"/>
      <c r="AY41" s="136"/>
      <c r="AZ41" s="136"/>
      <c r="BA41" s="136"/>
      <c r="BB41" s="136"/>
      <c r="BC41" s="136"/>
      <c r="BD41" s="136"/>
      <c r="BE41" s="136"/>
      <c r="BF41" s="136"/>
      <c r="BG41" s="136"/>
      <c r="BH41" s="136"/>
      <c r="BI41" s="136"/>
      <c r="BJ41" s="136"/>
      <c r="BK41" s="136"/>
      <c r="BL41" s="136"/>
      <c r="BM41" s="136"/>
      <c r="BN41" s="136"/>
      <c r="BO41" s="136"/>
      <c r="BP41" s="136"/>
      <c r="BQ41" s="136"/>
      <c r="BR41" s="136"/>
    </row>
    <row r="42" spans="1:70" ht="15.75">
      <c r="A42" s="308" t="s">
        <v>577</v>
      </c>
      <c r="B42" s="136"/>
      <c r="C42" s="322" t="s">
        <v>576</v>
      </c>
      <c r="D42" s="322"/>
      <c r="E42" s="322"/>
      <c r="F42" s="322"/>
      <c r="G42" s="322"/>
      <c r="H42" s="372" t="s">
        <v>575</v>
      </c>
      <c r="I42" s="372"/>
      <c r="J42" s="375">
        <f>'ATC Att O'!I182</f>
        <v>30834735</v>
      </c>
      <c r="K42" s="304"/>
      <c r="R42" s="304"/>
      <c r="S42" s="380"/>
      <c r="T42" s="335"/>
      <c r="U42" s="379"/>
      <c r="V42" s="364"/>
      <c r="W42" s="334"/>
      <c r="X42" s="136"/>
      <c r="Y42" s="136"/>
      <c r="Z42" s="136"/>
      <c r="AA42" s="136"/>
      <c r="AB42" s="136"/>
      <c r="AC42" s="136"/>
      <c r="AD42" s="136"/>
      <c r="AE42" s="136"/>
      <c r="AF42" s="136"/>
      <c r="AG42" s="136"/>
      <c r="AH42" s="136"/>
      <c r="AI42" s="136"/>
      <c r="AJ42" s="136"/>
      <c r="AK42" s="136"/>
      <c r="AL42" s="136"/>
      <c r="AM42" s="136"/>
      <c r="AN42" s="136"/>
      <c r="AO42" s="136"/>
      <c r="AP42" s="136"/>
      <c r="AQ42" s="136"/>
      <c r="AR42" s="136"/>
      <c r="AS42" s="136"/>
      <c r="AT42" s="136"/>
      <c r="AU42" s="136"/>
      <c r="AV42" s="136"/>
      <c r="AW42" s="136"/>
      <c r="AX42" s="136"/>
      <c r="AY42" s="136"/>
      <c r="AZ42" s="136"/>
      <c r="BA42" s="136"/>
      <c r="BB42" s="136"/>
      <c r="BC42" s="136"/>
      <c r="BD42" s="136"/>
      <c r="BE42" s="136"/>
      <c r="BF42" s="136"/>
      <c r="BG42" s="136"/>
      <c r="BH42" s="136"/>
      <c r="BI42" s="136"/>
      <c r="BJ42" s="136"/>
      <c r="BK42" s="136"/>
      <c r="BL42" s="136"/>
      <c r="BM42" s="136"/>
      <c r="BN42" s="136"/>
      <c r="BO42" s="136"/>
      <c r="BP42" s="136"/>
      <c r="BQ42" s="136"/>
      <c r="BR42" s="136"/>
    </row>
    <row r="43" spans="1:70" ht="15.75">
      <c r="A43" s="308" t="s">
        <v>574</v>
      </c>
      <c r="B43" s="136"/>
      <c r="C43" s="322" t="s">
        <v>573</v>
      </c>
      <c r="D43" s="322"/>
      <c r="E43" s="322"/>
      <c r="F43" s="322"/>
      <c r="G43" s="322"/>
      <c r="H43" s="372" t="s">
        <v>572</v>
      </c>
      <c r="I43" s="372"/>
      <c r="J43" s="306">
        <f>IF(J42=0,0,J42/J18)</f>
        <v>4.2717179021550047E-3</v>
      </c>
      <c r="K43" s="306"/>
      <c r="L43" s="374">
        <f>J43</f>
        <v>4.2717179021550047E-3</v>
      </c>
      <c r="R43" s="304"/>
      <c r="S43" s="303"/>
      <c r="T43" s="335"/>
      <c r="U43" s="378"/>
      <c r="V43" s="364"/>
      <c r="W43" s="334"/>
      <c r="X43" s="136"/>
      <c r="Y43" s="136"/>
      <c r="Z43" s="136"/>
      <c r="AA43" s="136"/>
      <c r="AB43" s="136"/>
      <c r="AC43" s="136"/>
      <c r="AD43" s="136"/>
      <c r="AE43" s="136"/>
      <c r="AF43" s="136"/>
      <c r="AG43" s="136"/>
      <c r="AH43" s="136"/>
      <c r="AI43" s="136"/>
      <c r="AJ43" s="136"/>
      <c r="AK43" s="136"/>
      <c r="AL43" s="136"/>
      <c r="AM43" s="136"/>
      <c r="AN43" s="136"/>
      <c r="AO43" s="136"/>
      <c r="AP43" s="136"/>
      <c r="AQ43" s="136"/>
      <c r="AR43" s="136"/>
      <c r="AS43" s="136"/>
      <c r="AT43" s="136"/>
      <c r="AU43" s="136"/>
      <c r="AV43" s="136"/>
      <c r="AW43" s="136"/>
      <c r="AX43" s="136"/>
      <c r="AY43" s="136"/>
      <c r="AZ43" s="136"/>
      <c r="BA43" s="136"/>
      <c r="BB43" s="136"/>
      <c r="BC43" s="136"/>
      <c r="BD43" s="136"/>
      <c r="BE43" s="136"/>
      <c r="BF43" s="136"/>
      <c r="BG43" s="136"/>
      <c r="BH43" s="136"/>
      <c r="BI43" s="136"/>
      <c r="BJ43" s="136"/>
      <c r="BK43" s="136"/>
      <c r="BL43" s="136"/>
      <c r="BM43" s="136"/>
      <c r="BN43" s="136"/>
      <c r="BO43" s="136"/>
      <c r="BP43" s="136"/>
      <c r="BQ43" s="136"/>
      <c r="BR43" s="136"/>
    </row>
    <row r="44" spans="1:70">
      <c r="A44" s="308"/>
      <c r="B44" s="136"/>
      <c r="C44" s="322"/>
      <c r="D44" s="322"/>
      <c r="E44" s="322"/>
      <c r="F44" s="322"/>
      <c r="G44" s="322"/>
      <c r="H44" s="372"/>
      <c r="I44" s="372"/>
      <c r="J44" s="304"/>
      <c r="K44" s="304"/>
      <c r="L44" s="304"/>
      <c r="R44" s="304"/>
      <c r="V44" s="335"/>
      <c r="W44" s="334"/>
      <c r="X44" s="136"/>
      <c r="Y44" s="136"/>
      <c r="Z44" s="136"/>
      <c r="AA44" s="136"/>
      <c r="AB44" s="136"/>
      <c r="AC44" s="136"/>
      <c r="AD44" s="136"/>
      <c r="AE44" s="136"/>
      <c r="AF44" s="136"/>
      <c r="AG44" s="136"/>
      <c r="AH44" s="136"/>
      <c r="AI44" s="136"/>
      <c r="AJ44" s="136"/>
      <c r="AK44" s="136"/>
      <c r="AL44" s="136"/>
      <c r="AM44" s="136"/>
      <c r="AN44" s="136"/>
      <c r="AO44" s="136"/>
      <c r="AP44" s="136"/>
      <c r="AQ44" s="136"/>
      <c r="AR44" s="136"/>
      <c r="AS44" s="136"/>
      <c r="AT44" s="136"/>
      <c r="AU44" s="136"/>
      <c r="AV44" s="136"/>
      <c r="AW44" s="136"/>
      <c r="AX44" s="136"/>
      <c r="AY44" s="136"/>
      <c r="AZ44" s="136"/>
      <c r="BA44" s="136"/>
      <c r="BB44" s="136"/>
      <c r="BC44" s="136"/>
      <c r="BD44" s="136"/>
      <c r="BE44" s="136"/>
      <c r="BF44" s="136"/>
      <c r="BG44" s="136"/>
      <c r="BH44" s="136"/>
      <c r="BI44" s="136"/>
      <c r="BJ44" s="136"/>
      <c r="BK44" s="136"/>
      <c r="BL44" s="136"/>
      <c r="BM44" s="136"/>
      <c r="BN44" s="136"/>
      <c r="BO44" s="136"/>
      <c r="BP44" s="136"/>
      <c r="BQ44" s="136"/>
      <c r="BR44" s="136"/>
    </row>
    <row r="45" spans="1:70" ht="15.75">
      <c r="A45" s="371" t="s">
        <v>571</v>
      </c>
      <c r="B45" s="370"/>
      <c r="C45" s="360" t="s">
        <v>697</v>
      </c>
      <c r="D45" s="360"/>
      <c r="E45" s="360"/>
      <c r="F45" s="360"/>
      <c r="G45" s="360"/>
      <c r="H45" s="369" t="s">
        <v>696</v>
      </c>
      <c r="I45" s="369"/>
      <c r="J45" s="192">
        <f>J35+J39+J43</f>
        <v>1.2673547463826927E-2</v>
      </c>
      <c r="K45" s="192"/>
      <c r="L45" s="192">
        <f>L35+L39+L43</f>
        <v>1.2673547463826927E-2</v>
      </c>
      <c r="R45" s="304"/>
      <c r="V45" s="335"/>
      <c r="W45" s="334"/>
      <c r="X45" s="136"/>
      <c r="Y45" s="136"/>
      <c r="Z45" s="136"/>
      <c r="AA45" s="136"/>
      <c r="AB45" s="136"/>
      <c r="AC45" s="136"/>
      <c r="AD45" s="136"/>
      <c r="AE45" s="136"/>
      <c r="AF45" s="136"/>
      <c r="AG45" s="136"/>
      <c r="AH45" s="136"/>
      <c r="AI45" s="136"/>
      <c r="AJ45" s="136"/>
      <c r="AK45" s="136"/>
      <c r="AL45" s="136"/>
      <c r="AM45" s="136"/>
      <c r="AN45" s="136"/>
      <c r="AO45" s="136"/>
      <c r="AP45" s="136"/>
      <c r="AQ45" s="136"/>
      <c r="AR45" s="136"/>
      <c r="AS45" s="136"/>
      <c r="AT45" s="136"/>
      <c r="AU45" s="136"/>
      <c r="AV45" s="136"/>
      <c r="AW45" s="136"/>
      <c r="AX45" s="136"/>
      <c r="AY45" s="136"/>
      <c r="AZ45" s="136"/>
      <c r="BA45" s="136"/>
      <c r="BB45" s="136"/>
      <c r="BC45" s="136"/>
      <c r="BD45" s="136"/>
      <c r="BE45" s="136"/>
      <c r="BF45" s="136"/>
      <c r="BG45" s="136"/>
      <c r="BH45" s="136"/>
      <c r="BI45" s="136"/>
      <c r="BJ45" s="136"/>
      <c r="BK45" s="136"/>
      <c r="BL45" s="136"/>
      <c r="BM45" s="136"/>
      <c r="BN45" s="136"/>
      <c r="BO45" s="136"/>
      <c r="BP45" s="136"/>
      <c r="BQ45" s="136"/>
      <c r="BR45" s="136"/>
    </row>
    <row r="46" spans="1:70">
      <c r="A46" s="308"/>
      <c r="B46" s="136"/>
      <c r="C46" s="322"/>
      <c r="D46" s="322"/>
      <c r="E46" s="322"/>
      <c r="F46" s="322"/>
      <c r="G46" s="322"/>
      <c r="H46" s="372"/>
      <c r="I46" s="372"/>
      <c r="J46" s="304"/>
      <c r="K46" s="304"/>
      <c r="L46" s="304"/>
      <c r="R46" s="304"/>
      <c r="S46" s="304"/>
      <c r="T46" s="335"/>
      <c r="U46" s="377"/>
      <c r="V46" s="335"/>
      <c r="W46" s="334"/>
      <c r="X46" s="136"/>
      <c r="Y46" s="136"/>
      <c r="Z46" s="136"/>
      <c r="AA46" s="136"/>
      <c r="AB46" s="136"/>
      <c r="AC46" s="136"/>
      <c r="AD46" s="136"/>
      <c r="AE46" s="136"/>
      <c r="AF46" s="136"/>
      <c r="AG46" s="136"/>
      <c r="AH46" s="136"/>
      <c r="AI46" s="136"/>
      <c r="AJ46" s="136"/>
      <c r="AK46" s="136"/>
      <c r="AL46" s="136"/>
      <c r="AM46" s="136"/>
      <c r="AN46" s="136"/>
      <c r="AO46" s="136"/>
      <c r="AP46" s="136"/>
      <c r="AQ46" s="136"/>
      <c r="AR46" s="136"/>
      <c r="AS46" s="136"/>
      <c r="AT46" s="136"/>
      <c r="AU46" s="136"/>
      <c r="AV46" s="136"/>
      <c r="AW46" s="136"/>
      <c r="AX46" s="136"/>
      <c r="AY46" s="136"/>
      <c r="AZ46" s="136"/>
      <c r="BA46" s="136"/>
      <c r="BB46" s="136"/>
      <c r="BC46" s="136"/>
      <c r="BD46" s="136"/>
      <c r="BE46" s="136"/>
      <c r="BF46" s="136"/>
      <c r="BG46" s="136"/>
      <c r="BH46" s="136"/>
      <c r="BI46" s="136"/>
      <c r="BJ46" s="136"/>
      <c r="BK46" s="136"/>
      <c r="BL46" s="136"/>
      <c r="BM46" s="136"/>
      <c r="BN46" s="136"/>
      <c r="BO46" s="136"/>
      <c r="BP46" s="136"/>
      <c r="BQ46" s="136"/>
      <c r="BR46" s="136"/>
    </row>
    <row r="47" spans="1:70">
      <c r="A47" s="308"/>
      <c r="B47" s="136"/>
      <c r="C47" s="304" t="s">
        <v>569</v>
      </c>
      <c r="D47" s="304"/>
      <c r="E47" s="304"/>
      <c r="F47" s="304"/>
      <c r="G47" s="304"/>
      <c r="H47" s="372"/>
      <c r="I47" s="372"/>
      <c r="J47" s="304"/>
      <c r="K47" s="304"/>
      <c r="L47" s="304"/>
      <c r="R47" s="376"/>
      <c r="S47" s="323"/>
      <c r="V47" s="364"/>
      <c r="W47" s="335" t="s">
        <v>3</v>
      </c>
      <c r="X47" s="136"/>
      <c r="Y47" s="136"/>
      <c r="Z47" s="136"/>
      <c r="AA47" s="136"/>
      <c r="AB47" s="136"/>
      <c r="AC47" s="136"/>
      <c r="AD47" s="136"/>
      <c r="AE47" s="136"/>
      <c r="AF47" s="136"/>
      <c r="AG47" s="136"/>
      <c r="AH47" s="136"/>
      <c r="AI47" s="136"/>
      <c r="AJ47" s="136"/>
      <c r="AK47" s="136"/>
      <c r="AL47" s="136"/>
      <c r="AM47" s="136"/>
      <c r="AN47" s="136"/>
      <c r="AO47" s="136"/>
      <c r="AP47" s="136"/>
      <c r="AQ47" s="136"/>
      <c r="AR47" s="136"/>
      <c r="AS47" s="136"/>
      <c r="AT47" s="136"/>
      <c r="AU47" s="136"/>
      <c r="AV47" s="136"/>
      <c r="AW47" s="136"/>
      <c r="AX47" s="136"/>
      <c r="AY47" s="136"/>
      <c r="AZ47" s="136"/>
      <c r="BA47" s="136"/>
      <c r="BB47" s="136"/>
      <c r="BC47" s="136"/>
      <c r="BD47" s="136"/>
      <c r="BE47" s="136"/>
      <c r="BF47" s="136"/>
      <c r="BG47" s="136"/>
      <c r="BH47" s="136"/>
      <c r="BI47" s="136"/>
      <c r="BJ47" s="136"/>
      <c r="BK47" s="136"/>
      <c r="BL47" s="136"/>
      <c r="BM47" s="136"/>
      <c r="BN47" s="136"/>
      <c r="BO47" s="136"/>
      <c r="BP47" s="136"/>
      <c r="BQ47" s="136"/>
      <c r="BR47" s="136"/>
    </row>
    <row r="48" spans="1:70">
      <c r="A48" s="308" t="s">
        <v>568</v>
      </c>
      <c r="B48" s="136"/>
      <c r="C48" s="304" t="s">
        <v>500</v>
      </c>
      <c r="D48" s="304"/>
      <c r="E48" s="304"/>
      <c r="F48" s="304"/>
      <c r="G48" s="304"/>
      <c r="H48" s="372" t="s">
        <v>567</v>
      </c>
      <c r="I48" s="372"/>
      <c r="J48" s="375">
        <f>'ATC Att O'!I197</f>
        <v>69944354.698167741</v>
      </c>
      <c r="K48" s="304"/>
      <c r="L48" s="304"/>
      <c r="R48" s="376"/>
      <c r="S48" s="323"/>
      <c r="V48" s="364"/>
      <c r="W48" s="335"/>
      <c r="X48" s="136"/>
      <c r="Y48" s="136"/>
      <c r="Z48" s="136"/>
      <c r="AA48" s="136"/>
      <c r="AB48" s="136"/>
      <c r="AC48" s="136"/>
      <c r="AD48" s="136"/>
      <c r="AE48" s="136"/>
      <c r="AF48" s="136"/>
      <c r="AG48" s="136"/>
      <c r="AH48" s="136"/>
      <c r="AI48" s="136"/>
      <c r="AJ48" s="136"/>
      <c r="AK48" s="136"/>
      <c r="AL48" s="136"/>
      <c r="AM48" s="136"/>
      <c r="AN48" s="136"/>
      <c r="AO48" s="136"/>
      <c r="AP48" s="136"/>
      <c r="AQ48" s="136"/>
      <c r="AR48" s="136"/>
      <c r="AS48" s="136"/>
      <c r="AT48" s="136"/>
      <c r="AU48" s="136"/>
      <c r="AV48" s="136"/>
      <c r="AW48" s="136"/>
      <c r="AX48" s="136"/>
      <c r="AY48" s="136"/>
      <c r="AZ48" s="136"/>
      <c r="BA48" s="136"/>
      <c r="BB48" s="136"/>
      <c r="BC48" s="136"/>
      <c r="BD48" s="136"/>
      <c r="BE48" s="136"/>
      <c r="BF48" s="136"/>
      <c r="BG48" s="136"/>
      <c r="BH48" s="136"/>
      <c r="BI48" s="136"/>
      <c r="BJ48" s="136"/>
      <c r="BK48" s="136"/>
      <c r="BL48" s="136"/>
      <c r="BM48" s="136"/>
      <c r="BN48" s="136"/>
      <c r="BO48" s="136"/>
      <c r="BP48" s="136"/>
      <c r="BQ48" s="136"/>
      <c r="BR48" s="136"/>
    </row>
    <row r="49" spans="1:70" ht="15.75">
      <c r="A49" s="308" t="s">
        <v>566</v>
      </c>
      <c r="B49" s="136"/>
      <c r="C49" s="304" t="s">
        <v>565</v>
      </c>
      <c r="D49" s="304"/>
      <c r="E49" s="304"/>
      <c r="F49" s="304"/>
      <c r="G49" s="304"/>
      <c r="H49" s="372" t="s">
        <v>564</v>
      </c>
      <c r="I49" s="372"/>
      <c r="J49" s="306">
        <f>IF(J48=0,0,J48/J20)</f>
        <v>1.345241960689534E-2</v>
      </c>
      <c r="K49" s="306"/>
      <c r="L49" s="374">
        <f>J49</f>
        <v>1.345241960689534E-2</v>
      </c>
      <c r="R49" s="376"/>
      <c r="S49" s="323"/>
      <c r="T49" s="335"/>
      <c r="U49" s="335"/>
      <c r="V49" s="364"/>
      <c r="W49" s="335"/>
      <c r="X49" s="136"/>
      <c r="Y49" s="136"/>
      <c r="Z49" s="136"/>
      <c r="AA49" s="136"/>
      <c r="AB49" s="136"/>
      <c r="AC49" s="136"/>
      <c r="AD49" s="136"/>
      <c r="AE49" s="136"/>
      <c r="AF49" s="136"/>
      <c r="AG49" s="136"/>
      <c r="AH49" s="136"/>
      <c r="AI49" s="136"/>
      <c r="AJ49" s="136"/>
      <c r="AK49" s="136"/>
      <c r="AL49" s="136"/>
      <c r="AM49" s="136"/>
      <c r="AN49" s="136"/>
      <c r="AO49" s="136"/>
      <c r="AP49" s="136"/>
      <c r="AQ49" s="136"/>
      <c r="AR49" s="136"/>
      <c r="AS49" s="136"/>
      <c r="AT49" s="136"/>
      <c r="AU49" s="136"/>
      <c r="AV49" s="136"/>
      <c r="AW49" s="136"/>
      <c r="AX49" s="136"/>
      <c r="AY49" s="136"/>
      <c r="AZ49" s="136"/>
      <c r="BA49" s="136"/>
      <c r="BB49" s="136"/>
      <c r="BC49" s="136"/>
      <c r="BD49" s="136"/>
      <c r="BE49" s="136"/>
      <c r="BF49" s="136"/>
      <c r="BG49" s="136"/>
      <c r="BH49" s="136"/>
      <c r="BI49" s="136"/>
      <c r="BJ49" s="136"/>
      <c r="BK49" s="136"/>
      <c r="BL49" s="136"/>
      <c r="BM49" s="136"/>
      <c r="BN49" s="136"/>
      <c r="BO49" s="136"/>
      <c r="BP49" s="136"/>
      <c r="BQ49" s="136"/>
      <c r="BR49" s="136"/>
    </row>
    <row r="50" spans="1:70">
      <c r="A50" s="308"/>
      <c r="B50" s="136"/>
      <c r="C50" s="304"/>
      <c r="D50" s="304"/>
      <c r="E50" s="304"/>
      <c r="F50" s="304"/>
      <c r="G50" s="304"/>
      <c r="H50" s="372"/>
      <c r="I50" s="372"/>
      <c r="J50" s="304"/>
      <c r="K50" s="304"/>
      <c r="L50" s="304"/>
      <c r="R50" s="304"/>
      <c r="T50" s="336"/>
      <c r="U50" s="335"/>
      <c r="V50" s="336"/>
      <c r="W50" s="334"/>
      <c r="X50" s="136"/>
      <c r="Y50" s="136"/>
      <c r="Z50" s="136"/>
      <c r="AA50" s="136"/>
      <c r="AB50" s="136"/>
      <c r="AC50" s="136"/>
      <c r="AD50" s="136"/>
      <c r="AE50" s="136"/>
      <c r="AF50" s="136"/>
      <c r="AG50" s="136"/>
      <c r="AH50" s="136"/>
      <c r="AI50" s="136"/>
      <c r="AJ50" s="136"/>
      <c r="AK50" s="136"/>
      <c r="AL50" s="136"/>
      <c r="AM50" s="136"/>
      <c r="AN50" s="136"/>
      <c r="AO50" s="136"/>
      <c r="AP50" s="136"/>
      <c r="AQ50" s="136"/>
      <c r="AR50" s="136"/>
      <c r="AS50" s="136"/>
      <c r="AT50" s="136"/>
      <c r="AU50" s="136"/>
      <c r="AV50" s="136"/>
      <c r="AW50" s="136"/>
      <c r="AX50" s="136"/>
      <c r="AY50" s="136"/>
      <c r="AZ50" s="136"/>
      <c r="BA50" s="136"/>
      <c r="BB50" s="136"/>
      <c r="BC50" s="136"/>
      <c r="BD50" s="136"/>
      <c r="BE50" s="136"/>
      <c r="BF50" s="136"/>
      <c r="BG50" s="136"/>
      <c r="BH50" s="136"/>
      <c r="BI50" s="136"/>
      <c r="BJ50" s="136"/>
      <c r="BK50" s="136"/>
      <c r="BL50" s="136"/>
      <c r="BM50" s="136"/>
      <c r="BN50" s="136"/>
      <c r="BO50" s="136"/>
      <c r="BP50" s="136"/>
      <c r="BQ50" s="136"/>
      <c r="BR50" s="136"/>
    </row>
    <row r="51" spans="1:70">
      <c r="A51" s="308"/>
      <c r="B51" s="136"/>
      <c r="C51" s="322" t="s">
        <v>190</v>
      </c>
      <c r="D51" s="322"/>
      <c r="E51" s="322"/>
      <c r="F51" s="322"/>
      <c r="G51" s="322"/>
      <c r="H51" s="367"/>
      <c r="I51" s="367"/>
      <c r="R51" s="304"/>
      <c r="T51" s="335"/>
      <c r="U51" s="335"/>
      <c r="V51" s="335"/>
      <c r="W51" s="334"/>
      <c r="X51" s="136"/>
      <c r="Y51" s="136"/>
      <c r="Z51" s="136"/>
      <c r="AA51" s="136"/>
      <c r="AB51" s="136"/>
      <c r="AC51" s="136"/>
      <c r="AD51" s="136"/>
      <c r="AE51" s="136"/>
      <c r="AF51" s="136"/>
      <c r="AG51" s="136"/>
      <c r="AH51" s="136"/>
      <c r="AI51" s="136"/>
      <c r="AJ51" s="136"/>
      <c r="AK51" s="136"/>
      <c r="AL51" s="136"/>
      <c r="AM51" s="136"/>
      <c r="AN51" s="136"/>
      <c r="AO51" s="136"/>
      <c r="AP51" s="136"/>
      <c r="AQ51" s="136"/>
      <c r="AR51" s="136"/>
      <c r="AS51" s="136"/>
      <c r="AT51" s="136"/>
      <c r="AU51" s="136"/>
      <c r="AV51" s="136"/>
      <c r="AW51" s="136"/>
      <c r="AX51" s="136"/>
      <c r="AY51" s="136"/>
      <c r="AZ51" s="136"/>
      <c r="BA51" s="136"/>
      <c r="BB51" s="136"/>
      <c r="BC51" s="136"/>
      <c r="BD51" s="136"/>
      <c r="BE51" s="136"/>
      <c r="BF51" s="136"/>
      <c r="BG51" s="136"/>
      <c r="BH51" s="136"/>
      <c r="BI51" s="136"/>
      <c r="BJ51" s="136"/>
      <c r="BK51" s="136"/>
      <c r="BL51" s="136"/>
      <c r="BM51" s="136"/>
      <c r="BN51" s="136"/>
      <c r="BO51" s="136"/>
      <c r="BP51" s="136"/>
      <c r="BQ51" s="136"/>
      <c r="BR51" s="136"/>
    </row>
    <row r="52" spans="1:70">
      <c r="A52" s="308" t="s">
        <v>563</v>
      </c>
      <c r="B52" s="136"/>
      <c r="C52" s="322" t="s">
        <v>562</v>
      </c>
      <c r="D52" s="322"/>
      <c r="E52" s="322"/>
      <c r="F52" s="322"/>
      <c r="G52" s="322"/>
      <c r="H52" s="372" t="s">
        <v>561</v>
      </c>
      <c r="I52" s="372"/>
      <c r="J52" s="375">
        <f>'ATC Att O'!I199</f>
        <v>320043179.18467522</v>
      </c>
      <c r="K52" s="304"/>
      <c r="L52" s="304"/>
      <c r="R52" s="304"/>
      <c r="T52" s="335"/>
      <c r="U52" s="335"/>
      <c r="V52" s="335"/>
      <c r="W52" s="334"/>
      <c r="X52" s="136"/>
      <c r="Y52" s="136"/>
      <c r="Z52" s="136"/>
      <c r="AA52" s="136"/>
      <c r="AB52" s="136"/>
      <c r="AC52" s="136"/>
      <c r="AD52" s="136"/>
      <c r="AE52" s="136"/>
      <c r="AF52" s="136"/>
      <c r="AG52" s="136"/>
      <c r="AH52" s="136"/>
      <c r="AI52" s="136"/>
      <c r="AJ52" s="136"/>
      <c r="AK52" s="136"/>
      <c r="AL52" s="136"/>
      <c r="AM52" s="136"/>
      <c r="AN52" s="136"/>
      <c r="AO52" s="136"/>
      <c r="AP52" s="136"/>
      <c r="AQ52" s="136"/>
      <c r="AR52" s="136"/>
      <c r="AS52" s="136"/>
      <c r="AT52" s="136"/>
      <c r="AU52" s="136"/>
      <c r="AV52" s="136"/>
      <c r="AW52" s="136"/>
      <c r="AX52" s="136"/>
      <c r="AY52" s="136"/>
      <c r="AZ52" s="136"/>
      <c r="BA52" s="136"/>
      <c r="BB52" s="136"/>
      <c r="BC52" s="136"/>
      <c r="BD52" s="136"/>
      <c r="BE52" s="136"/>
      <c r="BF52" s="136"/>
      <c r="BG52" s="136"/>
      <c r="BH52" s="136"/>
      <c r="BI52" s="136"/>
      <c r="BJ52" s="136"/>
      <c r="BK52" s="136"/>
      <c r="BL52" s="136"/>
      <c r="BM52" s="136"/>
      <c r="BN52" s="136"/>
      <c r="BO52" s="136"/>
      <c r="BP52" s="136"/>
      <c r="BQ52" s="136"/>
      <c r="BR52" s="136"/>
    </row>
    <row r="53" spans="1:70" ht="15.75">
      <c r="A53" s="308" t="s">
        <v>560</v>
      </c>
      <c r="B53" s="136"/>
      <c r="C53" s="304" t="s">
        <v>559</v>
      </c>
      <c r="D53" s="304"/>
      <c r="E53" s="304"/>
      <c r="F53" s="304"/>
      <c r="G53" s="304"/>
      <c r="H53" s="372" t="s">
        <v>558</v>
      </c>
      <c r="I53" s="372"/>
      <c r="J53" s="200">
        <f>IF(J52=0,0,J52/J20)</f>
        <v>6.15540047126895E-2</v>
      </c>
      <c r="K53" s="200"/>
      <c r="L53" s="374">
        <f>J53</f>
        <v>6.15540047126895E-2</v>
      </c>
      <c r="R53" s="304"/>
      <c r="U53" s="373"/>
      <c r="V53" s="364"/>
      <c r="W53" s="335"/>
      <c r="X53" s="136"/>
      <c r="Y53" s="136"/>
      <c r="Z53" s="136"/>
      <c r="AA53" s="136"/>
      <c r="AB53" s="136"/>
      <c r="AC53" s="136"/>
      <c r="AD53" s="136"/>
      <c r="AE53" s="136"/>
      <c r="AF53" s="136"/>
      <c r="AG53" s="136"/>
      <c r="AH53" s="136"/>
      <c r="AI53" s="136"/>
      <c r="AJ53" s="136"/>
      <c r="AK53" s="136"/>
      <c r="AL53" s="136"/>
      <c r="AM53" s="136"/>
      <c r="AN53" s="136"/>
      <c r="AO53" s="136"/>
      <c r="AP53" s="136"/>
      <c r="AQ53" s="136"/>
      <c r="AR53" s="136"/>
      <c r="AS53" s="136"/>
      <c r="AT53" s="136"/>
      <c r="AU53" s="136"/>
      <c r="AV53" s="136"/>
      <c r="AW53" s="136"/>
      <c r="AX53" s="136"/>
      <c r="AY53" s="136"/>
      <c r="AZ53" s="136"/>
      <c r="BA53" s="136"/>
      <c r="BB53" s="136"/>
      <c r="BC53" s="136"/>
      <c r="BD53" s="136"/>
      <c r="BE53" s="136"/>
      <c r="BF53" s="136"/>
      <c r="BG53" s="136"/>
      <c r="BH53" s="136"/>
      <c r="BI53" s="136"/>
      <c r="BJ53" s="136"/>
      <c r="BK53" s="136"/>
      <c r="BL53" s="136"/>
      <c r="BM53" s="136"/>
      <c r="BN53" s="136"/>
      <c r="BO53" s="136"/>
      <c r="BP53" s="136"/>
      <c r="BQ53" s="136"/>
      <c r="BR53" s="136"/>
    </row>
    <row r="54" spans="1:70">
      <c r="A54" s="308"/>
      <c r="B54" s="136"/>
      <c r="C54" s="322"/>
      <c r="D54" s="322"/>
      <c r="E54" s="322"/>
      <c r="F54" s="322"/>
      <c r="G54" s="322"/>
      <c r="H54" s="372"/>
      <c r="I54" s="372"/>
      <c r="J54" s="304"/>
      <c r="K54" s="304"/>
      <c r="L54" s="304"/>
      <c r="R54" s="304"/>
      <c r="S54" s="367"/>
      <c r="T54" s="335"/>
      <c r="U54" s="335"/>
      <c r="V54" s="335"/>
      <c r="W54" s="334"/>
      <c r="X54" s="136"/>
      <c r="Y54" s="136"/>
      <c r="Z54" s="136"/>
      <c r="AA54" s="136"/>
      <c r="AB54" s="136"/>
      <c r="AC54" s="136"/>
      <c r="AD54" s="136"/>
      <c r="AE54" s="136"/>
      <c r="AF54" s="136"/>
      <c r="AG54" s="136"/>
      <c r="AH54" s="136"/>
      <c r="AI54" s="136"/>
      <c r="AJ54" s="136"/>
      <c r="AK54" s="136"/>
      <c r="AL54" s="136"/>
      <c r="AM54" s="136"/>
      <c r="AN54" s="136"/>
      <c r="AO54" s="136"/>
      <c r="AP54" s="136"/>
      <c r="AQ54" s="136"/>
      <c r="AR54" s="136"/>
      <c r="AS54" s="136"/>
      <c r="AT54" s="136"/>
      <c r="AU54" s="136"/>
      <c r="AV54" s="136"/>
      <c r="AW54" s="136"/>
      <c r="AX54" s="136"/>
      <c r="AY54" s="136"/>
      <c r="AZ54" s="136"/>
      <c r="BA54" s="136"/>
      <c r="BB54" s="136"/>
      <c r="BC54" s="136"/>
      <c r="BD54" s="136"/>
      <c r="BE54" s="136"/>
      <c r="BF54" s="136"/>
      <c r="BG54" s="136"/>
      <c r="BH54" s="136"/>
      <c r="BI54" s="136"/>
      <c r="BJ54" s="136"/>
      <c r="BK54" s="136"/>
      <c r="BL54" s="136"/>
      <c r="BM54" s="136"/>
      <c r="BN54" s="136"/>
      <c r="BO54" s="136"/>
      <c r="BP54" s="136"/>
      <c r="BQ54" s="136"/>
      <c r="BR54" s="136"/>
    </row>
    <row r="55" spans="1:70" ht="15.75">
      <c r="A55" s="371" t="s">
        <v>557</v>
      </c>
      <c r="B55" s="370"/>
      <c r="C55" s="360" t="s">
        <v>543</v>
      </c>
      <c r="D55" s="360"/>
      <c r="E55" s="360"/>
      <c r="F55" s="360"/>
      <c r="G55" s="360"/>
      <c r="H55" s="369" t="s">
        <v>556</v>
      </c>
      <c r="I55" s="369"/>
      <c r="J55" s="192">
        <f>J49+J53</f>
        <v>7.5006424319584847E-2</v>
      </c>
      <c r="K55" s="368"/>
      <c r="L55" s="192">
        <f>L49+L53</f>
        <v>7.5006424319584847E-2</v>
      </c>
      <c r="R55" s="304"/>
      <c r="S55" s="367"/>
      <c r="T55" s="335"/>
      <c r="U55" s="335"/>
      <c r="V55" s="335"/>
      <c r="W55" s="334"/>
      <c r="X55" s="136"/>
      <c r="Y55" s="136"/>
      <c r="Z55" s="136"/>
      <c r="AA55" s="136"/>
      <c r="AB55" s="136"/>
      <c r="AC55" s="136"/>
      <c r="AD55" s="136"/>
      <c r="AE55" s="136"/>
      <c r="AF55" s="136"/>
      <c r="AG55" s="136"/>
      <c r="AH55" s="136"/>
      <c r="AI55" s="136"/>
      <c r="AJ55" s="136"/>
      <c r="AK55" s="136"/>
      <c r="AL55" s="136"/>
      <c r="AM55" s="136"/>
      <c r="AN55" s="136"/>
      <c r="AO55" s="136"/>
      <c r="AP55" s="136"/>
      <c r="AQ55" s="136"/>
      <c r="AR55" s="136"/>
      <c r="AS55" s="136"/>
      <c r="AT55" s="136"/>
      <c r="AU55" s="136"/>
      <c r="AV55" s="136"/>
      <c r="AW55" s="136"/>
      <c r="AX55" s="136"/>
      <c r="AY55" s="136"/>
      <c r="AZ55" s="136"/>
      <c r="BA55" s="136"/>
      <c r="BB55" s="136"/>
      <c r="BC55" s="136"/>
      <c r="BD55" s="136"/>
      <c r="BE55" s="136"/>
      <c r="BF55" s="136"/>
      <c r="BG55" s="136"/>
      <c r="BH55" s="136"/>
      <c r="BI55" s="136"/>
      <c r="BJ55" s="136"/>
      <c r="BK55" s="136"/>
      <c r="BL55" s="136"/>
      <c r="BM55" s="136"/>
      <c r="BN55" s="136"/>
      <c r="BO55" s="136"/>
      <c r="BP55" s="136"/>
      <c r="BQ55" s="136"/>
      <c r="BR55" s="136"/>
    </row>
    <row r="56" spans="1:70">
      <c r="A56" s="136"/>
      <c r="B56" s="136"/>
      <c r="C56" s="136"/>
      <c r="D56" s="136"/>
      <c r="E56" s="136"/>
      <c r="F56" s="136"/>
      <c r="G56" s="136"/>
      <c r="H56" s="136"/>
      <c r="I56" s="136"/>
      <c r="R56" s="366"/>
      <c r="S56" s="366"/>
      <c r="T56" s="335"/>
      <c r="U56" s="335"/>
      <c r="V56" s="335"/>
      <c r="W56" s="334"/>
      <c r="X56" s="136"/>
      <c r="Y56" s="136"/>
      <c r="Z56" s="136"/>
      <c r="AA56" s="136"/>
      <c r="AB56" s="136"/>
      <c r="AC56" s="136"/>
      <c r="AD56" s="136"/>
      <c r="AE56" s="136"/>
      <c r="AF56" s="136"/>
      <c r="AG56" s="136"/>
      <c r="AH56" s="136"/>
      <c r="AI56" s="136"/>
      <c r="AJ56" s="136"/>
      <c r="AK56" s="136"/>
      <c r="AL56" s="136"/>
      <c r="AM56" s="136"/>
      <c r="AN56" s="136"/>
      <c r="AO56" s="136"/>
      <c r="AP56" s="136"/>
      <c r="AQ56" s="136"/>
      <c r="AR56" s="136"/>
      <c r="AS56" s="136"/>
      <c r="AT56" s="136"/>
      <c r="AU56" s="136"/>
      <c r="AV56" s="136"/>
      <c r="AW56" s="136"/>
      <c r="AX56" s="136"/>
      <c r="AY56" s="136"/>
      <c r="AZ56" s="136"/>
      <c r="BA56" s="136"/>
      <c r="BB56" s="136"/>
      <c r="BC56" s="136"/>
      <c r="BD56" s="136"/>
      <c r="BE56" s="136"/>
      <c r="BF56" s="136"/>
      <c r="BG56" s="136"/>
      <c r="BH56" s="136"/>
      <c r="BI56" s="136"/>
      <c r="BJ56" s="136"/>
      <c r="BK56" s="136"/>
      <c r="BL56" s="136"/>
      <c r="BM56" s="136"/>
      <c r="BN56" s="136"/>
      <c r="BO56" s="136"/>
      <c r="BP56" s="136"/>
      <c r="BQ56" s="136"/>
      <c r="BR56" s="136"/>
    </row>
    <row r="57" spans="1:70">
      <c r="A57" s="365"/>
      <c r="B57" s="136"/>
      <c r="C57" s="305"/>
      <c r="D57" s="305"/>
      <c r="E57" s="305"/>
      <c r="F57" s="305"/>
      <c r="G57" s="305"/>
      <c r="H57" s="305"/>
      <c r="I57" s="305"/>
      <c r="J57" s="304"/>
      <c r="K57" s="304"/>
      <c r="L57" s="305"/>
      <c r="M57" s="305"/>
      <c r="N57" s="305"/>
      <c r="O57" s="305"/>
      <c r="P57" s="305"/>
      <c r="R57" s="304"/>
      <c r="S57" s="304"/>
      <c r="T57" s="335"/>
      <c r="U57" s="335"/>
      <c r="V57" s="364"/>
      <c r="W57" s="335" t="s">
        <v>3</v>
      </c>
      <c r="X57" s="136"/>
      <c r="Y57" s="136"/>
      <c r="Z57" s="136"/>
      <c r="AA57" s="136"/>
      <c r="AB57" s="136"/>
      <c r="AC57" s="136"/>
      <c r="AD57" s="136"/>
      <c r="AE57" s="136"/>
      <c r="AF57" s="136"/>
      <c r="AG57" s="136"/>
      <c r="AH57" s="136"/>
      <c r="AI57" s="136"/>
      <c r="AJ57" s="136"/>
      <c r="AK57" s="136"/>
      <c r="AL57" s="136"/>
      <c r="AM57" s="136"/>
      <c r="AN57" s="136"/>
      <c r="AO57" s="136"/>
      <c r="AP57" s="136"/>
      <c r="AQ57" s="136"/>
      <c r="AR57" s="136"/>
      <c r="AS57" s="136"/>
      <c r="AT57" s="136"/>
      <c r="AU57" s="136"/>
      <c r="AV57" s="136"/>
      <c r="AW57" s="136"/>
      <c r="AX57" s="136"/>
      <c r="AY57" s="136"/>
      <c r="AZ57" s="136"/>
      <c r="BA57" s="136"/>
      <c r="BB57" s="136"/>
      <c r="BC57" s="136"/>
      <c r="BD57" s="136"/>
      <c r="BE57" s="136"/>
      <c r="BF57" s="136"/>
      <c r="BG57" s="136"/>
      <c r="BH57" s="136"/>
      <c r="BI57" s="136"/>
      <c r="BJ57" s="136"/>
      <c r="BK57" s="136"/>
      <c r="BL57" s="136"/>
      <c r="BM57" s="136"/>
      <c r="BN57" s="136"/>
      <c r="BO57" s="136"/>
      <c r="BP57" s="136"/>
      <c r="BQ57" s="136"/>
      <c r="BR57" s="136"/>
    </row>
    <row r="58" spans="1:70">
      <c r="S58" s="363"/>
    </row>
    <row r="59" spans="1:70">
      <c r="S59" s="363"/>
    </row>
    <row r="61" spans="1:70">
      <c r="A61" s="361"/>
      <c r="C61" s="305"/>
      <c r="D61" s="305"/>
      <c r="E61" s="305"/>
      <c r="F61" s="305"/>
      <c r="G61" s="305"/>
      <c r="H61" s="305"/>
      <c r="I61" s="305"/>
      <c r="J61" s="304"/>
      <c r="K61" s="304"/>
      <c r="L61" s="305"/>
      <c r="M61" s="305"/>
      <c r="N61" s="305"/>
      <c r="O61" s="305"/>
      <c r="P61" s="305"/>
      <c r="R61" s="304"/>
      <c r="S61" s="363" t="s">
        <v>695</v>
      </c>
      <c r="T61" s="335"/>
      <c r="U61" s="336"/>
      <c r="V61" s="335"/>
      <c r="W61" s="334"/>
      <c r="X61" s="136"/>
      <c r="Y61" s="136"/>
      <c r="Z61" s="136"/>
      <c r="AA61" s="136"/>
      <c r="AB61" s="136"/>
      <c r="AC61" s="136"/>
      <c r="AD61" s="136"/>
      <c r="AE61" s="136"/>
      <c r="AF61" s="136"/>
      <c r="AG61" s="136"/>
      <c r="AH61" s="136"/>
      <c r="AI61" s="136"/>
      <c r="AJ61" s="136"/>
      <c r="AK61" s="136"/>
      <c r="AL61" s="136"/>
      <c r="AM61" s="136"/>
      <c r="AN61" s="136"/>
      <c r="AO61" s="136"/>
      <c r="AP61" s="136"/>
      <c r="AQ61" s="136"/>
      <c r="AR61" s="136"/>
      <c r="AS61" s="136"/>
      <c r="AT61" s="136"/>
      <c r="AU61" s="136"/>
      <c r="AV61" s="136"/>
      <c r="AW61" s="136"/>
      <c r="AX61" s="136"/>
      <c r="AY61" s="136"/>
      <c r="AZ61" s="136"/>
      <c r="BA61" s="136"/>
      <c r="BB61" s="136"/>
      <c r="BC61" s="136"/>
      <c r="BD61" s="136"/>
      <c r="BE61" s="136"/>
      <c r="BF61" s="136"/>
      <c r="BG61" s="136"/>
      <c r="BH61" s="136"/>
      <c r="BI61" s="136"/>
      <c r="BJ61" s="136"/>
      <c r="BK61" s="136"/>
      <c r="BL61" s="136"/>
      <c r="BM61" s="136"/>
      <c r="BN61" s="136"/>
      <c r="BO61" s="136"/>
      <c r="BP61" s="136"/>
      <c r="BQ61" s="136"/>
      <c r="BR61" s="136"/>
    </row>
    <row r="62" spans="1:70">
      <c r="A62" s="361"/>
      <c r="C62" s="322" t="str">
        <f>C5</f>
        <v>Formula Rate calculation</v>
      </c>
      <c r="D62" s="322"/>
      <c r="E62" s="322"/>
      <c r="F62" s="322"/>
      <c r="G62" s="322"/>
      <c r="H62" s="305"/>
      <c r="I62" s="305"/>
      <c r="J62" s="305" t="str">
        <f>J5</f>
        <v xml:space="preserve">     Rate Formula Template</v>
      </c>
      <c r="K62" s="305"/>
      <c r="L62" s="305"/>
      <c r="M62" s="305"/>
      <c r="N62" s="305"/>
      <c r="O62" s="305"/>
      <c r="P62" s="305"/>
      <c r="R62" s="304"/>
      <c r="S62" s="362" t="str">
        <f>S5</f>
        <v>For the 12 months ended 12/31/2022</v>
      </c>
      <c r="T62" s="335"/>
      <c r="U62" s="336"/>
      <c r="V62" s="335"/>
      <c r="W62" s="334"/>
      <c r="X62" s="136"/>
      <c r="Y62" s="136"/>
      <c r="Z62" s="136"/>
      <c r="AA62" s="136"/>
      <c r="AB62" s="136"/>
      <c r="AC62" s="136"/>
      <c r="AD62" s="136"/>
      <c r="AE62" s="136"/>
      <c r="AF62" s="136"/>
      <c r="AG62" s="136"/>
      <c r="AH62" s="136"/>
      <c r="AI62" s="136"/>
      <c r="AJ62" s="136"/>
      <c r="AK62" s="136"/>
      <c r="AL62" s="136"/>
      <c r="AM62" s="136"/>
      <c r="AN62" s="136"/>
      <c r="AO62" s="136"/>
      <c r="AP62" s="136"/>
      <c r="AQ62" s="136"/>
      <c r="AR62" s="136"/>
      <c r="AS62" s="136"/>
      <c r="AT62" s="136"/>
      <c r="AU62" s="136"/>
      <c r="AV62" s="136"/>
      <c r="AW62" s="136"/>
      <c r="AX62" s="136"/>
      <c r="AY62" s="136"/>
      <c r="AZ62" s="136"/>
      <c r="BA62" s="136"/>
      <c r="BB62" s="136"/>
      <c r="BC62" s="136"/>
      <c r="BD62" s="136"/>
      <c r="BE62" s="136"/>
      <c r="BF62" s="136"/>
      <c r="BG62" s="136"/>
      <c r="BH62" s="136"/>
      <c r="BI62" s="136"/>
      <c r="BJ62" s="136"/>
      <c r="BK62" s="136"/>
      <c r="BL62" s="136"/>
      <c r="BM62" s="136"/>
      <c r="BN62" s="136"/>
      <c r="BO62" s="136"/>
      <c r="BP62" s="136"/>
      <c r="BQ62" s="136"/>
      <c r="BR62" s="136"/>
    </row>
    <row r="63" spans="1:70">
      <c r="A63" s="361"/>
      <c r="C63" s="322"/>
      <c r="D63" s="322"/>
      <c r="E63" s="322"/>
      <c r="F63" s="322"/>
      <c r="G63" s="322"/>
      <c r="H63" s="305"/>
      <c r="I63" s="305"/>
      <c r="J63" s="304" t="s">
        <v>554</v>
      </c>
      <c r="K63" s="305"/>
      <c r="L63" s="305"/>
      <c r="M63" s="305"/>
      <c r="N63" s="305"/>
      <c r="O63" s="305"/>
      <c r="P63" s="305"/>
      <c r="Q63" s="304"/>
      <c r="R63" s="304"/>
      <c r="T63" s="335"/>
      <c r="U63" s="336"/>
      <c r="V63" s="335"/>
      <c r="W63" s="334"/>
      <c r="X63" s="136"/>
      <c r="Y63" s="136"/>
      <c r="Z63" s="136"/>
      <c r="AA63" s="136"/>
      <c r="AB63" s="136"/>
      <c r="AC63" s="136"/>
      <c r="AD63" s="136"/>
      <c r="AE63" s="136"/>
      <c r="AF63" s="136"/>
      <c r="AG63" s="136"/>
      <c r="AH63" s="136"/>
      <c r="AI63" s="136"/>
      <c r="AJ63" s="136"/>
      <c r="AK63" s="136"/>
      <c r="AL63" s="136"/>
      <c r="AM63" s="136"/>
      <c r="AN63" s="136"/>
      <c r="AO63" s="136"/>
      <c r="AP63" s="136"/>
      <c r="AQ63" s="136"/>
      <c r="AR63" s="136"/>
      <c r="AS63" s="136"/>
      <c r="AT63" s="136"/>
      <c r="AU63" s="136"/>
      <c r="AV63" s="136"/>
      <c r="AW63" s="136"/>
      <c r="AX63" s="136"/>
      <c r="AY63" s="136"/>
      <c r="AZ63" s="136"/>
      <c r="BA63" s="136"/>
      <c r="BB63" s="136"/>
      <c r="BC63" s="136"/>
      <c r="BD63" s="136"/>
      <c r="BE63" s="136"/>
      <c r="BF63" s="136"/>
      <c r="BG63" s="136"/>
      <c r="BH63" s="136"/>
      <c r="BI63" s="136"/>
      <c r="BJ63" s="136"/>
      <c r="BK63" s="136"/>
      <c r="BL63" s="136"/>
      <c r="BM63" s="136"/>
      <c r="BN63" s="136"/>
      <c r="BO63" s="136"/>
      <c r="BP63" s="136"/>
      <c r="BQ63" s="136"/>
      <c r="BR63" s="136"/>
    </row>
    <row r="64" spans="1:70" ht="14.25" customHeight="1">
      <c r="A64" s="361"/>
      <c r="C64" s="305"/>
      <c r="D64" s="305"/>
      <c r="E64" s="305"/>
      <c r="F64" s="305"/>
      <c r="G64" s="305"/>
      <c r="H64" s="305"/>
      <c r="I64" s="305"/>
      <c r="J64" s="305"/>
      <c r="K64" s="305"/>
      <c r="L64" s="305"/>
      <c r="M64" s="305"/>
      <c r="N64" s="305"/>
      <c r="O64" s="305"/>
      <c r="P64" s="305"/>
      <c r="R64" s="304"/>
      <c r="S64" s="305" t="s">
        <v>553</v>
      </c>
      <c r="T64" s="335"/>
      <c r="U64" s="336"/>
      <c r="V64" s="335"/>
      <c r="W64" s="334"/>
      <c r="X64" s="136"/>
      <c r="Y64" s="136"/>
      <c r="Z64" s="136"/>
      <c r="AA64" s="136"/>
      <c r="AB64" s="136"/>
      <c r="AC64" s="136"/>
      <c r="AD64" s="136"/>
      <c r="AE64" s="136"/>
      <c r="AF64" s="136"/>
      <c r="AG64" s="136"/>
      <c r="AH64" s="136"/>
      <c r="AI64" s="136"/>
      <c r="AJ64" s="136"/>
      <c r="AK64" s="136"/>
      <c r="AL64" s="136"/>
      <c r="AM64" s="136"/>
      <c r="AN64" s="136"/>
      <c r="AO64" s="136"/>
      <c r="AP64" s="136"/>
      <c r="AQ64" s="136"/>
      <c r="AR64" s="136"/>
      <c r="AS64" s="136"/>
      <c r="AT64" s="136"/>
      <c r="AU64" s="136"/>
      <c r="AV64" s="136"/>
      <c r="AW64" s="136"/>
      <c r="AX64" s="136"/>
      <c r="AY64" s="136"/>
      <c r="AZ64" s="136"/>
      <c r="BA64" s="136"/>
      <c r="BB64" s="136"/>
      <c r="BC64" s="136"/>
      <c r="BD64" s="136"/>
      <c r="BE64" s="136"/>
      <c r="BF64" s="136"/>
      <c r="BG64" s="136"/>
      <c r="BH64" s="136"/>
      <c r="BI64" s="136"/>
      <c r="BJ64" s="136"/>
      <c r="BK64" s="136"/>
      <c r="BL64" s="136"/>
      <c r="BM64" s="136"/>
      <c r="BN64" s="136"/>
      <c r="BO64" s="136"/>
      <c r="BP64" s="136"/>
      <c r="BQ64" s="136"/>
      <c r="BR64" s="136"/>
    </row>
    <row r="65" spans="1:70">
      <c r="A65" s="361"/>
      <c r="H65" s="305"/>
      <c r="I65" s="305"/>
      <c r="J65" s="305" t="str">
        <f>J8</f>
        <v>American Transmission Company LLC</v>
      </c>
      <c r="K65" s="305"/>
      <c r="L65" s="305"/>
      <c r="M65" s="305"/>
      <c r="N65" s="305"/>
      <c r="O65" s="305"/>
      <c r="P65" s="305"/>
      <c r="Q65" s="305"/>
      <c r="R65" s="304"/>
      <c r="S65" s="304"/>
      <c r="T65" s="335"/>
      <c r="U65" s="336"/>
      <c r="V65" s="335"/>
      <c r="W65" s="334"/>
      <c r="X65" s="136"/>
      <c r="Y65" s="136"/>
      <c r="Z65" s="136"/>
      <c r="AA65" s="136"/>
      <c r="AB65" s="136"/>
      <c r="AC65" s="136"/>
      <c r="AD65" s="136"/>
      <c r="AE65" s="136"/>
      <c r="AF65" s="136"/>
      <c r="AG65" s="136"/>
      <c r="AH65" s="136"/>
      <c r="AI65" s="136"/>
      <c r="AJ65" s="136"/>
      <c r="AK65" s="136"/>
      <c r="AL65" s="136"/>
      <c r="AM65" s="136"/>
      <c r="AN65" s="136"/>
      <c r="AO65" s="136"/>
      <c r="AP65" s="136"/>
      <c r="AQ65" s="136"/>
      <c r="AR65" s="136"/>
      <c r="AS65" s="136"/>
      <c r="AT65" s="136"/>
      <c r="AU65" s="136"/>
      <c r="AV65" s="136"/>
      <c r="AW65" s="136"/>
      <c r="AX65" s="136"/>
      <c r="AY65" s="136"/>
      <c r="AZ65" s="136"/>
      <c r="BA65" s="136"/>
      <c r="BB65" s="136"/>
      <c r="BC65" s="136"/>
      <c r="BD65" s="136"/>
      <c r="BE65" s="136"/>
      <c r="BF65" s="136"/>
      <c r="BG65" s="136"/>
      <c r="BH65" s="136"/>
      <c r="BI65" s="136"/>
      <c r="BJ65" s="136"/>
      <c r="BK65" s="136"/>
      <c r="BL65" s="136"/>
      <c r="BM65" s="136"/>
      <c r="BN65" s="136"/>
      <c r="BO65" s="136"/>
      <c r="BP65" s="136"/>
      <c r="BQ65" s="136"/>
      <c r="BR65" s="136"/>
    </row>
    <row r="66" spans="1:70">
      <c r="A66" s="361"/>
      <c r="H66" s="322"/>
      <c r="I66" s="322"/>
      <c r="J66" s="322"/>
      <c r="K66" s="322"/>
      <c r="L66" s="322"/>
      <c r="M66" s="322"/>
      <c r="N66" s="322"/>
      <c r="O66" s="322"/>
      <c r="P66" s="322"/>
      <c r="Q66" s="322"/>
      <c r="R66" s="322"/>
      <c r="S66" s="322"/>
      <c r="T66" s="335"/>
      <c r="U66" s="336"/>
      <c r="V66" s="335"/>
      <c r="W66" s="334"/>
      <c r="X66" s="136"/>
      <c r="Y66" s="136"/>
      <c r="Z66" s="136"/>
      <c r="AA66" s="136"/>
      <c r="AB66" s="136"/>
      <c r="AC66" s="136"/>
      <c r="AD66" s="136"/>
      <c r="AE66" s="136"/>
      <c r="AF66" s="136"/>
      <c r="AG66" s="136"/>
      <c r="AH66" s="136"/>
      <c r="AI66" s="136"/>
      <c r="AJ66" s="136"/>
      <c r="AK66" s="136"/>
      <c r="AL66" s="136"/>
      <c r="AM66" s="136"/>
      <c r="AN66" s="136"/>
      <c r="AO66" s="136"/>
      <c r="AP66" s="136"/>
      <c r="AQ66" s="136"/>
      <c r="AR66" s="136"/>
      <c r="AS66" s="136"/>
      <c r="AT66" s="136"/>
      <c r="AU66" s="136"/>
      <c r="AV66" s="136"/>
      <c r="AW66" s="136"/>
      <c r="AX66" s="136"/>
      <c r="AY66" s="136"/>
      <c r="AZ66" s="136"/>
      <c r="BA66" s="136"/>
      <c r="BB66" s="136"/>
      <c r="BC66" s="136"/>
      <c r="BD66" s="136"/>
      <c r="BE66" s="136"/>
      <c r="BF66" s="136"/>
      <c r="BG66" s="136"/>
      <c r="BH66" s="136"/>
      <c r="BI66" s="136"/>
      <c r="BJ66" s="136"/>
      <c r="BK66" s="136"/>
      <c r="BL66" s="136"/>
      <c r="BM66" s="136"/>
      <c r="BN66" s="136"/>
      <c r="BO66" s="136"/>
      <c r="BP66" s="136"/>
      <c r="BQ66" s="136"/>
      <c r="BR66" s="136"/>
    </row>
    <row r="67" spans="1:70" ht="15.75">
      <c r="A67" s="361"/>
      <c r="C67" s="305"/>
      <c r="D67" s="305"/>
      <c r="E67" s="305"/>
      <c r="F67" s="305"/>
      <c r="G67" s="305"/>
      <c r="H67" s="360" t="s">
        <v>694</v>
      </c>
      <c r="I67" s="360"/>
      <c r="L67" s="157"/>
      <c r="M67" s="157"/>
      <c r="N67" s="157"/>
      <c r="O67" s="157"/>
      <c r="P67" s="157"/>
      <c r="Q67" s="157"/>
      <c r="R67" s="304"/>
      <c r="S67" s="304"/>
      <c r="T67" s="335"/>
      <c r="U67" s="336"/>
      <c r="V67" s="335"/>
      <c r="W67" s="334"/>
      <c r="X67" s="136"/>
      <c r="Y67" s="136"/>
      <c r="Z67" s="136"/>
      <c r="AA67" s="136"/>
      <c r="AB67" s="136"/>
      <c r="AC67" s="136"/>
      <c r="AD67" s="136"/>
      <c r="AE67" s="136"/>
      <c r="AF67" s="136"/>
      <c r="AG67" s="136"/>
      <c r="AH67" s="136"/>
      <c r="AI67" s="136"/>
      <c r="AJ67" s="136"/>
      <c r="AK67" s="136"/>
      <c r="AL67" s="136"/>
      <c r="AM67" s="136"/>
      <c r="AN67" s="136"/>
      <c r="AO67" s="136"/>
      <c r="AP67" s="136"/>
      <c r="AQ67" s="136"/>
      <c r="AR67" s="136"/>
      <c r="AS67" s="136"/>
      <c r="AT67" s="136"/>
      <c r="AU67" s="136"/>
      <c r="AV67" s="136"/>
      <c r="AW67" s="136"/>
      <c r="AX67" s="136"/>
      <c r="AY67" s="136"/>
      <c r="AZ67" s="136"/>
      <c r="BA67" s="136"/>
      <c r="BB67" s="136"/>
      <c r="BC67" s="136"/>
      <c r="BD67" s="136"/>
      <c r="BE67" s="136"/>
      <c r="BF67" s="136"/>
      <c r="BG67" s="136"/>
      <c r="BH67" s="136"/>
      <c r="BI67" s="136"/>
      <c r="BJ67" s="136"/>
      <c r="BK67" s="136"/>
      <c r="BL67" s="136"/>
      <c r="BM67" s="136"/>
      <c r="BN67" s="136"/>
      <c r="BO67" s="136"/>
      <c r="BP67" s="136"/>
      <c r="BQ67" s="136"/>
      <c r="BR67" s="136"/>
    </row>
    <row r="68" spans="1:70" ht="15.75">
      <c r="A68" s="361"/>
      <c r="C68" s="305"/>
      <c r="D68" s="305"/>
      <c r="E68" s="305"/>
      <c r="F68" s="305"/>
      <c r="G68" s="305"/>
      <c r="H68" s="360"/>
      <c r="I68" s="360"/>
      <c r="L68" s="157"/>
      <c r="M68" s="157"/>
      <c r="N68" s="157"/>
      <c r="O68" s="157"/>
      <c r="P68" s="157"/>
      <c r="Q68" s="157"/>
      <c r="R68" s="304"/>
      <c r="S68" s="304"/>
      <c r="T68" s="335"/>
      <c r="U68" s="336"/>
      <c r="V68" s="335"/>
      <c r="W68" s="334"/>
      <c r="X68" s="136"/>
      <c r="Y68" s="136"/>
      <c r="Z68" s="136"/>
      <c r="AA68" s="136"/>
      <c r="AB68" s="136"/>
      <c r="AC68" s="136"/>
      <c r="AD68" s="136"/>
      <c r="AE68" s="136"/>
      <c r="AF68" s="136"/>
      <c r="AG68" s="136"/>
      <c r="AH68" s="136"/>
      <c r="AI68" s="136"/>
      <c r="AJ68" s="136"/>
      <c r="AK68" s="136"/>
      <c r="AL68" s="136"/>
      <c r="AM68" s="136"/>
      <c r="AN68" s="136"/>
      <c r="AO68" s="136"/>
      <c r="AP68" s="136"/>
      <c r="AQ68" s="136"/>
      <c r="AR68" s="136"/>
      <c r="AS68" s="136"/>
      <c r="AT68" s="136"/>
      <c r="AU68" s="136"/>
      <c r="AV68" s="136"/>
      <c r="AW68" s="136"/>
      <c r="AX68" s="136"/>
      <c r="AY68" s="136"/>
      <c r="AZ68" s="136"/>
      <c r="BA68" s="136"/>
      <c r="BB68" s="136"/>
      <c r="BC68" s="136"/>
      <c r="BD68" s="136"/>
      <c r="BE68" s="136"/>
      <c r="BF68" s="136"/>
      <c r="BG68" s="136"/>
      <c r="BH68" s="136"/>
      <c r="BI68" s="136"/>
      <c r="BJ68" s="136"/>
      <c r="BK68" s="136"/>
      <c r="BL68" s="136"/>
      <c r="BM68" s="136"/>
      <c r="BN68" s="136"/>
      <c r="BO68" s="136"/>
      <c r="BP68" s="136"/>
      <c r="BQ68" s="136"/>
      <c r="BR68" s="136"/>
    </row>
    <row r="69" spans="1:70" ht="15.75">
      <c r="A69" s="359"/>
      <c r="C69" s="358" t="s">
        <v>62</v>
      </c>
      <c r="D69" s="358" t="s">
        <v>63</v>
      </c>
      <c r="E69" s="358" t="s">
        <v>64</v>
      </c>
      <c r="F69" s="358" t="s">
        <v>65</v>
      </c>
      <c r="G69" s="358" t="s">
        <v>66</v>
      </c>
      <c r="H69" s="358" t="s">
        <v>693</v>
      </c>
      <c r="I69" s="358" t="s">
        <v>692</v>
      </c>
      <c r="J69" s="358" t="s">
        <v>691</v>
      </c>
      <c r="K69" s="358" t="s">
        <v>690</v>
      </c>
      <c r="L69" s="358" t="s">
        <v>689</v>
      </c>
      <c r="M69" s="358" t="s">
        <v>688</v>
      </c>
      <c r="N69" s="358" t="s">
        <v>687</v>
      </c>
      <c r="O69" s="358" t="s">
        <v>686</v>
      </c>
      <c r="P69" s="358" t="s">
        <v>685</v>
      </c>
      <c r="Q69" s="358" t="s">
        <v>684</v>
      </c>
      <c r="R69" s="358" t="s">
        <v>683</v>
      </c>
      <c r="S69" s="358" t="s">
        <v>682</v>
      </c>
      <c r="T69" s="335"/>
      <c r="U69" s="336"/>
      <c r="V69" s="335"/>
      <c r="W69" s="334"/>
      <c r="X69" s="136"/>
      <c r="Y69" s="136"/>
      <c r="Z69" s="136"/>
      <c r="AA69" s="136"/>
      <c r="AB69" s="136"/>
      <c r="AC69" s="136"/>
      <c r="AD69" s="136"/>
      <c r="AE69" s="136"/>
      <c r="AF69" s="136"/>
      <c r="AG69" s="136"/>
      <c r="AH69" s="136"/>
      <c r="AI69" s="136"/>
      <c r="AJ69" s="136"/>
      <c r="AK69" s="136"/>
      <c r="AL69" s="136"/>
      <c r="AM69" s="136"/>
      <c r="AN69" s="136"/>
      <c r="AO69" s="136"/>
      <c r="AP69" s="136"/>
      <c r="AQ69" s="136"/>
      <c r="AR69" s="136"/>
      <c r="AS69" s="136"/>
      <c r="AT69" s="136"/>
      <c r="AU69" s="136"/>
      <c r="AV69" s="136"/>
      <c r="AW69" s="136"/>
      <c r="AX69" s="136"/>
      <c r="AY69" s="136"/>
      <c r="AZ69" s="136"/>
      <c r="BA69" s="136"/>
      <c r="BB69" s="136"/>
      <c r="BC69" s="136"/>
      <c r="BD69" s="136"/>
      <c r="BE69" s="136"/>
      <c r="BF69" s="136"/>
      <c r="BG69" s="136"/>
      <c r="BH69" s="136"/>
      <c r="BI69" s="136"/>
      <c r="BJ69" s="136"/>
      <c r="BK69" s="136"/>
      <c r="BL69" s="136"/>
      <c r="BM69" s="136"/>
      <c r="BN69" s="136"/>
      <c r="BO69" s="136"/>
      <c r="BP69" s="136"/>
      <c r="BQ69" s="136"/>
      <c r="BR69" s="136"/>
    </row>
    <row r="70" spans="1:70" ht="65.25" customHeight="1">
      <c r="A70" s="357" t="s">
        <v>550</v>
      </c>
      <c r="B70" s="356"/>
      <c r="C70" s="355" t="s">
        <v>549</v>
      </c>
      <c r="D70" s="355" t="s">
        <v>548</v>
      </c>
      <c r="E70" s="355" t="s">
        <v>681</v>
      </c>
      <c r="F70" s="355" t="s">
        <v>680</v>
      </c>
      <c r="G70" s="355" t="s">
        <v>679</v>
      </c>
      <c r="H70" s="173" t="s">
        <v>678</v>
      </c>
      <c r="I70" s="173" t="s">
        <v>677</v>
      </c>
      <c r="J70" s="354" t="s">
        <v>676</v>
      </c>
      <c r="K70" s="353" t="s">
        <v>545</v>
      </c>
      <c r="L70" s="173" t="s">
        <v>544</v>
      </c>
      <c r="M70" s="173" t="s">
        <v>543</v>
      </c>
      <c r="N70" s="353" t="s">
        <v>542</v>
      </c>
      <c r="O70" s="173" t="s">
        <v>541</v>
      </c>
      <c r="P70" s="173" t="s">
        <v>540</v>
      </c>
      <c r="Q70" s="351" t="s">
        <v>539</v>
      </c>
      <c r="R70" s="352" t="s">
        <v>538</v>
      </c>
      <c r="S70" s="351" t="s">
        <v>675</v>
      </c>
      <c r="T70" s="350"/>
      <c r="U70" s="336"/>
      <c r="V70" s="335"/>
      <c r="W70" s="334"/>
      <c r="X70" s="136"/>
      <c r="Y70" s="136"/>
      <c r="Z70" s="136"/>
      <c r="AA70" s="136"/>
      <c r="AB70" s="136"/>
      <c r="AC70" s="136"/>
      <c r="AD70" s="136"/>
      <c r="AE70" s="136"/>
      <c r="AF70" s="136"/>
      <c r="AG70" s="136"/>
      <c r="AH70" s="136"/>
      <c r="AI70" s="136"/>
      <c r="AJ70" s="136"/>
      <c r="AK70" s="136"/>
      <c r="AL70" s="136"/>
      <c r="AM70" s="136"/>
      <c r="AN70" s="136"/>
      <c r="AO70" s="136"/>
      <c r="AP70" s="136"/>
      <c r="AQ70" s="136"/>
      <c r="AR70" s="136"/>
      <c r="AS70" s="136"/>
      <c r="AT70" s="136"/>
      <c r="AU70" s="136"/>
      <c r="AV70" s="136"/>
      <c r="AW70" s="136"/>
      <c r="AX70" s="136"/>
      <c r="AY70" s="136"/>
      <c r="AZ70" s="136"/>
      <c r="BA70" s="136"/>
      <c r="BB70" s="136"/>
      <c r="BC70" s="136"/>
      <c r="BD70" s="136"/>
      <c r="BE70" s="136"/>
      <c r="BF70" s="136"/>
      <c r="BG70" s="136"/>
      <c r="BH70" s="136"/>
      <c r="BI70" s="136"/>
      <c r="BJ70" s="136"/>
      <c r="BK70" s="136"/>
      <c r="BL70" s="136"/>
      <c r="BM70" s="136"/>
      <c r="BN70" s="136"/>
      <c r="BO70" s="136"/>
      <c r="BP70" s="136"/>
      <c r="BQ70" s="136"/>
      <c r="BR70" s="136"/>
    </row>
    <row r="71" spans="1:70" ht="46.5" customHeight="1">
      <c r="A71" s="349"/>
      <c r="B71" s="347"/>
      <c r="C71" s="347"/>
      <c r="D71" s="347"/>
      <c r="E71" s="348" t="s">
        <v>33</v>
      </c>
      <c r="F71" s="347"/>
      <c r="G71" s="346" t="s">
        <v>674</v>
      </c>
      <c r="H71" s="344" t="s">
        <v>673</v>
      </c>
      <c r="I71" s="343" t="s">
        <v>672</v>
      </c>
      <c r="J71" s="344" t="s">
        <v>671</v>
      </c>
      <c r="K71" s="345" t="s">
        <v>670</v>
      </c>
      <c r="L71" s="344" t="s">
        <v>669</v>
      </c>
      <c r="M71" s="343" t="s">
        <v>534</v>
      </c>
      <c r="N71" s="342" t="s">
        <v>668</v>
      </c>
      <c r="O71" s="343" t="s">
        <v>57</v>
      </c>
      <c r="P71" s="343" t="s">
        <v>532</v>
      </c>
      <c r="Q71" s="342" t="s">
        <v>667</v>
      </c>
      <c r="R71" s="341" t="s">
        <v>530</v>
      </c>
      <c r="S71" s="340" t="s">
        <v>666</v>
      </c>
      <c r="T71" s="335"/>
      <c r="U71" s="336"/>
      <c r="V71" s="335"/>
      <c r="W71" s="334"/>
      <c r="X71" s="136"/>
      <c r="Y71" s="136"/>
      <c r="Z71" s="136"/>
      <c r="AA71" s="136"/>
      <c r="AB71" s="136"/>
      <c r="AC71" s="136"/>
      <c r="AD71" s="136"/>
      <c r="AE71" s="136"/>
      <c r="AF71" s="136"/>
      <c r="AG71" s="136"/>
      <c r="AH71" s="136"/>
      <c r="AI71" s="136"/>
      <c r="AJ71" s="136"/>
      <c r="AK71" s="136"/>
      <c r="AL71" s="136"/>
      <c r="AM71" s="136"/>
      <c r="AN71" s="136"/>
      <c r="AO71" s="136"/>
      <c r="AP71" s="136"/>
      <c r="AQ71" s="136"/>
      <c r="AR71" s="136"/>
      <c r="AS71" s="136"/>
      <c r="AT71" s="136"/>
      <c r="AU71" s="136"/>
      <c r="AV71" s="136"/>
      <c r="AW71" s="136"/>
      <c r="AX71" s="136"/>
      <c r="AY71" s="136"/>
      <c r="AZ71" s="136"/>
      <c r="BA71" s="136"/>
      <c r="BB71" s="136"/>
      <c r="BC71" s="136"/>
      <c r="BD71" s="136"/>
      <c r="BE71" s="136"/>
      <c r="BF71" s="136"/>
      <c r="BG71" s="136"/>
      <c r="BH71" s="136"/>
      <c r="BI71" s="136"/>
      <c r="BJ71" s="136"/>
      <c r="BK71" s="136"/>
      <c r="BL71" s="136"/>
      <c r="BM71" s="136"/>
      <c r="BN71" s="136"/>
      <c r="BO71" s="136"/>
      <c r="BP71" s="136"/>
      <c r="BQ71" s="136"/>
      <c r="BR71" s="136"/>
    </row>
    <row r="72" spans="1:70">
      <c r="A72" s="339" t="s">
        <v>665</v>
      </c>
      <c r="B72" s="157"/>
      <c r="C72" s="157"/>
      <c r="D72" s="157"/>
      <c r="E72" s="157"/>
      <c r="F72" s="157"/>
      <c r="G72" s="157"/>
      <c r="H72" s="157"/>
      <c r="I72" s="157"/>
      <c r="J72" s="157"/>
      <c r="K72" s="338"/>
      <c r="L72" s="157"/>
      <c r="M72" s="157"/>
      <c r="N72" s="338"/>
      <c r="O72" s="157"/>
      <c r="P72" s="157"/>
      <c r="Q72" s="338"/>
      <c r="R72" s="304"/>
      <c r="S72" s="337"/>
      <c r="T72" s="335"/>
      <c r="U72" s="336"/>
      <c r="V72" s="335"/>
      <c r="W72" s="334"/>
      <c r="X72" s="136"/>
      <c r="Y72" s="136"/>
      <c r="Z72" s="136"/>
      <c r="AA72" s="136"/>
      <c r="AB72" s="136"/>
      <c r="AC72" s="136"/>
      <c r="AD72" s="136"/>
      <c r="AE72" s="136"/>
      <c r="AF72" s="136"/>
      <c r="AG72" s="136"/>
      <c r="AH72" s="136"/>
      <c r="AI72" s="136"/>
      <c r="AJ72" s="136"/>
      <c r="AK72" s="136"/>
      <c r="AL72" s="136"/>
      <c r="AM72" s="136"/>
      <c r="AN72" s="136"/>
      <c r="AO72" s="136"/>
      <c r="AP72" s="136"/>
      <c r="AQ72" s="136"/>
      <c r="AR72" s="136"/>
      <c r="AS72" s="136"/>
      <c r="AT72" s="136"/>
      <c r="AU72" s="136"/>
      <c r="AV72" s="136"/>
      <c r="AW72" s="136"/>
      <c r="AX72" s="136"/>
      <c r="AY72" s="136"/>
      <c r="AZ72" s="136"/>
      <c r="BA72" s="136"/>
      <c r="BB72" s="136"/>
      <c r="BC72" s="136"/>
      <c r="BD72" s="136"/>
      <c r="BE72" s="136"/>
      <c r="BF72" s="136"/>
      <c r="BG72" s="136"/>
      <c r="BH72" s="136"/>
      <c r="BI72" s="136"/>
      <c r="BJ72" s="136"/>
      <c r="BK72" s="136"/>
      <c r="BL72" s="136"/>
      <c r="BM72" s="136"/>
      <c r="BN72" s="136"/>
      <c r="BO72" s="136"/>
      <c r="BP72" s="136"/>
      <c r="BQ72" s="136"/>
      <c r="BR72" s="136"/>
    </row>
    <row r="73" spans="1:70" s="136" customFormat="1">
      <c r="A73" s="954" t="s">
        <v>143</v>
      </c>
      <c r="B73" s="955"/>
      <c r="C73" s="932" t="s">
        <v>959</v>
      </c>
      <c r="D73" s="933">
        <v>2844</v>
      </c>
      <c r="E73" s="934">
        <f>'MM Support Data'!C23</f>
        <v>33509843.040000003</v>
      </c>
      <c r="F73" s="934">
        <f>'MM Support Data'!C39</f>
        <v>6249445.9095359994</v>
      </c>
      <c r="G73" s="935">
        <f>$L$30</f>
        <v>4.4694485132795447E-2</v>
      </c>
      <c r="H73" s="936">
        <f>F73*G73</f>
        <v>279315.76729196607</v>
      </c>
      <c r="I73" s="935">
        <f>$L$45</f>
        <v>1.2673547463826927E-2</v>
      </c>
      <c r="J73" s="936">
        <f>E73*I73</f>
        <v>424688.58627283043</v>
      </c>
      <c r="K73" s="937">
        <f>H73+J73</f>
        <v>704004.3535647965</v>
      </c>
      <c r="L73" s="934">
        <f>'MM Support Data'!C56</f>
        <v>27260397.130463999</v>
      </c>
      <c r="M73" s="935">
        <f>$L$55</f>
        <v>7.5006424319584847E-2</v>
      </c>
      <c r="N73" s="937">
        <f>L73*M73</f>
        <v>2044704.9142879758</v>
      </c>
      <c r="O73" s="934">
        <f>'MM Support Data'!C61</f>
        <v>700355.71953600005</v>
      </c>
      <c r="P73" s="934">
        <f>'MM Support Data'!C66</f>
        <v>0</v>
      </c>
      <c r="Q73" s="937">
        <f>K73+N73+O73+P73</f>
        <v>3449064.987388772</v>
      </c>
      <c r="R73" s="934">
        <f>INDEX('MM True-up Template'!$A$52:$AO$64,MATCH(D73,'MM True-up Template'!$A$52:$A$64,0),MATCH("N",'MM True-up Template'!$A$52:$AO$52,0))</f>
        <v>334149.39363281679</v>
      </c>
      <c r="S73" s="937">
        <f>Q73+R73</f>
        <v>3783214.3810215886</v>
      </c>
      <c r="U73" s="150"/>
    </row>
    <row r="74" spans="1:70" s="136" customFormat="1" ht="30">
      <c r="A74" s="954" t="s">
        <v>528</v>
      </c>
      <c r="B74" s="955"/>
      <c r="C74" s="932" t="s">
        <v>960</v>
      </c>
      <c r="D74" s="933">
        <v>3127</v>
      </c>
      <c r="E74" s="934">
        <f>'MM Support Data'!D23</f>
        <v>406727273.02100778</v>
      </c>
      <c r="F74" s="934">
        <f>'MM Support Data'!D39</f>
        <v>24817076.769958161</v>
      </c>
      <c r="G74" s="935">
        <f>$L$30</f>
        <v>4.4694485132795447E-2</v>
      </c>
      <c r="H74" s="936">
        <f>F74*G74</f>
        <v>1109186.4687343382</v>
      </c>
      <c r="I74" s="935">
        <f>$L$45</f>
        <v>1.2673547463826927E-2</v>
      </c>
      <c r="J74" s="936">
        <f>E74*I74</f>
        <v>5154677.3994646352</v>
      </c>
      <c r="K74" s="937">
        <f>H74+J74</f>
        <v>6263863.8681989731</v>
      </c>
      <c r="L74" s="934">
        <f>'MM Support Data'!D56</f>
        <v>381910196.25104958</v>
      </c>
      <c r="M74" s="935">
        <f>$L$55</f>
        <v>7.5006424319584847E-2</v>
      </c>
      <c r="N74" s="937">
        <f>L74*M74</f>
        <v>28645718.231982145</v>
      </c>
      <c r="O74" s="934">
        <f>'MM Support Data'!D61</f>
        <v>6348097.5711120004</v>
      </c>
      <c r="P74" s="934">
        <f>ROUND('MM Support Data'!D66,0)</f>
        <v>0</v>
      </c>
      <c r="Q74" s="937">
        <f>K74+N74+O74+P74</f>
        <v>41257679.671293117</v>
      </c>
      <c r="R74" s="934">
        <f>INDEX('MM True-up Template'!$A$52:$AO$64,MATCH(D74,'MM True-up Template'!$A$52:$A$64,0),MATCH("N",'MM True-up Template'!$A$52:$AO$52,0))</f>
        <v>1960564.1668656699</v>
      </c>
      <c r="S74" s="937">
        <f>Q74+R74</f>
        <v>43218243.838158786</v>
      </c>
      <c r="U74" s="150"/>
    </row>
    <row r="75" spans="1:70" s="136" customFormat="1">
      <c r="A75" s="333"/>
      <c r="C75" s="332"/>
      <c r="D75" s="331"/>
      <c r="E75" s="330"/>
      <c r="F75" s="330"/>
      <c r="G75" s="200"/>
      <c r="H75" s="330"/>
      <c r="I75" s="200"/>
      <c r="J75" s="330"/>
      <c r="K75" s="329"/>
      <c r="L75" s="330"/>
      <c r="M75" s="200"/>
      <c r="N75" s="329"/>
      <c r="O75" s="330"/>
      <c r="P75" s="330"/>
      <c r="Q75" s="329"/>
      <c r="R75" s="330"/>
      <c r="S75" s="329"/>
      <c r="U75" s="150"/>
    </row>
    <row r="76" spans="1:70" s="136" customFormat="1">
      <c r="A76" s="333"/>
      <c r="C76" s="332"/>
      <c r="D76" s="331"/>
      <c r="E76" s="330"/>
      <c r="F76" s="330"/>
      <c r="G76" s="200"/>
      <c r="H76" s="330"/>
      <c r="I76" s="200"/>
      <c r="J76" s="330"/>
      <c r="K76" s="329"/>
      <c r="L76" s="330"/>
      <c r="M76" s="200"/>
      <c r="N76" s="329"/>
      <c r="O76" s="330"/>
      <c r="P76" s="330"/>
      <c r="Q76" s="329"/>
      <c r="R76" s="330"/>
      <c r="S76" s="329"/>
      <c r="U76" s="150"/>
    </row>
    <row r="77" spans="1:70" s="136" customFormat="1">
      <c r="A77" s="333"/>
      <c r="C77" s="332" t="s">
        <v>663</v>
      </c>
      <c r="D77" s="331" t="s">
        <v>663</v>
      </c>
      <c r="E77" s="330"/>
      <c r="F77" s="330"/>
      <c r="G77" s="200"/>
      <c r="H77" s="330"/>
      <c r="I77" s="200"/>
      <c r="J77" s="330"/>
      <c r="K77" s="329"/>
      <c r="L77" s="330"/>
      <c r="M77" s="200"/>
      <c r="N77" s="329"/>
      <c r="O77" s="330"/>
      <c r="P77" s="330"/>
      <c r="Q77" s="329"/>
      <c r="R77" s="330"/>
      <c r="S77" s="329"/>
      <c r="U77" s="150"/>
    </row>
    <row r="78" spans="1:70" s="136" customFormat="1">
      <c r="A78" s="333"/>
      <c r="C78" s="332" t="s">
        <v>663</v>
      </c>
      <c r="D78" s="331" t="s">
        <v>663</v>
      </c>
      <c r="E78" s="330"/>
      <c r="F78" s="330"/>
      <c r="G78" s="200"/>
      <c r="H78" s="330"/>
      <c r="I78" s="200"/>
      <c r="J78" s="330"/>
      <c r="K78" s="329"/>
      <c r="L78" s="330"/>
      <c r="M78" s="200"/>
      <c r="N78" s="329"/>
      <c r="O78" s="330"/>
      <c r="P78" s="330"/>
      <c r="Q78" s="329"/>
      <c r="R78" s="330"/>
      <c r="S78" s="329"/>
      <c r="U78" s="150"/>
    </row>
    <row r="79" spans="1:70" s="136" customFormat="1">
      <c r="A79" s="333"/>
      <c r="C79" s="332" t="s">
        <v>663</v>
      </c>
      <c r="D79" s="331" t="s">
        <v>663</v>
      </c>
      <c r="E79" s="330"/>
      <c r="F79" s="330"/>
      <c r="G79" s="200"/>
      <c r="H79" s="330"/>
      <c r="I79" s="200"/>
      <c r="J79" s="330"/>
      <c r="K79" s="329"/>
      <c r="L79" s="330"/>
      <c r="M79" s="200"/>
      <c r="N79" s="329"/>
      <c r="O79" s="330"/>
      <c r="P79" s="330"/>
      <c r="Q79" s="329"/>
      <c r="R79" s="330"/>
      <c r="S79" s="329"/>
      <c r="U79" s="150"/>
    </row>
    <row r="80" spans="1:70" s="136" customFormat="1">
      <c r="A80" s="333"/>
      <c r="C80" s="332" t="s">
        <v>663</v>
      </c>
      <c r="D80" s="331" t="s">
        <v>663</v>
      </c>
      <c r="E80" s="330"/>
      <c r="F80" s="330"/>
      <c r="G80" s="200"/>
      <c r="H80" s="330"/>
      <c r="I80" s="200"/>
      <c r="J80" s="330"/>
      <c r="K80" s="329"/>
      <c r="L80" s="330"/>
      <c r="M80" s="200"/>
      <c r="N80" s="329"/>
      <c r="O80" s="330"/>
      <c r="P80" s="330"/>
      <c r="Q80" s="329"/>
      <c r="R80" s="330"/>
      <c r="S80" s="329"/>
      <c r="U80" s="150"/>
    </row>
    <row r="81" spans="1:21" s="136" customFormat="1">
      <c r="A81" s="333"/>
      <c r="C81" s="332" t="s">
        <v>663</v>
      </c>
      <c r="D81" s="331" t="s">
        <v>663</v>
      </c>
      <c r="E81" s="330"/>
      <c r="F81" s="330"/>
      <c r="G81" s="200"/>
      <c r="H81" s="330"/>
      <c r="I81" s="200"/>
      <c r="J81" s="330"/>
      <c r="K81" s="329"/>
      <c r="L81" s="330"/>
      <c r="M81" s="200"/>
      <c r="N81" s="329"/>
      <c r="O81" s="330"/>
      <c r="P81" s="330"/>
      <c r="Q81" s="329"/>
      <c r="R81" s="330"/>
      <c r="S81" s="329"/>
      <c r="U81" s="150"/>
    </row>
    <row r="82" spans="1:21" s="136" customFormat="1">
      <c r="A82" s="333"/>
      <c r="C82" s="332" t="s">
        <v>663</v>
      </c>
      <c r="D82" s="331" t="s">
        <v>663</v>
      </c>
      <c r="E82" s="330"/>
      <c r="F82" s="330"/>
      <c r="G82" s="200"/>
      <c r="H82" s="330"/>
      <c r="I82" s="200"/>
      <c r="J82" s="330"/>
      <c r="K82" s="329"/>
      <c r="L82" s="330"/>
      <c r="M82" s="200"/>
      <c r="N82" s="329"/>
      <c r="O82" s="330"/>
      <c r="P82" s="330"/>
      <c r="Q82" s="329"/>
      <c r="R82" s="330"/>
      <c r="S82" s="329"/>
      <c r="U82" s="150"/>
    </row>
    <row r="83" spans="1:21" s="136" customFormat="1">
      <c r="A83" s="333"/>
      <c r="C83" s="332" t="s">
        <v>663</v>
      </c>
      <c r="D83" s="331" t="s">
        <v>663</v>
      </c>
      <c r="E83" s="330"/>
      <c r="F83" s="330"/>
      <c r="G83" s="200"/>
      <c r="H83" s="330"/>
      <c r="I83" s="200"/>
      <c r="J83" s="330"/>
      <c r="K83" s="329"/>
      <c r="L83" s="330"/>
      <c r="M83" s="200"/>
      <c r="N83" s="329"/>
      <c r="O83" s="330"/>
      <c r="P83" s="330"/>
      <c r="Q83" s="329"/>
      <c r="R83" s="330"/>
      <c r="S83" s="329"/>
      <c r="U83" s="150"/>
    </row>
    <row r="84" spans="1:21" s="136" customFormat="1">
      <c r="A84" s="333"/>
      <c r="C84" s="332" t="s">
        <v>663</v>
      </c>
      <c r="D84" s="331" t="s">
        <v>663</v>
      </c>
      <c r="E84" s="330"/>
      <c r="F84" s="330"/>
      <c r="G84" s="200"/>
      <c r="H84" s="330"/>
      <c r="I84" s="200"/>
      <c r="J84" s="330"/>
      <c r="K84" s="329"/>
      <c r="L84" s="330"/>
      <c r="M84" s="200"/>
      <c r="N84" s="329"/>
      <c r="O84" s="330"/>
      <c r="P84" s="330"/>
      <c r="Q84" s="329"/>
      <c r="R84" s="330"/>
      <c r="S84" s="329"/>
      <c r="U84" s="150"/>
    </row>
    <row r="85" spans="1:21" s="136" customFormat="1">
      <c r="A85" s="333"/>
      <c r="C85" s="332" t="s">
        <v>663</v>
      </c>
      <c r="D85" s="331" t="s">
        <v>663</v>
      </c>
      <c r="E85" s="330"/>
      <c r="F85" s="330"/>
      <c r="G85" s="200"/>
      <c r="H85" s="330"/>
      <c r="I85" s="200"/>
      <c r="J85" s="330"/>
      <c r="K85" s="329"/>
      <c r="L85" s="330"/>
      <c r="M85" s="200"/>
      <c r="N85" s="329"/>
      <c r="O85" s="330"/>
      <c r="P85" s="330"/>
      <c r="Q85" s="329"/>
      <c r="R85" s="330"/>
      <c r="S85" s="329"/>
      <c r="U85" s="150"/>
    </row>
    <row r="86" spans="1:21" s="136" customFormat="1">
      <c r="A86" s="333"/>
      <c r="C86" s="332" t="s">
        <v>663</v>
      </c>
      <c r="D86" s="331" t="s">
        <v>663</v>
      </c>
      <c r="E86" s="330"/>
      <c r="F86" s="330"/>
      <c r="G86" s="200"/>
      <c r="H86" s="330"/>
      <c r="I86" s="200"/>
      <c r="J86" s="330"/>
      <c r="K86" s="329"/>
      <c r="L86" s="330"/>
      <c r="M86" s="200"/>
      <c r="N86" s="329"/>
      <c r="O86" s="330"/>
      <c r="P86" s="330"/>
      <c r="Q86" s="329"/>
      <c r="R86" s="330"/>
      <c r="S86" s="329"/>
      <c r="U86" s="150"/>
    </row>
    <row r="87" spans="1:21" s="136" customFormat="1">
      <c r="A87" s="333"/>
      <c r="C87" s="332" t="s">
        <v>663</v>
      </c>
      <c r="D87" s="331" t="s">
        <v>663</v>
      </c>
      <c r="E87" s="330"/>
      <c r="F87" s="330"/>
      <c r="G87" s="200"/>
      <c r="H87" s="330"/>
      <c r="I87" s="200"/>
      <c r="J87" s="330"/>
      <c r="K87" s="329"/>
      <c r="L87" s="330"/>
      <c r="M87" s="200"/>
      <c r="N87" s="329"/>
      <c r="O87" s="330"/>
      <c r="P87" s="330"/>
      <c r="Q87" s="329"/>
      <c r="R87" s="330"/>
      <c r="S87" s="329"/>
      <c r="U87" s="150"/>
    </row>
    <row r="88" spans="1:21" s="136" customFormat="1">
      <c r="A88" s="333"/>
      <c r="C88" s="332" t="s">
        <v>663</v>
      </c>
      <c r="D88" s="331" t="s">
        <v>663</v>
      </c>
      <c r="E88" s="330"/>
      <c r="F88" s="330"/>
      <c r="G88" s="200"/>
      <c r="H88" s="330"/>
      <c r="I88" s="200"/>
      <c r="J88" s="330"/>
      <c r="K88" s="329"/>
      <c r="L88" s="330"/>
      <c r="M88" s="200"/>
      <c r="N88" s="329"/>
      <c r="O88" s="330"/>
      <c r="P88" s="330"/>
      <c r="Q88" s="329"/>
      <c r="R88" s="330"/>
      <c r="S88" s="329"/>
      <c r="U88" s="150"/>
    </row>
    <row r="89" spans="1:21" s="136" customFormat="1">
      <c r="A89" s="333"/>
      <c r="C89" s="332" t="s">
        <v>663</v>
      </c>
      <c r="D89" s="331" t="s">
        <v>663</v>
      </c>
      <c r="E89" s="330"/>
      <c r="F89" s="330"/>
      <c r="G89" s="200"/>
      <c r="H89" s="330"/>
      <c r="I89" s="200"/>
      <c r="J89" s="330"/>
      <c r="K89" s="329"/>
      <c r="L89" s="330"/>
      <c r="M89" s="200"/>
      <c r="N89" s="329"/>
      <c r="O89" s="330"/>
      <c r="P89" s="330"/>
      <c r="Q89" s="329"/>
      <c r="R89" s="330"/>
      <c r="S89" s="329"/>
      <c r="U89" s="150"/>
    </row>
    <row r="90" spans="1:21" s="136" customFormat="1">
      <c r="A90" s="333"/>
      <c r="C90" s="332" t="s">
        <v>663</v>
      </c>
      <c r="D90" s="331" t="s">
        <v>663</v>
      </c>
      <c r="E90" s="330"/>
      <c r="F90" s="330"/>
      <c r="G90" s="200"/>
      <c r="H90" s="330"/>
      <c r="I90" s="200"/>
      <c r="J90" s="330"/>
      <c r="K90" s="329"/>
      <c r="L90" s="330"/>
      <c r="M90" s="200"/>
      <c r="N90" s="329"/>
      <c r="O90" s="330"/>
      <c r="P90" s="330"/>
      <c r="Q90" s="329"/>
      <c r="R90" s="330"/>
      <c r="S90" s="329"/>
      <c r="U90" s="150"/>
    </row>
    <row r="91" spans="1:21" s="136" customFormat="1">
      <c r="A91" s="333"/>
      <c r="C91" s="332" t="s">
        <v>663</v>
      </c>
      <c r="D91" s="331" t="s">
        <v>663</v>
      </c>
      <c r="E91" s="330"/>
      <c r="F91" s="330"/>
      <c r="G91" s="200"/>
      <c r="H91" s="330"/>
      <c r="I91" s="200"/>
      <c r="J91" s="330"/>
      <c r="K91" s="329"/>
      <c r="L91" s="330"/>
      <c r="M91" s="200"/>
      <c r="N91" s="329"/>
      <c r="O91" s="330"/>
      <c r="P91" s="330"/>
      <c r="Q91" s="329"/>
      <c r="R91" s="330"/>
      <c r="S91" s="329"/>
      <c r="U91" s="150"/>
    </row>
    <row r="92" spans="1:21" s="136" customFormat="1">
      <c r="A92" s="333"/>
      <c r="C92" s="332" t="s">
        <v>663</v>
      </c>
      <c r="D92" s="331" t="s">
        <v>663</v>
      </c>
      <c r="E92" s="330"/>
      <c r="F92" s="330"/>
      <c r="G92" s="200"/>
      <c r="H92" s="330"/>
      <c r="I92" s="200"/>
      <c r="J92" s="330"/>
      <c r="K92" s="329"/>
      <c r="L92" s="330"/>
      <c r="M92" s="200"/>
      <c r="N92" s="329"/>
      <c r="O92" s="330"/>
      <c r="P92" s="330"/>
      <c r="Q92" s="329"/>
      <c r="R92" s="330"/>
      <c r="S92" s="329"/>
      <c r="U92" s="150"/>
    </row>
    <row r="93" spans="1:21" s="136" customFormat="1">
      <c r="A93" s="333"/>
      <c r="C93" s="332" t="s">
        <v>663</v>
      </c>
      <c r="D93" s="331" t="s">
        <v>663</v>
      </c>
      <c r="E93" s="330"/>
      <c r="F93" s="330"/>
      <c r="G93" s="200"/>
      <c r="H93" s="330"/>
      <c r="I93" s="200"/>
      <c r="J93" s="330"/>
      <c r="K93" s="329"/>
      <c r="L93" s="330"/>
      <c r="M93" s="200"/>
      <c r="N93" s="329"/>
      <c r="O93" s="330"/>
      <c r="P93" s="330"/>
      <c r="Q93" s="329"/>
      <c r="R93" s="330"/>
      <c r="S93" s="329"/>
      <c r="U93" s="150"/>
    </row>
    <row r="94" spans="1:21" s="136" customFormat="1">
      <c r="A94" s="333"/>
      <c r="C94" s="332" t="s">
        <v>663</v>
      </c>
      <c r="D94" s="331" t="s">
        <v>663</v>
      </c>
      <c r="E94" s="330"/>
      <c r="F94" s="330"/>
      <c r="G94" s="200"/>
      <c r="H94" s="330"/>
      <c r="I94" s="200"/>
      <c r="J94" s="330"/>
      <c r="K94" s="329"/>
      <c r="L94" s="330"/>
      <c r="M94" s="200"/>
      <c r="N94" s="329"/>
      <c r="O94" s="330"/>
      <c r="P94" s="330"/>
      <c r="Q94" s="329"/>
      <c r="R94" s="330"/>
      <c r="S94" s="329"/>
      <c r="U94" s="150"/>
    </row>
    <row r="95" spans="1:21" s="136" customFormat="1">
      <c r="A95" s="333"/>
      <c r="C95" s="332" t="s">
        <v>663</v>
      </c>
      <c r="D95" s="331" t="s">
        <v>663</v>
      </c>
      <c r="E95" s="330"/>
      <c r="F95" s="330"/>
      <c r="G95" s="200"/>
      <c r="H95" s="330"/>
      <c r="I95" s="200"/>
      <c r="J95" s="330"/>
      <c r="K95" s="329"/>
      <c r="L95" s="330"/>
      <c r="M95" s="200"/>
      <c r="N95" s="329"/>
      <c r="O95" s="330"/>
      <c r="P95" s="330"/>
      <c r="Q95" s="329"/>
      <c r="R95" s="330"/>
      <c r="S95" s="329"/>
      <c r="U95" s="150"/>
    </row>
    <row r="96" spans="1:21" s="136" customFormat="1">
      <c r="A96" s="333"/>
      <c r="C96" s="332" t="s">
        <v>663</v>
      </c>
      <c r="D96" s="331" t="s">
        <v>663</v>
      </c>
      <c r="E96" s="330"/>
      <c r="F96" s="330"/>
      <c r="G96" s="200"/>
      <c r="H96" s="330"/>
      <c r="I96" s="200"/>
      <c r="J96" s="330"/>
      <c r="K96" s="329"/>
      <c r="L96" s="330"/>
      <c r="M96" s="200"/>
      <c r="N96" s="329"/>
      <c r="O96" s="330"/>
      <c r="P96" s="330"/>
      <c r="Q96" s="329"/>
      <c r="R96" s="330"/>
      <c r="S96" s="329"/>
      <c r="U96" s="150"/>
    </row>
    <row r="97" spans="1:26">
      <c r="A97" s="328"/>
      <c r="B97" s="327"/>
      <c r="C97" s="326"/>
      <c r="D97" s="326"/>
      <c r="E97" s="326"/>
      <c r="F97" s="326"/>
      <c r="G97" s="326"/>
      <c r="H97" s="326"/>
      <c r="I97" s="326"/>
      <c r="J97" s="326"/>
      <c r="K97" s="325"/>
      <c r="L97" s="326"/>
      <c r="M97" s="326"/>
      <c r="N97" s="325"/>
      <c r="O97" s="326"/>
      <c r="P97" s="326"/>
      <c r="Q97" s="325"/>
      <c r="R97" s="326"/>
      <c r="S97" s="325"/>
      <c r="T97" s="138"/>
      <c r="U97" s="138"/>
      <c r="V97" s="138"/>
      <c r="W97" s="138"/>
      <c r="X97" s="138"/>
      <c r="Y97" s="138"/>
      <c r="Z97" s="138"/>
    </row>
    <row r="98" spans="1:26">
      <c r="A98" s="324" t="s">
        <v>514</v>
      </c>
      <c r="B98" s="323"/>
      <c r="C98" s="322" t="s">
        <v>662</v>
      </c>
      <c r="D98" s="322"/>
      <c r="E98" s="322"/>
      <c r="F98" s="322"/>
      <c r="G98" s="322"/>
      <c r="H98" s="307"/>
      <c r="I98" s="307"/>
      <c r="J98" s="304"/>
      <c r="K98" s="304"/>
      <c r="L98" s="304"/>
      <c r="M98" s="304"/>
      <c r="N98" s="304"/>
      <c r="O98" s="304"/>
      <c r="P98" s="147">
        <f>SUM(P73:P97)</f>
        <v>0</v>
      </c>
      <c r="Q98" s="147">
        <f>SUM(Q73:Q97)</f>
        <v>44706744.658681892</v>
      </c>
      <c r="R98" s="147">
        <f>SUM(R73:R97)</f>
        <v>2294713.5604984867</v>
      </c>
      <c r="S98" s="147">
        <f>SUM(S73:S97)</f>
        <v>47001458.219180375</v>
      </c>
      <c r="T98" s="138"/>
      <c r="U98" s="138"/>
      <c r="V98" s="138"/>
      <c r="W98" s="138"/>
      <c r="X98" s="138"/>
      <c r="Y98" s="138"/>
      <c r="Z98" s="138"/>
    </row>
    <row r="99" spans="1:26">
      <c r="A99" s="321"/>
      <c r="B99" s="138"/>
      <c r="C99" s="138"/>
      <c r="D99" s="138"/>
      <c r="E99" s="138"/>
      <c r="F99" s="138"/>
      <c r="G99" s="138"/>
      <c r="H99" s="138"/>
      <c r="I99" s="138"/>
      <c r="J99" s="138"/>
      <c r="K99" s="138"/>
      <c r="L99" s="138"/>
      <c r="M99" s="138"/>
      <c r="N99" s="138"/>
      <c r="O99" s="138"/>
      <c r="P99" s="138"/>
      <c r="Q99" s="138"/>
      <c r="R99" s="138"/>
      <c r="S99" s="138"/>
      <c r="T99" s="138"/>
      <c r="U99" s="138"/>
      <c r="V99" s="138"/>
      <c r="W99" s="138"/>
      <c r="X99" s="138"/>
      <c r="Y99" s="138"/>
      <c r="Z99" s="138"/>
    </row>
    <row r="100" spans="1:26">
      <c r="A100" s="144">
        <v>3</v>
      </c>
      <c r="B100" s="138"/>
      <c r="C100" s="305" t="s">
        <v>512</v>
      </c>
      <c r="D100" s="305"/>
      <c r="E100" s="305"/>
      <c r="F100" s="305"/>
      <c r="G100" s="138"/>
      <c r="H100" s="138"/>
      <c r="I100" s="138"/>
      <c r="J100" s="138"/>
      <c r="K100" s="138"/>
      <c r="L100" s="138"/>
      <c r="M100" s="138"/>
      <c r="N100" s="138"/>
      <c r="O100" s="138"/>
      <c r="P100" s="138"/>
      <c r="Q100" s="320">
        <f>Q98</f>
        <v>44706744.658681892</v>
      </c>
      <c r="R100" s="138"/>
      <c r="S100" s="138"/>
      <c r="T100" s="138"/>
      <c r="U100" s="138"/>
      <c r="V100" s="138"/>
      <c r="W100" s="138"/>
      <c r="X100" s="138"/>
      <c r="Y100" s="138"/>
      <c r="Z100" s="138"/>
    </row>
    <row r="101" spans="1:26">
      <c r="A101" s="138"/>
      <c r="B101" s="138"/>
      <c r="C101" s="138"/>
      <c r="D101" s="138"/>
      <c r="E101" s="138"/>
      <c r="F101" s="138"/>
      <c r="G101" s="138"/>
      <c r="H101" s="138"/>
      <c r="I101" s="138"/>
      <c r="J101" s="138"/>
      <c r="K101" s="138"/>
      <c r="L101" s="138"/>
      <c r="M101" s="138"/>
      <c r="N101" s="138"/>
      <c r="O101" s="138"/>
      <c r="P101" s="138"/>
      <c r="Q101" s="138"/>
      <c r="R101" s="138"/>
      <c r="S101" s="138"/>
      <c r="T101" s="138"/>
      <c r="U101" s="138"/>
      <c r="V101" s="138"/>
      <c r="W101" s="138"/>
      <c r="X101" s="138"/>
      <c r="Y101" s="138"/>
      <c r="Z101" s="138"/>
    </row>
    <row r="102" spans="1:26">
      <c r="A102" s="138"/>
      <c r="B102" s="138"/>
      <c r="C102" s="138"/>
      <c r="D102" s="138"/>
      <c r="E102" s="138"/>
      <c r="F102" s="138"/>
      <c r="G102" s="138"/>
      <c r="H102" s="138"/>
      <c r="I102" s="138"/>
      <c r="J102" s="138"/>
      <c r="K102" s="138"/>
      <c r="L102" s="138"/>
      <c r="M102" s="138"/>
      <c r="N102" s="138"/>
      <c r="O102" s="138"/>
      <c r="P102" s="138"/>
      <c r="Q102" s="138"/>
      <c r="R102" s="138"/>
      <c r="S102" s="138"/>
      <c r="T102" s="138"/>
      <c r="U102" s="138"/>
      <c r="V102" s="138"/>
      <c r="W102" s="138"/>
      <c r="X102" s="138"/>
      <c r="Y102" s="138"/>
      <c r="Z102" s="138"/>
    </row>
    <row r="103" spans="1:26">
      <c r="A103" s="305" t="s">
        <v>286</v>
      </c>
      <c r="B103" s="138"/>
      <c r="C103" s="138"/>
      <c r="D103" s="138"/>
      <c r="E103" s="138"/>
      <c r="F103" s="138"/>
      <c r="G103" s="138"/>
      <c r="H103" s="138"/>
      <c r="I103" s="138"/>
      <c r="J103" s="138"/>
      <c r="K103" s="138"/>
      <c r="L103" s="138"/>
      <c r="M103" s="138"/>
      <c r="N103" s="138"/>
      <c r="O103" s="138"/>
      <c r="P103" s="138"/>
      <c r="Q103" s="138"/>
      <c r="R103" s="138"/>
      <c r="S103" s="138"/>
      <c r="T103" s="138"/>
      <c r="U103" s="138"/>
      <c r="V103" s="138"/>
      <c r="W103" s="138"/>
      <c r="X103" s="138"/>
      <c r="Y103" s="138"/>
      <c r="Z103" s="138"/>
    </row>
    <row r="104" spans="1:26" ht="15.75" thickBot="1">
      <c r="A104" s="319" t="s">
        <v>287</v>
      </c>
      <c r="B104" s="138"/>
      <c r="C104" s="138"/>
      <c r="D104" s="138"/>
      <c r="E104" s="138"/>
      <c r="F104" s="138"/>
      <c r="G104" s="138"/>
      <c r="H104" s="138"/>
      <c r="I104" s="138"/>
      <c r="J104" s="138"/>
      <c r="K104" s="138"/>
      <c r="L104" s="138"/>
      <c r="M104" s="138"/>
      <c r="N104" s="138"/>
      <c r="O104" s="138"/>
      <c r="P104" s="138"/>
      <c r="Q104" s="138"/>
      <c r="R104" s="138"/>
      <c r="S104" s="138"/>
      <c r="T104" s="138"/>
      <c r="U104" s="138"/>
      <c r="V104" s="138"/>
      <c r="W104" s="138"/>
      <c r="X104" s="138"/>
      <c r="Y104" s="138"/>
      <c r="Z104" s="138"/>
    </row>
    <row r="105" spans="1:26" ht="17.100000000000001" customHeight="1">
      <c r="A105" s="139" t="s">
        <v>288</v>
      </c>
      <c r="B105" s="136"/>
      <c r="C105" s="973" t="s">
        <v>661</v>
      </c>
      <c r="D105" s="973"/>
      <c r="E105" s="973"/>
      <c r="F105" s="973"/>
      <c r="G105" s="973"/>
      <c r="H105" s="973"/>
      <c r="I105" s="973"/>
      <c r="J105" s="973"/>
      <c r="K105" s="973"/>
      <c r="L105" s="973"/>
      <c r="M105" s="973"/>
      <c r="N105" s="973"/>
      <c r="O105" s="973"/>
      <c r="P105" s="973"/>
      <c r="Q105" s="973"/>
      <c r="R105" s="973"/>
      <c r="S105" s="973"/>
      <c r="T105" s="138"/>
      <c r="U105" s="138"/>
      <c r="V105" s="138"/>
      <c r="W105" s="138"/>
      <c r="X105" s="138"/>
      <c r="Y105" s="138"/>
      <c r="Z105" s="138"/>
    </row>
    <row r="106" spans="1:26" ht="17.100000000000001" customHeight="1">
      <c r="A106" s="139"/>
      <c r="B106" s="136"/>
      <c r="C106" s="318"/>
      <c r="D106" s="317"/>
      <c r="E106" s="317"/>
      <c r="F106" s="317"/>
      <c r="G106" s="316"/>
      <c r="H106" s="316"/>
      <c r="I106" s="316"/>
      <c r="J106" s="316"/>
      <c r="K106" s="316"/>
      <c r="L106" s="316"/>
      <c r="M106" s="316"/>
      <c r="N106" s="316"/>
      <c r="O106" s="316"/>
      <c r="P106" s="316"/>
      <c r="Q106" s="316"/>
      <c r="R106" s="316"/>
      <c r="S106" s="316"/>
      <c r="T106" s="138"/>
      <c r="U106" s="138"/>
      <c r="V106" s="138"/>
      <c r="W106" s="138"/>
      <c r="X106" s="138"/>
      <c r="Y106" s="138"/>
      <c r="Z106" s="138"/>
    </row>
    <row r="107" spans="1:26" ht="17.100000000000001" customHeight="1">
      <c r="A107" s="139" t="s">
        <v>290</v>
      </c>
      <c r="B107" s="136"/>
      <c r="C107" s="973" t="s">
        <v>660</v>
      </c>
      <c r="D107" s="973"/>
      <c r="E107" s="973"/>
      <c r="F107" s="973"/>
      <c r="G107" s="973"/>
      <c r="H107" s="973"/>
      <c r="I107" s="973"/>
      <c r="J107" s="973"/>
      <c r="K107" s="973"/>
      <c r="L107" s="973"/>
      <c r="M107" s="973"/>
      <c r="N107" s="973"/>
      <c r="O107" s="973"/>
      <c r="P107" s="973"/>
      <c r="Q107" s="973"/>
      <c r="R107" s="973"/>
      <c r="S107" s="973"/>
      <c r="T107" s="138"/>
      <c r="U107" s="138"/>
      <c r="V107" s="138"/>
      <c r="W107" s="138"/>
      <c r="X107" s="138"/>
      <c r="Y107" s="138"/>
      <c r="Z107" s="138"/>
    </row>
    <row r="108" spans="1:26" ht="17.100000000000001" customHeight="1">
      <c r="A108" s="139" t="s">
        <v>292</v>
      </c>
      <c r="B108" s="136"/>
      <c r="C108" s="981" t="s">
        <v>659</v>
      </c>
      <c r="D108" s="981"/>
      <c r="E108" s="981"/>
      <c r="F108" s="981"/>
      <c r="G108" s="981"/>
      <c r="H108" s="981"/>
      <c r="I108" s="981"/>
      <c r="J108" s="981"/>
      <c r="K108" s="981"/>
      <c r="L108" s="981"/>
      <c r="M108" s="981"/>
      <c r="N108" s="981"/>
      <c r="O108" s="981"/>
      <c r="P108" s="981"/>
      <c r="Q108" s="981"/>
      <c r="R108" s="981"/>
      <c r="S108" s="981"/>
      <c r="T108" s="138"/>
      <c r="U108" s="138"/>
      <c r="V108" s="138"/>
      <c r="W108" s="138"/>
      <c r="X108" s="138"/>
      <c r="Y108" s="138"/>
      <c r="Z108" s="138"/>
    </row>
    <row r="109" spans="1:26" ht="17.100000000000001" customHeight="1">
      <c r="A109" s="139"/>
      <c r="B109" s="136"/>
      <c r="C109" s="315"/>
      <c r="D109" s="314"/>
      <c r="E109" s="314"/>
      <c r="F109" s="314"/>
      <c r="G109" s="314"/>
      <c r="H109" s="314"/>
      <c r="I109" s="314"/>
      <c r="J109" s="314"/>
      <c r="K109" s="314"/>
      <c r="L109" s="314"/>
      <c r="M109" s="314"/>
      <c r="N109" s="314"/>
      <c r="O109" s="314"/>
      <c r="P109" s="314"/>
      <c r="Q109" s="314"/>
      <c r="R109" s="314"/>
      <c r="S109" s="314"/>
      <c r="T109" s="138"/>
      <c r="U109" s="138"/>
      <c r="V109" s="138"/>
      <c r="W109" s="138"/>
      <c r="X109" s="138"/>
      <c r="Y109" s="138"/>
      <c r="Z109" s="138"/>
    </row>
    <row r="110" spans="1:26" ht="17.100000000000001" customHeight="1">
      <c r="A110" s="139" t="s">
        <v>294</v>
      </c>
      <c r="B110" s="136"/>
      <c r="C110" s="981" t="s">
        <v>658</v>
      </c>
      <c r="D110" s="981"/>
      <c r="E110" s="981"/>
      <c r="F110" s="981"/>
      <c r="G110" s="981"/>
      <c r="H110" s="981"/>
      <c r="I110" s="981"/>
      <c r="J110" s="981"/>
      <c r="K110" s="981"/>
      <c r="L110" s="981"/>
      <c r="M110" s="981"/>
      <c r="N110" s="981"/>
      <c r="O110" s="981"/>
      <c r="P110" s="981"/>
      <c r="Q110" s="981"/>
      <c r="R110" s="981"/>
      <c r="S110" s="981"/>
      <c r="T110" s="138"/>
      <c r="U110" s="138"/>
      <c r="V110" s="138"/>
      <c r="W110" s="138"/>
      <c r="X110" s="138"/>
      <c r="Y110" s="138"/>
      <c r="Z110" s="138"/>
    </row>
    <row r="111" spans="1:26" ht="17.100000000000001" customHeight="1">
      <c r="A111" s="312" t="s">
        <v>295</v>
      </c>
      <c r="B111" s="136"/>
      <c r="C111" s="979" t="s">
        <v>507</v>
      </c>
      <c r="D111" s="979"/>
      <c r="E111" s="979"/>
      <c r="F111" s="979"/>
      <c r="G111" s="979"/>
      <c r="H111" s="979"/>
      <c r="I111" s="979"/>
      <c r="J111" s="979"/>
      <c r="K111" s="979"/>
      <c r="L111" s="979"/>
      <c r="M111" s="979"/>
      <c r="N111" s="979"/>
      <c r="O111" s="979"/>
      <c r="P111" s="979"/>
      <c r="Q111" s="979"/>
      <c r="R111" s="979"/>
      <c r="S111" s="979"/>
      <c r="T111" s="138"/>
      <c r="U111" s="138"/>
      <c r="V111" s="138"/>
      <c r="W111" s="138"/>
      <c r="X111" s="138"/>
      <c r="Y111" s="138"/>
      <c r="Z111" s="138"/>
    </row>
    <row r="112" spans="1:26" ht="17.100000000000001" customHeight="1">
      <c r="A112" s="312" t="s">
        <v>297</v>
      </c>
      <c r="B112" s="136"/>
      <c r="C112" s="979" t="s">
        <v>657</v>
      </c>
      <c r="D112" s="979"/>
      <c r="E112" s="979"/>
      <c r="F112" s="979"/>
      <c r="G112" s="979"/>
      <c r="H112" s="979"/>
      <c r="I112" s="979"/>
      <c r="J112" s="979"/>
      <c r="K112" s="979"/>
      <c r="L112" s="979"/>
      <c r="M112" s="979"/>
      <c r="N112" s="979"/>
      <c r="O112" s="979"/>
      <c r="P112" s="979"/>
      <c r="Q112" s="979"/>
      <c r="R112" s="979"/>
      <c r="S112" s="979"/>
      <c r="T112" s="138"/>
      <c r="U112" s="138"/>
      <c r="V112" s="138"/>
      <c r="W112" s="138"/>
      <c r="X112" s="138"/>
      <c r="Y112" s="138"/>
      <c r="Z112" s="138"/>
    </row>
    <row r="113" spans="1:26" ht="17.100000000000001" customHeight="1">
      <c r="A113" s="312" t="s">
        <v>299</v>
      </c>
      <c r="B113" s="136"/>
      <c r="C113" s="982" t="s">
        <v>656</v>
      </c>
      <c r="D113" s="982"/>
      <c r="E113" s="982"/>
      <c r="F113" s="982"/>
      <c r="G113" s="979"/>
      <c r="H113" s="979"/>
      <c r="I113" s="979"/>
      <c r="J113" s="979"/>
      <c r="K113" s="979"/>
      <c r="L113" s="979"/>
      <c r="M113" s="979"/>
      <c r="N113" s="979"/>
      <c r="O113" s="979"/>
      <c r="P113" s="979"/>
      <c r="Q113" s="979"/>
      <c r="R113" s="979"/>
      <c r="S113" s="979"/>
      <c r="T113" s="138"/>
      <c r="U113" s="138"/>
      <c r="V113" s="138"/>
      <c r="W113" s="138"/>
      <c r="X113" s="138"/>
      <c r="Y113" s="138"/>
      <c r="Z113" s="138"/>
    </row>
    <row r="114" spans="1:26" ht="17.100000000000001" customHeight="1">
      <c r="A114" s="312" t="s">
        <v>301</v>
      </c>
      <c r="B114" s="136"/>
      <c r="C114" s="979" t="s">
        <v>655</v>
      </c>
      <c r="D114" s="979"/>
      <c r="E114" s="979"/>
      <c r="F114" s="979"/>
      <c r="G114" s="979"/>
      <c r="H114" s="979"/>
      <c r="I114" s="979"/>
      <c r="J114" s="979"/>
      <c r="K114" s="979"/>
      <c r="L114" s="979"/>
      <c r="M114" s="979"/>
      <c r="N114" s="979"/>
      <c r="O114" s="979"/>
      <c r="P114" s="979"/>
      <c r="Q114" s="979"/>
      <c r="R114" s="979"/>
      <c r="S114" s="979"/>
      <c r="T114" s="138"/>
      <c r="U114" s="138"/>
      <c r="V114" s="138"/>
      <c r="W114" s="138"/>
      <c r="X114" s="138"/>
      <c r="Y114" s="138"/>
      <c r="Z114" s="138"/>
    </row>
    <row r="115" spans="1:26" ht="17.100000000000001" customHeight="1">
      <c r="A115" s="313" t="s">
        <v>303</v>
      </c>
      <c r="B115" s="136"/>
      <c r="C115" s="979" t="s">
        <v>503</v>
      </c>
      <c r="D115" s="979"/>
      <c r="E115" s="979"/>
      <c r="F115" s="979"/>
      <c r="G115" s="979"/>
      <c r="H115" s="979"/>
      <c r="I115" s="979"/>
      <c r="J115" s="979"/>
      <c r="K115" s="979"/>
      <c r="L115" s="979"/>
      <c r="M115" s="979"/>
      <c r="N115" s="979"/>
      <c r="O115" s="979"/>
      <c r="P115" s="979"/>
      <c r="Q115" s="979"/>
      <c r="R115" s="979"/>
      <c r="S115" s="979"/>
      <c r="T115" s="138"/>
      <c r="U115" s="138"/>
      <c r="V115" s="138"/>
      <c r="W115" s="138"/>
      <c r="X115" s="138"/>
      <c r="Y115" s="138"/>
      <c r="Z115" s="138"/>
    </row>
    <row r="116" spans="1:26" ht="17.100000000000001" customHeight="1">
      <c r="A116" s="312" t="s">
        <v>305</v>
      </c>
      <c r="B116" s="138"/>
      <c r="C116" s="979" t="s">
        <v>654</v>
      </c>
      <c r="D116" s="979"/>
      <c r="E116" s="979"/>
      <c r="F116" s="979"/>
      <c r="G116" s="979"/>
      <c r="H116" s="979"/>
      <c r="I116" s="979"/>
      <c r="J116" s="979"/>
      <c r="K116" s="979"/>
      <c r="L116" s="979"/>
      <c r="M116" s="979"/>
      <c r="N116" s="979"/>
      <c r="O116" s="979"/>
      <c r="P116" s="979"/>
      <c r="Q116" s="979"/>
      <c r="R116" s="979"/>
      <c r="S116" s="979"/>
      <c r="T116" s="138"/>
      <c r="U116" s="138"/>
      <c r="V116" s="138"/>
      <c r="W116" s="138"/>
      <c r="X116" s="138"/>
      <c r="Y116" s="138"/>
      <c r="Z116" s="138"/>
    </row>
    <row r="117" spans="1:26" ht="17.100000000000001" customHeight="1">
      <c r="A117" s="312"/>
      <c r="B117" s="310"/>
      <c r="C117" s="979"/>
      <c r="D117" s="979"/>
      <c r="E117" s="979"/>
      <c r="F117" s="979"/>
      <c r="G117" s="979"/>
      <c r="H117" s="979"/>
      <c r="I117" s="979"/>
      <c r="J117" s="979"/>
      <c r="K117" s="979"/>
      <c r="L117" s="979"/>
      <c r="M117" s="979"/>
      <c r="N117" s="979"/>
      <c r="O117" s="979"/>
      <c r="P117" s="979"/>
      <c r="Q117" s="979"/>
      <c r="R117" s="979"/>
      <c r="S117" s="979"/>
      <c r="T117" s="138"/>
      <c r="U117" s="138"/>
      <c r="V117" s="138"/>
      <c r="W117" s="138"/>
      <c r="X117" s="138"/>
      <c r="Y117" s="138"/>
      <c r="Z117" s="138"/>
    </row>
    <row r="118" spans="1:26" ht="15.75">
      <c r="A118" s="311"/>
      <c r="B118" s="310"/>
      <c r="C118" s="309"/>
      <c r="D118" s="309"/>
      <c r="E118" s="309"/>
      <c r="F118" s="309"/>
      <c r="G118" s="308"/>
      <c r="H118" s="307"/>
      <c r="I118" s="307"/>
      <c r="J118" s="304"/>
      <c r="K118" s="304"/>
      <c r="L118" s="305"/>
      <c r="M118" s="305"/>
      <c r="N118" s="306"/>
      <c r="O118" s="305"/>
      <c r="P118" s="305"/>
      <c r="R118" s="304"/>
      <c r="S118" s="303"/>
      <c r="T118" s="138"/>
      <c r="U118" s="138"/>
      <c r="V118" s="138"/>
      <c r="W118" s="138"/>
      <c r="X118" s="138"/>
      <c r="Y118" s="138"/>
      <c r="Z118" s="138"/>
    </row>
    <row r="119" spans="1:26">
      <c r="C119" s="138"/>
      <c r="D119" s="138"/>
      <c r="E119" s="138"/>
      <c r="F119" s="138"/>
      <c r="G119" s="138"/>
      <c r="H119" s="138"/>
      <c r="I119" s="138"/>
      <c r="J119" s="138"/>
      <c r="K119" s="138"/>
      <c r="L119" s="138"/>
      <c r="M119" s="138"/>
      <c r="N119" s="138"/>
      <c r="O119" s="138"/>
      <c r="P119" s="138"/>
      <c r="Q119" s="138"/>
      <c r="R119" s="138"/>
      <c r="S119" s="138"/>
      <c r="T119" s="138"/>
      <c r="U119" s="138"/>
      <c r="V119" s="138"/>
      <c r="W119" s="138"/>
      <c r="X119" s="138"/>
      <c r="Y119" s="138"/>
      <c r="Z119" s="138"/>
    </row>
    <row r="120" spans="1:26">
      <c r="C120" s="138"/>
      <c r="D120" s="138"/>
      <c r="E120" s="138"/>
      <c r="F120" s="138"/>
      <c r="G120" s="138"/>
      <c r="H120" s="138"/>
      <c r="I120" s="138"/>
      <c r="J120" s="138"/>
      <c r="K120" s="138"/>
      <c r="L120" s="138"/>
      <c r="M120" s="138"/>
      <c r="N120" s="138"/>
      <c r="O120" s="138"/>
      <c r="P120" s="138"/>
      <c r="Q120" s="138"/>
      <c r="R120" s="138"/>
      <c r="S120" s="138"/>
      <c r="T120" s="138"/>
      <c r="U120" s="138"/>
      <c r="V120" s="138"/>
      <c r="W120" s="138"/>
      <c r="X120" s="138"/>
      <c r="Y120" s="138"/>
      <c r="Z120" s="138"/>
    </row>
    <row r="121" spans="1:26">
      <c r="C121" s="138"/>
      <c r="D121" s="138"/>
      <c r="E121" s="138"/>
      <c r="F121" s="138"/>
      <c r="G121" s="138"/>
      <c r="H121" s="138"/>
      <c r="I121" s="138"/>
      <c r="J121" s="138"/>
      <c r="K121" s="138"/>
      <c r="L121" s="138"/>
      <c r="M121" s="138"/>
      <c r="N121" s="138"/>
      <c r="O121" s="138"/>
      <c r="P121" s="138"/>
      <c r="Q121" s="138"/>
      <c r="R121" s="138"/>
      <c r="S121" s="138"/>
      <c r="T121" s="138"/>
      <c r="U121" s="138"/>
      <c r="V121" s="138"/>
      <c r="W121" s="138"/>
      <c r="X121" s="138"/>
      <c r="Y121" s="138"/>
      <c r="Z121" s="138"/>
    </row>
    <row r="122" spans="1:26">
      <c r="C122" s="138"/>
      <c r="D122" s="138"/>
      <c r="E122" s="138"/>
      <c r="F122" s="138"/>
      <c r="G122" s="138"/>
      <c r="H122" s="138"/>
      <c r="I122" s="138"/>
      <c r="J122" s="138"/>
      <c r="K122" s="138"/>
      <c r="L122" s="138"/>
      <c r="M122" s="138"/>
      <c r="N122" s="138"/>
      <c r="O122" s="138"/>
      <c r="P122" s="138"/>
      <c r="Q122" s="138"/>
      <c r="R122" s="138"/>
      <c r="S122" s="138"/>
      <c r="T122" s="138"/>
      <c r="U122" s="138"/>
      <c r="V122" s="138"/>
      <c r="W122" s="138"/>
      <c r="X122" s="138"/>
      <c r="Y122" s="138"/>
      <c r="Z122" s="138"/>
    </row>
    <row r="123" spans="1:26">
      <c r="C123" s="138"/>
      <c r="D123" s="138"/>
      <c r="E123" s="138"/>
      <c r="F123" s="138"/>
      <c r="G123" s="138"/>
      <c r="H123" s="138"/>
      <c r="I123" s="138"/>
      <c r="J123" s="138"/>
      <c r="K123" s="138"/>
      <c r="L123" s="138"/>
      <c r="M123" s="138"/>
      <c r="N123" s="138"/>
      <c r="O123" s="138"/>
      <c r="P123" s="138"/>
      <c r="Q123" s="138"/>
      <c r="R123" s="138"/>
      <c r="S123" s="138"/>
      <c r="T123" s="138"/>
      <c r="U123" s="138"/>
      <c r="V123" s="138"/>
      <c r="W123" s="138"/>
      <c r="X123" s="138"/>
      <c r="Y123" s="138"/>
      <c r="Z123" s="138"/>
    </row>
    <row r="124" spans="1:26">
      <c r="C124" s="138"/>
      <c r="D124" s="138"/>
      <c r="E124" s="138"/>
      <c r="F124" s="138"/>
      <c r="G124" s="138"/>
      <c r="H124" s="138"/>
      <c r="I124" s="138"/>
      <c r="J124" s="138"/>
      <c r="K124" s="138"/>
      <c r="L124" s="138"/>
      <c r="M124" s="138"/>
      <c r="N124" s="138"/>
      <c r="O124" s="138"/>
      <c r="P124" s="138"/>
      <c r="Q124" s="138"/>
      <c r="R124" s="138"/>
      <c r="S124" s="138"/>
      <c r="T124" s="138"/>
      <c r="U124" s="138"/>
      <c r="V124" s="138"/>
      <c r="W124" s="138"/>
      <c r="X124" s="138"/>
      <c r="Y124" s="138"/>
      <c r="Z124" s="138"/>
    </row>
    <row r="125" spans="1:26">
      <c r="C125" s="138"/>
      <c r="D125" s="138"/>
      <c r="E125" s="138"/>
      <c r="F125" s="138"/>
      <c r="G125" s="138"/>
      <c r="H125" s="138"/>
      <c r="I125" s="138"/>
      <c r="J125" s="138"/>
      <c r="K125" s="138"/>
      <c r="L125" s="138"/>
      <c r="M125" s="138"/>
      <c r="N125" s="138"/>
      <c r="O125" s="138"/>
      <c r="P125" s="138"/>
      <c r="Q125" s="138"/>
      <c r="R125" s="138"/>
      <c r="S125" s="138"/>
      <c r="T125" s="138"/>
      <c r="U125" s="138"/>
      <c r="V125" s="138"/>
      <c r="W125" s="138"/>
      <c r="X125" s="138"/>
      <c r="Y125" s="138"/>
      <c r="Z125" s="138"/>
    </row>
    <row r="126" spans="1:26">
      <c r="C126" s="138"/>
      <c r="D126" s="138"/>
      <c r="E126" s="138"/>
      <c r="F126" s="138"/>
      <c r="G126" s="138"/>
      <c r="H126" s="138"/>
      <c r="I126" s="138"/>
      <c r="J126" s="138"/>
      <c r="K126" s="138"/>
      <c r="L126" s="138"/>
      <c r="M126" s="138"/>
      <c r="N126" s="138"/>
      <c r="O126" s="138"/>
      <c r="P126" s="138"/>
      <c r="Q126" s="138"/>
      <c r="R126" s="138"/>
      <c r="S126" s="138"/>
      <c r="T126" s="138"/>
      <c r="U126" s="138"/>
      <c r="V126" s="138"/>
      <c r="W126" s="138"/>
      <c r="X126" s="138"/>
      <c r="Y126" s="138"/>
      <c r="Z126" s="138"/>
    </row>
    <row r="127" spans="1:26">
      <c r="C127" s="138"/>
      <c r="D127" s="138"/>
      <c r="E127" s="138"/>
      <c r="F127" s="138"/>
      <c r="G127" s="138"/>
      <c r="H127" s="138"/>
      <c r="I127" s="138"/>
      <c r="J127" s="138"/>
      <c r="K127" s="138"/>
      <c r="L127" s="138"/>
      <c r="M127" s="138"/>
      <c r="N127" s="138"/>
      <c r="O127" s="138"/>
      <c r="P127" s="138"/>
      <c r="Q127" s="138"/>
      <c r="R127" s="138"/>
      <c r="S127" s="138"/>
      <c r="T127" s="138"/>
      <c r="U127" s="138"/>
      <c r="V127" s="138"/>
      <c r="W127" s="138"/>
      <c r="X127" s="138"/>
      <c r="Y127" s="138"/>
      <c r="Z127" s="138"/>
    </row>
    <row r="128" spans="1:26">
      <c r="C128" s="138"/>
      <c r="D128" s="138"/>
      <c r="E128" s="138"/>
      <c r="F128" s="138"/>
      <c r="G128" s="138"/>
      <c r="H128" s="138"/>
      <c r="I128" s="138"/>
      <c r="J128" s="138"/>
      <c r="K128" s="138"/>
      <c r="L128" s="138"/>
      <c r="M128" s="138"/>
      <c r="N128" s="138"/>
      <c r="O128" s="138"/>
      <c r="P128" s="138"/>
      <c r="Q128" s="138"/>
      <c r="R128" s="138"/>
      <c r="S128" s="138"/>
      <c r="T128" s="138"/>
      <c r="U128" s="138"/>
      <c r="V128" s="138"/>
      <c r="W128" s="138"/>
      <c r="X128" s="138"/>
      <c r="Y128" s="138"/>
      <c r="Z128" s="138"/>
    </row>
    <row r="129" spans="3:26">
      <c r="C129" s="138"/>
      <c r="D129" s="138"/>
      <c r="E129" s="138"/>
      <c r="F129" s="138"/>
      <c r="G129" s="138"/>
      <c r="H129" s="138"/>
      <c r="I129" s="138"/>
      <c r="J129" s="138"/>
      <c r="K129" s="138"/>
      <c r="L129" s="138"/>
      <c r="M129" s="138"/>
      <c r="N129" s="138"/>
      <c r="O129" s="138"/>
      <c r="P129" s="138"/>
      <c r="Q129" s="138"/>
      <c r="R129" s="138"/>
      <c r="S129" s="138"/>
      <c r="T129" s="138"/>
      <c r="U129" s="138"/>
      <c r="V129" s="138"/>
      <c r="W129" s="138"/>
      <c r="X129" s="138"/>
      <c r="Y129" s="138"/>
      <c r="Z129" s="138"/>
    </row>
    <row r="130" spans="3:26">
      <c r="C130" s="138"/>
      <c r="D130" s="138"/>
      <c r="E130" s="138"/>
      <c r="F130" s="138"/>
      <c r="G130" s="138"/>
      <c r="H130" s="138"/>
      <c r="I130" s="138"/>
      <c r="J130" s="138"/>
      <c r="K130" s="138"/>
      <c r="L130" s="138"/>
      <c r="M130" s="138"/>
      <c r="N130" s="138"/>
      <c r="O130" s="138"/>
      <c r="P130" s="138"/>
      <c r="Q130" s="138"/>
      <c r="R130" s="138"/>
      <c r="S130" s="138"/>
      <c r="T130" s="138"/>
      <c r="U130" s="138"/>
      <c r="V130" s="138"/>
      <c r="W130" s="138"/>
      <c r="X130" s="138"/>
      <c r="Y130" s="138"/>
      <c r="Z130" s="138"/>
    </row>
    <row r="131" spans="3:26">
      <c r="C131" s="138"/>
      <c r="D131" s="138"/>
      <c r="E131" s="138"/>
      <c r="F131" s="138"/>
      <c r="G131" s="138"/>
      <c r="H131" s="138"/>
      <c r="I131" s="138"/>
      <c r="J131" s="138"/>
      <c r="K131" s="138"/>
      <c r="L131" s="138"/>
      <c r="M131" s="138"/>
      <c r="N131" s="138"/>
      <c r="O131" s="138"/>
      <c r="P131" s="138"/>
      <c r="Q131" s="138"/>
      <c r="R131" s="138"/>
      <c r="S131" s="138"/>
      <c r="T131" s="138"/>
      <c r="U131" s="138"/>
      <c r="V131" s="138"/>
      <c r="W131" s="138"/>
      <c r="X131" s="138"/>
      <c r="Y131" s="138"/>
      <c r="Z131" s="138"/>
    </row>
    <row r="132" spans="3:26">
      <c r="C132" s="138"/>
      <c r="D132" s="138"/>
      <c r="E132" s="138"/>
      <c r="F132" s="138"/>
      <c r="G132" s="138"/>
      <c r="H132" s="138"/>
      <c r="I132" s="138"/>
      <c r="J132" s="138"/>
      <c r="K132" s="138"/>
      <c r="L132" s="138"/>
      <c r="M132" s="138"/>
      <c r="N132" s="138"/>
      <c r="O132" s="138"/>
      <c r="P132" s="138"/>
      <c r="Q132" s="138"/>
      <c r="R132" s="138"/>
      <c r="S132" s="138"/>
      <c r="T132" s="138"/>
      <c r="U132" s="138"/>
      <c r="V132" s="138"/>
      <c r="W132" s="138"/>
      <c r="X132" s="138"/>
      <c r="Y132" s="138"/>
      <c r="Z132" s="138"/>
    </row>
    <row r="133" spans="3:26">
      <c r="C133" s="138"/>
      <c r="D133" s="138"/>
      <c r="E133" s="138"/>
      <c r="F133" s="138"/>
      <c r="G133" s="138"/>
      <c r="H133" s="138"/>
      <c r="I133" s="138"/>
      <c r="J133" s="138"/>
      <c r="K133" s="138"/>
      <c r="L133" s="138"/>
      <c r="M133" s="138"/>
      <c r="N133" s="138"/>
      <c r="O133" s="138"/>
      <c r="P133" s="138"/>
      <c r="Q133" s="138"/>
      <c r="R133" s="138"/>
      <c r="S133" s="138"/>
      <c r="T133" s="138"/>
      <c r="U133" s="138"/>
      <c r="V133" s="138"/>
      <c r="W133" s="138"/>
      <c r="X133" s="138"/>
      <c r="Y133" s="138"/>
      <c r="Z133" s="138"/>
    </row>
    <row r="134" spans="3:26">
      <c r="C134" s="138"/>
      <c r="D134" s="138"/>
      <c r="E134" s="138"/>
      <c r="F134" s="138"/>
      <c r="G134" s="138"/>
      <c r="H134" s="138"/>
      <c r="I134" s="138"/>
      <c r="J134" s="138"/>
      <c r="K134" s="138"/>
      <c r="L134" s="138"/>
      <c r="M134" s="138"/>
      <c r="N134" s="138"/>
      <c r="O134" s="138"/>
      <c r="P134" s="138"/>
      <c r="Q134" s="138"/>
      <c r="R134" s="138"/>
      <c r="S134" s="138"/>
      <c r="T134" s="138"/>
      <c r="U134" s="138"/>
      <c r="V134" s="138"/>
      <c r="W134" s="138"/>
      <c r="X134" s="138"/>
      <c r="Y134" s="138"/>
      <c r="Z134" s="138"/>
    </row>
    <row r="135" spans="3:26">
      <c r="C135" s="138"/>
      <c r="D135" s="138"/>
      <c r="E135" s="138"/>
      <c r="F135" s="138"/>
      <c r="G135" s="138"/>
      <c r="H135" s="138"/>
      <c r="I135" s="138"/>
      <c r="J135" s="138"/>
      <c r="K135" s="138"/>
      <c r="L135" s="138"/>
      <c r="M135" s="138"/>
      <c r="N135" s="138"/>
      <c r="O135" s="138"/>
      <c r="P135" s="138"/>
      <c r="Q135" s="138"/>
      <c r="R135" s="138"/>
      <c r="S135" s="138"/>
      <c r="T135" s="138"/>
      <c r="U135" s="138"/>
      <c r="V135" s="138"/>
      <c r="W135" s="138"/>
      <c r="X135" s="138"/>
      <c r="Y135" s="138"/>
      <c r="Z135" s="138"/>
    </row>
    <row r="136" spans="3:26">
      <c r="C136" s="138"/>
      <c r="D136" s="138"/>
      <c r="E136" s="138"/>
      <c r="F136" s="138"/>
      <c r="G136" s="138"/>
      <c r="H136" s="138"/>
      <c r="I136" s="138"/>
      <c r="J136" s="138"/>
      <c r="K136" s="138"/>
      <c r="L136" s="138"/>
      <c r="M136" s="138"/>
      <c r="N136" s="138"/>
      <c r="O136" s="138"/>
      <c r="P136" s="138"/>
      <c r="Q136" s="138"/>
      <c r="R136" s="138"/>
      <c r="S136" s="138"/>
      <c r="T136" s="138"/>
      <c r="U136" s="138"/>
      <c r="V136" s="138"/>
      <c r="W136" s="138"/>
      <c r="X136" s="138"/>
      <c r="Y136" s="138"/>
      <c r="Z136" s="138"/>
    </row>
    <row r="137" spans="3:26">
      <c r="C137" s="138"/>
      <c r="D137" s="138"/>
      <c r="E137" s="138"/>
      <c r="F137" s="138"/>
      <c r="G137" s="138"/>
      <c r="H137" s="138"/>
      <c r="I137" s="138"/>
      <c r="J137" s="138"/>
      <c r="K137" s="138"/>
      <c r="L137" s="138"/>
      <c r="M137" s="138"/>
      <c r="N137" s="138"/>
      <c r="O137" s="138"/>
      <c r="P137" s="138"/>
      <c r="Q137" s="138"/>
      <c r="R137" s="138"/>
      <c r="S137" s="138"/>
      <c r="T137" s="138"/>
      <c r="U137" s="138"/>
      <c r="V137" s="138"/>
      <c r="W137" s="138"/>
      <c r="X137" s="138"/>
      <c r="Y137" s="138"/>
      <c r="Z137" s="138"/>
    </row>
    <row r="138" spans="3:26">
      <c r="C138" s="138"/>
      <c r="D138" s="138"/>
      <c r="E138" s="138"/>
      <c r="F138" s="138"/>
      <c r="G138" s="138"/>
      <c r="H138" s="138"/>
      <c r="I138" s="138"/>
      <c r="J138" s="138"/>
      <c r="K138" s="138"/>
      <c r="L138" s="138"/>
      <c r="M138" s="138"/>
      <c r="N138" s="138"/>
      <c r="O138" s="138"/>
      <c r="P138" s="138"/>
      <c r="Q138" s="138"/>
      <c r="R138" s="138"/>
      <c r="S138" s="138"/>
      <c r="T138" s="138"/>
      <c r="U138" s="138"/>
      <c r="V138" s="138"/>
      <c r="W138" s="138"/>
      <c r="X138" s="138"/>
      <c r="Y138" s="138"/>
      <c r="Z138" s="138"/>
    </row>
    <row r="139" spans="3:26">
      <c r="C139" s="138"/>
      <c r="D139" s="138"/>
      <c r="E139" s="138"/>
      <c r="F139" s="138"/>
      <c r="G139" s="138"/>
      <c r="H139" s="138"/>
      <c r="I139" s="138"/>
      <c r="J139" s="138"/>
      <c r="K139" s="138"/>
      <c r="L139" s="138"/>
      <c r="M139" s="138"/>
      <c r="N139" s="138"/>
      <c r="O139" s="138"/>
      <c r="P139" s="138"/>
      <c r="Q139" s="138"/>
      <c r="R139" s="138"/>
      <c r="S139" s="138"/>
      <c r="T139" s="138"/>
      <c r="U139" s="138"/>
      <c r="V139" s="138"/>
      <c r="W139" s="138"/>
      <c r="X139" s="138"/>
      <c r="Y139" s="138"/>
      <c r="Z139" s="138"/>
    </row>
    <row r="140" spans="3:26">
      <c r="C140" s="138"/>
      <c r="D140" s="138"/>
      <c r="E140" s="138"/>
      <c r="F140" s="138"/>
      <c r="G140" s="138"/>
      <c r="H140" s="138"/>
      <c r="I140" s="138"/>
      <c r="J140" s="138"/>
      <c r="K140" s="138"/>
      <c r="L140" s="138"/>
      <c r="M140" s="138"/>
      <c r="N140" s="138"/>
      <c r="O140" s="138"/>
      <c r="P140" s="138"/>
      <c r="Q140" s="138"/>
      <c r="R140" s="138"/>
      <c r="S140" s="138"/>
      <c r="T140" s="138"/>
      <c r="U140" s="138"/>
      <c r="V140" s="138"/>
      <c r="W140" s="138"/>
      <c r="X140" s="138"/>
      <c r="Y140" s="138"/>
      <c r="Z140" s="138"/>
    </row>
    <row r="141" spans="3:26">
      <c r="C141" s="138"/>
      <c r="D141" s="138"/>
      <c r="E141" s="138"/>
      <c r="F141" s="138"/>
      <c r="G141" s="138"/>
      <c r="H141" s="138"/>
      <c r="I141" s="138"/>
      <c r="J141" s="138"/>
      <c r="K141" s="138"/>
      <c r="L141" s="138"/>
      <c r="M141" s="138"/>
      <c r="N141" s="138"/>
      <c r="O141" s="138"/>
      <c r="P141" s="138"/>
      <c r="Q141" s="138"/>
      <c r="R141" s="138"/>
      <c r="S141" s="138"/>
      <c r="T141" s="138"/>
      <c r="U141" s="138"/>
      <c r="V141" s="138"/>
      <c r="W141" s="138"/>
      <c r="X141" s="138"/>
      <c r="Y141" s="138"/>
      <c r="Z141" s="138"/>
    </row>
    <row r="142" spans="3:26">
      <c r="C142" s="138"/>
      <c r="D142" s="138"/>
      <c r="E142" s="138"/>
      <c r="F142" s="138"/>
      <c r="G142" s="138"/>
      <c r="H142" s="138"/>
      <c r="I142" s="138"/>
      <c r="J142" s="138"/>
      <c r="K142" s="138"/>
      <c r="L142" s="138"/>
      <c r="M142" s="138"/>
      <c r="N142" s="138"/>
      <c r="O142" s="138"/>
      <c r="P142" s="138"/>
      <c r="Q142" s="138"/>
      <c r="R142" s="138"/>
      <c r="S142" s="138"/>
      <c r="T142" s="138"/>
      <c r="U142" s="138"/>
      <c r="V142" s="138"/>
      <c r="W142" s="138"/>
      <c r="X142" s="138"/>
      <c r="Y142" s="138"/>
      <c r="Z142" s="138"/>
    </row>
    <row r="143" spans="3:26">
      <c r="C143" s="138"/>
      <c r="D143" s="138"/>
      <c r="E143" s="138"/>
      <c r="F143" s="138"/>
      <c r="G143" s="138"/>
      <c r="H143" s="138"/>
      <c r="I143" s="138"/>
      <c r="J143" s="138"/>
      <c r="K143" s="138"/>
      <c r="L143" s="138"/>
      <c r="M143" s="138"/>
      <c r="N143" s="138"/>
      <c r="O143" s="138"/>
      <c r="P143" s="138"/>
      <c r="Q143" s="138"/>
      <c r="R143" s="138"/>
      <c r="S143" s="138"/>
      <c r="T143" s="138"/>
      <c r="U143" s="138"/>
      <c r="V143" s="138"/>
      <c r="W143" s="138"/>
      <c r="X143" s="138"/>
      <c r="Y143" s="138"/>
      <c r="Z143" s="138"/>
    </row>
    <row r="144" spans="3:26">
      <c r="C144" s="138"/>
      <c r="D144" s="138"/>
      <c r="E144" s="138"/>
      <c r="F144" s="138"/>
      <c r="G144" s="138"/>
      <c r="H144" s="138"/>
      <c r="I144" s="138"/>
      <c r="J144" s="138"/>
      <c r="K144" s="138"/>
      <c r="L144" s="138"/>
      <c r="M144" s="138"/>
      <c r="N144" s="138"/>
      <c r="O144" s="138"/>
      <c r="P144" s="138"/>
      <c r="Q144" s="138"/>
      <c r="R144" s="138"/>
      <c r="S144" s="138"/>
      <c r="T144" s="138"/>
      <c r="U144" s="138"/>
      <c r="V144" s="138"/>
      <c r="W144" s="138"/>
      <c r="X144" s="138"/>
      <c r="Y144" s="138"/>
      <c r="Z144" s="138"/>
    </row>
    <row r="145" spans="3:26">
      <c r="C145" s="138"/>
      <c r="D145" s="138"/>
      <c r="E145" s="138"/>
      <c r="F145" s="138"/>
      <c r="G145" s="138"/>
      <c r="H145" s="138"/>
      <c r="I145" s="138"/>
      <c r="J145" s="138"/>
      <c r="K145" s="138"/>
      <c r="L145" s="138"/>
      <c r="M145" s="138"/>
      <c r="N145" s="138"/>
      <c r="O145" s="138"/>
      <c r="P145" s="138"/>
      <c r="Q145" s="138"/>
      <c r="R145" s="138"/>
      <c r="S145" s="138"/>
      <c r="T145" s="138"/>
      <c r="U145" s="138"/>
      <c r="V145" s="138"/>
      <c r="W145" s="138"/>
      <c r="X145" s="138"/>
      <c r="Y145" s="138"/>
      <c r="Z145" s="138"/>
    </row>
    <row r="146" spans="3:26">
      <c r="C146" s="138"/>
      <c r="D146" s="138"/>
      <c r="E146" s="138"/>
      <c r="F146" s="138"/>
      <c r="G146" s="138"/>
      <c r="H146" s="138"/>
      <c r="I146" s="138"/>
      <c r="J146" s="138"/>
      <c r="K146" s="138"/>
      <c r="L146" s="138"/>
      <c r="M146" s="138"/>
      <c r="N146" s="138"/>
      <c r="O146" s="138"/>
      <c r="P146" s="138"/>
      <c r="Q146" s="138"/>
      <c r="R146" s="138"/>
      <c r="S146" s="138"/>
      <c r="T146" s="138"/>
      <c r="U146" s="138"/>
      <c r="V146" s="138"/>
      <c r="W146" s="138"/>
      <c r="X146" s="138"/>
      <c r="Y146" s="138"/>
      <c r="Z146" s="138"/>
    </row>
    <row r="147" spans="3:26">
      <c r="C147" s="138"/>
      <c r="D147" s="138"/>
      <c r="E147" s="138"/>
      <c r="F147" s="138"/>
      <c r="G147" s="138"/>
      <c r="H147" s="138"/>
      <c r="I147" s="138"/>
      <c r="J147" s="138"/>
      <c r="K147" s="138"/>
      <c r="L147" s="138"/>
      <c r="M147" s="138"/>
      <c r="N147" s="138"/>
      <c r="O147" s="138"/>
      <c r="P147" s="138"/>
      <c r="Q147" s="138"/>
      <c r="R147" s="138"/>
      <c r="S147" s="138"/>
      <c r="T147" s="138"/>
      <c r="U147" s="138"/>
      <c r="V147" s="138"/>
      <c r="W147" s="138"/>
      <c r="X147" s="138"/>
      <c r="Y147" s="138"/>
      <c r="Z147" s="138"/>
    </row>
    <row r="148" spans="3:26">
      <c r="C148" s="138"/>
      <c r="D148" s="138"/>
      <c r="E148" s="138"/>
      <c r="F148" s="138"/>
      <c r="G148" s="138"/>
      <c r="H148" s="138"/>
      <c r="I148" s="138"/>
      <c r="J148" s="138"/>
      <c r="K148" s="138"/>
      <c r="L148" s="138"/>
      <c r="M148" s="138"/>
      <c r="N148" s="138"/>
      <c r="O148" s="138"/>
      <c r="P148" s="138"/>
      <c r="Q148" s="138"/>
      <c r="R148" s="138"/>
      <c r="S148" s="138"/>
      <c r="T148" s="138"/>
      <c r="U148" s="138"/>
      <c r="V148" s="138"/>
      <c r="W148" s="138"/>
      <c r="X148" s="138"/>
      <c r="Y148" s="138"/>
      <c r="Z148" s="138"/>
    </row>
    <row r="149" spans="3:26">
      <c r="C149" s="138"/>
      <c r="D149" s="138"/>
      <c r="E149" s="138"/>
      <c r="F149" s="138"/>
      <c r="G149" s="138"/>
      <c r="H149" s="138"/>
      <c r="I149" s="138"/>
      <c r="J149" s="138"/>
      <c r="K149" s="138"/>
      <c r="L149" s="138"/>
      <c r="M149" s="138"/>
      <c r="N149" s="138"/>
      <c r="O149" s="138"/>
      <c r="P149" s="138"/>
      <c r="Q149" s="138"/>
      <c r="R149" s="138"/>
      <c r="S149" s="138"/>
      <c r="T149" s="138"/>
      <c r="U149" s="138"/>
      <c r="V149" s="138"/>
      <c r="W149" s="138"/>
      <c r="X149" s="138"/>
      <c r="Y149" s="138"/>
      <c r="Z149" s="138"/>
    </row>
    <row r="150" spans="3:26">
      <c r="C150" s="138"/>
      <c r="D150" s="138"/>
      <c r="E150" s="138"/>
      <c r="F150" s="138"/>
      <c r="G150" s="138"/>
      <c r="H150" s="138"/>
      <c r="I150" s="138"/>
      <c r="J150" s="138"/>
      <c r="K150" s="138"/>
      <c r="L150" s="138"/>
      <c r="M150" s="138"/>
      <c r="N150" s="138"/>
      <c r="O150" s="138"/>
      <c r="P150" s="138"/>
      <c r="Q150" s="138"/>
      <c r="R150" s="138"/>
      <c r="S150" s="138"/>
      <c r="T150" s="138"/>
      <c r="U150" s="138"/>
      <c r="V150" s="138"/>
      <c r="W150" s="138"/>
      <c r="X150" s="138"/>
      <c r="Y150" s="138"/>
      <c r="Z150" s="138"/>
    </row>
    <row r="151" spans="3:26">
      <c r="C151" s="138"/>
      <c r="D151" s="138"/>
      <c r="E151" s="138"/>
      <c r="F151" s="138"/>
      <c r="G151" s="138"/>
      <c r="H151" s="138"/>
      <c r="I151" s="138"/>
      <c r="J151" s="138"/>
      <c r="K151" s="138"/>
      <c r="L151" s="138"/>
      <c r="M151" s="138"/>
      <c r="N151" s="138"/>
      <c r="O151" s="138"/>
      <c r="P151" s="138"/>
      <c r="Q151" s="138"/>
      <c r="R151" s="138"/>
      <c r="S151" s="138"/>
      <c r="T151" s="138"/>
      <c r="U151" s="138"/>
      <c r="V151" s="138"/>
      <c r="W151" s="138"/>
      <c r="X151" s="138"/>
      <c r="Y151" s="138"/>
      <c r="Z151" s="138"/>
    </row>
    <row r="152" spans="3:26">
      <c r="C152" s="138"/>
      <c r="D152" s="138"/>
      <c r="E152" s="138"/>
      <c r="F152" s="138"/>
      <c r="G152" s="138"/>
      <c r="H152" s="138"/>
      <c r="I152" s="138"/>
      <c r="J152" s="138"/>
      <c r="K152" s="138"/>
      <c r="L152" s="138"/>
      <c r="M152" s="138"/>
      <c r="N152" s="138"/>
      <c r="O152" s="138"/>
      <c r="P152" s="138"/>
      <c r="Q152" s="138"/>
      <c r="R152" s="138"/>
      <c r="S152" s="138"/>
      <c r="T152" s="138"/>
      <c r="U152" s="138"/>
      <c r="V152" s="138"/>
      <c r="W152" s="138"/>
      <c r="X152" s="138"/>
      <c r="Y152" s="138"/>
      <c r="Z152" s="138"/>
    </row>
    <row r="153" spans="3:26">
      <c r="C153" s="138"/>
      <c r="D153" s="138"/>
      <c r="E153" s="138"/>
      <c r="F153" s="138"/>
      <c r="G153" s="138"/>
      <c r="H153" s="138"/>
      <c r="I153" s="138"/>
      <c r="J153" s="138"/>
      <c r="K153" s="138"/>
      <c r="L153" s="138"/>
      <c r="M153" s="138"/>
      <c r="N153" s="138"/>
      <c r="O153" s="138"/>
      <c r="P153" s="138"/>
      <c r="Q153" s="138"/>
      <c r="R153" s="138"/>
      <c r="S153" s="138"/>
      <c r="T153" s="138"/>
      <c r="U153" s="138"/>
      <c r="V153" s="138"/>
      <c r="W153" s="138"/>
      <c r="X153" s="138"/>
      <c r="Y153" s="138"/>
      <c r="Z153" s="138"/>
    </row>
    <row r="154" spans="3:26">
      <c r="C154" s="138"/>
      <c r="D154" s="138"/>
      <c r="E154" s="138"/>
      <c r="F154" s="138"/>
      <c r="G154" s="138"/>
      <c r="H154" s="138"/>
      <c r="I154" s="138"/>
      <c r="J154" s="138"/>
      <c r="K154" s="138"/>
      <c r="L154" s="138"/>
      <c r="M154" s="138"/>
      <c r="N154" s="138"/>
      <c r="O154" s="138"/>
      <c r="P154" s="138"/>
      <c r="Q154" s="138"/>
      <c r="R154" s="138"/>
      <c r="S154" s="138"/>
      <c r="T154" s="138"/>
      <c r="U154" s="138"/>
      <c r="V154" s="138"/>
      <c r="W154" s="138"/>
      <c r="X154" s="138"/>
      <c r="Y154" s="138"/>
      <c r="Z154" s="138"/>
    </row>
    <row r="155" spans="3:26">
      <c r="C155" s="138"/>
      <c r="D155" s="138"/>
      <c r="E155" s="138"/>
      <c r="F155" s="138"/>
      <c r="G155" s="138"/>
      <c r="H155" s="138"/>
      <c r="I155" s="138"/>
      <c r="J155" s="138"/>
      <c r="K155" s="138"/>
      <c r="L155" s="138"/>
      <c r="M155" s="138"/>
      <c r="N155" s="138"/>
      <c r="O155" s="138"/>
      <c r="P155" s="138"/>
      <c r="Q155" s="138"/>
      <c r="R155" s="138"/>
      <c r="S155" s="138"/>
      <c r="T155" s="138"/>
      <c r="U155" s="138"/>
      <c r="V155" s="138"/>
      <c r="W155" s="138"/>
      <c r="X155" s="138"/>
      <c r="Y155" s="138"/>
      <c r="Z155" s="138"/>
    </row>
    <row r="156" spans="3:26">
      <c r="C156" s="138"/>
      <c r="D156" s="138"/>
      <c r="E156" s="138"/>
      <c r="F156" s="138"/>
      <c r="G156" s="138"/>
      <c r="H156" s="138"/>
      <c r="I156" s="138"/>
      <c r="J156" s="138"/>
      <c r="K156" s="138"/>
      <c r="L156" s="138"/>
      <c r="M156" s="138"/>
      <c r="N156" s="138"/>
      <c r="O156" s="138"/>
      <c r="P156" s="138"/>
      <c r="Q156" s="138"/>
      <c r="R156" s="138"/>
      <c r="S156" s="138"/>
      <c r="T156" s="138"/>
      <c r="U156" s="138"/>
      <c r="V156" s="138"/>
      <c r="W156" s="138"/>
      <c r="X156" s="138"/>
      <c r="Y156" s="138"/>
      <c r="Z156" s="138"/>
    </row>
    <row r="157" spans="3:26">
      <c r="C157" s="138"/>
      <c r="D157" s="138"/>
      <c r="E157" s="138"/>
      <c r="F157" s="138"/>
      <c r="G157" s="138"/>
      <c r="H157" s="138"/>
      <c r="I157" s="138"/>
      <c r="J157" s="138"/>
      <c r="K157" s="138"/>
      <c r="L157" s="138"/>
      <c r="M157" s="138"/>
      <c r="N157" s="138"/>
      <c r="O157" s="138"/>
      <c r="P157" s="138"/>
      <c r="Q157" s="138"/>
      <c r="R157" s="138"/>
      <c r="S157" s="138"/>
      <c r="T157" s="138"/>
      <c r="U157" s="138"/>
      <c r="V157" s="138"/>
      <c r="W157" s="138"/>
      <c r="X157" s="138"/>
      <c r="Y157" s="138"/>
      <c r="Z157" s="138"/>
    </row>
    <row r="158" spans="3:26">
      <c r="C158" s="138"/>
      <c r="D158" s="138"/>
      <c r="E158" s="138"/>
      <c r="F158" s="138"/>
      <c r="G158" s="138"/>
      <c r="H158" s="138"/>
      <c r="I158" s="138"/>
      <c r="J158" s="138"/>
      <c r="K158" s="138"/>
      <c r="L158" s="138"/>
      <c r="M158" s="138"/>
      <c r="N158" s="138"/>
      <c r="O158" s="138"/>
      <c r="P158" s="138"/>
      <c r="Q158" s="138"/>
      <c r="R158" s="138"/>
      <c r="S158" s="138"/>
      <c r="T158" s="138"/>
      <c r="U158" s="138"/>
      <c r="V158" s="138"/>
      <c r="W158" s="138"/>
      <c r="X158" s="138"/>
      <c r="Y158" s="138"/>
      <c r="Z158" s="138"/>
    </row>
    <row r="159" spans="3:26">
      <c r="C159" s="138"/>
      <c r="D159" s="138"/>
      <c r="E159" s="138"/>
      <c r="F159" s="138"/>
      <c r="G159" s="138"/>
      <c r="H159" s="138"/>
      <c r="I159" s="138"/>
      <c r="J159" s="138"/>
      <c r="K159" s="138"/>
      <c r="L159" s="138"/>
      <c r="M159" s="138"/>
      <c r="N159" s="138"/>
      <c r="O159" s="138"/>
      <c r="P159" s="138"/>
      <c r="Q159" s="138"/>
      <c r="R159" s="138"/>
      <c r="S159" s="138"/>
      <c r="T159" s="138"/>
      <c r="U159" s="138"/>
      <c r="V159" s="138"/>
      <c r="W159" s="138"/>
      <c r="X159" s="138"/>
      <c r="Y159" s="138"/>
      <c r="Z159" s="138"/>
    </row>
    <row r="160" spans="3:26">
      <c r="C160" s="138"/>
      <c r="D160" s="138"/>
      <c r="E160" s="138"/>
      <c r="F160" s="138"/>
      <c r="G160" s="138"/>
      <c r="H160" s="138"/>
      <c r="I160" s="138"/>
      <c r="J160" s="138"/>
      <c r="K160" s="138"/>
      <c r="L160" s="138"/>
      <c r="M160" s="138"/>
      <c r="N160" s="138"/>
      <c r="O160" s="138"/>
      <c r="P160" s="138"/>
      <c r="Q160" s="138"/>
      <c r="R160" s="138"/>
      <c r="S160" s="138"/>
      <c r="T160" s="138"/>
      <c r="U160" s="138"/>
      <c r="V160" s="138"/>
      <c r="W160" s="138"/>
      <c r="X160" s="138"/>
      <c r="Y160" s="138"/>
      <c r="Z160" s="138"/>
    </row>
    <row r="161" spans="3:26">
      <c r="C161" s="138"/>
      <c r="D161" s="138"/>
      <c r="E161" s="138"/>
      <c r="F161" s="138"/>
      <c r="G161" s="138"/>
      <c r="H161" s="138"/>
      <c r="I161" s="138"/>
      <c r="J161" s="138"/>
      <c r="K161" s="138"/>
      <c r="L161" s="138"/>
      <c r="M161" s="138"/>
      <c r="N161" s="138"/>
      <c r="O161" s="138"/>
      <c r="P161" s="138"/>
      <c r="Q161" s="138"/>
      <c r="R161" s="138"/>
      <c r="S161" s="138"/>
      <c r="T161" s="138"/>
      <c r="U161" s="138"/>
      <c r="V161" s="138"/>
      <c r="W161" s="138"/>
      <c r="X161" s="138"/>
      <c r="Y161" s="138"/>
      <c r="Z161" s="138"/>
    </row>
    <row r="162" spans="3:26">
      <c r="C162" s="138"/>
      <c r="D162" s="138"/>
      <c r="E162" s="138"/>
      <c r="F162" s="138"/>
      <c r="G162" s="138"/>
      <c r="H162" s="138"/>
      <c r="I162" s="138"/>
      <c r="J162" s="138"/>
      <c r="K162" s="138"/>
      <c r="L162" s="138"/>
      <c r="M162" s="138"/>
      <c r="N162" s="138"/>
      <c r="O162" s="138"/>
      <c r="P162" s="138"/>
      <c r="Q162" s="138"/>
      <c r="R162" s="138"/>
      <c r="S162" s="138"/>
      <c r="T162" s="138"/>
      <c r="U162" s="138"/>
      <c r="V162" s="138"/>
      <c r="W162" s="138"/>
      <c r="X162" s="138"/>
      <c r="Y162" s="138"/>
      <c r="Z162" s="138"/>
    </row>
    <row r="163" spans="3:26">
      <c r="C163" s="138"/>
      <c r="D163" s="138"/>
      <c r="E163" s="138"/>
      <c r="F163" s="138"/>
      <c r="G163" s="138"/>
      <c r="H163" s="138"/>
      <c r="I163" s="138"/>
      <c r="J163" s="138"/>
      <c r="K163" s="138"/>
      <c r="L163" s="138"/>
      <c r="M163" s="138"/>
      <c r="N163" s="138"/>
      <c r="O163" s="138"/>
      <c r="P163" s="138"/>
      <c r="Q163" s="138"/>
      <c r="R163" s="138"/>
      <c r="S163" s="138"/>
      <c r="T163" s="138"/>
      <c r="U163" s="138"/>
      <c r="V163" s="138"/>
      <c r="W163" s="138"/>
      <c r="X163" s="138"/>
      <c r="Y163" s="138"/>
      <c r="Z163" s="138"/>
    </row>
    <row r="164" spans="3:26">
      <c r="C164" s="138"/>
      <c r="D164" s="138"/>
      <c r="E164" s="138"/>
      <c r="F164" s="138"/>
      <c r="G164" s="138"/>
      <c r="H164" s="138"/>
      <c r="I164" s="138"/>
      <c r="J164" s="138"/>
      <c r="K164" s="138"/>
      <c r="L164" s="138"/>
      <c r="M164" s="138"/>
      <c r="N164" s="138"/>
      <c r="O164" s="138"/>
      <c r="P164" s="138"/>
      <c r="Q164" s="138"/>
      <c r="R164" s="138"/>
      <c r="S164" s="138"/>
      <c r="T164" s="138"/>
      <c r="U164" s="138"/>
      <c r="V164" s="138"/>
      <c r="W164" s="138"/>
      <c r="X164" s="138"/>
      <c r="Y164" s="138"/>
      <c r="Z164" s="138"/>
    </row>
    <row r="165" spans="3:26">
      <c r="C165" s="138"/>
      <c r="D165" s="138"/>
      <c r="E165" s="138"/>
      <c r="F165" s="138"/>
      <c r="G165" s="138"/>
      <c r="H165" s="138"/>
      <c r="I165" s="138"/>
      <c r="J165" s="138"/>
      <c r="K165" s="138"/>
      <c r="L165" s="138"/>
      <c r="M165" s="138"/>
      <c r="N165" s="138"/>
      <c r="O165" s="138"/>
      <c r="P165" s="138"/>
      <c r="Q165" s="138"/>
      <c r="R165" s="138"/>
      <c r="S165" s="138"/>
      <c r="T165" s="138"/>
      <c r="U165" s="138"/>
      <c r="V165" s="138"/>
      <c r="W165" s="138"/>
      <c r="X165" s="138"/>
      <c r="Y165" s="138"/>
      <c r="Z165" s="138"/>
    </row>
    <row r="166" spans="3:26">
      <c r="C166" s="138"/>
      <c r="D166" s="138"/>
      <c r="E166" s="138"/>
      <c r="F166" s="138"/>
      <c r="G166" s="138"/>
      <c r="H166" s="138"/>
      <c r="I166" s="138"/>
      <c r="J166" s="138"/>
      <c r="K166" s="138"/>
      <c r="L166" s="138"/>
      <c r="M166" s="138"/>
      <c r="N166" s="138"/>
      <c r="O166" s="138"/>
      <c r="P166" s="138"/>
      <c r="Q166" s="138"/>
      <c r="R166" s="138"/>
      <c r="S166" s="138"/>
      <c r="T166" s="138"/>
      <c r="U166" s="138"/>
      <c r="V166" s="138"/>
      <c r="W166" s="138"/>
      <c r="X166" s="138"/>
      <c r="Y166" s="138"/>
      <c r="Z166" s="138"/>
    </row>
    <row r="167" spans="3:26">
      <c r="C167" s="138"/>
      <c r="D167" s="138"/>
      <c r="E167" s="138"/>
      <c r="F167" s="138"/>
      <c r="G167" s="138"/>
      <c r="H167" s="138"/>
      <c r="I167" s="138"/>
      <c r="J167" s="138"/>
      <c r="K167" s="138"/>
      <c r="L167" s="138"/>
      <c r="M167" s="138"/>
      <c r="N167" s="138"/>
      <c r="O167" s="138"/>
      <c r="P167" s="138"/>
      <c r="Q167" s="138"/>
      <c r="R167" s="138"/>
      <c r="S167" s="138"/>
      <c r="T167" s="138"/>
      <c r="U167" s="138"/>
      <c r="V167" s="138"/>
      <c r="W167" s="138"/>
      <c r="X167" s="138"/>
      <c r="Y167" s="138"/>
      <c r="Z167" s="138"/>
    </row>
    <row r="168" spans="3:26">
      <c r="C168" s="138"/>
      <c r="D168" s="138"/>
      <c r="E168" s="138"/>
      <c r="F168" s="138"/>
      <c r="G168" s="138"/>
      <c r="H168" s="138"/>
      <c r="I168" s="138"/>
      <c r="J168" s="138"/>
      <c r="K168" s="138"/>
      <c r="L168" s="138"/>
      <c r="M168" s="138"/>
      <c r="N168" s="138"/>
      <c r="O168" s="138"/>
      <c r="P168" s="138"/>
      <c r="Q168" s="138"/>
      <c r="R168" s="138"/>
      <c r="S168" s="138"/>
      <c r="T168" s="138"/>
      <c r="U168" s="138"/>
      <c r="V168" s="138"/>
      <c r="W168" s="138"/>
      <c r="X168" s="138"/>
      <c r="Y168" s="138"/>
      <c r="Z168" s="138"/>
    </row>
    <row r="169" spans="3:26">
      <c r="C169" s="138"/>
      <c r="D169" s="138"/>
      <c r="E169" s="138"/>
      <c r="F169" s="138"/>
      <c r="G169" s="138"/>
      <c r="H169" s="138"/>
      <c r="I169" s="138"/>
      <c r="J169" s="138"/>
      <c r="K169" s="138"/>
      <c r="L169" s="138"/>
      <c r="M169" s="138"/>
      <c r="N169" s="138"/>
      <c r="O169" s="138"/>
      <c r="P169" s="138"/>
      <c r="Q169" s="138"/>
      <c r="R169" s="138"/>
      <c r="S169" s="138"/>
      <c r="T169" s="138"/>
      <c r="U169" s="138"/>
      <c r="V169" s="138"/>
      <c r="W169" s="138"/>
      <c r="X169" s="138"/>
      <c r="Y169" s="138"/>
      <c r="Z169" s="138"/>
    </row>
    <row r="170" spans="3:26">
      <c r="C170" s="138"/>
      <c r="D170" s="138"/>
      <c r="E170" s="138"/>
      <c r="F170" s="138"/>
      <c r="G170" s="138"/>
      <c r="H170" s="138"/>
      <c r="I170" s="138"/>
      <c r="J170" s="138"/>
      <c r="K170" s="138"/>
      <c r="L170" s="138"/>
      <c r="M170" s="138"/>
      <c r="N170" s="138"/>
      <c r="O170" s="138"/>
      <c r="P170" s="138"/>
      <c r="Q170" s="138"/>
      <c r="R170" s="138"/>
      <c r="S170" s="138"/>
      <c r="T170" s="138"/>
      <c r="U170" s="138"/>
      <c r="V170" s="138"/>
      <c r="W170" s="138"/>
      <c r="X170" s="138"/>
      <c r="Y170" s="138"/>
      <c r="Z170" s="138"/>
    </row>
    <row r="171" spans="3:26">
      <c r="C171" s="138"/>
      <c r="D171" s="138"/>
      <c r="E171" s="138"/>
      <c r="F171" s="138"/>
      <c r="G171" s="138"/>
      <c r="H171" s="138"/>
      <c r="I171" s="138"/>
      <c r="J171" s="138"/>
      <c r="K171" s="138"/>
      <c r="L171" s="138"/>
      <c r="M171" s="138"/>
      <c r="N171" s="138"/>
      <c r="O171" s="138"/>
      <c r="P171" s="138"/>
      <c r="Q171" s="138"/>
      <c r="R171" s="138"/>
      <c r="S171" s="138"/>
      <c r="T171" s="138"/>
      <c r="U171" s="138"/>
      <c r="V171" s="138"/>
      <c r="W171" s="138"/>
      <c r="X171" s="138"/>
      <c r="Y171" s="138"/>
      <c r="Z171" s="138"/>
    </row>
    <row r="172" spans="3:26">
      <c r="C172" s="138"/>
      <c r="D172" s="138"/>
      <c r="E172" s="138"/>
      <c r="F172" s="138"/>
      <c r="G172" s="138"/>
      <c r="H172" s="138"/>
      <c r="I172" s="138"/>
      <c r="J172" s="138"/>
      <c r="K172" s="138"/>
      <c r="L172" s="138"/>
      <c r="M172" s="138"/>
      <c r="N172" s="138"/>
      <c r="O172" s="138"/>
      <c r="P172" s="138"/>
      <c r="Q172" s="138"/>
      <c r="R172" s="138"/>
      <c r="S172" s="138"/>
      <c r="T172" s="138"/>
      <c r="U172" s="138"/>
      <c r="V172" s="138"/>
      <c r="W172" s="138"/>
      <c r="X172" s="138"/>
      <c r="Y172" s="138"/>
      <c r="Z172" s="138"/>
    </row>
    <row r="173" spans="3:26">
      <c r="C173" s="138"/>
      <c r="D173" s="138"/>
      <c r="E173" s="138"/>
      <c r="F173" s="138"/>
      <c r="G173" s="138"/>
      <c r="H173" s="138"/>
      <c r="I173" s="138"/>
      <c r="J173" s="138"/>
      <c r="K173" s="138"/>
      <c r="L173" s="138"/>
      <c r="M173" s="138"/>
      <c r="N173" s="138"/>
      <c r="O173" s="138"/>
      <c r="P173" s="138"/>
      <c r="Q173" s="138"/>
      <c r="R173" s="138"/>
      <c r="S173" s="138"/>
      <c r="T173" s="138"/>
      <c r="U173" s="138"/>
      <c r="V173" s="138"/>
      <c r="W173" s="138"/>
      <c r="X173" s="138"/>
      <c r="Y173" s="138"/>
      <c r="Z173" s="138"/>
    </row>
    <row r="174" spans="3:26">
      <c r="C174" s="138"/>
      <c r="D174" s="138"/>
      <c r="E174" s="138"/>
      <c r="F174" s="138"/>
      <c r="G174" s="138"/>
      <c r="H174" s="138"/>
      <c r="I174" s="138"/>
      <c r="J174" s="138"/>
      <c r="K174" s="138"/>
      <c r="L174" s="138"/>
      <c r="M174" s="138"/>
      <c r="N174" s="138"/>
      <c r="O174" s="138"/>
      <c r="P174" s="138"/>
      <c r="Q174" s="138"/>
      <c r="R174" s="138"/>
      <c r="S174" s="138"/>
      <c r="T174" s="138"/>
      <c r="U174" s="138"/>
      <c r="V174" s="138"/>
      <c r="W174" s="138"/>
      <c r="X174" s="138"/>
      <c r="Y174" s="138"/>
      <c r="Z174" s="138"/>
    </row>
    <row r="175" spans="3:26">
      <c r="C175" s="138"/>
      <c r="D175" s="138"/>
      <c r="E175" s="138"/>
      <c r="F175" s="138"/>
      <c r="G175" s="138"/>
      <c r="H175" s="138"/>
      <c r="I175" s="138"/>
      <c r="J175" s="138"/>
      <c r="K175" s="138"/>
      <c r="L175" s="138"/>
      <c r="M175" s="138"/>
      <c r="N175" s="138"/>
      <c r="O175" s="138"/>
      <c r="P175" s="138"/>
      <c r="Q175" s="138"/>
      <c r="R175" s="138"/>
      <c r="S175" s="138"/>
      <c r="T175" s="138"/>
      <c r="U175" s="138"/>
      <c r="V175" s="138"/>
      <c r="W175" s="138"/>
      <c r="X175" s="138"/>
      <c r="Y175" s="138"/>
      <c r="Z175" s="138"/>
    </row>
    <row r="176" spans="3:26">
      <c r="C176" s="138"/>
      <c r="D176" s="138"/>
      <c r="E176" s="138"/>
      <c r="F176" s="138"/>
      <c r="G176" s="138"/>
      <c r="H176" s="138"/>
      <c r="I176" s="138"/>
      <c r="J176" s="138"/>
      <c r="K176" s="138"/>
      <c r="L176" s="138"/>
      <c r="M176" s="138"/>
      <c r="N176" s="138"/>
      <c r="O176" s="138"/>
      <c r="P176" s="138"/>
      <c r="Q176" s="138"/>
      <c r="R176" s="138"/>
      <c r="S176" s="138"/>
      <c r="T176" s="138"/>
      <c r="U176" s="138"/>
      <c r="V176" s="138"/>
      <c r="W176" s="138"/>
      <c r="X176" s="138"/>
      <c r="Y176" s="138"/>
      <c r="Z176" s="138"/>
    </row>
    <row r="177" spans="3:26">
      <c r="C177" s="138"/>
      <c r="D177" s="138"/>
      <c r="E177" s="138"/>
      <c r="F177" s="138"/>
      <c r="G177" s="138"/>
      <c r="H177" s="138"/>
      <c r="I177" s="138"/>
      <c r="J177" s="138"/>
      <c r="K177" s="138"/>
      <c r="L177" s="138"/>
      <c r="M177" s="138"/>
      <c r="N177" s="138"/>
      <c r="O177" s="138"/>
      <c r="P177" s="138"/>
      <c r="Q177" s="138"/>
      <c r="R177" s="138"/>
      <c r="S177" s="138"/>
      <c r="T177" s="138"/>
      <c r="U177" s="138"/>
      <c r="V177" s="138"/>
      <c r="W177" s="138"/>
      <c r="X177" s="138"/>
      <c r="Y177" s="138"/>
      <c r="Z177" s="138"/>
    </row>
    <row r="178" spans="3:26">
      <c r="C178" s="138"/>
      <c r="D178" s="138"/>
      <c r="E178" s="138"/>
      <c r="F178" s="138"/>
      <c r="G178" s="138"/>
      <c r="H178" s="138"/>
      <c r="I178" s="138"/>
      <c r="J178" s="138"/>
      <c r="K178" s="138"/>
      <c r="L178" s="138"/>
      <c r="M178" s="138"/>
      <c r="N178" s="138"/>
      <c r="O178" s="138"/>
      <c r="P178" s="138"/>
      <c r="Q178" s="138"/>
      <c r="R178" s="138"/>
      <c r="S178" s="138"/>
      <c r="T178" s="138"/>
      <c r="U178" s="138"/>
      <c r="V178" s="138"/>
      <c r="W178" s="138"/>
      <c r="X178" s="138"/>
      <c r="Y178" s="138"/>
      <c r="Z178" s="138"/>
    </row>
    <row r="179" spans="3:26">
      <c r="C179" s="138"/>
      <c r="D179" s="138"/>
      <c r="E179" s="138"/>
      <c r="F179" s="138"/>
      <c r="G179" s="138"/>
      <c r="H179" s="138"/>
      <c r="I179" s="138"/>
      <c r="J179" s="138"/>
      <c r="K179" s="138"/>
      <c r="L179" s="138"/>
      <c r="M179" s="138"/>
      <c r="N179" s="138"/>
      <c r="O179" s="138"/>
      <c r="P179" s="138"/>
      <c r="Q179" s="138"/>
      <c r="R179" s="138"/>
      <c r="S179" s="138"/>
      <c r="T179" s="138"/>
      <c r="U179" s="138"/>
      <c r="V179" s="138"/>
      <c r="W179" s="138"/>
      <c r="X179" s="138"/>
      <c r="Y179" s="138"/>
      <c r="Z179" s="138"/>
    </row>
    <row r="180" spans="3:26">
      <c r="C180" s="138"/>
      <c r="D180" s="138"/>
      <c r="E180" s="138"/>
      <c r="F180" s="138"/>
      <c r="G180" s="138"/>
      <c r="H180" s="138"/>
      <c r="I180" s="138"/>
      <c r="J180" s="138"/>
      <c r="K180" s="138"/>
      <c r="L180" s="138"/>
      <c r="M180" s="138"/>
      <c r="N180" s="138"/>
      <c r="O180" s="138"/>
      <c r="P180" s="138"/>
      <c r="Q180" s="138"/>
      <c r="R180" s="138"/>
      <c r="S180" s="138"/>
      <c r="T180" s="138"/>
      <c r="U180" s="138"/>
      <c r="V180" s="138"/>
      <c r="W180" s="138"/>
      <c r="X180" s="138"/>
      <c r="Y180" s="138"/>
      <c r="Z180" s="138"/>
    </row>
    <row r="181" spans="3:26">
      <c r="C181" s="138"/>
      <c r="D181" s="138"/>
      <c r="E181" s="138"/>
      <c r="F181" s="138"/>
      <c r="G181" s="138"/>
      <c r="H181" s="138"/>
      <c r="I181" s="138"/>
      <c r="J181" s="138"/>
      <c r="K181" s="138"/>
      <c r="L181" s="138"/>
      <c r="M181" s="138"/>
      <c r="N181" s="138"/>
      <c r="O181" s="138"/>
      <c r="P181" s="138"/>
      <c r="Q181" s="138"/>
      <c r="R181" s="138"/>
      <c r="S181" s="138"/>
      <c r="T181" s="138"/>
      <c r="U181" s="138"/>
      <c r="V181" s="138"/>
      <c r="W181" s="138"/>
      <c r="X181" s="138"/>
      <c r="Y181" s="138"/>
      <c r="Z181" s="138"/>
    </row>
    <row r="182" spans="3:26">
      <c r="C182" s="138"/>
      <c r="D182" s="138"/>
      <c r="E182" s="138"/>
      <c r="F182" s="138"/>
      <c r="G182" s="138"/>
      <c r="H182" s="138"/>
      <c r="I182" s="138"/>
      <c r="J182" s="138"/>
      <c r="K182" s="138"/>
      <c r="L182" s="138"/>
      <c r="M182" s="138"/>
      <c r="N182" s="138"/>
      <c r="O182" s="138"/>
      <c r="P182" s="138"/>
      <c r="Q182" s="138"/>
      <c r="R182" s="138"/>
      <c r="S182" s="138"/>
      <c r="T182" s="138"/>
      <c r="U182" s="138"/>
      <c r="V182" s="138"/>
      <c r="W182" s="138"/>
      <c r="X182" s="138"/>
      <c r="Y182" s="138"/>
      <c r="Z182" s="138"/>
    </row>
    <row r="183" spans="3:26">
      <c r="C183" s="138"/>
      <c r="D183" s="138"/>
      <c r="E183" s="138"/>
      <c r="F183" s="138"/>
      <c r="G183" s="138"/>
      <c r="H183" s="138"/>
      <c r="I183" s="138"/>
      <c r="J183" s="138"/>
      <c r="K183" s="138"/>
      <c r="L183" s="138"/>
      <c r="M183" s="138"/>
      <c r="N183" s="138"/>
      <c r="O183" s="138"/>
      <c r="P183" s="138"/>
      <c r="Q183" s="138"/>
      <c r="R183" s="138"/>
      <c r="S183" s="138"/>
      <c r="T183" s="138"/>
      <c r="U183" s="138"/>
      <c r="V183" s="138"/>
      <c r="W183" s="138"/>
      <c r="X183" s="138"/>
      <c r="Y183" s="138"/>
      <c r="Z183" s="138"/>
    </row>
    <row r="184" spans="3:26">
      <c r="C184" s="138"/>
      <c r="D184" s="138"/>
      <c r="E184" s="138"/>
      <c r="F184" s="138"/>
      <c r="G184" s="138"/>
      <c r="H184" s="138"/>
      <c r="I184" s="138"/>
      <c r="J184" s="138"/>
      <c r="K184" s="138"/>
      <c r="L184" s="138"/>
      <c r="M184" s="138"/>
      <c r="N184" s="138"/>
      <c r="O184" s="138"/>
      <c r="P184" s="138"/>
      <c r="Q184" s="138"/>
      <c r="R184" s="138"/>
      <c r="S184" s="138"/>
      <c r="T184" s="138"/>
      <c r="U184" s="138"/>
      <c r="V184" s="138"/>
      <c r="W184" s="138"/>
      <c r="X184" s="138"/>
      <c r="Y184" s="138"/>
      <c r="Z184" s="138"/>
    </row>
    <row r="185" spans="3:26">
      <c r="C185" s="138"/>
      <c r="D185" s="138"/>
      <c r="E185" s="138"/>
      <c r="F185" s="138"/>
      <c r="G185" s="138"/>
      <c r="H185" s="138"/>
      <c r="I185" s="138"/>
      <c r="J185" s="138"/>
      <c r="K185" s="138"/>
      <c r="L185" s="138"/>
      <c r="M185" s="138"/>
      <c r="N185" s="138"/>
      <c r="O185" s="138"/>
      <c r="P185" s="138"/>
      <c r="Q185" s="138"/>
      <c r="R185" s="138"/>
      <c r="S185" s="138"/>
      <c r="T185" s="138"/>
      <c r="U185" s="138"/>
      <c r="V185" s="138"/>
      <c r="W185" s="138"/>
      <c r="X185" s="138"/>
      <c r="Y185" s="138"/>
      <c r="Z185" s="138"/>
    </row>
    <row r="186" spans="3:26">
      <c r="C186" s="138"/>
      <c r="D186" s="138"/>
      <c r="E186" s="138"/>
      <c r="F186" s="138"/>
      <c r="G186" s="138"/>
      <c r="H186" s="138"/>
      <c r="I186" s="138"/>
      <c r="J186" s="138"/>
      <c r="K186" s="138"/>
      <c r="L186" s="138"/>
      <c r="M186" s="138"/>
      <c r="N186" s="138"/>
      <c r="O186" s="138"/>
      <c r="P186" s="138"/>
      <c r="Q186" s="138"/>
      <c r="R186" s="138"/>
      <c r="S186" s="138"/>
      <c r="T186" s="138"/>
      <c r="U186" s="138"/>
      <c r="V186" s="138"/>
      <c r="W186" s="138"/>
      <c r="X186" s="138"/>
      <c r="Y186" s="138"/>
      <c r="Z186" s="138"/>
    </row>
    <row r="187" spans="3:26">
      <c r="C187" s="138"/>
      <c r="D187" s="138"/>
      <c r="E187" s="138"/>
      <c r="F187" s="138"/>
      <c r="G187" s="138"/>
      <c r="H187" s="138"/>
      <c r="I187" s="138"/>
      <c r="J187" s="138"/>
      <c r="K187" s="138"/>
      <c r="L187" s="138"/>
      <c r="M187" s="138"/>
      <c r="N187" s="138"/>
      <c r="O187" s="138"/>
      <c r="P187" s="138"/>
      <c r="Q187" s="138"/>
      <c r="R187" s="138"/>
      <c r="S187" s="138"/>
      <c r="T187" s="138"/>
      <c r="U187" s="138"/>
      <c r="V187" s="138"/>
      <c r="W187" s="138"/>
      <c r="X187" s="138"/>
      <c r="Y187" s="138"/>
      <c r="Z187" s="138"/>
    </row>
    <row r="188" spans="3:26">
      <c r="C188" s="138"/>
      <c r="D188" s="138"/>
      <c r="E188" s="138"/>
      <c r="F188" s="138"/>
      <c r="G188" s="138"/>
      <c r="H188" s="138"/>
      <c r="I188" s="138"/>
      <c r="J188" s="138"/>
      <c r="K188" s="138"/>
      <c r="L188" s="138"/>
      <c r="M188" s="138"/>
      <c r="N188" s="138"/>
      <c r="O188" s="138"/>
      <c r="P188" s="138"/>
      <c r="Q188" s="138"/>
      <c r="R188" s="138"/>
      <c r="S188" s="138"/>
      <c r="T188" s="138"/>
      <c r="U188" s="138"/>
      <c r="V188" s="138"/>
      <c r="W188" s="138"/>
      <c r="X188" s="138"/>
      <c r="Y188" s="138"/>
      <c r="Z188" s="138"/>
    </row>
    <row r="189" spans="3:26">
      <c r="C189" s="138"/>
      <c r="D189" s="138"/>
      <c r="E189" s="138"/>
      <c r="F189" s="138"/>
      <c r="G189" s="138"/>
      <c r="H189" s="138"/>
      <c r="I189" s="138"/>
      <c r="J189" s="138"/>
      <c r="K189" s="138"/>
      <c r="L189" s="138"/>
      <c r="M189" s="138"/>
      <c r="N189" s="138"/>
      <c r="O189" s="138"/>
      <c r="P189" s="138"/>
      <c r="Q189" s="138"/>
      <c r="R189" s="138"/>
      <c r="S189" s="138"/>
      <c r="T189" s="138"/>
      <c r="U189" s="138"/>
      <c r="V189" s="138"/>
      <c r="W189" s="138"/>
      <c r="X189" s="138"/>
      <c r="Y189" s="138"/>
      <c r="Z189" s="138"/>
    </row>
    <row r="190" spans="3:26">
      <c r="C190" s="138"/>
      <c r="D190" s="138"/>
      <c r="E190" s="138"/>
      <c r="F190" s="138"/>
      <c r="G190" s="138"/>
      <c r="H190" s="138"/>
      <c r="I190" s="138"/>
      <c r="J190" s="138"/>
      <c r="K190" s="138"/>
      <c r="L190" s="138"/>
      <c r="M190" s="138"/>
      <c r="N190" s="138"/>
      <c r="O190" s="138"/>
      <c r="P190" s="138"/>
      <c r="Q190" s="138"/>
      <c r="R190" s="138"/>
      <c r="S190" s="138"/>
      <c r="T190" s="138"/>
      <c r="U190" s="138"/>
      <c r="V190" s="138"/>
      <c r="W190" s="138"/>
      <c r="X190" s="138"/>
      <c r="Y190" s="138"/>
      <c r="Z190" s="138"/>
    </row>
    <row r="191" spans="3:26">
      <c r="C191" s="138"/>
      <c r="D191" s="138"/>
      <c r="E191" s="138"/>
      <c r="F191" s="138"/>
      <c r="G191" s="138"/>
      <c r="H191" s="138"/>
      <c r="I191" s="138"/>
      <c r="J191" s="138"/>
      <c r="K191" s="138"/>
      <c r="L191" s="138"/>
      <c r="M191" s="138"/>
      <c r="N191" s="138"/>
      <c r="O191" s="138"/>
      <c r="P191" s="138"/>
      <c r="Q191" s="138"/>
      <c r="R191" s="138"/>
      <c r="S191" s="138"/>
      <c r="T191" s="138"/>
      <c r="U191" s="138"/>
      <c r="V191" s="138"/>
      <c r="W191" s="138"/>
      <c r="X191" s="138"/>
      <c r="Y191" s="138"/>
      <c r="Z191" s="138"/>
    </row>
    <row r="192" spans="3:26">
      <c r="C192" s="138"/>
      <c r="D192" s="138"/>
      <c r="E192" s="138"/>
      <c r="F192" s="138"/>
      <c r="G192" s="138"/>
      <c r="H192" s="138"/>
      <c r="I192" s="138"/>
      <c r="J192" s="138"/>
      <c r="K192" s="138"/>
      <c r="L192" s="138"/>
      <c r="M192" s="138"/>
      <c r="N192" s="138"/>
      <c r="O192" s="138"/>
      <c r="P192" s="138"/>
      <c r="Q192" s="138"/>
      <c r="R192" s="138"/>
      <c r="S192" s="138"/>
      <c r="T192" s="138"/>
      <c r="U192" s="138"/>
      <c r="V192" s="138"/>
      <c r="W192" s="138"/>
      <c r="X192" s="138"/>
      <c r="Y192" s="138"/>
      <c r="Z192" s="138"/>
    </row>
    <row r="193" spans="3:26">
      <c r="C193" s="138"/>
      <c r="D193" s="138"/>
      <c r="E193" s="138"/>
      <c r="F193" s="138"/>
      <c r="G193" s="138"/>
      <c r="H193" s="138"/>
      <c r="I193" s="138"/>
      <c r="J193" s="138"/>
      <c r="K193" s="138"/>
      <c r="L193" s="138"/>
      <c r="M193" s="138"/>
      <c r="N193" s="138"/>
      <c r="O193" s="138"/>
      <c r="P193" s="138"/>
      <c r="Q193" s="138"/>
      <c r="R193" s="138"/>
      <c r="S193" s="138"/>
      <c r="T193" s="138"/>
      <c r="U193" s="138"/>
      <c r="V193" s="138"/>
      <c r="W193" s="138"/>
      <c r="X193" s="138"/>
      <c r="Y193" s="138"/>
      <c r="Z193" s="138"/>
    </row>
    <row r="194" spans="3:26">
      <c r="C194" s="138"/>
      <c r="D194" s="138"/>
      <c r="E194" s="138"/>
      <c r="F194" s="138"/>
      <c r="G194" s="138"/>
      <c r="H194" s="138"/>
      <c r="I194" s="138"/>
      <c r="J194" s="138"/>
      <c r="K194" s="138"/>
      <c r="L194" s="138"/>
      <c r="M194" s="138"/>
      <c r="N194" s="138"/>
      <c r="O194" s="138"/>
      <c r="P194" s="138"/>
      <c r="Q194" s="138"/>
      <c r="R194" s="138"/>
      <c r="S194" s="138"/>
      <c r="T194" s="138"/>
      <c r="U194" s="138"/>
      <c r="V194" s="138"/>
      <c r="W194" s="138"/>
      <c r="X194" s="138"/>
      <c r="Y194" s="138"/>
      <c r="Z194" s="138"/>
    </row>
    <row r="195" spans="3:26">
      <c r="C195" s="138"/>
      <c r="D195" s="138"/>
      <c r="E195" s="138"/>
      <c r="F195" s="138"/>
      <c r="G195" s="138"/>
      <c r="H195" s="138"/>
      <c r="I195" s="138"/>
      <c r="J195" s="138"/>
      <c r="K195" s="138"/>
      <c r="L195" s="138"/>
      <c r="M195" s="138"/>
      <c r="N195" s="138"/>
      <c r="O195" s="138"/>
      <c r="P195" s="138"/>
      <c r="Q195" s="138"/>
      <c r="R195" s="138"/>
      <c r="S195" s="138"/>
      <c r="T195" s="138"/>
      <c r="U195" s="138"/>
      <c r="V195" s="138"/>
      <c r="W195" s="138"/>
      <c r="X195" s="138"/>
      <c r="Y195" s="138"/>
      <c r="Z195" s="138"/>
    </row>
    <row r="196" spans="3:26">
      <c r="C196" s="138"/>
      <c r="D196" s="138"/>
      <c r="E196" s="138"/>
      <c r="F196" s="138"/>
      <c r="G196" s="138"/>
      <c r="H196" s="138"/>
      <c r="I196" s="138"/>
      <c r="J196" s="138"/>
      <c r="K196" s="138"/>
      <c r="L196" s="138"/>
      <c r="M196" s="138"/>
      <c r="N196" s="138"/>
      <c r="O196" s="138"/>
      <c r="P196" s="138"/>
      <c r="Q196" s="138"/>
      <c r="R196" s="138"/>
      <c r="S196" s="138"/>
      <c r="T196" s="138"/>
      <c r="U196" s="138"/>
      <c r="V196" s="138"/>
      <c r="W196" s="138"/>
      <c r="X196" s="138"/>
      <c r="Y196" s="138"/>
      <c r="Z196" s="138"/>
    </row>
    <row r="197" spans="3:26">
      <c r="C197" s="138"/>
      <c r="D197" s="138"/>
      <c r="E197" s="138"/>
      <c r="F197" s="138"/>
      <c r="G197" s="138"/>
      <c r="H197" s="138"/>
      <c r="I197" s="138"/>
      <c r="J197" s="138"/>
      <c r="K197" s="138"/>
      <c r="L197" s="138"/>
      <c r="M197" s="138"/>
      <c r="N197" s="138"/>
      <c r="O197" s="138"/>
      <c r="P197" s="138"/>
      <c r="Q197" s="138"/>
      <c r="R197" s="138"/>
      <c r="S197" s="138"/>
      <c r="T197" s="138"/>
      <c r="U197" s="138"/>
      <c r="V197" s="138"/>
      <c r="W197" s="138"/>
      <c r="X197" s="138"/>
      <c r="Y197" s="138"/>
      <c r="Z197" s="138"/>
    </row>
    <row r="198" spans="3:26">
      <c r="C198" s="138"/>
      <c r="D198" s="138"/>
      <c r="E198" s="138"/>
      <c r="F198" s="138"/>
      <c r="G198" s="138"/>
      <c r="H198" s="138"/>
      <c r="I198" s="138"/>
      <c r="J198" s="138"/>
      <c r="K198" s="138"/>
      <c r="L198" s="138"/>
      <c r="M198" s="138"/>
      <c r="N198" s="138"/>
      <c r="O198" s="138"/>
      <c r="P198" s="138"/>
      <c r="Q198" s="138"/>
      <c r="R198" s="138"/>
      <c r="S198" s="138"/>
      <c r="T198" s="138"/>
      <c r="U198" s="138"/>
      <c r="V198" s="138"/>
      <c r="W198" s="138"/>
      <c r="X198" s="138"/>
      <c r="Y198" s="138"/>
      <c r="Z198" s="138"/>
    </row>
    <row r="199" spans="3:26">
      <c r="C199" s="138"/>
      <c r="D199" s="138"/>
      <c r="E199" s="138"/>
      <c r="F199" s="138"/>
      <c r="G199" s="138"/>
      <c r="H199" s="138"/>
      <c r="I199" s="138"/>
      <c r="J199" s="138"/>
      <c r="K199" s="138"/>
      <c r="L199" s="138"/>
      <c r="M199" s="138"/>
      <c r="N199" s="138"/>
      <c r="O199" s="138"/>
      <c r="P199" s="138"/>
      <c r="Q199" s="138"/>
      <c r="R199" s="138"/>
      <c r="S199" s="138"/>
      <c r="T199" s="138"/>
      <c r="U199" s="138"/>
      <c r="V199" s="138"/>
      <c r="W199" s="138"/>
      <c r="X199" s="138"/>
      <c r="Y199" s="138"/>
      <c r="Z199" s="138"/>
    </row>
    <row r="200" spans="3:26">
      <c r="C200" s="138"/>
      <c r="D200" s="138"/>
      <c r="E200" s="138"/>
      <c r="F200" s="138"/>
      <c r="G200" s="138"/>
      <c r="H200" s="138"/>
      <c r="I200" s="138"/>
      <c r="J200" s="138"/>
      <c r="K200" s="138"/>
      <c r="L200" s="138"/>
      <c r="M200" s="138"/>
      <c r="N200" s="138"/>
      <c r="O200" s="138"/>
      <c r="P200" s="138"/>
      <c r="Q200" s="138"/>
      <c r="R200" s="138"/>
      <c r="S200" s="138"/>
      <c r="T200" s="138"/>
      <c r="U200" s="138"/>
      <c r="V200" s="138"/>
      <c r="W200" s="138"/>
      <c r="X200" s="138"/>
      <c r="Y200" s="138"/>
      <c r="Z200" s="138"/>
    </row>
    <row r="201" spans="3:26">
      <c r="C201" s="138"/>
      <c r="D201" s="138"/>
      <c r="E201" s="138"/>
      <c r="F201" s="138"/>
      <c r="G201" s="138"/>
      <c r="H201" s="138"/>
      <c r="I201" s="138"/>
      <c r="J201" s="138"/>
      <c r="K201" s="138"/>
      <c r="L201" s="138"/>
      <c r="M201" s="138"/>
      <c r="N201" s="138"/>
      <c r="O201" s="138"/>
      <c r="P201" s="138"/>
      <c r="Q201" s="138"/>
      <c r="R201" s="138"/>
      <c r="S201" s="138"/>
      <c r="T201" s="138"/>
      <c r="U201" s="138"/>
      <c r="V201" s="138"/>
      <c r="W201" s="138"/>
      <c r="X201" s="138"/>
      <c r="Y201" s="138"/>
      <c r="Z201" s="138"/>
    </row>
    <row r="202" spans="3:26">
      <c r="C202" s="138"/>
      <c r="D202" s="138"/>
      <c r="E202" s="138"/>
      <c r="F202" s="138"/>
      <c r="G202" s="138"/>
      <c r="H202" s="138"/>
      <c r="I202" s="138"/>
      <c r="J202" s="138"/>
      <c r="K202" s="138"/>
      <c r="L202" s="138"/>
      <c r="M202" s="138"/>
      <c r="N202" s="138"/>
      <c r="O202" s="138"/>
      <c r="P202" s="138"/>
      <c r="Q202" s="138"/>
      <c r="R202" s="138"/>
      <c r="S202" s="138"/>
      <c r="T202" s="138"/>
      <c r="U202" s="138"/>
      <c r="V202" s="138"/>
      <c r="W202" s="138"/>
      <c r="X202" s="138"/>
      <c r="Y202" s="138"/>
      <c r="Z202" s="138"/>
    </row>
    <row r="203" spans="3:26">
      <c r="C203" s="138"/>
      <c r="D203" s="138"/>
      <c r="E203" s="138"/>
      <c r="F203" s="138"/>
      <c r="G203" s="138"/>
      <c r="H203" s="138"/>
      <c r="I203" s="138"/>
      <c r="J203" s="138"/>
      <c r="K203" s="138"/>
      <c r="L203" s="138"/>
      <c r="M203" s="138"/>
      <c r="N203" s="138"/>
      <c r="O203" s="138"/>
      <c r="P203" s="138"/>
      <c r="Q203" s="138"/>
      <c r="R203" s="138"/>
      <c r="S203" s="138"/>
      <c r="T203" s="138"/>
      <c r="U203" s="138"/>
      <c r="V203" s="138"/>
      <c r="W203" s="138"/>
      <c r="X203" s="138"/>
      <c r="Y203" s="138"/>
      <c r="Z203" s="138"/>
    </row>
    <row r="204" spans="3:26">
      <c r="C204" s="138"/>
      <c r="D204" s="138"/>
      <c r="E204" s="138"/>
      <c r="F204" s="138"/>
      <c r="G204" s="138"/>
      <c r="H204" s="138"/>
      <c r="I204" s="138"/>
      <c r="J204" s="138"/>
      <c r="K204" s="138"/>
      <c r="L204" s="138"/>
      <c r="M204" s="138"/>
      <c r="N204" s="138"/>
      <c r="O204" s="138"/>
      <c r="P204" s="138"/>
      <c r="Q204" s="138"/>
      <c r="R204" s="138"/>
      <c r="S204" s="138"/>
      <c r="T204" s="138"/>
      <c r="U204" s="138"/>
      <c r="V204" s="138"/>
      <c r="W204" s="138"/>
      <c r="X204" s="138"/>
      <c r="Y204" s="138"/>
      <c r="Z204" s="138"/>
    </row>
    <row r="205" spans="3:26">
      <c r="C205" s="138"/>
      <c r="D205" s="138"/>
      <c r="E205" s="138"/>
      <c r="F205" s="138"/>
      <c r="G205" s="138"/>
      <c r="H205" s="138"/>
      <c r="I205" s="138"/>
      <c r="J205" s="138"/>
      <c r="K205" s="138"/>
      <c r="L205" s="138"/>
      <c r="M205" s="138"/>
      <c r="N205" s="138"/>
      <c r="O205" s="138"/>
      <c r="P205" s="138"/>
      <c r="Q205" s="138"/>
      <c r="R205" s="138"/>
      <c r="S205" s="138"/>
      <c r="T205" s="138"/>
      <c r="U205" s="138"/>
      <c r="V205" s="138"/>
      <c r="W205" s="138"/>
      <c r="X205" s="138"/>
      <c r="Y205" s="138"/>
      <c r="Z205" s="138"/>
    </row>
    <row r="206" spans="3:26">
      <c r="C206" s="138"/>
      <c r="D206" s="138"/>
      <c r="E206" s="138"/>
      <c r="F206" s="138"/>
      <c r="G206" s="138"/>
      <c r="H206" s="138"/>
      <c r="I206" s="138"/>
      <c r="J206" s="138"/>
      <c r="K206" s="138"/>
      <c r="L206" s="138"/>
      <c r="M206" s="138"/>
      <c r="N206" s="138"/>
      <c r="O206" s="138"/>
      <c r="P206" s="138"/>
      <c r="Q206" s="138"/>
      <c r="R206" s="138"/>
      <c r="S206" s="138"/>
      <c r="T206" s="138"/>
      <c r="U206" s="138"/>
      <c r="V206" s="138"/>
      <c r="W206" s="138"/>
      <c r="X206" s="138"/>
      <c r="Y206" s="138"/>
      <c r="Z206" s="138"/>
    </row>
    <row r="207" spans="3:26">
      <c r="C207" s="138"/>
      <c r="D207" s="138"/>
      <c r="E207" s="138"/>
      <c r="F207" s="138"/>
      <c r="G207" s="138"/>
      <c r="H207" s="138"/>
      <c r="I207" s="138"/>
      <c r="J207" s="138"/>
      <c r="K207" s="138"/>
      <c r="L207" s="138"/>
      <c r="M207" s="138"/>
      <c r="N207" s="138"/>
      <c r="O207" s="138"/>
      <c r="P207" s="138"/>
      <c r="Q207" s="138"/>
      <c r="R207" s="138"/>
      <c r="S207" s="138"/>
      <c r="T207" s="138"/>
      <c r="U207" s="138"/>
      <c r="V207" s="138"/>
      <c r="W207" s="138"/>
      <c r="X207" s="138"/>
      <c r="Y207" s="138"/>
      <c r="Z207" s="138"/>
    </row>
    <row r="208" spans="3:26">
      <c r="C208" s="138"/>
      <c r="D208" s="138"/>
      <c r="E208" s="138"/>
      <c r="F208" s="138"/>
      <c r="G208" s="138"/>
      <c r="H208" s="138"/>
      <c r="I208" s="138"/>
      <c r="J208" s="138"/>
      <c r="K208" s="138"/>
      <c r="L208" s="138"/>
      <c r="M208" s="138"/>
      <c r="N208" s="138"/>
      <c r="O208" s="138"/>
      <c r="P208" s="138"/>
      <c r="Q208" s="138"/>
      <c r="R208" s="138"/>
      <c r="S208" s="138"/>
      <c r="T208" s="138"/>
      <c r="U208" s="138"/>
      <c r="V208" s="138"/>
      <c r="W208" s="138"/>
      <c r="X208" s="138"/>
      <c r="Y208" s="138"/>
      <c r="Z208" s="138"/>
    </row>
    <row r="209" spans="3:26">
      <c r="C209" s="138"/>
      <c r="D209" s="138"/>
      <c r="E209" s="138"/>
      <c r="F209" s="138"/>
      <c r="G209" s="138"/>
      <c r="H209" s="138"/>
      <c r="I209" s="138"/>
      <c r="J209" s="138"/>
      <c r="K209" s="138"/>
      <c r="L209" s="138"/>
      <c r="M209" s="138"/>
      <c r="N209" s="138"/>
      <c r="O209" s="138"/>
      <c r="P209" s="138"/>
      <c r="Q209" s="138"/>
      <c r="R209" s="138"/>
      <c r="S209" s="138"/>
      <c r="T209" s="138"/>
      <c r="U209" s="138"/>
      <c r="V209" s="138"/>
      <c r="W209" s="138"/>
      <c r="X209" s="138"/>
      <c r="Y209" s="138"/>
      <c r="Z209" s="138"/>
    </row>
    <row r="210" spans="3:26">
      <c r="C210" s="138"/>
      <c r="D210" s="138"/>
      <c r="E210" s="138"/>
      <c r="F210" s="138"/>
      <c r="G210" s="138"/>
      <c r="H210" s="138"/>
      <c r="I210" s="138"/>
      <c r="J210" s="138"/>
      <c r="K210" s="138"/>
      <c r="L210" s="138"/>
      <c r="M210" s="138"/>
      <c r="N210" s="138"/>
      <c r="O210" s="138"/>
      <c r="P210" s="138"/>
      <c r="Q210" s="138"/>
      <c r="R210" s="138"/>
      <c r="S210" s="138"/>
      <c r="T210" s="138"/>
      <c r="U210" s="138"/>
      <c r="V210" s="138"/>
      <c r="W210" s="138"/>
      <c r="X210" s="138"/>
      <c r="Y210" s="138"/>
      <c r="Z210" s="138"/>
    </row>
    <row r="211" spans="3:26">
      <c r="C211" s="138"/>
      <c r="D211" s="138"/>
      <c r="E211" s="138"/>
      <c r="F211" s="138"/>
      <c r="G211" s="138"/>
      <c r="H211" s="138"/>
      <c r="I211" s="138"/>
      <c r="J211" s="138"/>
      <c r="K211" s="138"/>
      <c r="L211" s="138"/>
      <c r="M211" s="138"/>
      <c r="N211" s="138"/>
      <c r="O211" s="138"/>
      <c r="P211" s="138"/>
      <c r="Q211" s="138"/>
      <c r="R211" s="138"/>
      <c r="S211" s="138"/>
      <c r="T211" s="138"/>
      <c r="U211" s="138"/>
      <c r="V211" s="138"/>
      <c r="W211" s="138"/>
      <c r="X211" s="138"/>
      <c r="Y211" s="138"/>
      <c r="Z211" s="138"/>
    </row>
    <row r="212" spans="3:26">
      <c r="C212" s="138"/>
      <c r="D212" s="138"/>
      <c r="E212" s="138"/>
      <c r="F212" s="138"/>
      <c r="G212" s="138"/>
      <c r="H212" s="138"/>
      <c r="I212" s="138"/>
      <c r="J212" s="138"/>
      <c r="K212" s="138"/>
      <c r="L212" s="138"/>
      <c r="M212" s="138"/>
      <c r="N212" s="138"/>
      <c r="O212" s="138"/>
      <c r="P212" s="138"/>
      <c r="Q212" s="138"/>
      <c r="R212" s="138"/>
      <c r="S212" s="138"/>
      <c r="T212" s="138"/>
      <c r="U212" s="138"/>
      <c r="V212" s="138"/>
      <c r="W212" s="138"/>
      <c r="X212" s="138"/>
      <c r="Y212" s="138"/>
      <c r="Z212" s="138"/>
    </row>
    <row r="213" spans="3:26">
      <c r="C213" s="138"/>
      <c r="D213" s="138"/>
      <c r="E213" s="138"/>
      <c r="F213" s="138"/>
      <c r="G213" s="138"/>
      <c r="H213" s="138"/>
      <c r="I213" s="138"/>
      <c r="J213" s="138"/>
      <c r="K213" s="138"/>
      <c r="L213" s="138"/>
      <c r="M213" s="138"/>
      <c r="N213" s="138"/>
      <c r="O213" s="138"/>
      <c r="P213" s="138"/>
      <c r="Q213" s="138"/>
      <c r="R213" s="138"/>
      <c r="S213" s="138"/>
      <c r="T213" s="138"/>
      <c r="U213" s="138"/>
      <c r="V213" s="138"/>
      <c r="W213" s="138"/>
      <c r="X213" s="138"/>
      <c r="Y213" s="138"/>
      <c r="Z213" s="138"/>
    </row>
    <row r="214" spans="3:26">
      <c r="C214" s="138"/>
      <c r="D214" s="138"/>
      <c r="E214" s="138"/>
      <c r="F214" s="138"/>
      <c r="G214" s="138"/>
      <c r="H214" s="138"/>
      <c r="I214" s="138"/>
      <c r="J214" s="138"/>
      <c r="K214" s="138"/>
      <c r="L214" s="138"/>
      <c r="M214" s="138"/>
      <c r="N214" s="138"/>
      <c r="O214" s="138"/>
      <c r="P214" s="138"/>
      <c r="Q214" s="138"/>
      <c r="R214" s="138"/>
      <c r="S214" s="138"/>
      <c r="T214" s="138"/>
      <c r="U214" s="138"/>
      <c r="V214" s="138"/>
      <c r="W214" s="138"/>
      <c r="X214" s="138"/>
      <c r="Y214" s="138"/>
      <c r="Z214" s="138"/>
    </row>
    <row r="215" spans="3:26">
      <c r="C215" s="138"/>
      <c r="D215" s="138"/>
      <c r="E215" s="138"/>
      <c r="F215" s="138"/>
      <c r="G215" s="138"/>
      <c r="H215" s="138"/>
      <c r="I215" s="138"/>
      <c r="J215" s="138"/>
      <c r="K215" s="138"/>
      <c r="L215" s="138"/>
      <c r="M215" s="138"/>
      <c r="N215" s="138"/>
      <c r="O215" s="138"/>
      <c r="P215" s="138"/>
      <c r="Q215" s="138"/>
      <c r="R215" s="138"/>
      <c r="S215" s="138"/>
      <c r="T215" s="138"/>
      <c r="U215" s="138"/>
      <c r="V215" s="138"/>
      <c r="W215" s="138"/>
      <c r="X215" s="138"/>
      <c r="Y215" s="138"/>
      <c r="Z215" s="138"/>
    </row>
    <row r="216" spans="3:26">
      <c r="C216" s="138"/>
      <c r="D216" s="138"/>
      <c r="E216" s="138"/>
      <c r="F216" s="138"/>
      <c r="G216" s="138"/>
      <c r="H216" s="138"/>
      <c r="I216" s="138"/>
      <c r="J216" s="138"/>
      <c r="K216" s="138"/>
      <c r="L216" s="138"/>
      <c r="M216" s="138"/>
      <c r="N216" s="138"/>
      <c r="O216" s="138"/>
      <c r="P216" s="138"/>
      <c r="Q216" s="138"/>
      <c r="R216" s="138"/>
      <c r="S216" s="138"/>
      <c r="T216" s="138"/>
      <c r="U216" s="138"/>
      <c r="V216" s="138"/>
      <c r="W216" s="138"/>
      <c r="X216" s="138"/>
      <c r="Y216" s="138"/>
      <c r="Z216" s="138"/>
    </row>
    <row r="217" spans="3:26">
      <c r="C217" s="138"/>
      <c r="D217" s="138"/>
      <c r="E217" s="138"/>
      <c r="F217" s="138"/>
      <c r="G217" s="138"/>
      <c r="H217" s="138"/>
      <c r="I217" s="138"/>
      <c r="J217" s="138"/>
      <c r="K217" s="138"/>
      <c r="L217" s="138"/>
      <c r="M217" s="138"/>
      <c r="N217" s="138"/>
      <c r="O217" s="138"/>
      <c r="P217" s="138"/>
      <c r="Q217" s="138"/>
      <c r="R217" s="138"/>
      <c r="S217" s="138"/>
      <c r="T217" s="138"/>
      <c r="U217" s="138"/>
      <c r="V217" s="138"/>
      <c r="W217" s="138"/>
      <c r="X217" s="138"/>
      <c r="Y217" s="138"/>
      <c r="Z217" s="138"/>
    </row>
    <row r="218" spans="3:26">
      <c r="C218" s="138"/>
      <c r="D218" s="138"/>
      <c r="E218" s="138"/>
      <c r="F218" s="138"/>
      <c r="G218" s="138"/>
      <c r="H218" s="138"/>
      <c r="I218" s="138"/>
      <c r="J218" s="138"/>
      <c r="K218" s="138"/>
      <c r="L218" s="138"/>
      <c r="M218" s="138"/>
      <c r="N218" s="138"/>
      <c r="O218" s="138"/>
      <c r="P218" s="138"/>
      <c r="Q218" s="138"/>
      <c r="R218" s="138"/>
      <c r="S218" s="138"/>
      <c r="T218" s="138"/>
      <c r="U218" s="138"/>
      <c r="V218" s="138"/>
      <c r="W218" s="138"/>
      <c r="X218" s="138"/>
      <c r="Y218" s="138"/>
      <c r="Z218" s="138"/>
    </row>
    <row r="219" spans="3:26">
      <c r="C219" s="138"/>
      <c r="D219" s="138"/>
      <c r="E219" s="138"/>
      <c r="F219" s="138"/>
      <c r="G219" s="138"/>
      <c r="H219" s="138"/>
      <c r="I219" s="138"/>
      <c r="J219" s="138"/>
      <c r="K219" s="138"/>
      <c r="L219" s="138"/>
      <c r="M219" s="138"/>
      <c r="N219" s="138"/>
      <c r="O219" s="138"/>
      <c r="P219" s="138"/>
      <c r="Q219" s="138"/>
      <c r="R219" s="138"/>
      <c r="S219" s="138"/>
      <c r="T219" s="138"/>
      <c r="U219" s="138"/>
      <c r="V219" s="138"/>
      <c r="W219" s="138"/>
      <c r="X219" s="138"/>
      <c r="Y219" s="138"/>
      <c r="Z219" s="138"/>
    </row>
    <row r="220" spans="3:26">
      <c r="C220" s="138"/>
      <c r="D220" s="138"/>
      <c r="E220" s="138"/>
      <c r="F220" s="138"/>
      <c r="G220" s="138"/>
      <c r="H220" s="138"/>
      <c r="I220" s="138"/>
      <c r="J220" s="138"/>
      <c r="K220" s="138"/>
      <c r="L220" s="138"/>
      <c r="M220" s="138"/>
      <c r="N220" s="138"/>
      <c r="O220" s="138"/>
      <c r="P220" s="138"/>
      <c r="Q220" s="138"/>
      <c r="R220" s="138"/>
      <c r="S220" s="138"/>
      <c r="T220" s="138"/>
      <c r="U220" s="138"/>
      <c r="V220" s="138"/>
      <c r="W220" s="138"/>
      <c r="X220" s="138"/>
      <c r="Y220" s="138"/>
      <c r="Z220" s="138"/>
    </row>
    <row r="221" spans="3:26">
      <c r="C221" s="138"/>
      <c r="D221" s="138"/>
      <c r="E221" s="138"/>
      <c r="F221" s="138"/>
      <c r="G221" s="138"/>
      <c r="H221" s="138"/>
      <c r="I221" s="138"/>
      <c r="J221" s="138"/>
      <c r="K221" s="138"/>
      <c r="L221" s="138"/>
      <c r="M221" s="138"/>
      <c r="N221" s="138"/>
      <c r="O221" s="138"/>
      <c r="P221" s="138"/>
      <c r="Q221" s="138"/>
      <c r="R221" s="138"/>
      <c r="S221" s="138"/>
      <c r="T221" s="138"/>
      <c r="U221" s="138"/>
      <c r="V221" s="138"/>
      <c r="W221" s="138"/>
      <c r="X221" s="138"/>
      <c r="Y221" s="138"/>
      <c r="Z221" s="138"/>
    </row>
    <row r="222" spans="3:26">
      <c r="C222" s="138"/>
      <c r="D222" s="138"/>
      <c r="E222" s="138"/>
      <c r="F222" s="138"/>
      <c r="G222" s="138"/>
      <c r="H222" s="138"/>
      <c r="I222" s="138"/>
      <c r="J222" s="138"/>
      <c r="K222" s="138"/>
      <c r="L222" s="138"/>
      <c r="M222" s="138"/>
      <c r="N222" s="138"/>
      <c r="O222" s="138"/>
      <c r="P222" s="138"/>
      <c r="Q222" s="138"/>
      <c r="R222" s="138"/>
      <c r="S222" s="138"/>
      <c r="T222" s="138"/>
      <c r="U222" s="138"/>
      <c r="V222" s="138"/>
      <c r="W222" s="138"/>
      <c r="X222" s="138"/>
      <c r="Y222" s="138"/>
      <c r="Z222" s="138"/>
    </row>
    <row r="223" spans="3:26">
      <c r="C223" s="138"/>
      <c r="D223" s="138"/>
      <c r="E223" s="138"/>
      <c r="F223" s="138"/>
      <c r="G223" s="138"/>
      <c r="H223" s="138"/>
      <c r="I223" s="138"/>
      <c r="J223" s="138"/>
      <c r="K223" s="138"/>
      <c r="L223" s="138"/>
      <c r="M223" s="138"/>
      <c r="N223" s="138"/>
      <c r="O223" s="138"/>
      <c r="P223" s="138"/>
      <c r="Q223" s="138"/>
      <c r="R223" s="138"/>
      <c r="S223" s="138"/>
      <c r="T223" s="138"/>
      <c r="U223" s="138"/>
      <c r="V223" s="138"/>
      <c r="W223" s="138"/>
      <c r="X223" s="138"/>
      <c r="Y223" s="138"/>
      <c r="Z223" s="138"/>
    </row>
    <row r="224" spans="3:26">
      <c r="C224" s="138"/>
      <c r="D224" s="138"/>
      <c r="E224" s="138"/>
      <c r="F224" s="138"/>
      <c r="G224" s="138"/>
      <c r="H224" s="138"/>
      <c r="I224" s="138"/>
      <c r="J224" s="138"/>
      <c r="K224" s="138"/>
      <c r="L224" s="138"/>
      <c r="M224" s="138"/>
      <c r="N224" s="138"/>
      <c r="O224" s="138"/>
      <c r="P224" s="138"/>
      <c r="Q224" s="138"/>
      <c r="R224" s="138"/>
      <c r="S224" s="138"/>
      <c r="T224" s="138"/>
      <c r="U224" s="138"/>
      <c r="V224" s="138"/>
      <c r="W224" s="138"/>
      <c r="X224" s="138"/>
      <c r="Y224" s="138"/>
      <c r="Z224" s="138"/>
    </row>
    <row r="225" spans="3:26">
      <c r="C225" s="138"/>
      <c r="D225" s="138"/>
      <c r="E225" s="138"/>
      <c r="F225" s="138"/>
      <c r="G225" s="138"/>
      <c r="H225" s="138"/>
      <c r="I225" s="138"/>
      <c r="J225" s="138"/>
      <c r="K225" s="138"/>
      <c r="L225" s="138"/>
      <c r="M225" s="138"/>
      <c r="N225" s="138"/>
      <c r="O225" s="138"/>
      <c r="P225" s="138"/>
      <c r="Q225" s="138"/>
      <c r="R225" s="138"/>
      <c r="S225" s="138"/>
      <c r="T225" s="138"/>
      <c r="U225" s="138"/>
      <c r="V225" s="138"/>
      <c r="W225" s="138"/>
      <c r="X225" s="138"/>
      <c r="Y225" s="138"/>
      <c r="Z225" s="138"/>
    </row>
    <row r="226" spans="3:26">
      <c r="C226" s="138"/>
      <c r="D226" s="138"/>
      <c r="E226" s="138"/>
      <c r="F226" s="138"/>
      <c r="G226" s="138"/>
      <c r="H226" s="138"/>
      <c r="I226" s="138"/>
      <c r="J226" s="138"/>
      <c r="K226" s="138"/>
      <c r="L226" s="138"/>
      <c r="M226" s="138"/>
      <c r="N226" s="138"/>
      <c r="O226" s="138"/>
      <c r="P226" s="138"/>
      <c r="Q226" s="138"/>
      <c r="R226" s="138"/>
      <c r="S226" s="138"/>
      <c r="T226" s="138"/>
      <c r="U226" s="138"/>
      <c r="V226" s="138"/>
      <c r="W226" s="138"/>
      <c r="X226" s="138"/>
      <c r="Y226" s="138"/>
      <c r="Z226" s="138"/>
    </row>
    <row r="227" spans="3:26">
      <c r="C227" s="138"/>
      <c r="D227" s="138"/>
      <c r="E227" s="138"/>
      <c r="F227" s="138"/>
      <c r="G227" s="138"/>
      <c r="H227" s="138"/>
      <c r="I227" s="138"/>
      <c r="J227" s="138"/>
      <c r="K227" s="138"/>
      <c r="L227" s="138"/>
      <c r="M227" s="138"/>
      <c r="N227" s="138"/>
      <c r="O227" s="138"/>
      <c r="P227" s="138"/>
      <c r="Q227" s="138"/>
      <c r="R227" s="138"/>
      <c r="S227" s="138"/>
      <c r="T227" s="138"/>
      <c r="U227" s="138"/>
      <c r="V227" s="138"/>
      <c r="W227" s="138"/>
      <c r="X227" s="138"/>
      <c r="Y227" s="138"/>
      <c r="Z227" s="138"/>
    </row>
    <row r="228" spans="3:26">
      <c r="C228" s="138"/>
      <c r="D228" s="138"/>
      <c r="E228" s="138"/>
      <c r="F228" s="138"/>
      <c r="G228" s="138"/>
      <c r="H228" s="138"/>
      <c r="I228" s="138"/>
      <c r="J228" s="138"/>
      <c r="K228" s="138"/>
      <c r="L228" s="138"/>
      <c r="M228" s="138"/>
      <c r="N228" s="138"/>
      <c r="O228" s="138"/>
      <c r="P228" s="138"/>
      <c r="Q228" s="138"/>
      <c r="R228" s="138"/>
      <c r="S228" s="138"/>
      <c r="T228" s="138"/>
      <c r="U228" s="138"/>
      <c r="V228" s="138"/>
      <c r="W228" s="138"/>
      <c r="X228" s="138"/>
      <c r="Y228" s="138"/>
      <c r="Z228" s="138"/>
    </row>
    <row r="229" spans="3:26">
      <c r="C229" s="138"/>
      <c r="D229" s="138"/>
      <c r="E229" s="138"/>
      <c r="F229" s="138"/>
      <c r="G229" s="138"/>
      <c r="H229" s="138"/>
      <c r="I229" s="138"/>
      <c r="J229" s="138"/>
      <c r="K229" s="138"/>
      <c r="L229" s="138"/>
      <c r="M229" s="138"/>
      <c r="N229" s="138"/>
      <c r="O229" s="138"/>
      <c r="P229" s="138"/>
      <c r="Q229" s="138"/>
      <c r="R229" s="138"/>
      <c r="S229" s="138"/>
      <c r="T229" s="138"/>
      <c r="U229" s="138"/>
      <c r="V229" s="138"/>
      <c r="W229" s="138"/>
      <c r="X229" s="138"/>
      <c r="Y229" s="138"/>
      <c r="Z229" s="138"/>
    </row>
    <row r="230" spans="3:26">
      <c r="C230" s="138"/>
      <c r="D230" s="138"/>
      <c r="E230" s="138"/>
      <c r="F230" s="138"/>
      <c r="G230" s="138"/>
      <c r="H230" s="138"/>
      <c r="I230" s="138"/>
      <c r="J230" s="138"/>
      <c r="K230" s="138"/>
      <c r="L230" s="138"/>
      <c r="M230" s="138"/>
      <c r="N230" s="138"/>
      <c r="O230" s="138"/>
      <c r="P230" s="138"/>
      <c r="Q230" s="138"/>
      <c r="R230" s="138"/>
      <c r="S230" s="138"/>
      <c r="T230" s="138"/>
      <c r="U230" s="138"/>
      <c r="V230" s="138"/>
      <c r="W230" s="138"/>
      <c r="X230" s="138"/>
      <c r="Y230" s="138"/>
      <c r="Z230" s="138"/>
    </row>
    <row r="231" spans="3:26">
      <c r="C231" s="138"/>
      <c r="D231" s="138"/>
      <c r="E231" s="138"/>
      <c r="F231" s="138"/>
      <c r="G231" s="138"/>
      <c r="H231" s="138"/>
      <c r="I231" s="138"/>
      <c r="J231" s="138"/>
      <c r="K231" s="138"/>
      <c r="L231" s="138"/>
      <c r="M231" s="138"/>
      <c r="N231" s="138"/>
      <c r="O231" s="138"/>
      <c r="P231" s="138"/>
      <c r="Q231" s="138"/>
      <c r="R231" s="138"/>
      <c r="S231" s="138"/>
      <c r="T231" s="138"/>
      <c r="U231" s="138"/>
      <c r="V231" s="138"/>
      <c r="W231" s="138"/>
      <c r="X231" s="138"/>
      <c r="Y231" s="138"/>
      <c r="Z231" s="138"/>
    </row>
    <row r="232" spans="3:26">
      <c r="C232" s="138"/>
      <c r="D232" s="138"/>
      <c r="E232" s="138"/>
      <c r="F232" s="138"/>
      <c r="G232" s="138"/>
      <c r="H232" s="138"/>
      <c r="I232" s="138"/>
      <c r="J232" s="138"/>
      <c r="K232" s="138"/>
      <c r="L232" s="138"/>
      <c r="M232" s="138"/>
      <c r="N232" s="138"/>
      <c r="O232" s="138"/>
      <c r="P232" s="138"/>
      <c r="Q232" s="138"/>
      <c r="R232" s="138"/>
      <c r="S232" s="138"/>
      <c r="T232" s="138"/>
      <c r="U232" s="138"/>
      <c r="V232" s="138"/>
      <c r="W232" s="138"/>
      <c r="X232" s="138"/>
      <c r="Y232" s="138"/>
      <c r="Z232" s="138"/>
    </row>
    <row r="233" spans="3:26">
      <c r="C233" s="138"/>
      <c r="D233" s="138"/>
      <c r="E233" s="138"/>
      <c r="F233" s="138"/>
      <c r="G233" s="138"/>
      <c r="H233" s="138"/>
      <c r="I233" s="138"/>
      <c r="J233" s="138"/>
      <c r="K233" s="138"/>
      <c r="L233" s="138"/>
      <c r="M233" s="138"/>
      <c r="N233" s="138"/>
      <c r="O233" s="138"/>
      <c r="P233" s="138"/>
      <c r="Q233" s="138"/>
      <c r="R233" s="138"/>
      <c r="S233" s="138"/>
      <c r="T233" s="138"/>
      <c r="U233" s="138"/>
      <c r="V233" s="138"/>
      <c r="W233" s="138"/>
      <c r="X233" s="138"/>
      <c r="Y233" s="138"/>
      <c r="Z233" s="138"/>
    </row>
    <row r="234" spans="3:26">
      <c r="C234" s="138"/>
      <c r="D234" s="138"/>
      <c r="E234" s="138"/>
      <c r="F234" s="138"/>
      <c r="G234" s="138"/>
      <c r="H234" s="138"/>
      <c r="I234" s="138"/>
      <c r="J234" s="138"/>
      <c r="K234" s="138"/>
      <c r="L234" s="138"/>
      <c r="M234" s="138"/>
      <c r="N234" s="138"/>
      <c r="O234" s="138"/>
      <c r="P234" s="138"/>
      <c r="Q234" s="138"/>
      <c r="R234" s="138"/>
      <c r="S234" s="138"/>
      <c r="T234" s="138"/>
      <c r="U234" s="138"/>
      <c r="V234" s="138"/>
      <c r="W234" s="138"/>
      <c r="X234" s="138"/>
      <c r="Y234" s="138"/>
      <c r="Z234" s="138"/>
    </row>
    <row r="235" spans="3:26">
      <c r="C235" s="138"/>
      <c r="D235" s="138"/>
      <c r="E235" s="138"/>
      <c r="F235" s="138"/>
      <c r="G235" s="138"/>
      <c r="H235" s="138"/>
      <c r="I235" s="138"/>
      <c r="J235" s="138"/>
      <c r="K235" s="138"/>
      <c r="L235" s="138"/>
      <c r="M235" s="138"/>
      <c r="N235" s="138"/>
      <c r="O235" s="138"/>
      <c r="P235" s="138"/>
      <c r="Q235" s="138"/>
      <c r="R235" s="138"/>
      <c r="S235" s="138"/>
      <c r="T235" s="138"/>
      <c r="U235" s="138"/>
      <c r="V235" s="138"/>
      <c r="W235" s="138"/>
      <c r="X235" s="138"/>
      <c r="Y235" s="138"/>
      <c r="Z235" s="138"/>
    </row>
    <row r="236" spans="3:26">
      <c r="C236" s="138"/>
      <c r="D236" s="138"/>
      <c r="E236" s="138"/>
      <c r="F236" s="138"/>
      <c r="G236" s="138"/>
      <c r="H236" s="138"/>
      <c r="I236" s="138"/>
      <c r="J236" s="138"/>
      <c r="K236" s="138"/>
      <c r="L236" s="138"/>
      <c r="M236" s="138"/>
      <c r="N236" s="138"/>
      <c r="O236" s="138"/>
      <c r="P236" s="138"/>
      <c r="Q236" s="138"/>
      <c r="R236" s="138"/>
      <c r="S236" s="138"/>
      <c r="T236" s="138"/>
      <c r="U236" s="138"/>
      <c r="V236" s="138"/>
      <c r="W236" s="138"/>
      <c r="X236" s="138"/>
      <c r="Y236" s="138"/>
      <c r="Z236" s="138"/>
    </row>
    <row r="237" spans="3:26">
      <c r="C237" s="138"/>
      <c r="D237" s="138"/>
      <c r="E237" s="138"/>
      <c r="F237" s="138"/>
      <c r="G237" s="138"/>
      <c r="H237" s="138"/>
      <c r="I237" s="138"/>
      <c r="J237" s="138"/>
      <c r="K237" s="138"/>
      <c r="L237" s="138"/>
      <c r="M237" s="138"/>
      <c r="N237" s="138"/>
      <c r="O237" s="138"/>
      <c r="P237" s="138"/>
      <c r="Q237" s="138"/>
      <c r="R237" s="138"/>
      <c r="S237" s="138"/>
      <c r="T237" s="138"/>
      <c r="U237" s="138"/>
      <c r="V237" s="138"/>
      <c r="W237" s="138"/>
      <c r="X237" s="138"/>
      <c r="Y237" s="138"/>
      <c r="Z237" s="138"/>
    </row>
    <row r="238" spans="3:26">
      <c r="C238" s="138"/>
      <c r="D238" s="138"/>
      <c r="E238" s="138"/>
      <c r="F238" s="138"/>
      <c r="G238" s="138"/>
      <c r="H238" s="138"/>
      <c r="I238" s="138"/>
      <c r="J238" s="138"/>
      <c r="K238" s="138"/>
      <c r="L238" s="138"/>
      <c r="M238" s="138"/>
      <c r="N238" s="138"/>
      <c r="O238" s="138"/>
      <c r="P238" s="138"/>
      <c r="Q238" s="138"/>
      <c r="R238" s="138"/>
      <c r="S238" s="138"/>
      <c r="T238" s="138"/>
      <c r="U238" s="138"/>
      <c r="V238" s="138"/>
      <c r="W238" s="138"/>
      <c r="X238" s="138"/>
      <c r="Y238" s="138"/>
      <c r="Z238" s="138"/>
    </row>
    <row r="239" spans="3:26">
      <c r="C239" s="138"/>
      <c r="D239" s="138"/>
      <c r="E239" s="138"/>
      <c r="F239" s="138"/>
      <c r="G239" s="138"/>
      <c r="H239" s="138"/>
      <c r="I239" s="138"/>
      <c r="J239" s="138"/>
      <c r="K239" s="138"/>
      <c r="L239" s="138"/>
      <c r="M239" s="138"/>
      <c r="N239" s="138"/>
      <c r="O239" s="138"/>
      <c r="P239" s="138"/>
      <c r="Q239" s="138"/>
      <c r="R239" s="138"/>
      <c r="S239" s="138"/>
      <c r="T239" s="138"/>
      <c r="U239" s="138"/>
      <c r="V239" s="138"/>
      <c r="W239" s="138"/>
      <c r="X239" s="138"/>
      <c r="Y239" s="138"/>
      <c r="Z239" s="138"/>
    </row>
    <row r="240" spans="3:26">
      <c r="C240" s="138"/>
      <c r="D240" s="138"/>
      <c r="E240" s="138"/>
      <c r="F240" s="138"/>
      <c r="G240" s="138"/>
      <c r="H240" s="138"/>
      <c r="I240" s="138"/>
      <c r="J240" s="138"/>
      <c r="K240" s="138"/>
      <c r="L240" s="138"/>
      <c r="M240" s="138"/>
      <c r="N240" s="138"/>
      <c r="O240" s="138"/>
      <c r="P240" s="138"/>
      <c r="Q240" s="138"/>
      <c r="R240" s="138"/>
      <c r="S240" s="138"/>
      <c r="T240" s="138"/>
      <c r="U240" s="138"/>
      <c r="V240" s="138"/>
      <c r="W240" s="138"/>
      <c r="X240" s="138"/>
      <c r="Y240" s="138"/>
      <c r="Z240" s="138"/>
    </row>
    <row r="241" spans="3:26">
      <c r="C241" s="138"/>
      <c r="D241" s="138"/>
      <c r="E241" s="138"/>
      <c r="F241" s="138"/>
      <c r="G241" s="138"/>
      <c r="H241" s="138"/>
      <c r="I241" s="138"/>
      <c r="J241" s="138"/>
      <c r="K241" s="138"/>
      <c r="L241" s="138"/>
      <c r="M241" s="138"/>
      <c r="N241" s="138"/>
      <c r="O241" s="138"/>
      <c r="P241" s="138"/>
      <c r="Q241" s="138"/>
      <c r="R241" s="138"/>
      <c r="S241" s="138"/>
      <c r="T241" s="138"/>
      <c r="U241" s="138"/>
      <c r="V241" s="138"/>
      <c r="W241" s="138"/>
      <c r="X241" s="138"/>
      <c r="Y241" s="138"/>
      <c r="Z241" s="138"/>
    </row>
    <row r="242" spans="3:26">
      <c r="C242" s="138"/>
      <c r="D242" s="138"/>
      <c r="E242" s="138"/>
      <c r="F242" s="138"/>
      <c r="G242" s="138"/>
      <c r="H242" s="138"/>
      <c r="I242" s="138"/>
      <c r="J242" s="138"/>
      <c r="K242" s="138"/>
      <c r="L242" s="138"/>
      <c r="M242" s="138"/>
      <c r="N242" s="138"/>
      <c r="O242" s="138"/>
      <c r="P242" s="138"/>
      <c r="Q242" s="138"/>
      <c r="R242" s="138"/>
      <c r="S242" s="138"/>
      <c r="T242" s="138"/>
      <c r="U242" s="138"/>
      <c r="V242" s="138"/>
      <c r="W242" s="138"/>
      <c r="X242" s="138"/>
      <c r="Y242" s="138"/>
      <c r="Z242" s="138"/>
    </row>
    <row r="243" spans="3:26">
      <c r="C243" s="138"/>
      <c r="D243" s="138"/>
      <c r="E243" s="138"/>
      <c r="F243" s="138"/>
      <c r="G243" s="138"/>
      <c r="H243" s="138"/>
      <c r="I243" s="138"/>
      <c r="J243" s="138"/>
      <c r="K243" s="138"/>
      <c r="L243" s="138"/>
      <c r="M243" s="138"/>
      <c r="N243" s="138"/>
      <c r="O243" s="138"/>
      <c r="P243" s="138"/>
      <c r="Q243" s="138"/>
      <c r="R243" s="138"/>
      <c r="S243" s="138"/>
      <c r="T243" s="138"/>
      <c r="U243" s="138"/>
      <c r="V243" s="138"/>
      <c r="W243" s="138"/>
      <c r="X243" s="138"/>
      <c r="Y243" s="138"/>
      <c r="Z243" s="138"/>
    </row>
    <row r="244" spans="3:26">
      <c r="C244" s="138"/>
      <c r="D244" s="138"/>
      <c r="E244" s="138"/>
      <c r="F244" s="138"/>
      <c r="G244" s="138"/>
      <c r="H244" s="138"/>
      <c r="I244" s="138"/>
      <c r="J244" s="138"/>
      <c r="K244" s="138"/>
      <c r="L244" s="138"/>
      <c r="M244" s="138"/>
      <c r="N244" s="138"/>
      <c r="O244" s="138"/>
      <c r="P244" s="138"/>
      <c r="Q244" s="138"/>
      <c r="R244" s="138"/>
      <c r="S244" s="138"/>
      <c r="T244" s="138"/>
      <c r="U244" s="138"/>
      <c r="V244" s="138"/>
      <c r="W244" s="138"/>
      <c r="X244" s="138"/>
      <c r="Y244" s="138"/>
      <c r="Z244" s="138"/>
    </row>
    <row r="245" spans="3:26">
      <c r="C245" s="138"/>
      <c r="D245" s="138"/>
      <c r="E245" s="138"/>
      <c r="F245" s="138"/>
      <c r="G245" s="138"/>
      <c r="H245" s="138"/>
      <c r="I245" s="138"/>
      <c r="J245" s="138"/>
      <c r="K245" s="138"/>
      <c r="L245" s="138"/>
      <c r="M245" s="138"/>
      <c r="N245" s="138"/>
      <c r="O245" s="138"/>
      <c r="P245" s="138"/>
      <c r="Q245" s="138"/>
      <c r="R245" s="138"/>
      <c r="S245" s="138"/>
      <c r="T245" s="138"/>
      <c r="U245" s="138"/>
      <c r="V245" s="138"/>
      <c r="W245" s="138"/>
      <c r="X245" s="138"/>
      <c r="Y245" s="138"/>
      <c r="Z245" s="138"/>
    </row>
    <row r="246" spans="3:26">
      <c r="C246" s="138"/>
      <c r="D246" s="138"/>
      <c r="E246" s="138"/>
      <c r="F246" s="138"/>
      <c r="G246" s="138"/>
      <c r="H246" s="138"/>
      <c r="I246" s="138"/>
      <c r="J246" s="138"/>
      <c r="K246" s="138"/>
      <c r="L246" s="138"/>
      <c r="M246" s="138"/>
      <c r="N246" s="138"/>
      <c r="O246" s="138"/>
      <c r="P246" s="138"/>
      <c r="Q246" s="138"/>
      <c r="R246" s="138"/>
      <c r="S246" s="138"/>
      <c r="T246" s="138"/>
      <c r="U246" s="138"/>
      <c r="V246" s="138"/>
      <c r="W246" s="138"/>
      <c r="X246" s="138"/>
      <c r="Y246" s="138"/>
      <c r="Z246" s="138"/>
    </row>
    <row r="247" spans="3:26">
      <c r="C247" s="138"/>
      <c r="D247" s="138"/>
      <c r="E247" s="138"/>
      <c r="F247" s="138"/>
      <c r="G247" s="138"/>
      <c r="H247" s="138"/>
      <c r="I247" s="138"/>
      <c r="J247" s="138"/>
      <c r="K247" s="138"/>
      <c r="L247" s="138"/>
      <c r="M247" s="138"/>
      <c r="N247" s="138"/>
      <c r="O247" s="138"/>
      <c r="P247" s="138"/>
      <c r="Q247" s="138"/>
      <c r="R247" s="138"/>
      <c r="S247" s="138"/>
      <c r="T247" s="138"/>
      <c r="U247" s="138"/>
      <c r="V247" s="138"/>
      <c r="W247" s="138"/>
      <c r="X247" s="138"/>
      <c r="Y247" s="138"/>
      <c r="Z247" s="138"/>
    </row>
    <row r="248" spans="3:26">
      <c r="C248" s="138"/>
      <c r="D248" s="138"/>
      <c r="E248" s="138"/>
      <c r="F248" s="138"/>
      <c r="G248" s="138"/>
      <c r="H248" s="138"/>
      <c r="I248" s="138"/>
      <c r="J248" s="138"/>
      <c r="K248" s="138"/>
      <c r="L248" s="138"/>
      <c r="M248" s="138"/>
      <c r="N248" s="138"/>
      <c r="O248" s="138"/>
      <c r="P248" s="138"/>
      <c r="Q248" s="138"/>
      <c r="R248" s="138"/>
      <c r="S248" s="138"/>
      <c r="T248" s="138"/>
      <c r="U248" s="138"/>
      <c r="V248" s="138"/>
      <c r="W248" s="138"/>
      <c r="X248" s="138"/>
      <c r="Y248" s="138"/>
      <c r="Z248" s="138"/>
    </row>
    <row r="249" spans="3:26">
      <c r="C249" s="138"/>
      <c r="D249" s="138"/>
      <c r="E249" s="138"/>
      <c r="F249" s="138"/>
      <c r="G249" s="138"/>
      <c r="H249" s="138"/>
      <c r="I249" s="138"/>
      <c r="J249" s="138"/>
      <c r="K249" s="138"/>
      <c r="L249" s="138"/>
      <c r="M249" s="138"/>
      <c r="N249" s="138"/>
      <c r="O249" s="138"/>
      <c r="P249" s="138"/>
      <c r="Q249" s="138"/>
      <c r="R249" s="138"/>
      <c r="S249" s="138"/>
      <c r="T249" s="138"/>
      <c r="U249" s="138"/>
      <c r="V249" s="138"/>
      <c r="W249" s="138"/>
      <c r="X249" s="138"/>
      <c r="Y249" s="138"/>
      <c r="Z249" s="138"/>
    </row>
    <row r="250" spans="3:26">
      <c r="C250" s="138"/>
      <c r="D250" s="138"/>
      <c r="E250" s="138"/>
      <c r="F250" s="138"/>
      <c r="G250" s="138"/>
      <c r="H250" s="138"/>
      <c r="I250" s="138"/>
      <c r="J250" s="138"/>
      <c r="K250" s="138"/>
      <c r="L250" s="138"/>
      <c r="M250" s="138"/>
      <c r="N250" s="138"/>
      <c r="O250" s="138"/>
      <c r="P250" s="138"/>
      <c r="Q250" s="138"/>
      <c r="R250" s="138"/>
      <c r="S250" s="138"/>
      <c r="T250" s="138"/>
      <c r="U250" s="138"/>
      <c r="V250" s="138"/>
      <c r="W250" s="138"/>
      <c r="X250" s="138"/>
      <c r="Y250" s="138"/>
      <c r="Z250" s="138"/>
    </row>
    <row r="251" spans="3:26">
      <c r="C251" s="138"/>
      <c r="D251" s="138"/>
      <c r="E251" s="138"/>
      <c r="F251" s="138"/>
      <c r="G251" s="138"/>
      <c r="H251" s="138"/>
      <c r="I251" s="138"/>
      <c r="J251" s="138"/>
      <c r="K251" s="138"/>
      <c r="L251" s="138"/>
      <c r="M251" s="138"/>
      <c r="N251" s="138"/>
      <c r="O251" s="138"/>
      <c r="P251" s="138"/>
      <c r="Q251" s="138"/>
      <c r="R251" s="138"/>
      <c r="S251" s="138"/>
      <c r="T251" s="138"/>
      <c r="U251" s="138"/>
      <c r="V251" s="138"/>
      <c r="W251" s="138"/>
      <c r="X251" s="138"/>
      <c r="Y251" s="138"/>
      <c r="Z251" s="138"/>
    </row>
    <row r="252" spans="3:26">
      <c r="C252" s="138"/>
      <c r="D252" s="138"/>
      <c r="E252" s="138"/>
      <c r="F252" s="138"/>
      <c r="G252" s="138"/>
      <c r="H252" s="138"/>
      <c r="I252" s="138"/>
      <c r="J252" s="138"/>
      <c r="K252" s="138"/>
      <c r="L252" s="138"/>
      <c r="M252" s="138"/>
      <c r="N252" s="138"/>
      <c r="O252" s="138"/>
      <c r="P252" s="138"/>
      <c r="Q252" s="138"/>
      <c r="R252" s="138"/>
      <c r="S252" s="138"/>
      <c r="T252" s="138"/>
      <c r="U252" s="138"/>
      <c r="V252" s="138"/>
      <c r="W252" s="138"/>
      <c r="X252" s="138"/>
      <c r="Y252" s="138"/>
      <c r="Z252" s="138"/>
    </row>
    <row r="253" spans="3:26">
      <c r="C253" s="138"/>
      <c r="D253" s="138"/>
      <c r="E253" s="138"/>
      <c r="F253" s="138"/>
      <c r="G253" s="138"/>
      <c r="H253" s="138"/>
      <c r="I253" s="138"/>
      <c r="J253" s="138"/>
      <c r="K253" s="138"/>
      <c r="L253" s="138"/>
      <c r="M253" s="138"/>
      <c r="N253" s="138"/>
      <c r="O253" s="138"/>
      <c r="P253" s="138"/>
      <c r="Q253" s="138"/>
      <c r="R253" s="138"/>
      <c r="S253" s="138"/>
      <c r="T253" s="138"/>
      <c r="U253" s="138"/>
      <c r="V253" s="138"/>
      <c r="W253" s="138"/>
      <c r="X253" s="138"/>
      <c r="Y253" s="138"/>
      <c r="Z253" s="138"/>
    </row>
    <row r="254" spans="3:26">
      <c r="C254" s="138"/>
      <c r="D254" s="138"/>
      <c r="E254" s="138"/>
      <c r="F254" s="138"/>
      <c r="G254" s="138"/>
      <c r="H254" s="138"/>
      <c r="I254" s="138"/>
      <c r="J254" s="138"/>
      <c r="K254" s="138"/>
      <c r="L254" s="138"/>
      <c r="M254" s="138"/>
      <c r="N254" s="138"/>
      <c r="O254" s="138"/>
      <c r="P254" s="138"/>
      <c r="Q254" s="138"/>
      <c r="R254" s="138"/>
      <c r="S254" s="138"/>
      <c r="T254" s="138"/>
      <c r="U254" s="138"/>
      <c r="V254" s="138"/>
      <c r="W254" s="138"/>
      <c r="X254" s="138"/>
      <c r="Y254" s="138"/>
      <c r="Z254" s="138"/>
    </row>
    <row r="255" spans="3:26">
      <c r="C255" s="138"/>
      <c r="D255" s="138"/>
      <c r="E255" s="138"/>
      <c r="F255" s="138"/>
      <c r="G255" s="138"/>
      <c r="H255" s="138"/>
      <c r="I255" s="138"/>
      <c r="J255" s="138"/>
      <c r="K255" s="138"/>
      <c r="L255" s="138"/>
      <c r="M255" s="138"/>
      <c r="N255" s="138"/>
      <c r="O255" s="138"/>
      <c r="P255" s="138"/>
      <c r="Q255" s="138"/>
      <c r="R255" s="138"/>
      <c r="S255" s="138"/>
      <c r="T255" s="138"/>
      <c r="U255" s="138"/>
      <c r="V255" s="138"/>
      <c r="W255" s="138"/>
      <c r="X255" s="138"/>
      <c r="Y255" s="138"/>
      <c r="Z255" s="138"/>
    </row>
    <row r="256" spans="3:26">
      <c r="C256" s="138"/>
      <c r="D256" s="138"/>
      <c r="E256" s="138"/>
      <c r="F256" s="138"/>
      <c r="G256" s="138"/>
      <c r="H256" s="138"/>
      <c r="I256" s="138"/>
      <c r="J256" s="138"/>
      <c r="K256" s="138"/>
      <c r="L256" s="138"/>
      <c r="M256" s="138"/>
      <c r="N256" s="138"/>
      <c r="O256" s="138"/>
      <c r="P256" s="138"/>
      <c r="Q256" s="138"/>
      <c r="R256" s="138"/>
      <c r="S256" s="138"/>
      <c r="T256" s="138"/>
      <c r="U256" s="138"/>
      <c r="V256" s="138"/>
      <c r="W256" s="138"/>
      <c r="X256" s="138"/>
      <c r="Y256" s="138"/>
      <c r="Z256" s="138"/>
    </row>
    <row r="257" spans="3:26">
      <c r="C257" s="138"/>
      <c r="D257" s="138"/>
      <c r="E257" s="138"/>
      <c r="F257" s="138"/>
      <c r="G257" s="138"/>
      <c r="H257" s="138"/>
      <c r="I257" s="138"/>
      <c r="J257" s="138"/>
      <c r="K257" s="138"/>
      <c r="L257" s="138"/>
      <c r="M257" s="138"/>
      <c r="N257" s="138"/>
      <c r="O257" s="138"/>
      <c r="P257" s="138"/>
      <c r="Q257" s="138"/>
      <c r="R257" s="138"/>
      <c r="S257" s="138"/>
      <c r="T257" s="138"/>
      <c r="U257" s="138"/>
      <c r="V257" s="138"/>
      <c r="W257" s="138"/>
      <c r="X257" s="138"/>
      <c r="Y257" s="138"/>
      <c r="Z257" s="138"/>
    </row>
    <row r="258" spans="3:26">
      <c r="C258" s="138"/>
      <c r="D258" s="138"/>
      <c r="E258" s="138"/>
      <c r="F258" s="138"/>
      <c r="G258" s="138"/>
      <c r="H258" s="138"/>
      <c r="I258" s="138"/>
      <c r="J258" s="138"/>
      <c r="K258" s="138"/>
      <c r="L258" s="138"/>
      <c r="M258" s="138"/>
      <c r="N258" s="138"/>
      <c r="O258" s="138"/>
      <c r="P258" s="138"/>
      <c r="Q258" s="138"/>
      <c r="R258" s="138"/>
      <c r="S258" s="138"/>
      <c r="T258" s="138"/>
      <c r="U258" s="138"/>
      <c r="V258" s="138"/>
      <c r="W258" s="138"/>
      <c r="X258" s="138"/>
      <c r="Y258" s="138"/>
      <c r="Z258" s="138"/>
    </row>
    <row r="259" spans="3:26">
      <c r="C259" s="138"/>
      <c r="D259" s="138"/>
      <c r="E259" s="138"/>
      <c r="F259" s="138"/>
      <c r="G259" s="138"/>
      <c r="H259" s="138"/>
      <c r="I259" s="138"/>
      <c r="J259" s="138"/>
      <c r="K259" s="138"/>
      <c r="L259" s="138"/>
      <c r="M259" s="138"/>
      <c r="N259" s="138"/>
      <c r="O259" s="138"/>
      <c r="P259" s="138"/>
      <c r="Q259" s="138"/>
      <c r="R259" s="138"/>
      <c r="S259" s="138"/>
      <c r="T259" s="138"/>
      <c r="U259" s="138"/>
      <c r="V259" s="138"/>
      <c r="W259" s="138"/>
      <c r="X259" s="138"/>
      <c r="Y259" s="138"/>
      <c r="Z259" s="138"/>
    </row>
    <row r="260" spans="3:26">
      <c r="C260" s="138"/>
      <c r="D260" s="138"/>
      <c r="E260" s="138"/>
      <c r="F260" s="138"/>
      <c r="G260" s="138"/>
      <c r="H260" s="138"/>
      <c r="I260" s="138"/>
      <c r="J260" s="138"/>
      <c r="K260" s="138"/>
      <c r="L260" s="138"/>
      <c r="M260" s="138"/>
      <c r="N260" s="138"/>
      <c r="O260" s="138"/>
      <c r="P260" s="138"/>
      <c r="Q260" s="138"/>
      <c r="R260" s="138"/>
      <c r="S260" s="138"/>
      <c r="T260" s="138"/>
      <c r="U260" s="138"/>
      <c r="V260" s="138"/>
      <c r="W260" s="138"/>
      <c r="X260" s="138"/>
      <c r="Y260" s="138"/>
      <c r="Z260" s="138"/>
    </row>
    <row r="261" spans="3:26">
      <c r="C261" s="138"/>
      <c r="D261" s="138"/>
      <c r="E261" s="138"/>
      <c r="F261" s="138"/>
      <c r="G261" s="138"/>
      <c r="H261" s="138"/>
      <c r="I261" s="138"/>
      <c r="J261" s="138"/>
      <c r="K261" s="138"/>
      <c r="L261" s="138"/>
      <c r="M261" s="138"/>
      <c r="N261" s="138"/>
      <c r="O261" s="138"/>
      <c r="P261" s="138"/>
      <c r="Q261" s="138"/>
      <c r="R261" s="138"/>
      <c r="S261" s="138"/>
      <c r="T261" s="138"/>
      <c r="U261" s="138"/>
      <c r="V261" s="138"/>
      <c r="W261" s="138"/>
      <c r="X261" s="138"/>
      <c r="Y261" s="138"/>
      <c r="Z261" s="138"/>
    </row>
    <row r="262" spans="3:26">
      <c r="C262" s="138"/>
      <c r="D262" s="138"/>
      <c r="E262" s="138"/>
      <c r="F262" s="138"/>
      <c r="G262" s="138"/>
      <c r="H262" s="138"/>
      <c r="I262" s="138"/>
      <c r="J262" s="138"/>
      <c r="K262" s="138"/>
      <c r="L262" s="138"/>
      <c r="M262" s="138"/>
      <c r="N262" s="138"/>
      <c r="O262" s="138"/>
      <c r="P262" s="138"/>
      <c r="Q262" s="138"/>
      <c r="R262" s="138"/>
      <c r="S262" s="138"/>
      <c r="T262" s="138"/>
      <c r="U262" s="138"/>
      <c r="V262" s="138"/>
      <c r="W262" s="138"/>
      <c r="X262" s="138"/>
      <c r="Y262" s="138"/>
      <c r="Z262" s="138"/>
    </row>
    <row r="263" spans="3:26">
      <c r="C263" s="138"/>
      <c r="D263" s="138"/>
      <c r="E263" s="138"/>
      <c r="F263" s="138"/>
      <c r="G263" s="138"/>
      <c r="H263" s="138"/>
      <c r="I263" s="138"/>
      <c r="J263" s="138"/>
      <c r="K263" s="138"/>
      <c r="L263" s="138"/>
      <c r="M263" s="138"/>
      <c r="N263" s="138"/>
      <c r="O263" s="138"/>
      <c r="P263" s="138"/>
      <c r="Q263" s="138"/>
      <c r="R263" s="138"/>
      <c r="S263" s="138"/>
      <c r="T263" s="138"/>
      <c r="U263" s="138"/>
      <c r="V263" s="138"/>
      <c r="W263" s="138"/>
      <c r="X263" s="138"/>
      <c r="Y263" s="138"/>
      <c r="Z263" s="138"/>
    </row>
    <row r="264" spans="3:26">
      <c r="C264" s="138"/>
      <c r="D264" s="138"/>
      <c r="E264" s="138"/>
      <c r="F264" s="138"/>
      <c r="G264" s="138"/>
      <c r="H264" s="138"/>
      <c r="I264" s="138"/>
      <c r="J264" s="138"/>
      <c r="K264" s="138"/>
      <c r="L264" s="138"/>
      <c r="M264" s="138"/>
      <c r="N264" s="138"/>
      <c r="O264" s="138"/>
      <c r="P264" s="138"/>
      <c r="Q264" s="138"/>
      <c r="R264" s="138"/>
      <c r="S264" s="138"/>
      <c r="T264" s="138"/>
      <c r="U264" s="138"/>
      <c r="V264" s="138"/>
      <c r="W264" s="138"/>
      <c r="X264" s="138"/>
      <c r="Y264" s="138"/>
      <c r="Z264" s="138"/>
    </row>
    <row r="265" spans="3:26">
      <c r="C265" s="138"/>
      <c r="D265" s="138"/>
      <c r="E265" s="138"/>
      <c r="F265" s="138"/>
      <c r="G265" s="138"/>
      <c r="H265" s="138"/>
      <c r="I265" s="138"/>
      <c r="J265" s="138"/>
      <c r="K265" s="138"/>
      <c r="L265" s="138"/>
      <c r="M265" s="138"/>
      <c r="N265" s="138"/>
      <c r="O265" s="138"/>
      <c r="P265" s="138"/>
      <c r="Q265" s="138"/>
      <c r="R265" s="138"/>
      <c r="S265" s="138"/>
      <c r="T265" s="138"/>
      <c r="U265" s="138"/>
      <c r="V265" s="138"/>
      <c r="W265" s="138"/>
      <c r="X265" s="138"/>
      <c r="Y265" s="138"/>
      <c r="Z265" s="138"/>
    </row>
    <row r="266" spans="3:26">
      <c r="C266" s="138"/>
      <c r="D266" s="138"/>
      <c r="E266" s="138"/>
      <c r="F266" s="138"/>
      <c r="G266" s="138"/>
      <c r="H266" s="138"/>
      <c r="I266" s="138"/>
      <c r="J266" s="138"/>
      <c r="K266" s="138"/>
      <c r="L266" s="138"/>
      <c r="M266" s="138"/>
      <c r="N266" s="138"/>
      <c r="O266" s="138"/>
      <c r="P266" s="138"/>
      <c r="Q266" s="138"/>
      <c r="R266" s="138"/>
      <c r="S266" s="138"/>
      <c r="T266" s="138"/>
      <c r="U266" s="138"/>
      <c r="V266" s="138"/>
      <c r="W266" s="138"/>
      <c r="X266" s="138"/>
      <c r="Y266" s="138"/>
      <c r="Z266" s="138"/>
    </row>
    <row r="267" spans="3:26">
      <c r="C267" s="138"/>
      <c r="D267" s="138"/>
      <c r="E267" s="138"/>
      <c r="F267" s="138"/>
      <c r="G267" s="138"/>
      <c r="H267" s="138"/>
      <c r="I267" s="138"/>
      <c r="J267" s="138"/>
      <c r="K267" s="138"/>
      <c r="L267" s="138"/>
      <c r="M267" s="138"/>
      <c r="N267" s="138"/>
      <c r="O267" s="138"/>
      <c r="P267" s="138"/>
      <c r="Q267" s="138"/>
      <c r="R267" s="138"/>
      <c r="S267" s="138"/>
      <c r="T267" s="138"/>
      <c r="U267" s="138"/>
      <c r="V267" s="138"/>
      <c r="W267" s="138"/>
      <c r="X267" s="138"/>
      <c r="Y267" s="138"/>
      <c r="Z267" s="138"/>
    </row>
    <row r="268" spans="3:26">
      <c r="C268" s="138"/>
      <c r="D268" s="138"/>
      <c r="E268" s="138"/>
      <c r="F268" s="138"/>
      <c r="G268" s="138"/>
      <c r="H268" s="138"/>
      <c r="I268" s="138"/>
      <c r="J268" s="138"/>
      <c r="K268" s="138"/>
      <c r="L268" s="138"/>
      <c r="M268" s="138"/>
      <c r="N268" s="138"/>
      <c r="O268" s="138"/>
      <c r="P268" s="138"/>
      <c r="Q268" s="138"/>
      <c r="R268" s="138"/>
      <c r="S268" s="138"/>
      <c r="T268" s="138"/>
      <c r="U268" s="138"/>
      <c r="V268" s="138"/>
      <c r="W268" s="138"/>
      <c r="X268" s="138"/>
      <c r="Y268" s="138"/>
      <c r="Z268" s="138"/>
    </row>
    <row r="269" spans="3:26">
      <c r="C269" s="138"/>
      <c r="D269" s="138"/>
      <c r="E269" s="138"/>
      <c r="F269" s="138"/>
      <c r="G269" s="138"/>
      <c r="H269" s="138"/>
      <c r="I269" s="138"/>
      <c r="J269" s="138"/>
      <c r="K269" s="138"/>
      <c r="L269" s="138"/>
      <c r="M269" s="138"/>
      <c r="N269" s="138"/>
      <c r="O269" s="138"/>
      <c r="P269" s="138"/>
      <c r="Q269" s="138"/>
      <c r="R269" s="138"/>
      <c r="S269" s="138"/>
      <c r="T269" s="138"/>
      <c r="U269" s="138"/>
      <c r="V269" s="138"/>
      <c r="W269" s="138"/>
      <c r="X269" s="138"/>
      <c r="Y269" s="138"/>
      <c r="Z269" s="138"/>
    </row>
    <row r="270" spans="3:26">
      <c r="C270" s="138"/>
      <c r="D270" s="138"/>
      <c r="E270" s="138"/>
      <c r="F270" s="138"/>
      <c r="G270" s="138"/>
      <c r="H270" s="138"/>
      <c r="I270" s="138"/>
      <c r="J270" s="138"/>
      <c r="K270" s="138"/>
      <c r="L270" s="138"/>
      <c r="M270" s="138"/>
      <c r="N270" s="138"/>
      <c r="O270" s="138"/>
      <c r="P270" s="138"/>
      <c r="Q270" s="138"/>
      <c r="R270" s="138"/>
      <c r="S270" s="138"/>
      <c r="T270" s="138"/>
      <c r="U270" s="138"/>
      <c r="V270" s="138"/>
      <c r="W270" s="138"/>
      <c r="X270" s="138"/>
      <c r="Y270" s="138"/>
      <c r="Z270" s="138"/>
    </row>
    <row r="271" spans="3:26">
      <c r="C271" s="138"/>
      <c r="D271" s="138"/>
      <c r="E271" s="138"/>
      <c r="F271" s="138"/>
      <c r="G271" s="138"/>
      <c r="H271" s="138"/>
      <c r="I271" s="138"/>
      <c r="J271" s="138"/>
      <c r="K271" s="138"/>
      <c r="L271" s="138"/>
      <c r="M271" s="138"/>
      <c r="N271" s="138"/>
      <c r="O271" s="138"/>
      <c r="P271" s="138"/>
      <c r="Q271" s="138"/>
      <c r="R271" s="138"/>
      <c r="S271" s="138"/>
      <c r="T271" s="138"/>
      <c r="U271" s="138"/>
      <c r="V271" s="138"/>
      <c r="W271" s="138"/>
      <c r="X271" s="138"/>
      <c r="Y271" s="138"/>
      <c r="Z271" s="138"/>
    </row>
    <row r="272" spans="3:26">
      <c r="C272" s="138"/>
      <c r="D272" s="138"/>
      <c r="E272" s="138"/>
      <c r="F272" s="138"/>
      <c r="G272" s="138"/>
      <c r="H272" s="138"/>
      <c r="I272" s="138"/>
      <c r="J272" s="138"/>
      <c r="K272" s="138"/>
      <c r="L272" s="138"/>
      <c r="M272" s="138"/>
      <c r="N272" s="138"/>
      <c r="O272" s="138"/>
      <c r="P272" s="138"/>
      <c r="Q272" s="138"/>
      <c r="R272" s="138"/>
      <c r="S272" s="138"/>
      <c r="T272" s="138"/>
      <c r="U272" s="138"/>
      <c r="V272" s="138"/>
      <c r="W272" s="138"/>
      <c r="X272" s="138"/>
      <c r="Y272" s="138"/>
      <c r="Z272" s="138"/>
    </row>
    <row r="273" spans="3:26">
      <c r="C273" s="138"/>
      <c r="D273" s="138"/>
      <c r="E273" s="138"/>
      <c r="F273" s="138"/>
      <c r="G273" s="138"/>
      <c r="H273" s="138"/>
      <c r="I273" s="138"/>
      <c r="J273" s="138"/>
      <c r="K273" s="138"/>
      <c r="L273" s="138"/>
      <c r="M273" s="138"/>
      <c r="N273" s="138"/>
      <c r="O273" s="138"/>
      <c r="P273" s="138"/>
      <c r="Q273" s="138"/>
      <c r="R273" s="138"/>
      <c r="S273" s="138"/>
      <c r="T273" s="138"/>
      <c r="U273" s="138"/>
      <c r="V273" s="138"/>
      <c r="W273" s="138"/>
      <c r="X273" s="138"/>
      <c r="Y273" s="138"/>
      <c r="Z273" s="138"/>
    </row>
    <row r="274" spans="3:26">
      <c r="C274" s="138"/>
      <c r="D274" s="138"/>
      <c r="E274" s="138"/>
      <c r="F274" s="138"/>
      <c r="G274" s="138"/>
      <c r="H274" s="138"/>
      <c r="I274" s="138"/>
      <c r="J274" s="138"/>
      <c r="K274" s="138"/>
      <c r="L274" s="138"/>
      <c r="M274" s="138"/>
      <c r="N274" s="138"/>
      <c r="O274" s="138"/>
      <c r="P274" s="138"/>
      <c r="Q274" s="138"/>
      <c r="R274" s="138"/>
      <c r="S274" s="138"/>
      <c r="T274" s="138"/>
      <c r="U274" s="138"/>
      <c r="V274" s="138"/>
      <c r="W274" s="138"/>
      <c r="X274" s="138"/>
      <c r="Y274" s="138"/>
      <c r="Z274" s="138"/>
    </row>
    <row r="275" spans="3:26">
      <c r="C275" s="138"/>
      <c r="D275" s="138"/>
      <c r="E275" s="138"/>
      <c r="F275" s="138"/>
      <c r="G275" s="138"/>
      <c r="H275" s="138"/>
      <c r="I275" s="138"/>
      <c r="J275" s="138"/>
      <c r="K275" s="138"/>
      <c r="L275" s="138"/>
      <c r="M275" s="138"/>
      <c r="N275" s="138"/>
      <c r="O275" s="138"/>
      <c r="P275" s="138"/>
      <c r="Q275" s="138"/>
      <c r="R275" s="138"/>
      <c r="S275" s="138"/>
      <c r="T275" s="138"/>
      <c r="U275" s="138"/>
      <c r="V275" s="138"/>
      <c r="W275" s="138"/>
      <c r="X275" s="138"/>
      <c r="Y275" s="138"/>
      <c r="Z275" s="138"/>
    </row>
    <row r="276" spans="3:26">
      <c r="C276" s="138"/>
      <c r="D276" s="138"/>
      <c r="E276" s="138"/>
      <c r="F276" s="138"/>
      <c r="G276" s="138"/>
      <c r="H276" s="138"/>
      <c r="I276" s="138"/>
      <c r="J276" s="138"/>
      <c r="K276" s="138"/>
      <c r="L276" s="138"/>
      <c r="M276" s="138"/>
      <c r="N276" s="138"/>
      <c r="O276" s="138"/>
      <c r="P276" s="138"/>
      <c r="Q276" s="138"/>
      <c r="R276" s="138"/>
      <c r="S276" s="138"/>
      <c r="T276" s="138"/>
      <c r="U276" s="138"/>
      <c r="V276" s="138"/>
      <c r="W276" s="138"/>
      <c r="X276" s="138"/>
      <c r="Y276" s="138"/>
      <c r="Z276" s="138"/>
    </row>
    <row r="277" spans="3:26">
      <c r="C277" s="138"/>
      <c r="D277" s="138"/>
      <c r="E277" s="138"/>
      <c r="F277" s="138"/>
      <c r="G277" s="138"/>
      <c r="H277" s="138"/>
      <c r="I277" s="138"/>
      <c r="J277" s="138"/>
      <c r="K277" s="138"/>
      <c r="L277" s="138"/>
      <c r="M277" s="138"/>
      <c r="N277" s="138"/>
      <c r="O277" s="138"/>
      <c r="P277" s="138"/>
      <c r="Q277" s="138"/>
      <c r="R277" s="138"/>
      <c r="S277" s="138"/>
      <c r="T277" s="138"/>
      <c r="U277" s="138"/>
      <c r="V277" s="138"/>
      <c r="W277" s="138"/>
      <c r="X277" s="138"/>
      <c r="Y277" s="138"/>
      <c r="Z277" s="138"/>
    </row>
    <row r="278" spans="3:26">
      <c r="C278" s="138"/>
      <c r="D278" s="138"/>
      <c r="E278" s="138"/>
      <c r="F278" s="138"/>
      <c r="G278" s="138"/>
      <c r="H278" s="138"/>
      <c r="I278" s="138"/>
      <c r="J278" s="138"/>
      <c r="K278" s="138"/>
      <c r="L278" s="138"/>
      <c r="M278" s="138"/>
      <c r="N278" s="138"/>
      <c r="O278" s="138"/>
      <c r="P278" s="138"/>
      <c r="Q278" s="138"/>
      <c r="R278" s="138"/>
      <c r="S278" s="138"/>
      <c r="T278" s="138"/>
      <c r="U278" s="138"/>
      <c r="V278" s="138"/>
      <c r="W278" s="138"/>
      <c r="X278" s="138"/>
      <c r="Y278" s="138"/>
      <c r="Z278" s="138"/>
    </row>
    <row r="279" spans="3:26">
      <c r="C279" s="138"/>
      <c r="D279" s="138"/>
      <c r="E279" s="138"/>
      <c r="F279" s="138"/>
      <c r="G279" s="138"/>
      <c r="H279" s="138"/>
      <c r="I279" s="138"/>
      <c r="J279" s="138"/>
      <c r="K279" s="138"/>
      <c r="L279" s="138"/>
      <c r="M279" s="138"/>
      <c r="N279" s="138"/>
      <c r="O279" s="138"/>
      <c r="P279" s="138"/>
      <c r="Q279" s="138"/>
      <c r="R279" s="138"/>
      <c r="S279" s="138"/>
      <c r="T279" s="138"/>
      <c r="U279" s="138"/>
      <c r="V279" s="138"/>
      <c r="W279" s="138"/>
      <c r="X279" s="138"/>
      <c r="Y279" s="138"/>
      <c r="Z279" s="138"/>
    </row>
    <row r="280" spans="3:26">
      <c r="C280" s="138"/>
      <c r="D280" s="138"/>
      <c r="E280" s="138"/>
      <c r="F280" s="138"/>
      <c r="G280" s="138"/>
      <c r="H280" s="138"/>
      <c r="I280" s="138"/>
      <c r="J280" s="138"/>
      <c r="K280" s="138"/>
      <c r="L280" s="138"/>
      <c r="M280" s="138"/>
      <c r="N280" s="138"/>
      <c r="O280" s="138"/>
      <c r="P280" s="138"/>
      <c r="Q280" s="138"/>
      <c r="R280" s="138"/>
      <c r="S280" s="138"/>
      <c r="T280" s="138"/>
      <c r="U280" s="138"/>
      <c r="V280" s="138"/>
      <c r="W280" s="138"/>
      <c r="X280" s="138"/>
      <c r="Y280" s="138"/>
      <c r="Z280" s="138"/>
    </row>
    <row r="281" spans="3:26">
      <c r="C281" s="138"/>
      <c r="D281" s="138"/>
      <c r="E281" s="138"/>
      <c r="F281" s="138"/>
      <c r="G281" s="138"/>
      <c r="H281" s="138"/>
      <c r="I281" s="138"/>
      <c r="J281" s="138"/>
      <c r="K281" s="138"/>
      <c r="L281" s="138"/>
      <c r="M281" s="138"/>
      <c r="N281" s="138"/>
      <c r="O281" s="138"/>
      <c r="P281" s="138"/>
      <c r="Q281" s="138"/>
      <c r="R281" s="138"/>
      <c r="S281" s="138"/>
      <c r="T281" s="138"/>
      <c r="U281" s="138"/>
      <c r="V281" s="138"/>
      <c r="W281" s="138"/>
      <c r="X281" s="138"/>
      <c r="Y281" s="138"/>
      <c r="Z281" s="138"/>
    </row>
    <row r="282" spans="3:26">
      <c r="C282" s="138"/>
      <c r="D282" s="138"/>
      <c r="E282" s="138"/>
      <c r="F282" s="138"/>
      <c r="G282" s="138"/>
      <c r="H282" s="138"/>
      <c r="I282" s="138"/>
      <c r="J282" s="138"/>
      <c r="K282" s="138"/>
      <c r="L282" s="138"/>
      <c r="M282" s="138"/>
      <c r="N282" s="138"/>
      <c r="O282" s="138"/>
      <c r="P282" s="138"/>
      <c r="Q282" s="138"/>
      <c r="R282" s="138"/>
      <c r="S282" s="138"/>
      <c r="T282" s="138"/>
      <c r="U282" s="138"/>
      <c r="V282" s="138"/>
      <c r="W282" s="138"/>
      <c r="X282" s="138"/>
      <c r="Y282" s="138"/>
      <c r="Z282" s="138"/>
    </row>
    <row r="283" spans="3:26">
      <c r="C283" s="138"/>
      <c r="D283" s="138"/>
      <c r="E283" s="138"/>
      <c r="F283" s="138"/>
      <c r="G283" s="138"/>
      <c r="H283" s="138"/>
      <c r="I283" s="138"/>
      <c r="J283" s="138"/>
      <c r="K283" s="138"/>
      <c r="L283" s="138"/>
      <c r="M283" s="138"/>
      <c r="N283" s="138"/>
      <c r="O283" s="138"/>
      <c r="P283" s="138"/>
      <c r="Q283" s="138"/>
      <c r="R283" s="138"/>
      <c r="S283" s="138"/>
      <c r="T283" s="138"/>
      <c r="U283" s="138"/>
      <c r="V283" s="138"/>
      <c r="W283" s="138"/>
      <c r="X283" s="138"/>
      <c r="Y283" s="138"/>
      <c r="Z283" s="138"/>
    </row>
    <row r="284" spans="3:26">
      <c r="C284" s="138"/>
      <c r="D284" s="138"/>
      <c r="E284" s="138"/>
      <c r="F284" s="138"/>
      <c r="G284" s="138"/>
      <c r="H284" s="138"/>
      <c r="I284" s="138"/>
      <c r="J284" s="138"/>
      <c r="K284" s="138"/>
      <c r="L284" s="138"/>
      <c r="M284" s="138"/>
      <c r="N284" s="138"/>
      <c r="O284" s="138"/>
      <c r="P284" s="138"/>
      <c r="Q284" s="138"/>
      <c r="R284" s="138"/>
      <c r="S284" s="138"/>
      <c r="T284" s="138"/>
      <c r="U284" s="138"/>
      <c r="V284" s="138"/>
      <c r="W284" s="138"/>
      <c r="X284" s="138"/>
      <c r="Y284" s="138"/>
      <c r="Z284" s="138"/>
    </row>
    <row r="285" spans="3:26">
      <c r="C285" s="138"/>
      <c r="D285" s="138"/>
      <c r="E285" s="138"/>
      <c r="F285" s="138"/>
      <c r="G285" s="138"/>
      <c r="H285" s="138"/>
      <c r="I285" s="138"/>
      <c r="J285" s="138"/>
      <c r="K285" s="138"/>
      <c r="L285" s="138"/>
      <c r="M285" s="138"/>
      <c r="N285" s="138"/>
      <c r="O285" s="138"/>
      <c r="P285" s="138"/>
      <c r="Q285" s="138"/>
      <c r="R285" s="138"/>
      <c r="S285" s="138"/>
      <c r="T285" s="138"/>
      <c r="U285" s="138"/>
      <c r="V285" s="138"/>
      <c r="W285" s="138"/>
      <c r="X285" s="138"/>
      <c r="Y285" s="138"/>
      <c r="Z285" s="138"/>
    </row>
    <row r="286" spans="3:26">
      <c r="C286" s="138"/>
      <c r="D286" s="138"/>
      <c r="E286" s="138"/>
      <c r="F286" s="138"/>
      <c r="G286" s="138"/>
      <c r="H286" s="138"/>
      <c r="I286" s="138"/>
      <c r="J286" s="138"/>
      <c r="K286" s="138"/>
      <c r="L286" s="138"/>
      <c r="M286" s="138"/>
      <c r="N286" s="138"/>
      <c r="O286" s="138"/>
      <c r="P286" s="138"/>
      <c r="Q286" s="138"/>
      <c r="R286" s="138"/>
      <c r="S286" s="138"/>
      <c r="T286" s="138"/>
      <c r="U286" s="138"/>
      <c r="V286" s="138"/>
      <c r="W286" s="138"/>
      <c r="X286" s="138"/>
      <c r="Y286" s="138"/>
      <c r="Z286" s="138"/>
    </row>
    <row r="287" spans="3:26">
      <c r="C287" s="138"/>
      <c r="D287" s="138"/>
      <c r="E287" s="138"/>
      <c r="F287" s="138"/>
      <c r="G287" s="138"/>
      <c r="H287" s="138"/>
      <c r="I287" s="138"/>
      <c r="J287" s="138"/>
      <c r="K287" s="138"/>
      <c r="L287" s="138"/>
      <c r="M287" s="138"/>
      <c r="N287" s="138"/>
      <c r="O287" s="138"/>
      <c r="P287" s="138"/>
      <c r="Q287" s="138"/>
      <c r="R287" s="138"/>
      <c r="S287" s="138"/>
      <c r="T287" s="138"/>
      <c r="U287" s="138"/>
      <c r="V287" s="138"/>
      <c r="W287" s="138"/>
      <c r="X287" s="138"/>
      <c r="Y287" s="138"/>
      <c r="Z287" s="138"/>
    </row>
    <row r="288" spans="3:26">
      <c r="C288" s="138"/>
      <c r="D288" s="138"/>
      <c r="E288" s="138"/>
      <c r="F288" s="138"/>
      <c r="G288" s="138"/>
      <c r="H288" s="138"/>
      <c r="I288" s="138"/>
      <c r="J288" s="138"/>
      <c r="K288" s="138"/>
      <c r="L288" s="138"/>
      <c r="M288" s="138"/>
      <c r="N288" s="138"/>
      <c r="O288" s="138"/>
      <c r="P288" s="138"/>
      <c r="Q288" s="138"/>
      <c r="R288" s="138"/>
      <c r="S288" s="138"/>
      <c r="T288" s="138"/>
      <c r="U288" s="138"/>
      <c r="V288" s="138"/>
      <c r="W288" s="138"/>
      <c r="X288" s="138"/>
      <c r="Y288" s="138"/>
      <c r="Z288" s="138"/>
    </row>
    <row r="289" spans="3:26">
      <c r="C289" s="138"/>
      <c r="D289" s="138"/>
      <c r="E289" s="138"/>
      <c r="F289" s="138"/>
      <c r="G289" s="138"/>
      <c r="H289" s="138"/>
      <c r="I289" s="138"/>
      <c r="J289" s="138"/>
      <c r="K289" s="138"/>
      <c r="L289" s="138"/>
      <c r="M289" s="138"/>
      <c r="N289" s="138"/>
      <c r="O289" s="138"/>
      <c r="P289" s="138"/>
      <c r="Q289" s="138"/>
      <c r="R289" s="138"/>
      <c r="S289" s="138"/>
      <c r="T289" s="138"/>
      <c r="U289" s="138"/>
      <c r="V289" s="138"/>
      <c r="W289" s="138"/>
      <c r="X289" s="138"/>
      <c r="Y289" s="138"/>
      <c r="Z289" s="138"/>
    </row>
    <row r="290" spans="3:26">
      <c r="C290" s="138"/>
      <c r="D290" s="138"/>
      <c r="E290" s="138"/>
      <c r="F290" s="138"/>
      <c r="G290" s="138"/>
      <c r="H290" s="138"/>
      <c r="I290" s="138"/>
      <c r="J290" s="138"/>
      <c r="K290" s="138"/>
      <c r="L290" s="138"/>
      <c r="M290" s="138"/>
      <c r="N290" s="138"/>
      <c r="O290" s="138"/>
      <c r="P290" s="138"/>
      <c r="Q290" s="138"/>
      <c r="R290" s="138"/>
      <c r="S290" s="138"/>
      <c r="T290" s="138"/>
      <c r="U290" s="138"/>
      <c r="V290" s="138"/>
      <c r="W290" s="138"/>
      <c r="X290" s="138"/>
      <c r="Y290" s="138"/>
      <c r="Z290" s="138"/>
    </row>
    <row r="291" spans="3:26">
      <c r="C291" s="138"/>
      <c r="D291" s="138"/>
      <c r="E291" s="138"/>
      <c r="F291" s="138"/>
      <c r="G291" s="138"/>
      <c r="H291" s="138"/>
      <c r="I291" s="138"/>
      <c r="J291" s="138"/>
      <c r="K291" s="138"/>
      <c r="L291" s="138"/>
      <c r="M291" s="138"/>
      <c r="N291" s="138"/>
      <c r="O291" s="138"/>
      <c r="P291" s="138"/>
      <c r="Q291" s="138"/>
      <c r="R291" s="138"/>
      <c r="S291" s="138"/>
      <c r="T291" s="138"/>
      <c r="U291" s="138"/>
      <c r="V291" s="138"/>
      <c r="W291" s="138"/>
      <c r="X291" s="138"/>
      <c r="Y291" s="138"/>
      <c r="Z291" s="138"/>
    </row>
    <row r="292" spans="3:26">
      <c r="C292" s="138"/>
      <c r="D292" s="138"/>
      <c r="E292" s="138"/>
      <c r="F292" s="138"/>
      <c r="G292" s="138"/>
      <c r="H292" s="138"/>
      <c r="I292" s="138"/>
      <c r="J292" s="138"/>
      <c r="K292" s="138"/>
      <c r="L292" s="138"/>
      <c r="M292" s="138"/>
      <c r="N292" s="138"/>
      <c r="O292" s="138"/>
      <c r="P292" s="138"/>
      <c r="Q292" s="138"/>
      <c r="R292" s="138"/>
      <c r="S292" s="138"/>
      <c r="T292" s="138"/>
      <c r="U292" s="138"/>
      <c r="V292" s="138"/>
      <c r="W292" s="138"/>
      <c r="X292" s="138"/>
      <c r="Y292" s="138"/>
      <c r="Z292" s="138"/>
    </row>
    <row r="293" spans="3:26">
      <c r="C293" s="138"/>
      <c r="D293" s="138"/>
      <c r="E293" s="138"/>
      <c r="F293" s="138"/>
      <c r="G293" s="138"/>
      <c r="H293" s="138"/>
      <c r="I293" s="138"/>
      <c r="J293" s="138"/>
      <c r="K293" s="138"/>
      <c r="L293" s="138"/>
      <c r="M293" s="138"/>
      <c r="N293" s="138"/>
      <c r="O293" s="138"/>
      <c r="P293" s="138"/>
      <c r="Q293" s="138"/>
      <c r="R293" s="138"/>
      <c r="S293" s="138"/>
      <c r="T293" s="138"/>
      <c r="U293" s="138"/>
      <c r="V293" s="138"/>
      <c r="W293" s="138"/>
      <c r="X293" s="138"/>
      <c r="Y293" s="138"/>
      <c r="Z293" s="138"/>
    </row>
    <row r="294" spans="3:26">
      <c r="C294" s="138"/>
      <c r="D294" s="138"/>
      <c r="E294" s="138"/>
      <c r="F294" s="138"/>
      <c r="G294" s="138"/>
      <c r="H294" s="138"/>
      <c r="I294" s="138"/>
      <c r="J294" s="138"/>
      <c r="K294" s="138"/>
      <c r="L294" s="138"/>
      <c r="M294" s="138"/>
      <c r="N294" s="138"/>
      <c r="O294" s="138"/>
      <c r="P294" s="138"/>
      <c r="Q294" s="138"/>
      <c r="R294" s="138"/>
      <c r="S294" s="138"/>
      <c r="T294" s="138"/>
      <c r="U294" s="138"/>
      <c r="V294" s="138"/>
      <c r="W294" s="138"/>
      <c r="X294" s="138"/>
      <c r="Y294" s="138"/>
      <c r="Z294" s="138"/>
    </row>
    <row r="295" spans="3:26">
      <c r="C295" s="138"/>
      <c r="D295" s="138"/>
      <c r="E295" s="138"/>
      <c r="F295" s="138"/>
      <c r="G295" s="138"/>
      <c r="H295" s="138"/>
      <c r="I295" s="138"/>
      <c r="J295" s="138"/>
      <c r="K295" s="138"/>
      <c r="L295" s="138"/>
      <c r="M295" s="138"/>
      <c r="N295" s="138"/>
      <c r="O295" s="138"/>
      <c r="P295" s="138"/>
      <c r="Q295" s="138"/>
      <c r="R295" s="138"/>
      <c r="S295" s="138"/>
      <c r="T295" s="138"/>
      <c r="U295" s="138"/>
      <c r="V295" s="138"/>
      <c r="W295" s="138"/>
      <c r="X295" s="138"/>
      <c r="Y295" s="138"/>
      <c r="Z295" s="138"/>
    </row>
    <row r="296" spans="3:26">
      <c r="C296" s="138"/>
      <c r="D296" s="138"/>
      <c r="E296" s="138"/>
      <c r="F296" s="138"/>
      <c r="G296" s="138"/>
      <c r="H296" s="138"/>
      <c r="I296" s="138"/>
      <c r="J296" s="138"/>
      <c r="K296" s="138"/>
      <c r="L296" s="138"/>
      <c r="M296" s="138"/>
      <c r="N296" s="138"/>
      <c r="O296" s="138"/>
      <c r="P296" s="138"/>
      <c r="Q296" s="138"/>
      <c r="R296" s="138"/>
      <c r="S296" s="138"/>
      <c r="T296" s="138"/>
      <c r="U296" s="138"/>
      <c r="V296" s="138"/>
      <c r="W296" s="138"/>
      <c r="X296" s="138"/>
      <c r="Y296" s="138"/>
      <c r="Z296" s="138"/>
    </row>
    <row r="297" spans="3:26">
      <c r="C297" s="138"/>
      <c r="D297" s="138"/>
      <c r="E297" s="138"/>
      <c r="F297" s="138"/>
      <c r="G297" s="138"/>
      <c r="H297" s="138"/>
      <c r="I297" s="138"/>
      <c r="J297" s="138"/>
      <c r="K297" s="138"/>
      <c r="L297" s="138"/>
      <c r="M297" s="138"/>
      <c r="N297" s="138"/>
      <c r="O297" s="138"/>
      <c r="P297" s="138"/>
      <c r="Q297" s="138"/>
      <c r="R297" s="138"/>
      <c r="S297" s="138"/>
      <c r="T297" s="138"/>
      <c r="U297" s="138"/>
      <c r="V297" s="138"/>
      <c r="W297" s="138"/>
      <c r="X297" s="138"/>
      <c r="Y297" s="138"/>
      <c r="Z297" s="138"/>
    </row>
    <row r="298" spans="3:26">
      <c r="C298" s="138"/>
      <c r="D298" s="138"/>
      <c r="E298" s="138"/>
      <c r="F298" s="138"/>
      <c r="G298" s="138"/>
      <c r="H298" s="138"/>
      <c r="I298" s="138"/>
      <c r="J298" s="138"/>
      <c r="K298" s="138"/>
      <c r="L298" s="138"/>
      <c r="M298" s="138"/>
      <c r="N298" s="138"/>
      <c r="O298" s="138"/>
      <c r="P298" s="138"/>
      <c r="Q298" s="138"/>
      <c r="R298" s="138"/>
      <c r="S298" s="138"/>
      <c r="T298" s="138"/>
      <c r="U298" s="138"/>
      <c r="V298" s="138"/>
      <c r="W298" s="138"/>
      <c r="X298" s="138"/>
      <c r="Y298" s="138"/>
      <c r="Z298" s="138"/>
    </row>
    <row r="299" spans="3:26">
      <c r="C299" s="138"/>
      <c r="D299" s="138"/>
      <c r="E299" s="138"/>
      <c r="F299" s="138"/>
      <c r="G299" s="138"/>
      <c r="H299" s="138"/>
      <c r="I299" s="138"/>
      <c r="J299" s="138"/>
      <c r="K299" s="138"/>
      <c r="L299" s="138"/>
      <c r="M299" s="138"/>
      <c r="N299" s="138"/>
      <c r="O299" s="138"/>
      <c r="P299" s="138"/>
      <c r="Q299" s="138"/>
      <c r="R299" s="138"/>
      <c r="S299" s="138"/>
      <c r="T299" s="138"/>
      <c r="U299" s="138"/>
      <c r="V299" s="138"/>
      <c r="W299" s="138"/>
      <c r="X299" s="138"/>
      <c r="Y299" s="138"/>
      <c r="Z299" s="138"/>
    </row>
    <row r="300" spans="3:26">
      <c r="C300" s="138"/>
      <c r="D300" s="138"/>
      <c r="E300" s="138"/>
      <c r="F300" s="138"/>
      <c r="G300" s="138"/>
      <c r="H300" s="138"/>
      <c r="I300" s="138"/>
      <c r="J300" s="138"/>
      <c r="K300" s="138"/>
      <c r="L300" s="138"/>
      <c r="M300" s="138"/>
      <c r="N300" s="138"/>
      <c r="O300" s="138"/>
      <c r="P300" s="138"/>
      <c r="Q300" s="138"/>
      <c r="R300" s="138"/>
      <c r="S300" s="138"/>
      <c r="T300" s="138"/>
      <c r="U300" s="138"/>
      <c r="V300" s="138"/>
      <c r="W300" s="138"/>
      <c r="X300" s="138"/>
      <c r="Y300" s="138"/>
      <c r="Z300" s="138"/>
    </row>
    <row r="301" spans="3:26">
      <c r="C301" s="138"/>
      <c r="D301" s="138"/>
      <c r="E301" s="138"/>
      <c r="F301" s="138"/>
      <c r="G301" s="138"/>
      <c r="H301" s="138"/>
      <c r="I301" s="138"/>
      <c r="J301" s="138"/>
      <c r="K301" s="138"/>
      <c r="L301" s="138"/>
      <c r="M301" s="138"/>
      <c r="N301" s="138"/>
      <c r="O301" s="138"/>
      <c r="P301" s="138"/>
      <c r="Q301" s="138"/>
      <c r="R301" s="138"/>
      <c r="S301" s="138"/>
      <c r="T301" s="138"/>
      <c r="U301" s="138"/>
      <c r="V301" s="138"/>
      <c r="W301" s="138"/>
      <c r="X301" s="138"/>
      <c r="Y301" s="138"/>
      <c r="Z301" s="138"/>
    </row>
    <row r="302" spans="3:26">
      <c r="C302" s="138"/>
      <c r="D302" s="138"/>
      <c r="E302" s="138"/>
      <c r="F302" s="138"/>
      <c r="G302" s="138"/>
      <c r="H302" s="138"/>
      <c r="I302" s="138"/>
      <c r="J302" s="138"/>
      <c r="K302" s="138"/>
      <c r="L302" s="138"/>
      <c r="M302" s="138"/>
      <c r="N302" s="138"/>
      <c r="O302" s="138"/>
      <c r="P302" s="138"/>
      <c r="Q302" s="138"/>
      <c r="R302" s="138"/>
      <c r="S302" s="138"/>
      <c r="T302" s="138"/>
      <c r="U302" s="138"/>
      <c r="V302" s="138"/>
      <c r="W302" s="138"/>
      <c r="X302" s="138"/>
      <c r="Y302" s="138"/>
      <c r="Z302" s="138"/>
    </row>
    <row r="303" spans="3:26">
      <c r="C303" s="138"/>
      <c r="D303" s="138"/>
      <c r="E303" s="138"/>
      <c r="F303" s="138"/>
      <c r="G303" s="138"/>
      <c r="H303" s="138"/>
      <c r="I303" s="138"/>
      <c r="J303" s="138"/>
      <c r="K303" s="138"/>
      <c r="L303" s="138"/>
      <c r="M303" s="138"/>
      <c r="N303" s="138"/>
      <c r="O303" s="138"/>
      <c r="P303" s="138"/>
      <c r="Q303" s="138"/>
      <c r="R303" s="138"/>
      <c r="S303" s="138"/>
      <c r="T303" s="138"/>
      <c r="U303" s="138"/>
      <c r="V303" s="138"/>
      <c r="W303" s="138"/>
      <c r="X303" s="138"/>
      <c r="Y303" s="138"/>
      <c r="Z303" s="138"/>
    </row>
    <row r="304" spans="3:26">
      <c r="C304" s="138"/>
      <c r="D304" s="138"/>
      <c r="E304" s="138"/>
      <c r="F304" s="138"/>
      <c r="G304" s="138"/>
      <c r="H304" s="138"/>
      <c r="I304" s="138"/>
      <c r="J304" s="138"/>
      <c r="K304" s="138"/>
      <c r="L304" s="138"/>
      <c r="M304" s="138"/>
      <c r="N304" s="138"/>
      <c r="O304" s="138"/>
      <c r="P304" s="138"/>
      <c r="Q304" s="138"/>
      <c r="R304" s="138"/>
      <c r="S304" s="138"/>
      <c r="T304" s="138"/>
      <c r="U304" s="138"/>
      <c r="V304" s="138"/>
      <c r="W304" s="138"/>
      <c r="X304" s="138"/>
      <c r="Y304" s="138"/>
      <c r="Z304" s="138"/>
    </row>
    <row r="305" spans="3:26">
      <c r="C305" s="138"/>
      <c r="D305" s="138"/>
      <c r="E305" s="138"/>
      <c r="F305" s="138"/>
      <c r="G305" s="138"/>
      <c r="H305" s="138"/>
      <c r="I305" s="138"/>
      <c r="J305" s="138"/>
      <c r="K305" s="138"/>
      <c r="L305" s="138"/>
      <c r="M305" s="138"/>
      <c r="N305" s="138"/>
      <c r="O305" s="138"/>
      <c r="P305" s="138"/>
      <c r="Q305" s="138"/>
      <c r="R305" s="138"/>
      <c r="S305" s="138"/>
      <c r="T305" s="138"/>
      <c r="U305" s="138"/>
      <c r="V305" s="138"/>
      <c r="W305" s="138"/>
      <c r="X305" s="138"/>
      <c r="Y305" s="138"/>
      <c r="Z305" s="138"/>
    </row>
    <row r="306" spans="3:26">
      <c r="C306" s="138"/>
      <c r="D306" s="138"/>
      <c r="E306" s="138"/>
      <c r="F306" s="138"/>
      <c r="G306" s="138"/>
      <c r="H306" s="138"/>
      <c r="I306" s="138"/>
      <c r="J306" s="138"/>
      <c r="K306" s="138"/>
      <c r="L306" s="138"/>
      <c r="M306" s="138"/>
      <c r="N306" s="138"/>
      <c r="O306" s="138"/>
      <c r="P306" s="138"/>
      <c r="Q306" s="138"/>
      <c r="R306" s="138"/>
      <c r="S306" s="138"/>
      <c r="T306" s="138"/>
      <c r="U306" s="138"/>
      <c r="V306" s="138"/>
      <c r="W306" s="138"/>
      <c r="X306" s="138"/>
      <c r="Y306" s="138"/>
      <c r="Z306" s="138"/>
    </row>
    <row r="307" spans="3:26">
      <c r="C307" s="138"/>
      <c r="D307" s="138"/>
      <c r="E307" s="138"/>
      <c r="F307" s="138"/>
      <c r="G307" s="138"/>
      <c r="H307" s="138"/>
      <c r="I307" s="138"/>
      <c r="J307" s="138"/>
      <c r="K307" s="138"/>
      <c r="L307" s="138"/>
      <c r="M307" s="138"/>
      <c r="N307" s="138"/>
      <c r="O307" s="138"/>
      <c r="P307" s="138"/>
      <c r="Q307" s="138"/>
      <c r="R307" s="138"/>
      <c r="S307" s="138"/>
    </row>
    <row r="308" spans="3:26">
      <c r="C308" s="138"/>
      <c r="D308" s="138"/>
      <c r="E308" s="138"/>
      <c r="F308" s="138"/>
      <c r="G308" s="138"/>
      <c r="H308" s="138"/>
      <c r="I308" s="138"/>
      <c r="J308" s="138"/>
      <c r="K308" s="138"/>
      <c r="L308" s="138"/>
      <c r="M308" s="138"/>
      <c r="N308" s="138"/>
      <c r="O308" s="138"/>
      <c r="P308" s="138"/>
      <c r="Q308" s="138"/>
      <c r="R308" s="138"/>
      <c r="S308" s="138"/>
    </row>
    <row r="309" spans="3:26">
      <c r="C309" s="138"/>
      <c r="D309" s="138"/>
      <c r="E309" s="138"/>
      <c r="F309" s="138"/>
      <c r="G309" s="138"/>
      <c r="H309" s="138"/>
      <c r="I309" s="138"/>
      <c r="J309" s="138"/>
      <c r="K309" s="138"/>
      <c r="L309" s="138"/>
      <c r="M309" s="138"/>
      <c r="N309" s="138"/>
      <c r="O309" s="138"/>
      <c r="P309" s="138"/>
      <c r="Q309" s="138"/>
      <c r="R309" s="138"/>
      <c r="S309" s="138"/>
    </row>
    <row r="310" spans="3:26">
      <c r="C310" s="138"/>
      <c r="D310" s="138"/>
      <c r="E310" s="138"/>
      <c r="F310" s="138"/>
      <c r="G310" s="138"/>
      <c r="H310" s="138"/>
      <c r="I310" s="138"/>
      <c r="J310" s="138"/>
      <c r="K310" s="138"/>
      <c r="L310" s="138"/>
      <c r="M310" s="138"/>
      <c r="N310" s="138"/>
      <c r="O310" s="138"/>
      <c r="P310" s="138"/>
      <c r="Q310" s="138"/>
      <c r="R310" s="138"/>
      <c r="S310" s="138"/>
    </row>
    <row r="311" spans="3:26">
      <c r="C311" s="138"/>
      <c r="D311" s="138"/>
      <c r="E311" s="138"/>
      <c r="F311" s="138"/>
      <c r="G311" s="138"/>
      <c r="H311" s="138"/>
      <c r="I311" s="138"/>
      <c r="J311" s="138"/>
      <c r="K311" s="138"/>
      <c r="L311" s="138"/>
      <c r="M311" s="138"/>
      <c r="N311" s="138"/>
      <c r="O311" s="138"/>
      <c r="P311" s="138"/>
      <c r="Q311" s="138"/>
      <c r="R311" s="138"/>
      <c r="S311" s="138"/>
    </row>
    <row r="312" spans="3:26">
      <c r="C312" s="138"/>
      <c r="D312" s="138"/>
      <c r="E312" s="138"/>
      <c r="F312" s="138"/>
      <c r="G312" s="138"/>
      <c r="H312" s="138"/>
      <c r="I312" s="138"/>
      <c r="J312" s="138"/>
      <c r="K312" s="138"/>
      <c r="L312" s="138"/>
      <c r="M312" s="138"/>
      <c r="N312" s="138"/>
      <c r="O312" s="138"/>
      <c r="P312" s="138"/>
      <c r="Q312" s="138"/>
      <c r="R312" s="138"/>
      <c r="S312" s="138"/>
    </row>
    <row r="313" spans="3:26">
      <c r="C313" s="138"/>
      <c r="D313" s="138"/>
      <c r="E313" s="138"/>
      <c r="F313" s="138"/>
      <c r="G313" s="138"/>
      <c r="H313" s="138"/>
      <c r="I313" s="138"/>
      <c r="J313" s="138"/>
      <c r="K313" s="138"/>
      <c r="L313" s="138"/>
      <c r="M313" s="138"/>
      <c r="N313" s="138"/>
      <c r="O313" s="138"/>
      <c r="P313" s="138"/>
      <c r="Q313" s="138"/>
      <c r="R313" s="138"/>
      <c r="S313" s="138"/>
    </row>
    <row r="314" spans="3:26">
      <c r="C314" s="138"/>
      <c r="D314" s="138"/>
      <c r="E314" s="138"/>
      <c r="F314" s="138"/>
      <c r="G314" s="138"/>
      <c r="H314" s="138"/>
      <c r="I314" s="138"/>
      <c r="J314" s="138"/>
      <c r="K314" s="138"/>
      <c r="L314" s="138"/>
      <c r="M314" s="138"/>
      <c r="N314" s="138"/>
      <c r="O314" s="138"/>
      <c r="P314" s="138"/>
      <c r="Q314" s="138"/>
      <c r="R314" s="138"/>
      <c r="S314" s="138"/>
    </row>
  </sheetData>
  <mergeCells count="12">
    <mergeCell ref="C115:S115"/>
    <mergeCell ref="C116:S116"/>
    <mergeCell ref="C117:S117"/>
    <mergeCell ref="G25:I25"/>
    <mergeCell ref="C105:S105"/>
    <mergeCell ref="C107:S107"/>
    <mergeCell ref="C108:S108"/>
    <mergeCell ref="C110:S110"/>
    <mergeCell ref="C111:S111"/>
    <mergeCell ref="C112:S112"/>
    <mergeCell ref="C113:S113"/>
    <mergeCell ref="C114:S114"/>
  </mergeCells>
  <pageMargins left="0.7" right="0.7" top="0.75" bottom="0.75" header="0.3" footer="0.3"/>
  <pageSetup scale="32" fitToHeight="2" orientation="landscape" r:id="rId1"/>
  <rowBreaks count="1" manualBreakCount="1">
    <brk id="60" max="18"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8">
    <pageSetUpPr fitToPage="1"/>
  </sheetPr>
  <dimension ref="A1:V68"/>
  <sheetViews>
    <sheetView showGridLines="0" zoomScaleNormal="100" zoomScaleSheetLayoutView="80" workbookViewId="0">
      <pane xSplit="2" ySplit="9" topLeftCell="C10" activePane="bottomRight" state="frozen"/>
      <selection activeCell="I78" sqref="I78"/>
      <selection pane="topRight" activeCell="I78" sqref="I78"/>
      <selection pane="bottomLeft" activeCell="I78" sqref="I78"/>
      <selection pane="bottomRight" activeCell="C23" sqref="C23"/>
    </sheetView>
  </sheetViews>
  <sheetFormatPr defaultRowHeight="12.75"/>
  <cols>
    <col min="1" max="1" width="21.28515625" style="225" customWidth="1"/>
    <col min="2" max="2" width="32.85546875" style="225" customWidth="1"/>
    <col min="3" max="10" width="13.85546875" style="226" customWidth="1"/>
    <col min="11" max="11" width="13.85546875" style="227" customWidth="1"/>
    <col min="12" max="14" width="13.85546875" style="225" customWidth="1"/>
    <col min="15" max="15" width="13.85546875" style="272" customWidth="1"/>
    <col min="16" max="22" width="13.85546875" style="225" customWidth="1"/>
    <col min="23" max="16384" width="9.140625" style="225"/>
  </cols>
  <sheetData>
    <row r="1" spans="1:15" s="289" customFormat="1" ht="18">
      <c r="A1" s="422" t="s">
        <v>729</v>
      </c>
      <c r="K1" s="421"/>
      <c r="O1" s="421"/>
    </row>
    <row r="2" spans="1:15">
      <c r="A2" s="257"/>
      <c r="B2" s="226"/>
      <c r="C2" s="225"/>
      <c r="D2" s="225"/>
      <c r="E2" s="225"/>
      <c r="F2" s="225"/>
      <c r="G2" s="225"/>
      <c r="H2" s="225"/>
      <c r="I2" s="225"/>
      <c r="J2" s="225"/>
      <c r="K2" s="272"/>
    </row>
    <row r="3" spans="1:15">
      <c r="A3" s="420" t="s">
        <v>627</v>
      </c>
      <c r="B3" s="917">
        <v>2022</v>
      </c>
      <c r="C3" s="418"/>
      <c r="D3" s="418"/>
      <c r="E3" s="418"/>
      <c r="F3" s="225"/>
      <c r="G3" s="418"/>
      <c r="H3" s="418"/>
      <c r="I3" s="418"/>
      <c r="J3" s="225"/>
      <c r="K3" s="272"/>
    </row>
    <row r="4" spans="1:15">
      <c r="A4" s="257"/>
      <c r="B4" s="418"/>
      <c r="C4" s="418"/>
      <c r="D4" s="418"/>
      <c r="E4" s="418"/>
      <c r="F4" s="225"/>
      <c r="G4" s="418"/>
      <c r="H4" s="418"/>
      <c r="I4" s="418"/>
      <c r="J4" s="225"/>
      <c r="K4" s="272"/>
    </row>
    <row r="5" spans="1:15">
      <c r="A5" s="420" t="s">
        <v>626</v>
      </c>
      <c r="B5" s="419" t="s">
        <v>623</v>
      </c>
      <c r="C5" s="418"/>
      <c r="D5" s="418"/>
      <c r="E5" s="418"/>
      <c r="F5" s="225"/>
      <c r="G5" s="418"/>
      <c r="H5" s="418"/>
      <c r="I5" s="418"/>
      <c r="J5" s="225"/>
      <c r="K5" s="272"/>
    </row>
    <row r="6" spans="1:15">
      <c r="A6" s="257"/>
      <c r="B6" s="418"/>
      <c r="C6" s="417"/>
      <c r="D6" s="228"/>
      <c r="E6" s="228"/>
      <c r="F6" s="228"/>
      <c r="G6" s="228"/>
      <c r="H6" s="228"/>
      <c r="I6" s="228"/>
      <c r="J6" s="228"/>
      <c r="K6" s="228"/>
      <c r="L6" s="228"/>
      <c r="M6" s="228"/>
      <c r="N6" s="228"/>
    </row>
    <row r="7" spans="1:15">
      <c r="A7" s="414"/>
      <c r="B7" s="920" t="s">
        <v>625</v>
      </c>
      <c r="C7" s="416">
        <f>'ATC Att MM'!$D$73</f>
        <v>2844</v>
      </c>
      <c r="D7" s="416">
        <f>'ATC Att MM'!$D$74</f>
        <v>3127</v>
      </c>
      <c r="E7" s="416">
        <f>'ATC Att MM'!$D$75</f>
        <v>0</v>
      </c>
      <c r="F7" s="416">
        <f>'ATC Att MM'!$D$76</f>
        <v>0</v>
      </c>
      <c r="G7" s="416" t="str">
        <f>'ATC Att MM'!$D$77</f>
        <v/>
      </c>
      <c r="H7" s="416" t="str">
        <f>'ATC Att MM'!$D$78</f>
        <v/>
      </c>
      <c r="I7" s="416" t="str">
        <f>'ATC Att MM'!$D$79</f>
        <v/>
      </c>
      <c r="J7" s="416" t="str">
        <f>'ATC Att MM'!$D$80</f>
        <v/>
      </c>
      <c r="K7" s="416" t="str">
        <f>'ATC Att MM'!$D$81</f>
        <v/>
      </c>
      <c r="L7" s="416" t="str">
        <f>'ATC Att MM'!$D$83</f>
        <v/>
      </c>
      <c r="M7" s="416" t="str">
        <f>'ATC Att MM'!$D$84</f>
        <v/>
      </c>
      <c r="N7" s="416" t="str">
        <f>'ATC Att MM'!$D$85</f>
        <v/>
      </c>
    </row>
    <row r="8" spans="1:15">
      <c r="A8" s="414"/>
      <c r="B8" s="920" t="s">
        <v>624</v>
      </c>
      <c r="C8" s="415" t="s">
        <v>623</v>
      </c>
      <c r="D8" s="415" t="s">
        <v>623</v>
      </c>
      <c r="E8" s="415" t="s">
        <v>623</v>
      </c>
      <c r="F8" s="415" t="s">
        <v>623</v>
      </c>
      <c r="G8" s="415" t="s">
        <v>623</v>
      </c>
      <c r="H8" s="415" t="s">
        <v>623</v>
      </c>
      <c r="I8" s="415" t="s">
        <v>623</v>
      </c>
      <c r="J8" s="415" t="s">
        <v>623</v>
      </c>
      <c r="K8" s="415" t="s">
        <v>623</v>
      </c>
      <c r="L8" s="415" t="s">
        <v>623</v>
      </c>
      <c r="M8" s="415" t="s">
        <v>623</v>
      </c>
      <c r="N8" s="415" t="s">
        <v>623</v>
      </c>
    </row>
    <row r="9" spans="1:15" ht="15" customHeight="1">
      <c r="A9" s="414"/>
      <c r="B9" s="920" t="s">
        <v>622</v>
      </c>
      <c r="C9" s="413" t="s">
        <v>728</v>
      </c>
      <c r="D9" s="413" t="s">
        <v>728</v>
      </c>
      <c r="E9" s="413" t="s">
        <v>728</v>
      </c>
      <c r="F9" s="413" t="s">
        <v>728</v>
      </c>
      <c r="G9" s="413" t="s">
        <v>728</v>
      </c>
      <c r="H9" s="413" t="s">
        <v>728</v>
      </c>
      <c r="I9" s="413" t="s">
        <v>728</v>
      </c>
      <c r="J9" s="413" t="s">
        <v>728</v>
      </c>
      <c r="K9" s="413" t="s">
        <v>728</v>
      </c>
      <c r="L9" s="413" t="s">
        <v>728</v>
      </c>
      <c r="M9" s="413" t="s">
        <v>728</v>
      </c>
      <c r="N9" s="413" t="s">
        <v>728</v>
      </c>
    </row>
    <row r="10" spans="1:15">
      <c r="A10" s="278" t="s">
        <v>620</v>
      </c>
      <c r="B10" s="668" t="str">
        <f>"December "&amp;B3-1</f>
        <v>December 2021</v>
      </c>
      <c r="C10" s="240">
        <v>33509843.039999999</v>
      </c>
      <c r="D10" s="241">
        <v>349338009.18130004</v>
      </c>
      <c r="E10" s="240">
        <v>0</v>
      </c>
      <c r="F10" s="241">
        <v>0</v>
      </c>
      <c r="G10" s="240">
        <v>0</v>
      </c>
      <c r="H10" s="241">
        <v>0</v>
      </c>
      <c r="I10" s="240">
        <v>0</v>
      </c>
      <c r="J10" s="241">
        <v>0</v>
      </c>
      <c r="K10" s="240">
        <v>0</v>
      </c>
      <c r="L10" s="241">
        <v>0</v>
      </c>
      <c r="M10" s="240">
        <v>0</v>
      </c>
      <c r="N10" s="239">
        <v>0</v>
      </c>
    </row>
    <row r="11" spans="1:15">
      <c r="A11" s="265" t="s">
        <v>619</v>
      </c>
      <c r="B11" s="668" t="str">
        <f>"January "&amp;B3</f>
        <v>January 2022</v>
      </c>
      <c r="C11" s="234">
        <v>33509843.039999999</v>
      </c>
      <c r="D11" s="235">
        <v>358098451.338</v>
      </c>
      <c r="E11" s="234">
        <v>0</v>
      </c>
      <c r="F11" s="235">
        <v>0</v>
      </c>
      <c r="G11" s="234">
        <v>0</v>
      </c>
      <c r="H11" s="235">
        <v>0</v>
      </c>
      <c r="I11" s="234">
        <v>0</v>
      </c>
      <c r="J11" s="235">
        <v>0</v>
      </c>
      <c r="K11" s="234">
        <v>0</v>
      </c>
      <c r="L11" s="235">
        <v>0</v>
      </c>
      <c r="M11" s="234">
        <v>0</v>
      </c>
      <c r="N11" s="233">
        <v>0</v>
      </c>
    </row>
    <row r="12" spans="1:15">
      <c r="A12" s="265"/>
      <c r="B12" s="879" t="s">
        <v>366</v>
      </c>
      <c r="C12" s="234">
        <v>33509843.039999999</v>
      </c>
      <c r="D12" s="235">
        <v>364276074.69790006</v>
      </c>
      <c r="E12" s="234">
        <v>0</v>
      </c>
      <c r="F12" s="235">
        <v>0</v>
      </c>
      <c r="G12" s="234">
        <v>0</v>
      </c>
      <c r="H12" s="235">
        <v>0</v>
      </c>
      <c r="I12" s="234">
        <v>0</v>
      </c>
      <c r="J12" s="235">
        <v>0</v>
      </c>
      <c r="K12" s="234">
        <v>0</v>
      </c>
      <c r="L12" s="235">
        <v>0</v>
      </c>
      <c r="M12" s="234">
        <v>0</v>
      </c>
      <c r="N12" s="233">
        <v>0</v>
      </c>
    </row>
    <row r="13" spans="1:15">
      <c r="A13" s="265"/>
      <c r="B13" s="879" t="s">
        <v>367</v>
      </c>
      <c r="C13" s="234">
        <v>33509843.039999999</v>
      </c>
      <c r="D13" s="235">
        <v>371917736.34780002</v>
      </c>
      <c r="E13" s="234">
        <v>0</v>
      </c>
      <c r="F13" s="235">
        <v>0</v>
      </c>
      <c r="G13" s="234">
        <v>0</v>
      </c>
      <c r="H13" s="235">
        <v>0</v>
      </c>
      <c r="I13" s="234">
        <v>0</v>
      </c>
      <c r="J13" s="235">
        <v>0</v>
      </c>
      <c r="K13" s="234">
        <v>0</v>
      </c>
      <c r="L13" s="235">
        <v>0</v>
      </c>
      <c r="M13" s="234">
        <v>0</v>
      </c>
      <c r="N13" s="233">
        <v>0</v>
      </c>
    </row>
    <row r="14" spans="1:15">
      <c r="A14" s="265"/>
      <c r="B14" s="879" t="s">
        <v>368</v>
      </c>
      <c r="C14" s="234">
        <v>33509843.039999999</v>
      </c>
      <c r="D14" s="235">
        <v>381911124.88260001</v>
      </c>
      <c r="E14" s="234">
        <v>0</v>
      </c>
      <c r="F14" s="235">
        <v>0</v>
      </c>
      <c r="G14" s="234">
        <v>0</v>
      </c>
      <c r="H14" s="235">
        <v>0</v>
      </c>
      <c r="I14" s="234">
        <v>0</v>
      </c>
      <c r="J14" s="235">
        <v>0</v>
      </c>
      <c r="K14" s="234">
        <v>0</v>
      </c>
      <c r="L14" s="235">
        <v>0</v>
      </c>
      <c r="M14" s="234">
        <v>0</v>
      </c>
      <c r="N14" s="233">
        <v>0</v>
      </c>
    </row>
    <row r="15" spans="1:15">
      <c r="A15" s="265"/>
      <c r="B15" s="879" t="s">
        <v>362</v>
      </c>
      <c r="C15" s="234">
        <v>33509843.039999999</v>
      </c>
      <c r="D15" s="235">
        <v>392575323.02710009</v>
      </c>
      <c r="E15" s="234">
        <v>0</v>
      </c>
      <c r="F15" s="235">
        <v>0</v>
      </c>
      <c r="G15" s="234">
        <v>0</v>
      </c>
      <c r="H15" s="235">
        <v>0</v>
      </c>
      <c r="I15" s="234">
        <v>0</v>
      </c>
      <c r="J15" s="235">
        <v>0</v>
      </c>
      <c r="K15" s="234">
        <v>0</v>
      </c>
      <c r="L15" s="235">
        <v>0</v>
      </c>
      <c r="M15" s="234">
        <v>0</v>
      </c>
      <c r="N15" s="233">
        <v>0</v>
      </c>
    </row>
    <row r="16" spans="1:15">
      <c r="A16" s="265"/>
      <c r="B16" s="879" t="s">
        <v>369</v>
      </c>
      <c r="C16" s="234">
        <v>33509843.039999999</v>
      </c>
      <c r="D16" s="235">
        <v>404685591.46440005</v>
      </c>
      <c r="E16" s="234">
        <v>0</v>
      </c>
      <c r="F16" s="235">
        <v>0</v>
      </c>
      <c r="G16" s="234">
        <v>0</v>
      </c>
      <c r="H16" s="235">
        <v>0</v>
      </c>
      <c r="I16" s="234">
        <v>0</v>
      </c>
      <c r="J16" s="235">
        <v>0</v>
      </c>
      <c r="K16" s="234">
        <v>0</v>
      </c>
      <c r="L16" s="235">
        <v>0</v>
      </c>
      <c r="M16" s="234">
        <v>0</v>
      </c>
      <c r="N16" s="233">
        <v>0</v>
      </c>
    </row>
    <row r="17" spans="1:14">
      <c r="A17" s="265"/>
      <c r="B17" s="879" t="s">
        <v>370</v>
      </c>
      <c r="C17" s="234">
        <v>33509843.039999999</v>
      </c>
      <c r="D17" s="235">
        <v>415787870.88020003</v>
      </c>
      <c r="E17" s="234">
        <v>0</v>
      </c>
      <c r="F17" s="235">
        <v>0</v>
      </c>
      <c r="G17" s="234">
        <v>0</v>
      </c>
      <c r="H17" s="235">
        <v>0</v>
      </c>
      <c r="I17" s="234">
        <v>0</v>
      </c>
      <c r="J17" s="235">
        <v>0</v>
      </c>
      <c r="K17" s="234">
        <v>0</v>
      </c>
      <c r="L17" s="235">
        <v>0</v>
      </c>
      <c r="M17" s="234">
        <v>0</v>
      </c>
      <c r="N17" s="233">
        <v>0</v>
      </c>
    </row>
    <row r="18" spans="1:14">
      <c r="A18" s="265"/>
      <c r="B18" s="879" t="s">
        <v>371</v>
      </c>
      <c r="C18" s="234">
        <v>33509843.039999999</v>
      </c>
      <c r="D18" s="235">
        <v>428578196.67380005</v>
      </c>
      <c r="E18" s="234">
        <v>0</v>
      </c>
      <c r="F18" s="235">
        <v>0</v>
      </c>
      <c r="G18" s="234">
        <v>0</v>
      </c>
      <c r="H18" s="235">
        <v>0</v>
      </c>
      <c r="I18" s="234">
        <v>0</v>
      </c>
      <c r="J18" s="235">
        <v>0</v>
      </c>
      <c r="K18" s="234">
        <v>0</v>
      </c>
      <c r="L18" s="235">
        <v>0</v>
      </c>
      <c r="M18" s="234">
        <v>0</v>
      </c>
      <c r="N18" s="233">
        <v>0</v>
      </c>
    </row>
    <row r="19" spans="1:14">
      <c r="A19" s="265"/>
      <c r="B19" s="879" t="s">
        <v>372</v>
      </c>
      <c r="C19" s="234">
        <v>33509843.039999999</v>
      </c>
      <c r="D19" s="235">
        <v>441564385.49030006</v>
      </c>
      <c r="E19" s="234">
        <v>0</v>
      </c>
      <c r="F19" s="235">
        <v>0</v>
      </c>
      <c r="G19" s="234">
        <v>0</v>
      </c>
      <c r="H19" s="235">
        <v>0</v>
      </c>
      <c r="I19" s="234">
        <v>0</v>
      </c>
      <c r="J19" s="235">
        <v>0</v>
      </c>
      <c r="K19" s="234">
        <v>0</v>
      </c>
      <c r="L19" s="235">
        <v>0</v>
      </c>
      <c r="M19" s="234">
        <v>0</v>
      </c>
      <c r="N19" s="233">
        <v>0</v>
      </c>
    </row>
    <row r="20" spans="1:14">
      <c r="A20" s="265"/>
      <c r="B20" s="879" t="s">
        <v>373</v>
      </c>
      <c r="C20" s="234">
        <v>33509843.039999999</v>
      </c>
      <c r="D20" s="235">
        <v>453542558.65060002</v>
      </c>
      <c r="E20" s="234">
        <v>0</v>
      </c>
      <c r="F20" s="235">
        <v>0</v>
      </c>
      <c r="G20" s="234">
        <v>0</v>
      </c>
      <c r="H20" s="235">
        <v>0</v>
      </c>
      <c r="I20" s="234">
        <v>0</v>
      </c>
      <c r="J20" s="235">
        <v>0</v>
      </c>
      <c r="K20" s="234">
        <v>0</v>
      </c>
      <c r="L20" s="235">
        <v>0</v>
      </c>
      <c r="M20" s="234">
        <v>0</v>
      </c>
      <c r="N20" s="233">
        <v>0</v>
      </c>
    </row>
    <row r="21" spans="1:14">
      <c r="A21" s="265"/>
      <c r="B21" s="879" t="s">
        <v>374</v>
      </c>
      <c r="C21" s="234">
        <v>33509843.039999999</v>
      </c>
      <c r="D21" s="235">
        <v>459660212.69030005</v>
      </c>
      <c r="E21" s="234">
        <v>0</v>
      </c>
      <c r="F21" s="235">
        <v>0</v>
      </c>
      <c r="G21" s="234">
        <v>0</v>
      </c>
      <c r="H21" s="235">
        <v>0</v>
      </c>
      <c r="I21" s="234">
        <v>0</v>
      </c>
      <c r="J21" s="235">
        <v>0</v>
      </c>
      <c r="K21" s="234">
        <v>0</v>
      </c>
      <c r="L21" s="235">
        <v>0</v>
      </c>
      <c r="M21" s="234">
        <v>0</v>
      </c>
      <c r="N21" s="233">
        <v>0</v>
      </c>
    </row>
    <row r="22" spans="1:14">
      <c r="A22" s="238"/>
      <c r="B22" s="918" t="str">
        <f>"December "&amp;B3</f>
        <v>December 2022</v>
      </c>
      <c r="C22" s="263">
        <v>33509843.039999999</v>
      </c>
      <c r="D22" s="262">
        <v>465519013.94880009</v>
      </c>
      <c r="E22" s="263">
        <v>0</v>
      </c>
      <c r="F22" s="262">
        <v>0</v>
      </c>
      <c r="G22" s="263">
        <v>0</v>
      </c>
      <c r="H22" s="262">
        <v>0</v>
      </c>
      <c r="I22" s="263">
        <v>0</v>
      </c>
      <c r="J22" s="262">
        <v>0</v>
      </c>
      <c r="K22" s="263">
        <v>0</v>
      </c>
      <c r="L22" s="262">
        <v>0</v>
      </c>
      <c r="M22" s="263">
        <v>0</v>
      </c>
      <c r="N22" s="274">
        <v>0</v>
      </c>
    </row>
    <row r="23" spans="1:14">
      <c r="A23" s="249"/>
      <c r="B23" s="256" t="s">
        <v>614</v>
      </c>
      <c r="C23" s="258">
        <f t="shared" ref="C23:N23" si="0">AVERAGE(C10:C22)</f>
        <v>33509843.040000003</v>
      </c>
      <c r="D23" s="258">
        <f t="shared" si="0"/>
        <v>406727273.02100778</v>
      </c>
      <c r="E23" s="258">
        <f t="shared" si="0"/>
        <v>0</v>
      </c>
      <c r="F23" s="258">
        <f t="shared" si="0"/>
        <v>0</v>
      </c>
      <c r="G23" s="258">
        <f t="shared" si="0"/>
        <v>0</v>
      </c>
      <c r="H23" s="258">
        <f t="shared" si="0"/>
        <v>0</v>
      </c>
      <c r="I23" s="258">
        <f t="shared" si="0"/>
        <v>0</v>
      </c>
      <c r="J23" s="258">
        <f t="shared" si="0"/>
        <v>0</v>
      </c>
      <c r="K23" s="258">
        <f t="shared" si="0"/>
        <v>0</v>
      </c>
      <c r="L23" s="258">
        <f t="shared" si="0"/>
        <v>0</v>
      </c>
      <c r="M23" s="258">
        <f t="shared" si="0"/>
        <v>0</v>
      </c>
      <c r="N23" s="259">
        <f t="shared" si="0"/>
        <v>0</v>
      </c>
    </row>
    <row r="24" spans="1:14">
      <c r="A24" s="249"/>
      <c r="B24" s="256"/>
      <c r="C24" s="256"/>
      <c r="D24" s="256"/>
      <c r="E24" s="256"/>
      <c r="F24" s="256"/>
      <c r="G24" s="256"/>
      <c r="H24" s="256"/>
      <c r="I24" s="256"/>
      <c r="J24" s="256"/>
      <c r="K24" s="256"/>
      <c r="L24" s="256"/>
    </row>
    <row r="25" spans="1:14">
      <c r="A25" s="249"/>
      <c r="B25" s="256"/>
      <c r="C25" s="256"/>
      <c r="D25" s="256"/>
      <c r="E25" s="256"/>
      <c r="F25" s="256"/>
      <c r="G25" s="256"/>
      <c r="H25" s="256"/>
      <c r="I25" s="256"/>
      <c r="J25" s="256"/>
      <c r="K25" s="256"/>
      <c r="L25" s="256"/>
    </row>
    <row r="26" spans="1:14">
      <c r="A26" s="278" t="s">
        <v>618</v>
      </c>
      <c r="B26" s="277" t="str">
        <f t="shared" ref="B26:B38" si="1">+B10</f>
        <v>December 2021</v>
      </c>
      <c r="C26" s="240">
        <f t="shared" ref="C26:N26" si="2">+C10-C43</f>
        <v>5899268.0497680008</v>
      </c>
      <c r="D26" s="241">
        <f t="shared" si="2"/>
        <v>21644318.800556004</v>
      </c>
      <c r="E26" s="240">
        <f t="shared" si="2"/>
        <v>0</v>
      </c>
      <c r="F26" s="241">
        <f t="shared" si="2"/>
        <v>0</v>
      </c>
      <c r="G26" s="240">
        <f t="shared" si="2"/>
        <v>0</v>
      </c>
      <c r="H26" s="241">
        <f t="shared" si="2"/>
        <v>0</v>
      </c>
      <c r="I26" s="240">
        <f t="shared" si="2"/>
        <v>0</v>
      </c>
      <c r="J26" s="241">
        <f t="shared" si="2"/>
        <v>0</v>
      </c>
      <c r="K26" s="240">
        <f t="shared" si="2"/>
        <v>0</v>
      </c>
      <c r="L26" s="241">
        <f t="shared" si="2"/>
        <v>0</v>
      </c>
      <c r="M26" s="240">
        <f t="shared" si="2"/>
        <v>0</v>
      </c>
      <c r="N26" s="239">
        <f t="shared" si="2"/>
        <v>0</v>
      </c>
    </row>
    <row r="27" spans="1:14">
      <c r="A27" s="265" t="s">
        <v>617</v>
      </c>
      <c r="B27" s="276" t="str">
        <f t="shared" si="1"/>
        <v>January 2022</v>
      </c>
      <c r="C27" s="234">
        <f t="shared" ref="C27:N27" si="3">+C11-C44</f>
        <v>5957631.0263959989</v>
      </c>
      <c r="D27" s="235">
        <f t="shared" si="3"/>
        <v>22172510.156481981</v>
      </c>
      <c r="E27" s="234">
        <f t="shared" si="3"/>
        <v>0</v>
      </c>
      <c r="F27" s="235">
        <f t="shared" si="3"/>
        <v>0</v>
      </c>
      <c r="G27" s="234">
        <f t="shared" si="3"/>
        <v>0</v>
      </c>
      <c r="H27" s="235">
        <f t="shared" si="3"/>
        <v>0</v>
      </c>
      <c r="I27" s="234">
        <f t="shared" si="3"/>
        <v>0</v>
      </c>
      <c r="J27" s="235">
        <f t="shared" si="3"/>
        <v>0</v>
      </c>
      <c r="K27" s="234">
        <f t="shared" si="3"/>
        <v>0</v>
      </c>
      <c r="L27" s="235">
        <f t="shared" si="3"/>
        <v>0</v>
      </c>
      <c r="M27" s="234">
        <f t="shared" si="3"/>
        <v>0</v>
      </c>
      <c r="N27" s="233">
        <f t="shared" si="3"/>
        <v>0</v>
      </c>
    </row>
    <row r="28" spans="1:14">
      <c r="A28" s="265"/>
      <c r="B28" s="276" t="str">
        <f t="shared" si="1"/>
        <v>February</v>
      </c>
      <c r="C28" s="234">
        <f t="shared" ref="C28:N28" si="4">+C12-C45</f>
        <v>6015994.0030239969</v>
      </c>
      <c r="D28" s="235">
        <f t="shared" si="4"/>
        <v>22700734.164908051</v>
      </c>
      <c r="E28" s="234">
        <f t="shared" si="4"/>
        <v>0</v>
      </c>
      <c r="F28" s="235">
        <f t="shared" si="4"/>
        <v>0</v>
      </c>
      <c r="G28" s="234">
        <f t="shared" si="4"/>
        <v>0</v>
      </c>
      <c r="H28" s="235">
        <f t="shared" si="4"/>
        <v>0</v>
      </c>
      <c r="I28" s="234">
        <f t="shared" si="4"/>
        <v>0</v>
      </c>
      <c r="J28" s="235">
        <f t="shared" si="4"/>
        <v>0</v>
      </c>
      <c r="K28" s="234">
        <f t="shared" si="4"/>
        <v>0</v>
      </c>
      <c r="L28" s="235">
        <f t="shared" si="4"/>
        <v>0</v>
      </c>
      <c r="M28" s="234">
        <f t="shared" si="4"/>
        <v>0</v>
      </c>
      <c r="N28" s="233">
        <f t="shared" si="4"/>
        <v>0</v>
      </c>
    </row>
    <row r="29" spans="1:14">
      <c r="A29" s="265"/>
      <c r="B29" s="276" t="str">
        <f t="shared" si="1"/>
        <v xml:space="preserve">March </v>
      </c>
      <c r="C29" s="234">
        <f t="shared" ref="C29:N29" si="5">+C13-C46</f>
        <v>6074356.9796519987</v>
      </c>
      <c r="D29" s="235">
        <f t="shared" si="5"/>
        <v>23229042.625833988</v>
      </c>
      <c r="E29" s="234">
        <f t="shared" si="5"/>
        <v>0</v>
      </c>
      <c r="F29" s="235">
        <f t="shared" si="5"/>
        <v>0</v>
      </c>
      <c r="G29" s="234">
        <f t="shared" si="5"/>
        <v>0</v>
      </c>
      <c r="H29" s="235">
        <f t="shared" si="5"/>
        <v>0</v>
      </c>
      <c r="I29" s="234">
        <f t="shared" si="5"/>
        <v>0</v>
      </c>
      <c r="J29" s="235">
        <f t="shared" si="5"/>
        <v>0</v>
      </c>
      <c r="K29" s="234">
        <f t="shared" si="5"/>
        <v>0</v>
      </c>
      <c r="L29" s="235">
        <f t="shared" si="5"/>
        <v>0</v>
      </c>
      <c r="M29" s="234">
        <f t="shared" si="5"/>
        <v>0</v>
      </c>
      <c r="N29" s="233">
        <f t="shared" si="5"/>
        <v>0</v>
      </c>
    </row>
    <row r="30" spans="1:14">
      <c r="A30" s="265"/>
      <c r="B30" s="276" t="str">
        <f t="shared" si="1"/>
        <v>April</v>
      </c>
      <c r="C30" s="234">
        <f t="shared" ref="C30:N30" si="6">+C14-C47</f>
        <v>6132719.9562800005</v>
      </c>
      <c r="D30" s="235">
        <f t="shared" si="6"/>
        <v>23757857.339259982</v>
      </c>
      <c r="E30" s="234">
        <f t="shared" si="6"/>
        <v>0</v>
      </c>
      <c r="F30" s="235">
        <f t="shared" si="6"/>
        <v>0</v>
      </c>
      <c r="G30" s="234">
        <f t="shared" si="6"/>
        <v>0</v>
      </c>
      <c r="H30" s="235">
        <f t="shared" si="6"/>
        <v>0</v>
      </c>
      <c r="I30" s="234">
        <f t="shared" si="6"/>
        <v>0</v>
      </c>
      <c r="J30" s="235">
        <f t="shared" si="6"/>
        <v>0</v>
      </c>
      <c r="K30" s="234">
        <f t="shared" si="6"/>
        <v>0</v>
      </c>
      <c r="L30" s="235">
        <f t="shared" si="6"/>
        <v>0</v>
      </c>
      <c r="M30" s="234">
        <f t="shared" si="6"/>
        <v>0</v>
      </c>
      <c r="N30" s="233">
        <f t="shared" si="6"/>
        <v>0</v>
      </c>
    </row>
    <row r="31" spans="1:14">
      <c r="A31" s="265"/>
      <c r="B31" s="276" t="str">
        <f t="shared" si="1"/>
        <v>May</v>
      </c>
      <c r="C31" s="234">
        <f t="shared" ref="C31:N31" si="7">+C15-C48</f>
        <v>6191082.9329079986</v>
      </c>
      <c r="D31" s="235">
        <f t="shared" si="7"/>
        <v>24286997.930186033</v>
      </c>
      <c r="E31" s="234">
        <f t="shared" si="7"/>
        <v>0</v>
      </c>
      <c r="F31" s="235">
        <f t="shared" si="7"/>
        <v>0</v>
      </c>
      <c r="G31" s="234">
        <f t="shared" si="7"/>
        <v>0</v>
      </c>
      <c r="H31" s="235">
        <f t="shared" si="7"/>
        <v>0</v>
      </c>
      <c r="I31" s="234">
        <f t="shared" si="7"/>
        <v>0</v>
      </c>
      <c r="J31" s="235">
        <f t="shared" si="7"/>
        <v>0</v>
      </c>
      <c r="K31" s="234">
        <f t="shared" si="7"/>
        <v>0</v>
      </c>
      <c r="L31" s="235">
        <f t="shared" si="7"/>
        <v>0</v>
      </c>
      <c r="M31" s="234">
        <f t="shared" si="7"/>
        <v>0</v>
      </c>
      <c r="N31" s="233">
        <f t="shared" si="7"/>
        <v>0</v>
      </c>
    </row>
    <row r="32" spans="1:14">
      <c r="A32" s="265"/>
      <c r="B32" s="276" t="str">
        <f t="shared" si="1"/>
        <v>June</v>
      </c>
      <c r="C32" s="234">
        <f t="shared" ref="C32:N32" si="8">+C16-C49</f>
        <v>6249445.9095359966</v>
      </c>
      <c r="D32" s="235">
        <f t="shared" si="8"/>
        <v>24816321.023612022</v>
      </c>
      <c r="E32" s="234">
        <f t="shared" si="8"/>
        <v>0</v>
      </c>
      <c r="F32" s="235">
        <f t="shared" si="8"/>
        <v>0</v>
      </c>
      <c r="G32" s="234">
        <f t="shared" si="8"/>
        <v>0</v>
      </c>
      <c r="H32" s="235">
        <f t="shared" si="8"/>
        <v>0</v>
      </c>
      <c r="I32" s="234">
        <f t="shared" si="8"/>
        <v>0</v>
      </c>
      <c r="J32" s="235">
        <f t="shared" si="8"/>
        <v>0</v>
      </c>
      <c r="K32" s="234">
        <f t="shared" si="8"/>
        <v>0</v>
      </c>
      <c r="L32" s="235">
        <f t="shared" si="8"/>
        <v>0</v>
      </c>
      <c r="M32" s="234">
        <f t="shared" si="8"/>
        <v>0</v>
      </c>
      <c r="N32" s="233">
        <f t="shared" si="8"/>
        <v>0</v>
      </c>
    </row>
    <row r="33" spans="1:22">
      <c r="A33" s="265"/>
      <c r="B33" s="276" t="str">
        <f t="shared" si="1"/>
        <v>July</v>
      </c>
      <c r="C33" s="234">
        <f t="shared" ref="C33:N33" si="9">+C17-C50</f>
        <v>6307808.8861639984</v>
      </c>
      <c r="D33" s="235">
        <f t="shared" si="9"/>
        <v>25345660.11953795</v>
      </c>
      <c r="E33" s="234">
        <f t="shared" si="9"/>
        <v>0</v>
      </c>
      <c r="F33" s="235">
        <f t="shared" si="9"/>
        <v>0</v>
      </c>
      <c r="G33" s="234">
        <f t="shared" si="9"/>
        <v>0</v>
      </c>
      <c r="H33" s="235">
        <f t="shared" si="9"/>
        <v>0</v>
      </c>
      <c r="I33" s="234">
        <f t="shared" si="9"/>
        <v>0</v>
      </c>
      <c r="J33" s="235">
        <f t="shared" si="9"/>
        <v>0</v>
      </c>
      <c r="K33" s="234">
        <f t="shared" si="9"/>
        <v>0</v>
      </c>
      <c r="L33" s="235">
        <f t="shared" si="9"/>
        <v>0</v>
      </c>
      <c r="M33" s="234">
        <f t="shared" si="9"/>
        <v>0</v>
      </c>
      <c r="N33" s="233">
        <f t="shared" si="9"/>
        <v>0</v>
      </c>
    </row>
    <row r="34" spans="1:22">
      <c r="A34" s="265"/>
      <c r="B34" s="276" t="str">
        <f t="shared" si="1"/>
        <v xml:space="preserve">August </v>
      </c>
      <c r="C34" s="234">
        <f t="shared" ref="C34:N34" si="10">+C18-C51</f>
        <v>6366171.8627920002</v>
      </c>
      <c r="D34" s="235">
        <f t="shared" si="10"/>
        <v>25875005.967963994</v>
      </c>
      <c r="E34" s="234">
        <f t="shared" si="10"/>
        <v>0</v>
      </c>
      <c r="F34" s="235">
        <f t="shared" si="10"/>
        <v>0</v>
      </c>
      <c r="G34" s="234">
        <f t="shared" si="10"/>
        <v>0</v>
      </c>
      <c r="H34" s="235">
        <f t="shared" si="10"/>
        <v>0</v>
      </c>
      <c r="I34" s="234">
        <f t="shared" si="10"/>
        <v>0</v>
      </c>
      <c r="J34" s="235">
        <f t="shared" si="10"/>
        <v>0</v>
      </c>
      <c r="K34" s="234">
        <f t="shared" si="10"/>
        <v>0</v>
      </c>
      <c r="L34" s="235">
        <f t="shared" si="10"/>
        <v>0</v>
      </c>
      <c r="M34" s="234">
        <f t="shared" si="10"/>
        <v>0</v>
      </c>
      <c r="N34" s="233">
        <f t="shared" si="10"/>
        <v>0</v>
      </c>
    </row>
    <row r="35" spans="1:22">
      <c r="A35" s="265"/>
      <c r="B35" s="276" t="str">
        <f t="shared" si="1"/>
        <v>September</v>
      </c>
      <c r="C35" s="234">
        <f t="shared" ref="C35:N35" si="11">+C19-C52</f>
        <v>6424534.8394199982</v>
      </c>
      <c r="D35" s="235">
        <f t="shared" si="11"/>
        <v>26404358.568889976</v>
      </c>
      <c r="E35" s="234">
        <f t="shared" si="11"/>
        <v>0</v>
      </c>
      <c r="F35" s="235">
        <f t="shared" si="11"/>
        <v>0</v>
      </c>
      <c r="G35" s="234">
        <f t="shared" si="11"/>
        <v>0</v>
      </c>
      <c r="H35" s="235">
        <f t="shared" si="11"/>
        <v>0</v>
      </c>
      <c r="I35" s="234">
        <f t="shared" si="11"/>
        <v>0</v>
      </c>
      <c r="J35" s="235">
        <f t="shared" si="11"/>
        <v>0</v>
      </c>
      <c r="K35" s="234">
        <f t="shared" si="11"/>
        <v>0</v>
      </c>
      <c r="L35" s="235">
        <f t="shared" si="11"/>
        <v>0</v>
      </c>
      <c r="M35" s="234">
        <f t="shared" si="11"/>
        <v>0</v>
      </c>
      <c r="N35" s="233">
        <f t="shared" si="11"/>
        <v>0</v>
      </c>
    </row>
    <row r="36" spans="1:22">
      <c r="A36" s="265"/>
      <c r="B36" s="276" t="str">
        <f t="shared" si="1"/>
        <v>October</v>
      </c>
      <c r="C36" s="234">
        <f t="shared" ref="C36:N36" si="12">+C20-C53</f>
        <v>6482897.8160479963</v>
      </c>
      <c r="D36" s="235">
        <f t="shared" si="12"/>
        <v>26933711.169816017</v>
      </c>
      <c r="E36" s="234">
        <f t="shared" si="12"/>
        <v>0</v>
      </c>
      <c r="F36" s="235">
        <f t="shared" si="12"/>
        <v>0</v>
      </c>
      <c r="G36" s="234">
        <f t="shared" si="12"/>
        <v>0</v>
      </c>
      <c r="H36" s="235">
        <f t="shared" si="12"/>
        <v>0</v>
      </c>
      <c r="I36" s="234">
        <f t="shared" si="12"/>
        <v>0</v>
      </c>
      <c r="J36" s="235">
        <f t="shared" si="12"/>
        <v>0</v>
      </c>
      <c r="K36" s="234">
        <f t="shared" si="12"/>
        <v>0</v>
      </c>
      <c r="L36" s="235">
        <f t="shared" si="12"/>
        <v>0</v>
      </c>
      <c r="M36" s="234">
        <f t="shared" si="12"/>
        <v>0</v>
      </c>
      <c r="N36" s="233">
        <f t="shared" si="12"/>
        <v>0</v>
      </c>
    </row>
    <row r="37" spans="1:22">
      <c r="A37" s="265"/>
      <c r="B37" s="276" t="str">
        <f t="shared" si="1"/>
        <v>November</v>
      </c>
      <c r="C37" s="234">
        <f t="shared" ref="C37:N37" si="13">+C21-C54</f>
        <v>6541260.7926759981</v>
      </c>
      <c r="D37" s="235">
        <f t="shared" si="13"/>
        <v>27463063.770741999</v>
      </c>
      <c r="E37" s="234">
        <f t="shared" si="13"/>
        <v>0</v>
      </c>
      <c r="F37" s="235">
        <f t="shared" si="13"/>
        <v>0</v>
      </c>
      <c r="G37" s="234">
        <f t="shared" si="13"/>
        <v>0</v>
      </c>
      <c r="H37" s="235">
        <f t="shared" si="13"/>
        <v>0</v>
      </c>
      <c r="I37" s="234">
        <f t="shared" si="13"/>
        <v>0</v>
      </c>
      <c r="J37" s="235">
        <f t="shared" si="13"/>
        <v>0</v>
      </c>
      <c r="K37" s="234">
        <f t="shared" si="13"/>
        <v>0</v>
      </c>
      <c r="L37" s="235">
        <f t="shared" si="13"/>
        <v>0</v>
      </c>
      <c r="M37" s="234">
        <f t="shared" si="13"/>
        <v>0</v>
      </c>
      <c r="N37" s="233">
        <f t="shared" si="13"/>
        <v>0</v>
      </c>
    </row>
    <row r="38" spans="1:22">
      <c r="A38" s="238"/>
      <c r="B38" s="276" t="str">
        <f t="shared" si="1"/>
        <v>December 2022</v>
      </c>
      <c r="C38" s="263">
        <f t="shared" ref="C38:N38" si="14">+C22-C55</f>
        <v>6599623.7693039998</v>
      </c>
      <c r="D38" s="262">
        <f t="shared" si="14"/>
        <v>27992416.3716681</v>
      </c>
      <c r="E38" s="263">
        <f t="shared" si="14"/>
        <v>0</v>
      </c>
      <c r="F38" s="262">
        <f t="shared" si="14"/>
        <v>0</v>
      </c>
      <c r="G38" s="263">
        <f t="shared" si="14"/>
        <v>0</v>
      </c>
      <c r="H38" s="262">
        <f t="shared" si="14"/>
        <v>0</v>
      </c>
      <c r="I38" s="263">
        <f t="shared" si="14"/>
        <v>0</v>
      </c>
      <c r="J38" s="262">
        <f t="shared" si="14"/>
        <v>0</v>
      </c>
      <c r="K38" s="263">
        <f t="shared" si="14"/>
        <v>0</v>
      </c>
      <c r="L38" s="262">
        <f t="shared" si="14"/>
        <v>0</v>
      </c>
      <c r="M38" s="263">
        <f t="shared" si="14"/>
        <v>0</v>
      </c>
      <c r="N38" s="274">
        <f t="shared" si="14"/>
        <v>0</v>
      </c>
    </row>
    <row r="39" spans="1:22">
      <c r="A39" s="249"/>
      <c r="B39" s="260" t="s">
        <v>614</v>
      </c>
      <c r="C39" s="258">
        <f t="shared" ref="C39:N39" si="15">AVERAGE(C26:C38)</f>
        <v>6249445.9095359994</v>
      </c>
      <c r="D39" s="258">
        <f t="shared" si="15"/>
        <v>24817076.769958161</v>
      </c>
      <c r="E39" s="258">
        <f t="shared" si="15"/>
        <v>0</v>
      </c>
      <c r="F39" s="258">
        <f t="shared" si="15"/>
        <v>0</v>
      </c>
      <c r="G39" s="258">
        <f t="shared" si="15"/>
        <v>0</v>
      </c>
      <c r="H39" s="258">
        <f t="shared" si="15"/>
        <v>0</v>
      </c>
      <c r="I39" s="258">
        <f t="shared" si="15"/>
        <v>0</v>
      </c>
      <c r="J39" s="258">
        <f t="shared" si="15"/>
        <v>0</v>
      </c>
      <c r="K39" s="258">
        <f t="shared" si="15"/>
        <v>0</v>
      </c>
      <c r="L39" s="258">
        <f t="shared" si="15"/>
        <v>0</v>
      </c>
      <c r="M39" s="258">
        <f t="shared" si="15"/>
        <v>0</v>
      </c>
      <c r="N39" s="259">
        <f t="shared" si="15"/>
        <v>0</v>
      </c>
    </row>
    <row r="40" spans="1:22" s="272" customFormat="1">
      <c r="A40" s="273"/>
      <c r="B40" s="412"/>
      <c r="C40" s="404"/>
      <c r="D40" s="404"/>
      <c r="E40" s="404"/>
      <c r="F40" s="404"/>
      <c r="G40" s="404"/>
      <c r="H40" s="411"/>
      <c r="I40" s="411"/>
      <c r="J40" s="411"/>
      <c r="K40" s="404"/>
      <c r="P40" s="225"/>
      <c r="Q40" s="225"/>
      <c r="R40" s="225"/>
      <c r="S40" s="225"/>
      <c r="T40" s="225"/>
      <c r="U40" s="225"/>
      <c r="V40" s="225"/>
    </row>
    <row r="41" spans="1:22">
      <c r="A41" s="249"/>
      <c r="B41" s="255"/>
      <c r="C41" s="410"/>
      <c r="D41" s="410"/>
      <c r="E41" s="410"/>
      <c r="F41" s="410"/>
      <c r="G41" s="410"/>
      <c r="H41" s="410"/>
      <c r="I41" s="410"/>
      <c r="J41" s="410"/>
      <c r="K41" s="409"/>
    </row>
    <row r="42" spans="1:22">
      <c r="A42" s="269"/>
      <c r="B42" s="408"/>
      <c r="C42" s="407"/>
      <c r="D42" s="406"/>
      <c r="E42" s="406"/>
      <c r="F42" s="406"/>
      <c r="G42" s="406"/>
      <c r="H42" s="406"/>
      <c r="I42" s="406"/>
      <c r="J42" s="406"/>
      <c r="K42" s="405"/>
      <c r="L42" s="402"/>
      <c r="M42" s="402"/>
      <c r="N42" s="402"/>
    </row>
    <row r="43" spans="1:22">
      <c r="A43" s="265" t="s">
        <v>616</v>
      </c>
      <c r="B43" s="264" t="str">
        <f t="shared" ref="B43:B55" si="16">+B10</f>
        <v>December 2021</v>
      </c>
      <c r="C43" s="240">
        <v>27610574.990231998</v>
      </c>
      <c r="D43" s="241">
        <v>327693690.38074404</v>
      </c>
      <c r="E43" s="240">
        <v>0</v>
      </c>
      <c r="F43" s="241">
        <v>0</v>
      </c>
      <c r="G43" s="240">
        <v>0</v>
      </c>
      <c r="H43" s="241">
        <v>0</v>
      </c>
      <c r="I43" s="240">
        <v>0</v>
      </c>
      <c r="J43" s="241">
        <v>0</v>
      </c>
      <c r="K43" s="240">
        <v>0</v>
      </c>
      <c r="L43" s="241">
        <v>0</v>
      </c>
      <c r="M43" s="240">
        <v>0</v>
      </c>
      <c r="N43" s="239">
        <v>0</v>
      </c>
    </row>
    <row r="44" spans="1:22">
      <c r="A44" s="265" t="s">
        <v>727</v>
      </c>
      <c r="B44" s="264" t="str">
        <f t="shared" si="16"/>
        <v>January 2022</v>
      </c>
      <c r="C44" s="234">
        <v>27552212.013604</v>
      </c>
      <c r="D44" s="235">
        <v>335925941.18151802</v>
      </c>
      <c r="E44" s="234">
        <v>0</v>
      </c>
      <c r="F44" s="235">
        <v>0</v>
      </c>
      <c r="G44" s="234">
        <v>0</v>
      </c>
      <c r="H44" s="235">
        <v>0</v>
      </c>
      <c r="I44" s="234">
        <v>0</v>
      </c>
      <c r="J44" s="235">
        <v>0</v>
      </c>
      <c r="K44" s="234">
        <v>0</v>
      </c>
      <c r="L44" s="235">
        <v>0</v>
      </c>
      <c r="M44" s="234">
        <v>0</v>
      </c>
      <c r="N44" s="233">
        <v>0</v>
      </c>
    </row>
    <row r="45" spans="1:22">
      <c r="A45" s="265"/>
      <c r="B45" s="264" t="str">
        <f t="shared" si="16"/>
        <v>February</v>
      </c>
      <c r="C45" s="234">
        <v>27493849.036976002</v>
      </c>
      <c r="D45" s="235">
        <v>341575340.53299201</v>
      </c>
      <c r="E45" s="234">
        <v>0</v>
      </c>
      <c r="F45" s="235">
        <v>0</v>
      </c>
      <c r="G45" s="234">
        <v>0</v>
      </c>
      <c r="H45" s="235">
        <v>0</v>
      </c>
      <c r="I45" s="234">
        <v>0</v>
      </c>
      <c r="J45" s="235">
        <v>0</v>
      </c>
      <c r="K45" s="234">
        <v>0</v>
      </c>
      <c r="L45" s="235">
        <v>0</v>
      </c>
      <c r="M45" s="234">
        <v>0</v>
      </c>
      <c r="N45" s="233">
        <v>0</v>
      </c>
    </row>
    <row r="46" spans="1:22">
      <c r="A46" s="265"/>
      <c r="B46" s="264" t="str">
        <f t="shared" si="16"/>
        <v xml:space="preserve">March </v>
      </c>
      <c r="C46" s="234">
        <v>27435486.060348</v>
      </c>
      <c r="D46" s="235">
        <v>348688693.72196603</v>
      </c>
      <c r="E46" s="234">
        <v>0</v>
      </c>
      <c r="F46" s="235">
        <v>0</v>
      </c>
      <c r="G46" s="234">
        <v>0</v>
      </c>
      <c r="H46" s="235">
        <v>0</v>
      </c>
      <c r="I46" s="234">
        <v>0</v>
      </c>
      <c r="J46" s="235">
        <v>0</v>
      </c>
      <c r="K46" s="234">
        <v>0</v>
      </c>
      <c r="L46" s="235">
        <v>0</v>
      </c>
      <c r="M46" s="234">
        <v>0</v>
      </c>
      <c r="N46" s="233">
        <v>0</v>
      </c>
    </row>
    <row r="47" spans="1:22">
      <c r="A47" s="265"/>
      <c r="B47" s="264" t="str">
        <f t="shared" si="16"/>
        <v>April</v>
      </c>
      <c r="C47" s="234">
        <v>27377123.083719999</v>
      </c>
      <c r="D47" s="235">
        <v>358153267.54334003</v>
      </c>
      <c r="E47" s="234">
        <v>0</v>
      </c>
      <c r="F47" s="235">
        <v>0</v>
      </c>
      <c r="G47" s="234">
        <v>0</v>
      </c>
      <c r="H47" s="235">
        <v>0</v>
      </c>
      <c r="I47" s="234">
        <v>0</v>
      </c>
      <c r="J47" s="235">
        <v>0</v>
      </c>
      <c r="K47" s="234">
        <v>0</v>
      </c>
      <c r="L47" s="235">
        <v>0</v>
      </c>
      <c r="M47" s="234">
        <v>0</v>
      </c>
      <c r="N47" s="233">
        <v>0</v>
      </c>
    </row>
    <row r="48" spans="1:22">
      <c r="A48" s="265"/>
      <c r="B48" s="264" t="str">
        <f t="shared" si="16"/>
        <v>May</v>
      </c>
      <c r="C48" s="234">
        <v>27318760.107092001</v>
      </c>
      <c r="D48" s="235">
        <v>368288325.09691405</v>
      </c>
      <c r="E48" s="234">
        <v>0</v>
      </c>
      <c r="F48" s="235">
        <v>0</v>
      </c>
      <c r="G48" s="234">
        <v>0</v>
      </c>
      <c r="H48" s="235">
        <v>0</v>
      </c>
      <c r="I48" s="234">
        <v>0</v>
      </c>
      <c r="J48" s="235">
        <v>0</v>
      </c>
      <c r="K48" s="234">
        <v>0</v>
      </c>
      <c r="L48" s="235">
        <v>0</v>
      </c>
      <c r="M48" s="234">
        <v>0</v>
      </c>
      <c r="N48" s="233">
        <v>0</v>
      </c>
    </row>
    <row r="49" spans="1:14">
      <c r="A49" s="265"/>
      <c r="B49" s="264" t="str">
        <f t="shared" si="16"/>
        <v>June</v>
      </c>
      <c r="C49" s="234">
        <v>27260397.130464002</v>
      </c>
      <c r="D49" s="235">
        <v>379869270.44078803</v>
      </c>
      <c r="E49" s="234">
        <v>0</v>
      </c>
      <c r="F49" s="235">
        <v>0</v>
      </c>
      <c r="G49" s="234">
        <v>0</v>
      </c>
      <c r="H49" s="235">
        <v>0</v>
      </c>
      <c r="I49" s="234">
        <v>0</v>
      </c>
      <c r="J49" s="235">
        <v>0</v>
      </c>
      <c r="K49" s="234">
        <v>0</v>
      </c>
      <c r="L49" s="235">
        <v>0</v>
      </c>
      <c r="M49" s="234">
        <v>0</v>
      </c>
      <c r="N49" s="233">
        <v>0</v>
      </c>
    </row>
    <row r="50" spans="1:14">
      <c r="A50" s="265"/>
      <c r="B50" s="264" t="str">
        <f t="shared" si="16"/>
        <v>July</v>
      </c>
      <c r="C50" s="234">
        <v>27202034.153836001</v>
      </c>
      <c r="D50" s="235">
        <v>390442210.76066208</v>
      </c>
      <c r="E50" s="234">
        <v>0</v>
      </c>
      <c r="F50" s="235">
        <v>0</v>
      </c>
      <c r="G50" s="234">
        <v>0</v>
      </c>
      <c r="H50" s="235">
        <v>0</v>
      </c>
      <c r="I50" s="234">
        <v>0</v>
      </c>
      <c r="J50" s="235">
        <v>0</v>
      </c>
      <c r="K50" s="234">
        <v>0</v>
      </c>
      <c r="L50" s="235">
        <v>0</v>
      </c>
      <c r="M50" s="234">
        <v>0</v>
      </c>
      <c r="N50" s="233">
        <v>0</v>
      </c>
    </row>
    <row r="51" spans="1:14">
      <c r="A51" s="265"/>
      <c r="B51" s="264" t="str">
        <f t="shared" si="16"/>
        <v xml:space="preserve">August </v>
      </c>
      <c r="C51" s="234">
        <v>27143671.177207999</v>
      </c>
      <c r="D51" s="235">
        <v>402703190.70583606</v>
      </c>
      <c r="E51" s="234">
        <v>0</v>
      </c>
      <c r="F51" s="235">
        <v>0</v>
      </c>
      <c r="G51" s="234">
        <v>0</v>
      </c>
      <c r="H51" s="235">
        <v>0</v>
      </c>
      <c r="I51" s="234">
        <v>0</v>
      </c>
      <c r="J51" s="235">
        <v>0</v>
      </c>
      <c r="K51" s="234">
        <v>0</v>
      </c>
      <c r="L51" s="235">
        <v>0</v>
      </c>
      <c r="M51" s="234">
        <v>0</v>
      </c>
      <c r="N51" s="233">
        <v>0</v>
      </c>
    </row>
    <row r="52" spans="1:14">
      <c r="A52" s="265"/>
      <c r="B52" s="264" t="str">
        <f t="shared" si="16"/>
        <v>September</v>
      </c>
      <c r="C52" s="234">
        <v>27085308.200580001</v>
      </c>
      <c r="D52" s="235">
        <v>415160026.92141008</v>
      </c>
      <c r="E52" s="234">
        <v>0</v>
      </c>
      <c r="F52" s="235">
        <v>0</v>
      </c>
      <c r="G52" s="234">
        <v>0</v>
      </c>
      <c r="H52" s="235">
        <v>0</v>
      </c>
      <c r="I52" s="234">
        <v>0</v>
      </c>
      <c r="J52" s="235">
        <v>0</v>
      </c>
      <c r="K52" s="234">
        <v>0</v>
      </c>
      <c r="L52" s="235">
        <v>0</v>
      </c>
      <c r="M52" s="234">
        <v>0</v>
      </c>
      <c r="N52" s="233">
        <v>0</v>
      </c>
    </row>
    <row r="53" spans="1:14">
      <c r="A53" s="265"/>
      <c r="B53" s="264" t="str">
        <f t="shared" si="16"/>
        <v>October</v>
      </c>
      <c r="C53" s="234">
        <v>27026945.223952003</v>
      </c>
      <c r="D53" s="235">
        <v>426608847.480784</v>
      </c>
      <c r="E53" s="234">
        <v>0</v>
      </c>
      <c r="F53" s="235">
        <v>0</v>
      </c>
      <c r="G53" s="234">
        <v>0</v>
      </c>
      <c r="H53" s="235">
        <v>0</v>
      </c>
      <c r="I53" s="234">
        <v>0</v>
      </c>
      <c r="J53" s="235">
        <v>0</v>
      </c>
      <c r="K53" s="234">
        <v>0</v>
      </c>
      <c r="L53" s="235">
        <v>0</v>
      </c>
      <c r="M53" s="234">
        <v>0</v>
      </c>
      <c r="N53" s="233">
        <v>0</v>
      </c>
    </row>
    <row r="54" spans="1:14">
      <c r="A54" s="265"/>
      <c r="B54" s="264" t="str">
        <f t="shared" si="16"/>
        <v>November</v>
      </c>
      <c r="C54" s="234">
        <v>26968582.247324001</v>
      </c>
      <c r="D54" s="235">
        <v>432197148.91955805</v>
      </c>
      <c r="E54" s="234">
        <v>0</v>
      </c>
      <c r="F54" s="235">
        <v>0</v>
      </c>
      <c r="G54" s="234">
        <v>0</v>
      </c>
      <c r="H54" s="235">
        <v>0</v>
      </c>
      <c r="I54" s="234">
        <v>0</v>
      </c>
      <c r="J54" s="235">
        <v>0</v>
      </c>
      <c r="K54" s="234">
        <v>0</v>
      </c>
      <c r="L54" s="235">
        <v>0</v>
      </c>
      <c r="M54" s="234">
        <v>0</v>
      </c>
      <c r="N54" s="233">
        <v>0</v>
      </c>
    </row>
    <row r="55" spans="1:14">
      <c r="A55" s="265"/>
      <c r="B55" s="264" t="str">
        <f t="shared" si="16"/>
        <v>December 2022</v>
      </c>
      <c r="C55" s="263">
        <v>26910219.270695999</v>
      </c>
      <c r="D55" s="262">
        <v>437526597.57713199</v>
      </c>
      <c r="E55" s="263">
        <v>0</v>
      </c>
      <c r="F55" s="262">
        <v>0</v>
      </c>
      <c r="G55" s="263">
        <v>0</v>
      </c>
      <c r="H55" s="262">
        <v>0</v>
      </c>
      <c r="I55" s="263">
        <v>0</v>
      </c>
      <c r="J55" s="262">
        <v>0</v>
      </c>
      <c r="K55" s="263">
        <v>0</v>
      </c>
      <c r="L55" s="262">
        <v>0</v>
      </c>
      <c r="M55" s="263">
        <v>0</v>
      </c>
      <c r="N55" s="274">
        <v>0</v>
      </c>
    </row>
    <row r="56" spans="1:14">
      <c r="A56" s="261"/>
      <c r="B56" s="260" t="s">
        <v>614</v>
      </c>
      <c r="C56" s="258">
        <f t="shared" ref="C56:N56" si="17">AVERAGE(C43:C55)</f>
        <v>27260397.130463999</v>
      </c>
      <c r="D56" s="258">
        <f t="shared" si="17"/>
        <v>381910196.25104958</v>
      </c>
      <c r="E56" s="258">
        <f t="shared" si="17"/>
        <v>0</v>
      </c>
      <c r="F56" s="258">
        <f t="shared" si="17"/>
        <v>0</v>
      </c>
      <c r="G56" s="258">
        <f t="shared" si="17"/>
        <v>0</v>
      </c>
      <c r="H56" s="258">
        <f t="shared" si="17"/>
        <v>0</v>
      </c>
      <c r="I56" s="258">
        <f t="shared" si="17"/>
        <v>0</v>
      </c>
      <c r="J56" s="258">
        <f t="shared" si="17"/>
        <v>0</v>
      </c>
      <c r="K56" s="258">
        <f t="shared" si="17"/>
        <v>0</v>
      </c>
      <c r="L56" s="258">
        <f t="shared" si="17"/>
        <v>0</v>
      </c>
      <c r="M56" s="258">
        <f t="shared" si="17"/>
        <v>0</v>
      </c>
      <c r="N56" s="259">
        <f t="shared" si="17"/>
        <v>0</v>
      </c>
    </row>
    <row r="57" spans="1:14">
      <c r="A57" s="249"/>
      <c r="B57" s="255"/>
      <c r="C57" s="254"/>
      <c r="D57" s="254"/>
      <c r="E57" s="254"/>
      <c r="F57" s="254"/>
      <c r="G57" s="254"/>
      <c r="H57" s="250"/>
      <c r="I57" s="250"/>
      <c r="J57" s="250"/>
      <c r="K57" s="404"/>
    </row>
    <row r="58" spans="1:14">
      <c r="A58" s="249"/>
      <c r="B58" s="919"/>
      <c r="C58" s="245"/>
      <c r="D58" s="245"/>
      <c r="E58" s="245"/>
      <c r="F58" s="245"/>
      <c r="G58" s="245"/>
      <c r="H58" s="245"/>
      <c r="I58" s="245"/>
      <c r="J58" s="245"/>
      <c r="K58" s="403"/>
      <c r="L58" s="402"/>
      <c r="M58" s="402"/>
      <c r="N58" s="402"/>
    </row>
    <row r="59" spans="1:14">
      <c r="A59" s="244" t="s">
        <v>613</v>
      </c>
      <c r="B59" s="243" t="s">
        <v>541</v>
      </c>
      <c r="C59" s="240">
        <v>700355.71953600005</v>
      </c>
      <c r="D59" s="241">
        <v>6348097.5711120004</v>
      </c>
      <c r="E59" s="240">
        <v>0</v>
      </c>
      <c r="F59" s="241">
        <v>0</v>
      </c>
      <c r="G59" s="240">
        <v>0</v>
      </c>
      <c r="H59" s="241">
        <v>0</v>
      </c>
      <c r="I59" s="240">
        <v>0</v>
      </c>
      <c r="J59" s="241">
        <v>0</v>
      </c>
      <c r="K59" s="240">
        <v>0</v>
      </c>
      <c r="L59" s="241">
        <v>0</v>
      </c>
      <c r="M59" s="240">
        <v>0</v>
      </c>
      <c r="N59" s="239">
        <v>0</v>
      </c>
    </row>
    <row r="60" spans="1:14">
      <c r="A60" s="238" t="s">
        <v>726</v>
      </c>
      <c r="B60" s="237" t="s">
        <v>611</v>
      </c>
      <c r="C60" s="234">
        <v>0</v>
      </c>
      <c r="D60" s="235">
        <v>0</v>
      </c>
      <c r="E60" s="234">
        <v>0</v>
      </c>
      <c r="F60" s="235">
        <v>0</v>
      </c>
      <c r="G60" s="234">
        <v>0</v>
      </c>
      <c r="H60" s="235">
        <v>0</v>
      </c>
      <c r="I60" s="234">
        <v>0</v>
      </c>
      <c r="J60" s="235">
        <v>0</v>
      </c>
      <c r="K60" s="234">
        <v>0</v>
      </c>
      <c r="L60" s="235">
        <v>0</v>
      </c>
      <c r="M60" s="234">
        <v>0</v>
      </c>
      <c r="N60" s="233">
        <v>0</v>
      </c>
    </row>
    <row r="61" spans="1:14">
      <c r="A61" s="257"/>
      <c r="B61" s="256" t="s">
        <v>610</v>
      </c>
      <c r="C61" s="230">
        <f t="shared" ref="C61:N61" si="18">SUM(C59:C60)</f>
        <v>700355.71953600005</v>
      </c>
      <c r="D61" s="230">
        <f t="shared" si="18"/>
        <v>6348097.5711120004</v>
      </c>
      <c r="E61" s="230">
        <f t="shared" si="18"/>
        <v>0</v>
      </c>
      <c r="F61" s="230">
        <f t="shared" si="18"/>
        <v>0</v>
      </c>
      <c r="G61" s="230">
        <f t="shared" si="18"/>
        <v>0</v>
      </c>
      <c r="H61" s="230">
        <f t="shared" si="18"/>
        <v>0</v>
      </c>
      <c r="I61" s="230">
        <f t="shared" si="18"/>
        <v>0</v>
      </c>
      <c r="J61" s="230">
        <f t="shared" si="18"/>
        <v>0</v>
      </c>
      <c r="K61" s="230">
        <f t="shared" si="18"/>
        <v>0</v>
      </c>
      <c r="L61" s="230">
        <f t="shared" si="18"/>
        <v>0</v>
      </c>
      <c r="M61" s="230">
        <f t="shared" si="18"/>
        <v>0</v>
      </c>
      <c r="N61" s="229">
        <f t="shared" si="18"/>
        <v>0</v>
      </c>
    </row>
    <row r="62" spans="1:14">
      <c r="A62" s="249"/>
      <c r="B62" s="255"/>
      <c r="C62" s="254"/>
      <c r="D62" s="254"/>
      <c r="E62" s="254"/>
      <c r="F62" s="254"/>
      <c r="G62" s="254"/>
      <c r="H62" s="250"/>
      <c r="I62" s="250"/>
      <c r="J62" s="250"/>
      <c r="K62" s="404"/>
    </row>
    <row r="63" spans="1:14">
      <c r="A63" s="249"/>
      <c r="B63" s="919"/>
      <c r="C63" s="245"/>
      <c r="D63" s="245"/>
      <c r="E63" s="245"/>
      <c r="F63" s="245"/>
      <c r="G63" s="245"/>
      <c r="H63" s="245"/>
      <c r="I63" s="245"/>
      <c r="J63" s="245"/>
      <c r="K63" s="403"/>
      <c r="L63" s="402"/>
      <c r="M63" s="402"/>
      <c r="N63" s="402"/>
    </row>
    <row r="64" spans="1:14">
      <c r="A64" s="244" t="s">
        <v>609</v>
      </c>
      <c r="B64" s="243" t="s">
        <v>608</v>
      </c>
      <c r="C64" s="240">
        <v>0</v>
      </c>
      <c r="D64" s="241">
        <v>0</v>
      </c>
      <c r="E64" s="240">
        <v>0</v>
      </c>
      <c r="F64" s="241">
        <v>0</v>
      </c>
      <c r="G64" s="240">
        <v>0</v>
      </c>
      <c r="H64" s="241">
        <v>0</v>
      </c>
      <c r="I64" s="240">
        <v>0</v>
      </c>
      <c r="J64" s="241">
        <v>0</v>
      </c>
      <c r="K64" s="240">
        <v>0</v>
      </c>
      <c r="L64" s="241">
        <v>0</v>
      </c>
      <c r="M64" s="240">
        <v>0</v>
      </c>
      <c r="N64" s="239">
        <v>0</v>
      </c>
    </row>
    <row r="65" spans="1:14">
      <c r="A65" s="238" t="s">
        <v>725</v>
      </c>
      <c r="B65" s="237"/>
      <c r="C65" s="234">
        <v>0</v>
      </c>
      <c r="D65" s="235">
        <v>0</v>
      </c>
      <c r="E65" s="234">
        <v>0</v>
      </c>
      <c r="F65" s="235">
        <v>0</v>
      </c>
      <c r="G65" s="234">
        <v>0</v>
      </c>
      <c r="H65" s="235">
        <v>0</v>
      </c>
      <c r="I65" s="234">
        <v>0</v>
      </c>
      <c r="J65" s="235">
        <v>0</v>
      </c>
      <c r="K65" s="234">
        <v>0</v>
      </c>
      <c r="L65" s="235">
        <v>0</v>
      </c>
      <c r="M65" s="234">
        <v>0</v>
      </c>
      <c r="N65" s="233">
        <v>0</v>
      </c>
    </row>
    <row r="66" spans="1:14">
      <c r="A66" s="257"/>
      <c r="B66" s="256" t="s">
        <v>606</v>
      </c>
      <c r="C66" s="230">
        <f t="shared" ref="C66:N66" si="19">SUM(C64:C65)</f>
        <v>0</v>
      </c>
      <c r="D66" s="230">
        <f t="shared" si="19"/>
        <v>0</v>
      </c>
      <c r="E66" s="230">
        <f t="shared" si="19"/>
        <v>0</v>
      </c>
      <c r="F66" s="230">
        <f t="shared" si="19"/>
        <v>0</v>
      </c>
      <c r="G66" s="230">
        <f t="shared" si="19"/>
        <v>0</v>
      </c>
      <c r="H66" s="230">
        <f t="shared" si="19"/>
        <v>0</v>
      </c>
      <c r="I66" s="230">
        <f t="shared" si="19"/>
        <v>0</v>
      </c>
      <c r="J66" s="230">
        <f t="shared" si="19"/>
        <v>0</v>
      </c>
      <c r="K66" s="230">
        <f t="shared" si="19"/>
        <v>0</v>
      </c>
      <c r="L66" s="230">
        <f t="shared" si="19"/>
        <v>0</v>
      </c>
      <c r="M66" s="230">
        <f t="shared" si="19"/>
        <v>0</v>
      </c>
      <c r="N66" s="229">
        <f t="shared" si="19"/>
        <v>0</v>
      </c>
    </row>
    <row r="67" spans="1:14" s="272" customFormat="1">
      <c r="B67" s="227"/>
      <c r="C67" s="227"/>
      <c r="D67" s="227"/>
      <c r="E67" s="227"/>
      <c r="F67" s="227"/>
      <c r="G67" s="227"/>
      <c r="H67" s="227"/>
      <c r="I67" s="227"/>
      <c r="J67" s="227"/>
      <c r="K67" s="227"/>
    </row>
    <row r="68" spans="1:14" s="272" customFormat="1">
      <c r="C68" s="227"/>
      <c r="D68" s="227"/>
      <c r="E68" s="227"/>
      <c r="F68" s="227"/>
      <c r="G68" s="227"/>
      <c r="H68" s="227"/>
      <c r="I68" s="227"/>
      <c r="J68" s="227"/>
      <c r="K68" s="227"/>
    </row>
  </sheetData>
  <pageMargins left="0.7" right="0.7" top="0.75" bottom="0.75" header="0.3" footer="0.3"/>
  <pageSetup scale="56"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6">
    <pageSetUpPr fitToPage="1"/>
  </sheetPr>
  <dimension ref="A1:AQ106"/>
  <sheetViews>
    <sheetView zoomScale="70" zoomScaleNormal="70" zoomScaleSheetLayoutView="100" workbookViewId="0">
      <pane xSplit="2" topLeftCell="O1" activePane="topRight" state="frozen"/>
      <selection activeCell="I78" sqref="I78"/>
      <selection pane="topRight" activeCell="AO65" sqref="AO65"/>
    </sheetView>
  </sheetViews>
  <sheetFormatPr defaultRowHeight="15" outlineLevelRow="1" outlineLevelCol="1"/>
  <cols>
    <col min="1" max="1" width="19.5703125" style="302" customWidth="1"/>
    <col min="2" max="2" width="70.42578125" style="302" customWidth="1"/>
    <col min="3" max="4" width="16.7109375" style="302" hidden="1" customWidth="1" outlineLevel="1"/>
    <col min="5" max="5" width="17.42578125" style="302" hidden="1" customWidth="1" outlineLevel="1"/>
    <col min="6" max="6" width="18.5703125" style="302" hidden="1" customWidth="1" outlineLevel="1"/>
    <col min="7" max="7" width="15.85546875" style="302" hidden="1" customWidth="1" outlineLevel="1"/>
    <col min="8" max="8" width="18.140625" style="302" hidden="1" customWidth="1" outlineLevel="1"/>
    <col min="9" max="9" width="15.7109375" style="302" hidden="1" customWidth="1" outlineLevel="1"/>
    <col min="10" max="10" width="17.140625" style="302" hidden="1" customWidth="1" outlineLevel="1"/>
    <col min="11" max="11" width="16.28515625" style="302" hidden="1" customWidth="1" outlineLevel="1"/>
    <col min="12" max="12" width="16.42578125" style="302" hidden="1" customWidth="1" outlineLevel="1"/>
    <col min="13" max="14" width="16" style="302" hidden="1" customWidth="1" outlineLevel="1"/>
    <col min="15" max="15" width="17.140625" style="302" customWidth="1" collapsed="1"/>
    <col min="16" max="18" width="17.140625" style="302" customWidth="1"/>
    <col min="19" max="19" width="2.42578125" style="302" customWidth="1"/>
    <col min="20" max="21" width="17.140625" style="302" customWidth="1"/>
    <col min="22" max="22" width="2.42578125" style="302" customWidth="1"/>
    <col min="23" max="24" width="16.7109375" style="302" hidden="1" customWidth="1" outlineLevel="1"/>
    <col min="25" max="25" width="17.42578125" style="302" hidden="1" customWidth="1" outlineLevel="1"/>
    <col min="26" max="26" width="18.5703125" style="302" hidden="1" customWidth="1" outlineLevel="1"/>
    <col min="27" max="27" width="15.85546875" style="302" hidden="1" customWidth="1" outlineLevel="1"/>
    <col min="28" max="28" width="18.140625" style="302" hidden="1" customWidth="1" outlineLevel="1"/>
    <col min="29" max="29" width="15.7109375" style="302" hidden="1" customWidth="1" outlineLevel="1"/>
    <col min="30" max="30" width="18.42578125" style="302" hidden="1" customWidth="1" outlineLevel="1"/>
    <col min="31" max="31" width="16.28515625" style="302" hidden="1" customWidth="1" outlineLevel="1"/>
    <col min="32" max="32" width="16.42578125" style="302" hidden="1" customWidth="1" outlineLevel="1"/>
    <col min="33" max="34" width="16" style="302" hidden="1" customWidth="1" outlineLevel="1"/>
    <col min="35" max="35" width="17.140625" style="302" customWidth="1" collapsed="1"/>
    <col min="36" max="37" width="17.140625" style="302" customWidth="1"/>
    <col min="38" max="38" width="2.42578125" style="302" customWidth="1"/>
    <col min="39" max="41" width="17.140625" style="302" customWidth="1"/>
    <col min="42" max="42" width="9.140625" style="302"/>
    <col min="43" max="43" width="14.42578125" style="302" customWidth="1"/>
    <col min="44" max="16384" width="9.140625" style="302"/>
  </cols>
  <sheetData>
    <row r="1" spans="1:41" hidden="1" outlineLevel="1">
      <c r="A1" s="580"/>
      <c r="B1" s="580" t="s">
        <v>605</v>
      </c>
      <c r="C1" s="580"/>
      <c r="D1" s="580"/>
      <c r="E1" s="580"/>
      <c r="F1" s="580"/>
      <c r="G1" s="580"/>
      <c r="H1" s="581" t="s">
        <v>604</v>
      </c>
      <c r="I1" s="581"/>
      <c r="J1" s="580"/>
      <c r="K1" s="580"/>
      <c r="L1" s="580"/>
      <c r="M1" s="582"/>
      <c r="N1" s="582"/>
      <c r="O1" s="583"/>
      <c r="P1" s="584"/>
      <c r="Q1" s="585"/>
      <c r="R1" s="585"/>
      <c r="S1" s="586"/>
      <c r="T1" s="587"/>
      <c r="U1" s="587"/>
      <c r="V1" s="586"/>
      <c r="W1" s="580"/>
      <c r="X1" s="580"/>
      <c r="Y1" s="580"/>
      <c r="Z1" s="580"/>
      <c r="AA1" s="580"/>
      <c r="AB1" s="581"/>
      <c r="AC1" s="581"/>
      <c r="AD1" s="580"/>
      <c r="AE1" s="580"/>
      <c r="AF1" s="580"/>
      <c r="AG1" s="582"/>
      <c r="AH1" s="582"/>
      <c r="AI1" s="583"/>
      <c r="AJ1" s="584"/>
      <c r="AK1" s="585"/>
      <c r="AL1" s="586"/>
      <c r="AM1" s="588"/>
      <c r="AN1" s="588"/>
      <c r="AO1" s="588"/>
    </row>
    <row r="2" spans="1:41" hidden="1" outlineLevel="1">
      <c r="A2" s="398"/>
      <c r="B2" s="398" t="str">
        <f>"For the 12 months ending 12/31/"&amp;A49</f>
        <v>For the 12 months ending 12/31/2020</v>
      </c>
      <c r="C2" s="398"/>
      <c r="D2" s="398"/>
      <c r="E2" s="398"/>
      <c r="F2" s="304" t="s">
        <v>3</v>
      </c>
      <c r="G2" s="304"/>
      <c r="H2" s="304" t="s">
        <v>816</v>
      </c>
      <c r="I2" s="304"/>
      <c r="J2" s="304"/>
      <c r="K2" s="304"/>
      <c r="L2" s="304"/>
      <c r="M2" s="397"/>
      <c r="N2" s="397"/>
      <c r="P2" s="157"/>
      <c r="Q2" s="397"/>
      <c r="R2" s="397"/>
      <c r="S2" s="336"/>
      <c r="T2" s="396"/>
      <c r="U2" s="394"/>
      <c r="V2" s="336"/>
      <c r="W2" s="398"/>
      <c r="X2" s="398"/>
      <c r="Y2" s="398"/>
      <c r="Z2" s="304" t="s">
        <v>3</v>
      </c>
      <c r="AA2" s="304"/>
      <c r="AB2" s="304" t="s">
        <v>816</v>
      </c>
      <c r="AC2" s="304"/>
      <c r="AD2" s="304"/>
      <c r="AE2" s="304"/>
      <c r="AF2" s="304"/>
      <c r="AG2" s="397"/>
      <c r="AH2" s="397"/>
      <c r="AJ2" s="157"/>
      <c r="AK2" s="397"/>
      <c r="AL2" s="336"/>
      <c r="AM2" s="136"/>
      <c r="AN2" s="136"/>
      <c r="AO2" s="136"/>
    </row>
    <row r="3" spans="1:41" hidden="1" outlineLevel="1">
      <c r="A3" s="157"/>
      <c r="B3" s="157"/>
      <c r="C3" s="157"/>
      <c r="D3" s="157"/>
      <c r="E3" s="157"/>
      <c r="F3" s="157"/>
      <c r="G3" s="157"/>
      <c r="H3" s="157"/>
      <c r="I3" s="157"/>
      <c r="O3" s="391"/>
      <c r="P3" s="157"/>
      <c r="Q3" s="157"/>
      <c r="R3" s="157"/>
      <c r="S3" s="336"/>
      <c r="T3" s="336"/>
      <c r="U3" s="336"/>
      <c r="V3" s="336"/>
      <c r="W3" s="157"/>
      <c r="X3" s="157"/>
      <c r="Y3" s="157"/>
      <c r="Z3" s="157"/>
      <c r="AA3" s="157"/>
      <c r="AB3" s="157"/>
      <c r="AC3" s="157"/>
      <c r="AI3" s="391"/>
      <c r="AJ3" s="157"/>
      <c r="AK3" s="157"/>
      <c r="AL3" s="336"/>
      <c r="AM3" s="136"/>
      <c r="AN3" s="136"/>
      <c r="AO3" s="136"/>
    </row>
    <row r="4" spans="1:41" hidden="1" outlineLevel="1">
      <c r="A4" s="390"/>
      <c r="B4" s="390" t="s">
        <v>62</v>
      </c>
      <c r="C4" s="390"/>
      <c r="D4" s="390"/>
      <c r="E4" s="390"/>
      <c r="F4" s="390" t="s">
        <v>63</v>
      </c>
      <c r="G4" s="390"/>
      <c r="H4" s="390" t="s">
        <v>64</v>
      </c>
      <c r="I4" s="390"/>
      <c r="O4" s="324" t="s">
        <v>65</v>
      </c>
      <c r="P4" s="304"/>
      <c r="Q4" s="324"/>
      <c r="R4" s="324"/>
      <c r="S4" s="335"/>
      <c r="T4" s="324"/>
      <c r="U4" s="335"/>
      <c r="V4" s="335"/>
      <c r="W4" s="390"/>
      <c r="X4" s="390"/>
      <c r="Y4" s="390"/>
      <c r="Z4" s="390" t="s">
        <v>63</v>
      </c>
      <c r="AA4" s="390"/>
      <c r="AB4" s="390" t="s">
        <v>64</v>
      </c>
      <c r="AC4" s="390"/>
      <c r="AI4" s="324" t="s">
        <v>65</v>
      </c>
      <c r="AJ4" s="304"/>
      <c r="AK4" s="324"/>
      <c r="AL4" s="335"/>
      <c r="AM4" s="136"/>
      <c r="AN4" s="136"/>
      <c r="AO4" s="136"/>
    </row>
    <row r="5" spans="1:41" ht="15.75" hidden="1" outlineLevel="1">
      <c r="A5" s="322"/>
      <c r="B5" s="322"/>
      <c r="C5" s="322"/>
      <c r="D5" s="322"/>
      <c r="E5" s="322"/>
      <c r="F5" s="369" t="s">
        <v>817</v>
      </c>
      <c r="G5" s="369"/>
      <c r="H5" s="304"/>
      <c r="I5" s="304"/>
      <c r="P5" s="304"/>
      <c r="S5" s="335"/>
      <c r="T5" s="364"/>
      <c r="U5" s="364"/>
      <c r="V5" s="335"/>
      <c r="W5" s="322"/>
      <c r="X5" s="322"/>
      <c r="Y5" s="322"/>
      <c r="Z5" s="369" t="s">
        <v>817</v>
      </c>
      <c r="AA5" s="369"/>
      <c r="AB5" s="304"/>
      <c r="AC5" s="304"/>
      <c r="AJ5" s="304"/>
      <c r="AL5" s="335"/>
      <c r="AM5" s="136"/>
      <c r="AN5" s="136"/>
      <c r="AO5" s="136"/>
    </row>
    <row r="6" spans="1:41" ht="15.75" hidden="1" outlineLevel="1">
      <c r="A6" s="361" t="s">
        <v>8</v>
      </c>
      <c r="B6" s="322"/>
      <c r="C6" s="322"/>
      <c r="D6" s="322"/>
      <c r="E6" s="322"/>
      <c r="F6" s="389" t="s">
        <v>69</v>
      </c>
      <c r="G6" s="389"/>
      <c r="H6" s="388" t="s">
        <v>68</v>
      </c>
      <c r="I6" s="388"/>
      <c r="O6" s="388" t="s">
        <v>16</v>
      </c>
      <c r="P6" s="304"/>
      <c r="S6" s="336"/>
      <c r="T6" s="387"/>
      <c r="U6" s="364"/>
      <c r="V6" s="336"/>
      <c r="W6" s="322"/>
      <c r="X6" s="322"/>
      <c r="Y6" s="322"/>
      <c r="Z6" s="389" t="s">
        <v>69</v>
      </c>
      <c r="AA6" s="389"/>
      <c r="AB6" s="388" t="s">
        <v>68</v>
      </c>
      <c r="AC6" s="388"/>
      <c r="AI6" s="388" t="s">
        <v>16</v>
      </c>
      <c r="AJ6" s="304"/>
      <c r="AL6" s="336"/>
      <c r="AM6" s="136"/>
      <c r="AN6" s="136"/>
      <c r="AO6" s="136"/>
    </row>
    <row r="7" spans="1:41" ht="15.75" hidden="1" outlineLevel="1">
      <c r="A7" s="361" t="s">
        <v>10</v>
      </c>
      <c r="B7" s="360"/>
      <c r="C7" s="360"/>
      <c r="D7" s="360"/>
      <c r="E7" s="360"/>
      <c r="F7" s="304"/>
      <c r="G7" s="304"/>
      <c r="H7" s="304"/>
      <c r="I7" s="304"/>
      <c r="O7" s="304"/>
      <c r="P7" s="304"/>
      <c r="Q7" s="304"/>
      <c r="R7" s="304"/>
      <c r="S7" s="336"/>
      <c r="T7" s="335"/>
      <c r="U7" s="335"/>
      <c r="V7" s="336"/>
      <c r="W7" s="360"/>
      <c r="X7" s="360"/>
      <c r="Y7" s="360"/>
      <c r="Z7" s="304"/>
      <c r="AA7" s="304"/>
      <c r="AB7" s="304"/>
      <c r="AC7" s="304"/>
      <c r="AI7" s="304"/>
      <c r="AJ7" s="304"/>
      <c r="AK7" s="304"/>
      <c r="AL7" s="336"/>
      <c r="AM7" s="136"/>
      <c r="AN7" s="136"/>
      <c r="AO7" s="136"/>
    </row>
    <row r="8" spans="1:41" ht="15.75" hidden="1" outlineLevel="1">
      <c r="A8" s="386"/>
      <c r="B8" s="322"/>
      <c r="C8" s="322"/>
      <c r="D8" s="322"/>
      <c r="E8" s="322"/>
      <c r="F8" s="304"/>
      <c r="G8" s="304"/>
      <c r="H8" s="304"/>
      <c r="I8" s="304"/>
      <c r="O8" s="304"/>
      <c r="P8" s="304"/>
      <c r="Q8" s="304"/>
      <c r="R8" s="304"/>
      <c r="S8" s="336"/>
      <c r="T8" s="335"/>
      <c r="U8" s="335"/>
      <c r="V8" s="336"/>
      <c r="W8" s="322"/>
      <c r="X8" s="322"/>
      <c r="Y8" s="322"/>
      <c r="Z8" s="304"/>
      <c r="AA8" s="304"/>
      <c r="AB8" s="304"/>
      <c r="AC8" s="304"/>
      <c r="AI8" s="304"/>
      <c r="AJ8" s="304"/>
      <c r="AK8" s="304"/>
      <c r="AL8" s="336"/>
      <c r="AM8" s="136"/>
      <c r="AN8" s="136"/>
      <c r="AO8" s="136"/>
    </row>
    <row r="9" spans="1:41" hidden="1" outlineLevel="1">
      <c r="A9" s="589">
        <v>1</v>
      </c>
      <c r="B9" s="322" t="s">
        <v>600</v>
      </c>
      <c r="C9" s="322"/>
      <c r="D9" s="322"/>
      <c r="E9" s="322"/>
      <c r="F9" s="372" t="s">
        <v>818</v>
      </c>
      <c r="G9" s="372"/>
      <c r="H9" s="590">
        <v>6583569300</v>
      </c>
      <c r="I9" s="304"/>
      <c r="P9" s="304"/>
      <c r="Q9" s="304"/>
      <c r="R9" s="304"/>
      <c r="S9" s="336"/>
      <c r="T9" s="335"/>
      <c r="U9" s="335"/>
      <c r="V9" s="336"/>
      <c r="W9" s="322"/>
      <c r="X9" s="322"/>
      <c r="Y9" s="322"/>
      <c r="Z9" s="372" t="s">
        <v>818</v>
      </c>
      <c r="AA9" s="372"/>
      <c r="AB9" s="869">
        <v>6548565126</v>
      </c>
      <c r="AC9" s="304"/>
      <c r="AJ9" s="304"/>
      <c r="AK9" s="304"/>
      <c r="AL9" s="336"/>
      <c r="AM9" s="136"/>
      <c r="AN9" s="136"/>
      <c r="AO9" s="136"/>
    </row>
    <row r="10" spans="1:41" hidden="1" outlineLevel="1">
      <c r="A10" s="589" t="s">
        <v>143</v>
      </c>
      <c r="B10" s="322" t="s">
        <v>722</v>
      </c>
      <c r="C10" s="322"/>
      <c r="D10" s="322"/>
      <c r="E10" s="322"/>
      <c r="F10" s="372" t="s">
        <v>866</v>
      </c>
      <c r="G10" s="372"/>
      <c r="H10" s="591">
        <v>1734986593</v>
      </c>
      <c r="I10" s="383"/>
      <c r="P10" s="304"/>
      <c r="Q10" s="304"/>
      <c r="R10" s="304"/>
      <c r="S10" s="336"/>
      <c r="T10" s="335"/>
      <c r="U10" s="335"/>
      <c r="V10" s="336"/>
      <c r="W10" s="322"/>
      <c r="X10" s="322"/>
      <c r="Y10" s="322"/>
      <c r="Z10" s="372" t="s">
        <v>866</v>
      </c>
      <c r="AA10" s="372"/>
      <c r="AB10" s="870">
        <v>1708379841</v>
      </c>
      <c r="AC10" s="383"/>
      <c r="AJ10" s="304"/>
      <c r="AK10" s="304"/>
      <c r="AL10" s="336"/>
      <c r="AM10" s="136"/>
      <c r="AN10" s="136"/>
      <c r="AO10" s="136"/>
    </row>
    <row r="11" spans="1:41" hidden="1" outlineLevel="1">
      <c r="A11" s="589">
        <v>2</v>
      </c>
      <c r="B11" s="322" t="s">
        <v>598</v>
      </c>
      <c r="C11" s="322"/>
      <c r="D11" s="322"/>
      <c r="E11" s="322"/>
      <c r="F11" s="372" t="s">
        <v>720</v>
      </c>
      <c r="G11" s="372"/>
      <c r="H11" s="381">
        <f>H9-H10</f>
        <v>4848582707</v>
      </c>
      <c r="I11" s="385"/>
      <c r="P11" s="304"/>
      <c r="Q11" s="304"/>
      <c r="R11" s="304"/>
      <c r="S11" s="336"/>
      <c r="T11" s="335"/>
      <c r="U11" s="335"/>
      <c r="V11" s="336"/>
      <c r="W11" s="322"/>
      <c r="X11" s="322"/>
      <c r="Y11" s="322"/>
      <c r="Z11" s="372" t="s">
        <v>720</v>
      </c>
      <c r="AA11" s="372"/>
      <c r="AB11" s="381">
        <f>AB9-AB10</f>
        <v>4840185285</v>
      </c>
      <c r="AC11" s="385"/>
      <c r="AJ11" s="304"/>
      <c r="AK11" s="304"/>
      <c r="AL11" s="336"/>
      <c r="AM11" s="136"/>
      <c r="AN11" s="136"/>
      <c r="AO11" s="136"/>
    </row>
    <row r="12" spans="1:41" hidden="1" outlineLevel="1">
      <c r="A12" s="589"/>
      <c r="F12" s="372"/>
      <c r="G12" s="372"/>
      <c r="P12" s="304"/>
      <c r="Q12" s="304"/>
      <c r="R12" s="304"/>
      <c r="S12" s="336"/>
      <c r="T12" s="335"/>
      <c r="U12" s="335"/>
      <c r="V12" s="336"/>
      <c r="Z12" s="372"/>
      <c r="AA12" s="372"/>
      <c r="AJ12" s="304"/>
      <c r="AK12" s="304"/>
      <c r="AL12" s="336"/>
      <c r="AM12" s="136"/>
      <c r="AN12" s="136"/>
      <c r="AO12" s="136"/>
    </row>
    <row r="13" spans="1:41" hidden="1" outlineLevel="1">
      <c r="A13" s="589"/>
      <c r="B13" s="322" t="s">
        <v>719</v>
      </c>
      <c r="C13" s="322"/>
      <c r="D13" s="322"/>
      <c r="E13" s="322"/>
      <c r="F13" s="372"/>
      <c r="G13" s="372"/>
      <c r="H13" s="304"/>
      <c r="I13" s="304"/>
      <c r="O13" s="304"/>
      <c r="P13" s="304"/>
      <c r="Q13" s="304"/>
      <c r="R13" s="304"/>
      <c r="S13" s="335"/>
      <c r="T13" s="335"/>
      <c r="U13" s="335"/>
      <c r="V13" s="335"/>
      <c r="W13" s="322"/>
      <c r="X13" s="322"/>
      <c r="Y13" s="322"/>
      <c r="Z13" s="372"/>
      <c r="AA13" s="372"/>
      <c r="AB13" s="304"/>
      <c r="AC13" s="304"/>
      <c r="AI13" s="304"/>
      <c r="AJ13" s="304"/>
      <c r="AK13" s="304"/>
      <c r="AL13" s="335"/>
      <c r="AM13" s="136"/>
      <c r="AN13" s="136"/>
      <c r="AO13" s="136"/>
    </row>
    <row r="14" spans="1:41" hidden="1" outlineLevel="1">
      <c r="A14" s="589">
        <v>3</v>
      </c>
      <c r="B14" s="322" t="s">
        <v>595</v>
      </c>
      <c r="C14" s="322"/>
      <c r="D14" s="322"/>
      <c r="E14" s="322"/>
      <c r="F14" s="372" t="s">
        <v>822</v>
      </c>
      <c r="G14" s="372"/>
      <c r="H14" s="590">
        <v>135749839.86244482</v>
      </c>
      <c r="I14" s="304"/>
      <c r="P14" s="304"/>
      <c r="Q14" s="304"/>
      <c r="R14" s="304"/>
      <c r="S14" s="335"/>
      <c r="T14" s="335"/>
      <c r="U14" s="335"/>
      <c r="V14" s="335"/>
      <c r="W14" s="322"/>
      <c r="X14" s="322"/>
      <c r="Y14" s="322"/>
      <c r="Z14" s="372" t="s">
        <v>822</v>
      </c>
      <c r="AA14" s="372"/>
      <c r="AB14" s="869">
        <v>133068355.99168481</v>
      </c>
      <c r="AC14" s="304"/>
      <c r="AJ14" s="304"/>
      <c r="AK14" s="304"/>
      <c r="AL14" s="335"/>
      <c r="AM14" s="136"/>
      <c r="AN14" s="136"/>
      <c r="AO14" s="136"/>
    </row>
    <row r="15" spans="1:41" hidden="1" outlineLevel="1">
      <c r="A15" s="589" t="s">
        <v>593</v>
      </c>
      <c r="B15" s="322" t="s">
        <v>501</v>
      </c>
      <c r="C15" s="322"/>
      <c r="D15" s="322"/>
      <c r="E15" s="322"/>
      <c r="F15" s="372" t="s">
        <v>867</v>
      </c>
      <c r="G15" s="372"/>
      <c r="H15" s="590">
        <v>95121600</v>
      </c>
      <c r="I15" s="304"/>
      <c r="P15" s="304"/>
      <c r="Q15" s="304"/>
      <c r="R15" s="304"/>
      <c r="S15" s="335"/>
      <c r="T15" s="335"/>
      <c r="U15" s="335"/>
      <c r="V15" s="335"/>
      <c r="W15" s="322"/>
      <c r="X15" s="322"/>
      <c r="Y15" s="322"/>
      <c r="Z15" s="372" t="s">
        <v>867</v>
      </c>
      <c r="AA15" s="372"/>
      <c r="AB15" s="869">
        <v>92063948</v>
      </c>
      <c r="AC15" s="304"/>
      <c r="AJ15" s="304"/>
      <c r="AK15" s="304"/>
      <c r="AL15" s="335"/>
      <c r="AM15" s="136"/>
      <c r="AN15" s="136"/>
      <c r="AO15" s="136"/>
    </row>
    <row r="16" spans="1:41" hidden="1" outlineLevel="1">
      <c r="A16" s="589" t="s">
        <v>717</v>
      </c>
      <c r="B16" s="322" t="s">
        <v>868</v>
      </c>
      <c r="C16" s="322"/>
      <c r="D16" s="322"/>
      <c r="E16" s="322"/>
      <c r="F16" s="372" t="s">
        <v>867</v>
      </c>
      <c r="G16" s="372"/>
      <c r="H16" s="590">
        <v>1000500</v>
      </c>
      <c r="I16" s="304"/>
      <c r="P16" s="304"/>
      <c r="Q16" s="304"/>
      <c r="R16" s="304"/>
      <c r="S16" s="335"/>
      <c r="T16" s="335"/>
      <c r="U16" s="335"/>
      <c r="V16" s="335"/>
      <c r="W16" s="322"/>
      <c r="X16" s="322"/>
      <c r="Y16" s="322"/>
      <c r="Z16" s="372" t="s">
        <v>867</v>
      </c>
      <c r="AA16" s="372"/>
      <c r="AB16" s="869">
        <v>1175541</v>
      </c>
      <c r="AC16" s="304"/>
      <c r="AJ16" s="304"/>
      <c r="AK16" s="304"/>
      <c r="AL16" s="335"/>
      <c r="AM16" s="136"/>
      <c r="AN16" s="136"/>
      <c r="AO16" s="136"/>
    </row>
    <row r="17" spans="1:41" hidden="1" outlineLevel="1">
      <c r="A17" s="589" t="s">
        <v>590</v>
      </c>
      <c r="B17" s="322" t="s">
        <v>714</v>
      </c>
      <c r="C17" s="322"/>
      <c r="D17" s="322"/>
      <c r="E17" s="322"/>
      <c r="F17" s="372" t="s">
        <v>869</v>
      </c>
      <c r="G17" s="372"/>
      <c r="H17" s="590">
        <v>0</v>
      </c>
      <c r="I17" s="304"/>
      <c r="P17" s="304"/>
      <c r="Q17" s="304"/>
      <c r="R17" s="304"/>
      <c r="S17" s="335"/>
      <c r="T17" s="335"/>
      <c r="U17" s="335"/>
      <c r="V17" s="335"/>
      <c r="W17" s="322"/>
      <c r="X17" s="322"/>
      <c r="Y17" s="322"/>
      <c r="Z17" s="372" t="s">
        <v>869</v>
      </c>
      <c r="AA17" s="372"/>
      <c r="AB17" s="869">
        <v>0</v>
      </c>
      <c r="AC17" s="304"/>
      <c r="AJ17" s="304"/>
      <c r="AK17" s="304"/>
      <c r="AL17" s="335"/>
      <c r="AM17" s="136"/>
      <c r="AN17" s="136"/>
      <c r="AO17" s="136"/>
    </row>
    <row r="18" spans="1:41" hidden="1" outlineLevel="1">
      <c r="A18" s="589" t="s">
        <v>712</v>
      </c>
      <c r="B18" s="322" t="s">
        <v>711</v>
      </c>
      <c r="C18" s="322"/>
      <c r="D18" s="322"/>
      <c r="E18" s="322"/>
      <c r="F18" s="372" t="s">
        <v>870</v>
      </c>
      <c r="G18" s="372"/>
      <c r="H18" s="591">
        <v>0</v>
      </c>
      <c r="I18" s="383"/>
      <c r="P18" s="304"/>
      <c r="Q18" s="304"/>
      <c r="R18" s="304"/>
      <c r="S18" s="335"/>
      <c r="T18" s="335"/>
      <c r="U18" s="335"/>
      <c r="V18" s="335"/>
      <c r="W18" s="322"/>
      <c r="X18" s="322"/>
      <c r="Y18" s="322"/>
      <c r="Z18" s="372" t="s">
        <v>870</v>
      </c>
      <c r="AA18" s="372"/>
      <c r="AB18" s="870">
        <v>0</v>
      </c>
      <c r="AC18" s="383"/>
      <c r="AJ18" s="304"/>
      <c r="AK18" s="304"/>
      <c r="AL18" s="335"/>
      <c r="AM18" s="136"/>
      <c r="AN18" s="136"/>
      <c r="AO18" s="136"/>
    </row>
    <row r="19" spans="1:41" hidden="1" outlineLevel="1">
      <c r="A19" s="589" t="s">
        <v>709</v>
      </c>
      <c r="B19" s="322" t="s">
        <v>708</v>
      </c>
      <c r="C19" s="322"/>
      <c r="D19" s="322"/>
      <c r="E19" s="322"/>
      <c r="F19" s="372" t="s">
        <v>871</v>
      </c>
      <c r="G19" s="372"/>
      <c r="H19" s="381">
        <f>H15-(H16+H17+H18)</f>
        <v>94121100</v>
      </c>
      <c r="I19" s="304"/>
      <c r="P19" s="304"/>
      <c r="Q19" s="304"/>
      <c r="R19" s="304"/>
      <c r="S19" s="335"/>
      <c r="T19" s="335"/>
      <c r="U19" s="335"/>
      <c r="V19" s="335"/>
      <c r="W19" s="322"/>
      <c r="X19" s="322"/>
      <c r="Y19" s="322"/>
      <c r="Z19" s="372" t="s">
        <v>871</v>
      </c>
      <c r="AA19" s="372"/>
      <c r="AB19" s="381">
        <f>AB15-(AB16+AB17+AB18)</f>
        <v>90888407</v>
      </c>
      <c r="AC19" s="304"/>
      <c r="AJ19" s="304"/>
      <c r="AK19" s="304"/>
      <c r="AL19" s="335"/>
      <c r="AM19" s="136"/>
      <c r="AN19" s="136"/>
      <c r="AO19" s="136"/>
    </row>
    <row r="20" spans="1:41" hidden="1" outlineLevel="1">
      <c r="A20" s="589"/>
      <c r="B20" s="322"/>
      <c r="C20" s="322"/>
      <c r="D20" s="322"/>
      <c r="E20" s="322"/>
      <c r="F20" s="372"/>
      <c r="G20" s="372"/>
      <c r="H20" s="304"/>
      <c r="I20" s="304"/>
      <c r="P20" s="304"/>
      <c r="Q20" s="304"/>
      <c r="R20" s="304"/>
      <c r="S20" s="335"/>
      <c r="T20" s="335"/>
      <c r="U20" s="335"/>
      <c r="V20" s="335"/>
      <c r="W20" s="322"/>
      <c r="X20" s="322"/>
      <c r="Y20" s="322"/>
      <c r="Z20" s="372"/>
      <c r="AA20" s="372"/>
      <c r="AB20" s="304"/>
      <c r="AC20" s="304"/>
      <c r="AJ20" s="304"/>
      <c r="AK20" s="304"/>
      <c r="AL20" s="335"/>
      <c r="AM20" s="136"/>
      <c r="AN20" s="136"/>
      <c r="AO20" s="136"/>
    </row>
    <row r="21" spans="1:41" ht="15.75" hidden="1" outlineLevel="1">
      <c r="A21" s="589">
        <v>4</v>
      </c>
      <c r="B21" s="360" t="s">
        <v>706</v>
      </c>
      <c r="C21" s="360"/>
      <c r="D21" s="360"/>
      <c r="E21" s="322"/>
      <c r="F21" s="372" t="s">
        <v>705</v>
      </c>
      <c r="G21" s="372"/>
      <c r="H21" s="303">
        <f>IF(H19=0,0,H19/H10)</f>
        <v>5.4248891824145641E-2</v>
      </c>
      <c r="I21" s="303"/>
      <c r="O21" s="382">
        <f>H21</f>
        <v>5.4248891824145641E-2</v>
      </c>
      <c r="P21" s="304"/>
      <c r="Q21" s="304"/>
      <c r="R21" s="304"/>
      <c r="S21" s="335"/>
      <c r="T21" s="335"/>
      <c r="U21" s="335"/>
      <c r="V21" s="335"/>
      <c r="W21" s="360"/>
      <c r="X21" s="360"/>
      <c r="Y21" s="322"/>
      <c r="Z21" s="372" t="s">
        <v>705</v>
      </c>
      <c r="AA21" s="372"/>
      <c r="AB21" s="303">
        <f>IF(AB19=0,0,AB19/AB10)</f>
        <v>5.3201521592995661E-2</v>
      </c>
      <c r="AC21" s="303"/>
      <c r="AI21" s="382">
        <f>AB21</f>
        <v>5.3201521592995661E-2</v>
      </c>
      <c r="AJ21" s="304"/>
      <c r="AK21" s="304"/>
      <c r="AL21" s="335"/>
      <c r="AM21" s="136"/>
      <c r="AN21" s="136"/>
      <c r="AO21" s="136"/>
    </row>
    <row r="22" spans="1:41" hidden="1" outlineLevel="1">
      <c r="A22" s="589"/>
      <c r="B22" s="322"/>
      <c r="C22" s="322"/>
      <c r="D22" s="322"/>
      <c r="E22" s="322"/>
      <c r="F22" s="372"/>
      <c r="G22" s="372"/>
      <c r="H22" s="304"/>
      <c r="I22" s="304"/>
      <c r="P22" s="304"/>
      <c r="Q22" s="304"/>
      <c r="R22" s="304"/>
      <c r="S22" s="335"/>
      <c r="T22" s="335"/>
      <c r="U22" s="335"/>
      <c r="V22" s="335"/>
      <c r="W22" s="322"/>
      <c r="X22" s="322"/>
      <c r="Y22" s="322"/>
      <c r="Z22" s="372"/>
      <c r="AA22" s="372"/>
      <c r="AB22" s="304"/>
      <c r="AC22" s="304"/>
      <c r="AJ22" s="304"/>
      <c r="AK22" s="304"/>
      <c r="AL22" s="335"/>
      <c r="AM22" s="136"/>
      <c r="AN22" s="136"/>
      <c r="AO22" s="136"/>
    </row>
    <row r="23" spans="1:41" hidden="1" outlineLevel="1">
      <c r="A23" s="589"/>
      <c r="B23" s="322"/>
      <c r="C23" s="322"/>
      <c r="D23" s="322"/>
      <c r="E23" s="322"/>
      <c r="F23" s="372"/>
      <c r="G23" s="372"/>
      <c r="H23" s="304"/>
      <c r="I23" s="304"/>
      <c r="P23" s="304"/>
      <c r="Q23" s="304"/>
      <c r="R23" s="304"/>
      <c r="S23" s="335"/>
      <c r="T23" s="335"/>
      <c r="U23" s="335"/>
      <c r="V23" s="335"/>
      <c r="W23" s="322"/>
      <c r="X23" s="322"/>
      <c r="Y23" s="322"/>
      <c r="Z23" s="372"/>
      <c r="AA23" s="372"/>
      <c r="AB23" s="304"/>
      <c r="AC23" s="304"/>
      <c r="AJ23" s="304"/>
      <c r="AK23" s="304"/>
      <c r="AL23" s="335"/>
      <c r="AM23" s="136"/>
      <c r="AN23" s="136"/>
      <c r="AO23" s="136"/>
    </row>
    <row r="24" spans="1:41" ht="15.75" hidden="1" outlineLevel="1">
      <c r="A24" s="589"/>
      <c r="B24" s="322" t="s">
        <v>704</v>
      </c>
      <c r="C24" s="322"/>
      <c r="D24" s="322"/>
      <c r="E24" s="322"/>
      <c r="F24" s="372"/>
      <c r="G24" s="372"/>
      <c r="H24" s="306"/>
      <c r="I24" s="306"/>
      <c r="O24" s="374"/>
      <c r="P24" s="304"/>
      <c r="Q24" s="303"/>
      <c r="R24" s="303"/>
      <c r="S24" s="350"/>
      <c r="T24" s="378"/>
      <c r="U24" s="335"/>
      <c r="V24" s="350"/>
      <c r="W24" s="322"/>
      <c r="X24" s="322"/>
      <c r="Y24" s="322"/>
      <c r="Z24" s="372"/>
      <c r="AA24" s="372"/>
      <c r="AB24" s="306"/>
      <c r="AC24" s="306"/>
      <c r="AI24" s="374"/>
      <c r="AJ24" s="304"/>
      <c r="AK24" s="303"/>
      <c r="AL24" s="350"/>
      <c r="AM24" s="136"/>
      <c r="AN24" s="136"/>
      <c r="AO24" s="136"/>
    </row>
    <row r="25" spans="1:41" ht="15.75" hidden="1" outlineLevel="1">
      <c r="A25" s="589" t="s">
        <v>703</v>
      </c>
      <c r="B25" s="322" t="s">
        <v>702</v>
      </c>
      <c r="C25" s="322"/>
      <c r="D25" s="322"/>
      <c r="E25" s="322"/>
      <c r="F25" s="372" t="s">
        <v>872</v>
      </c>
      <c r="G25" s="372"/>
      <c r="H25" s="381">
        <f>H14-H19-H16</f>
        <v>40628239.862444818</v>
      </c>
      <c r="I25" s="306"/>
      <c r="O25" s="374"/>
      <c r="P25" s="304"/>
      <c r="Q25" s="303"/>
      <c r="R25" s="303"/>
      <c r="S25" s="350"/>
      <c r="T25" s="378"/>
      <c r="U25" s="335"/>
      <c r="V25" s="350"/>
      <c r="W25" s="322"/>
      <c r="X25" s="322"/>
      <c r="Y25" s="322"/>
      <c r="Z25" s="372" t="s">
        <v>872</v>
      </c>
      <c r="AA25" s="372"/>
      <c r="AB25" s="381">
        <f>AB14-AB16-AB19</f>
        <v>41004407.991684809</v>
      </c>
      <c r="AC25" s="306"/>
      <c r="AI25" s="374"/>
      <c r="AJ25" s="304"/>
      <c r="AK25" s="303"/>
      <c r="AL25" s="350"/>
      <c r="AM25" s="136"/>
      <c r="AN25" s="136"/>
      <c r="AO25" s="136"/>
    </row>
    <row r="26" spans="1:41" ht="15.75" hidden="1" outlineLevel="1">
      <c r="A26" s="589" t="s">
        <v>700</v>
      </c>
      <c r="B26" s="322" t="s">
        <v>699</v>
      </c>
      <c r="C26" s="322"/>
      <c r="D26" s="322"/>
      <c r="E26" s="322"/>
      <c r="F26" s="372" t="s">
        <v>698</v>
      </c>
      <c r="G26" s="372"/>
      <c r="H26" s="306">
        <f>IF(H25=0,0,H25/H9)</f>
        <v>6.171157013938445E-3</v>
      </c>
      <c r="I26" s="306"/>
      <c r="O26" s="374">
        <f>H26</f>
        <v>6.171157013938445E-3</v>
      </c>
      <c r="P26" s="304"/>
      <c r="Q26" s="303"/>
      <c r="R26" s="303"/>
      <c r="S26" s="350"/>
      <c r="T26" s="378"/>
      <c r="U26" s="335"/>
      <c r="V26" s="350"/>
      <c r="W26" s="322"/>
      <c r="X26" s="322"/>
      <c r="Y26" s="322"/>
      <c r="Z26" s="372" t="s">
        <v>698</v>
      </c>
      <c r="AA26" s="372"/>
      <c r="AB26" s="306">
        <f>IF(AB25=0,0,AB25/AB9)</f>
        <v>6.2615866533698439E-3</v>
      </c>
      <c r="AC26" s="306"/>
      <c r="AI26" s="374">
        <f>AB26</f>
        <v>6.2615866533698439E-3</v>
      </c>
      <c r="AJ26" s="304"/>
      <c r="AK26" s="303"/>
      <c r="AL26" s="350"/>
      <c r="AM26" s="136"/>
      <c r="AN26" s="136"/>
      <c r="AO26" s="136"/>
    </row>
    <row r="27" spans="1:41" ht="15.75" hidden="1" outlineLevel="1">
      <c r="A27" s="589"/>
      <c r="B27" s="322"/>
      <c r="C27" s="322"/>
      <c r="D27" s="322"/>
      <c r="E27" s="322"/>
      <c r="F27" s="372"/>
      <c r="G27" s="372"/>
      <c r="H27" s="306"/>
      <c r="I27" s="306"/>
      <c r="O27" s="374"/>
      <c r="P27" s="304"/>
      <c r="Q27" s="303"/>
      <c r="R27" s="303"/>
      <c r="S27" s="350"/>
      <c r="T27" s="378"/>
      <c r="U27" s="335"/>
      <c r="V27" s="350"/>
      <c r="W27" s="322"/>
      <c r="X27" s="322"/>
      <c r="Y27" s="322"/>
      <c r="Z27" s="372"/>
      <c r="AA27" s="372"/>
      <c r="AB27" s="306"/>
      <c r="AC27" s="306"/>
      <c r="AI27" s="374"/>
      <c r="AJ27" s="304"/>
      <c r="AK27" s="303"/>
      <c r="AL27" s="350"/>
      <c r="AM27" s="136"/>
      <c r="AN27" s="136"/>
      <c r="AO27" s="136"/>
    </row>
    <row r="28" spans="1:41" ht="15.75" hidden="1" outlineLevel="1">
      <c r="A28" s="308"/>
      <c r="B28" s="322" t="s">
        <v>585</v>
      </c>
      <c r="C28" s="322"/>
      <c r="D28" s="322"/>
      <c r="E28" s="322"/>
      <c r="F28" s="307"/>
      <c r="G28" s="307"/>
      <c r="H28" s="304"/>
      <c r="I28" s="304"/>
      <c r="L28" s="136"/>
      <c r="M28" s="136"/>
      <c r="N28" s="136"/>
      <c r="O28" s="304"/>
      <c r="P28" s="304"/>
      <c r="Q28" s="303"/>
      <c r="R28" s="303"/>
      <c r="S28" s="350"/>
      <c r="T28" s="378"/>
      <c r="U28" s="335"/>
      <c r="V28" s="350"/>
      <c r="W28" s="322"/>
      <c r="X28" s="322"/>
      <c r="Y28" s="322"/>
      <c r="Z28" s="307"/>
      <c r="AA28" s="307"/>
      <c r="AB28" s="304"/>
      <c r="AC28" s="304"/>
      <c r="AF28" s="136"/>
      <c r="AG28" s="136"/>
      <c r="AH28" s="136"/>
      <c r="AI28" s="304"/>
      <c r="AJ28" s="304"/>
      <c r="AK28" s="303"/>
      <c r="AL28" s="350"/>
      <c r="AM28" s="136"/>
      <c r="AN28" s="136"/>
      <c r="AO28" s="136"/>
    </row>
    <row r="29" spans="1:41" ht="15.75" hidden="1" outlineLevel="1">
      <c r="A29" s="308" t="s">
        <v>584</v>
      </c>
      <c r="B29" s="322" t="s">
        <v>583</v>
      </c>
      <c r="C29" s="322"/>
      <c r="D29" s="322"/>
      <c r="E29" s="322"/>
      <c r="F29" s="372" t="s">
        <v>825</v>
      </c>
      <c r="G29" s="372"/>
      <c r="H29" s="590">
        <v>17523860</v>
      </c>
      <c r="I29" s="304"/>
      <c r="L29" s="136"/>
      <c r="M29" s="136"/>
      <c r="N29" s="136"/>
      <c r="O29" s="136"/>
      <c r="P29" s="304"/>
      <c r="Q29" s="303"/>
      <c r="R29" s="303"/>
      <c r="S29" s="350"/>
      <c r="T29" s="378"/>
      <c r="U29" s="335"/>
      <c r="V29" s="350"/>
      <c r="W29" s="322"/>
      <c r="X29" s="322"/>
      <c r="Y29" s="322"/>
      <c r="Z29" s="372" t="s">
        <v>825</v>
      </c>
      <c r="AA29" s="372"/>
      <c r="AB29" s="869">
        <v>17410401</v>
      </c>
      <c r="AC29" s="304"/>
      <c r="AF29" s="136"/>
      <c r="AG29" s="136"/>
      <c r="AH29" s="136"/>
      <c r="AI29" s="136"/>
      <c r="AJ29" s="304"/>
      <c r="AK29" s="303"/>
      <c r="AL29" s="350"/>
      <c r="AM29" s="136"/>
      <c r="AN29" s="136"/>
      <c r="AO29" s="136"/>
    </row>
    <row r="30" spans="1:41" ht="15.75" hidden="1" outlineLevel="1">
      <c r="A30" s="308" t="s">
        <v>581</v>
      </c>
      <c r="B30" s="322" t="s">
        <v>580</v>
      </c>
      <c r="C30" s="322"/>
      <c r="D30" s="322"/>
      <c r="E30" s="322"/>
      <c r="F30" s="372" t="s">
        <v>579</v>
      </c>
      <c r="G30" s="372"/>
      <c r="H30" s="306">
        <f>IF(H29=0,0,H29/H9)</f>
        <v>2.6617567464505918E-3</v>
      </c>
      <c r="I30" s="306"/>
      <c r="L30" s="136"/>
      <c r="M30" s="136"/>
      <c r="N30" s="136"/>
      <c r="O30" s="374">
        <f>H30</f>
        <v>2.6617567464505918E-3</v>
      </c>
      <c r="P30" s="304"/>
      <c r="Q30" s="303"/>
      <c r="R30" s="303"/>
      <c r="S30" s="350"/>
      <c r="T30" s="378"/>
      <c r="U30" s="335"/>
      <c r="V30" s="350"/>
      <c r="W30" s="322"/>
      <c r="X30" s="322"/>
      <c r="Y30" s="322"/>
      <c r="Z30" s="372" t="s">
        <v>579</v>
      </c>
      <c r="AA30" s="372"/>
      <c r="AB30" s="306">
        <f>IF(AB29=0,0,AB29/AB9)</f>
        <v>2.6586589069527411E-3</v>
      </c>
      <c r="AC30" s="306"/>
      <c r="AF30" s="136"/>
      <c r="AG30" s="136"/>
      <c r="AH30" s="136"/>
      <c r="AI30" s="374">
        <f>AB30</f>
        <v>2.6586589069527411E-3</v>
      </c>
      <c r="AJ30" s="304"/>
      <c r="AK30" s="303"/>
      <c r="AL30" s="350"/>
      <c r="AM30" s="136"/>
      <c r="AN30" s="136"/>
      <c r="AO30" s="136"/>
    </row>
    <row r="31" spans="1:41" ht="15.75" hidden="1" outlineLevel="1">
      <c r="A31" s="589"/>
      <c r="B31" s="322"/>
      <c r="C31" s="322"/>
      <c r="D31" s="322"/>
      <c r="E31" s="322"/>
      <c r="F31" s="372"/>
      <c r="G31" s="372"/>
      <c r="H31" s="306"/>
      <c r="I31" s="306"/>
      <c r="O31" s="374"/>
      <c r="P31" s="304"/>
      <c r="Q31" s="303"/>
      <c r="R31" s="303"/>
      <c r="S31" s="350"/>
      <c r="T31" s="378"/>
      <c r="U31" s="335"/>
      <c r="V31" s="350"/>
      <c r="W31" s="322"/>
      <c r="X31" s="322"/>
      <c r="Y31" s="322"/>
      <c r="Z31" s="372"/>
      <c r="AA31" s="372"/>
      <c r="AB31" s="306"/>
      <c r="AC31" s="306"/>
      <c r="AI31" s="374"/>
      <c r="AJ31" s="304"/>
      <c r="AK31" s="303"/>
      <c r="AL31" s="350"/>
      <c r="AM31" s="136"/>
      <c r="AN31" s="136"/>
      <c r="AO31" s="136"/>
    </row>
    <row r="32" spans="1:41" hidden="1" outlineLevel="1">
      <c r="A32" s="592"/>
      <c r="B32" s="322" t="s">
        <v>578</v>
      </c>
      <c r="C32" s="322"/>
      <c r="D32" s="322"/>
      <c r="E32" s="322"/>
      <c r="F32" s="307"/>
      <c r="G32" s="307"/>
      <c r="H32" s="304"/>
      <c r="I32" s="304"/>
      <c r="O32" s="304"/>
      <c r="P32" s="304"/>
      <c r="Q32" s="304"/>
      <c r="R32" s="304"/>
      <c r="S32" s="335"/>
      <c r="T32" s="304"/>
      <c r="U32" s="335"/>
      <c r="V32" s="335"/>
      <c r="W32" s="322"/>
      <c r="X32" s="322"/>
      <c r="Y32" s="322"/>
      <c r="Z32" s="307"/>
      <c r="AA32" s="307"/>
      <c r="AB32" s="304"/>
      <c r="AC32" s="304"/>
      <c r="AI32" s="304"/>
      <c r="AJ32" s="304"/>
      <c r="AK32" s="304"/>
      <c r="AL32" s="335"/>
      <c r="AM32" s="136"/>
      <c r="AN32" s="136"/>
      <c r="AO32" s="136"/>
    </row>
    <row r="33" spans="1:41" ht="15.75" hidden="1" outlineLevel="1">
      <c r="A33" s="592" t="s">
        <v>577</v>
      </c>
      <c r="B33" s="322" t="s">
        <v>576</v>
      </c>
      <c r="C33" s="322"/>
      <c r="D33" s="322"/>
      <c r="E33" s="322"/>
      <c r="F33" s="372" t="s">
        <v>826</v>
      </c>
      <c r="G33" s="372"/>
      <c r="H33" s="590">
        <v>28947317</v>
      </c>
      <c r="I33" s="304"/>
      <c r="P33" s="304"/>
      <c r="Q33" s="380"/>
      <c r="R33" s="380"/>
      <c r="S33" s="335"/>
      <c r="T33" s="379"/>
      <c r="U33" s="364"/>
      <c r="V33" s="335"/>
      <c r="W33" s="322"/>
      <c r="X33" s="322"/>
      <c r="Y33" s="322"/>
      <c r="Z33" s="372" t="s">
        <v>826</v>
      </c>
      <c r="AA33" s="372"/>
      <c r="AB33" s="869">
        <v>29415999</v>
      </c>
      <c r="AC33" s="304"/>
      <c r="AJ33" s="304"/>
      <c r="AK33" s="380"/>
      <c r="AL33" s="335"/>
      <c r="AM33" s="136"/>
      <c r="AN33" s="136"/>
      <c r="AO33" s="136"/>
    </row>
    <row r="34" spans="1:41" ht="15.75" hidden="1" outlineLevel="1">
      <c r="A34" s="592" t="s">
        <v>574</v>
      </c>
      <c r="B34" s="322" t="s">
        <v>573</v>
      </c>
      <c r="C34" s="322"/>
      <c r="D34" s="322"/>
      <c r="E34" s="322"/>
      <c r="F34" s="372" t="s">
        <v>572</v>
      </c>
      <c r="G34" s="372"/>
      <c r="H34" s="306">
        <f>IF(H33=0,0,H33/H9)</f>
        <v>4.3969032117577925E-3</v>
      </c>
      <c r="I34" s="306"/>
      <c r="O34" s="374">
        <f>H34</f>
        <v>4.3969032117577925E-3</v>
      </c>
      <c r="P34" s="304"/>
      <c r="Q34" s="303"/>
      <c r="R34" s="303"/>
      <c r="S34" s="335"/>
      <c r="T34" s="378"/>
      <c r="U34" s="364"/>
      <c r="V34" s="335"/>
      <c r="W34" s="322"/>
      <c r="X34" s="322"/>
      <c r="Y34" s="322"/>
      <c r="Z34" s="372" t="s">
        <v>572</v>
      </c>
      <c r="AA34" s="372"/>
      <c r="AB34" s="306">
        <f>IF(AB33=0,0,AB33/AB9)</f>
        <v>4.4919762473169299E-3</v>
      </c>
      <c r="AC34" s="306"/>
      <c r="AI34" s="374">
        <f>AB34</f>
        <v>4.4919762473169299E-3</v>
      </c>
      <c r="AJ34" s="304"/>
      <c r="AK34" s="303"/>
      <c r="AL34" s="335"/>
      <c r="AM34" s="136"/>
      <c r="AN34" s="136"/>
      <c r="AO34" s="136"/>
    </row>
    <row r="35" spans="1:41" hidden="1" outlineLevel="1">
      <c r="A35" s="592"/>
      <c r="B35" s="322"/>
      <c r="C35" s="322"/>
      <c r="D35" s="322"/>
      <c r="E35" s="322"/>
      <c r="F35" s="372"/>
      <c r="G35" s="372"/>
      <c r="H35" s="304"/>
      <c r="I35" s="304"/>
      <c r="O35" s="304"/>
      <c r="P35" s="304"/>
      <c r="U35" s="335"/>
      <c r="W35" s="322"/>
      <c r="X35" s="322"/>
      <c r="Y35" s="322"/>
      <c r="Z35" s="372"/>
      <c r="AA35" s="372"/>
      <c r="AB35" s="304"/>
      <c r="AC35" s="304"/>
      <c r="AI35" s="304"/>
      <c r="AJ35" s="304"/>
      <c r="AM35" s="136"/>
      <c r="AN35" s="136"/>
      <c r="AO35" s="136"/>
    </row>
    <row r="36" spans="1:41" ht="15.75" hidden="1" outlineLevel="1">
      <c r="A36" s="371" t="s">
        <v>571</v>
      </c>
      <c r="B36" s="360" t="s">
        <v>697</v>
      </c>
      <c r="C36" s="360"/>
      <c r="D36" s="360"/>
      <c r="E36" s="360"/>
      <c r="F36" s="369" t="s">
        <v>696</v>
      </c>
      <c r="G36" s="369"/>
      <c r="H36" s="192">
        <f>H26+H30+H34</f>
        <v>1.322981697214683E-2</v>
      </c>
      <c r="I36" s="192"/>
      <c r="O36" s="192">
        <f>O26+O30+O34</f>
        <v>1.322981697214683E-2</v>
      </c>
      <c r="P36" s="304"/>
      <c r="U36" s="335"/>
      <c r="W36" s="360"/>
      <c r="X36" s="360"/>
      <c r="Y36" s="360"/>
      <c r="Z36" s="369" t="s">
        <v>696</v>
      </c>
      <c r="AA36" s="369"/>
      <c r="AB36" s="192">
        <f>AB26+AB30+AB34</f>
        <v>1.3412221807639516E-2</v>
      </c>
      <c r="AC36" s="192"/>
      <c r="AI36" s="192">
        <f>AI26+AI30+AI34</f>
        <v>1.3412221807639516E-2</v>
      </c>
      <c r="AJ36" s="304"/>
      <c r="AM36" s="136"/>
      <c r="AN36" s="136"/>
      <c r="AO36" s="136"/>
    </row>
    <row r="37" spans="1:41" hidden="1" outlineLevel="1">
      <c r="A37" s="592"/>
      <c r="B37" s="322"/>
      <c r="C37" s="322"/>
      <c r="D37" s="322"/>
      <c r="E37" s="322"/>
      <c r="F37" s="372"/>
      <c r="G37" s="372"/>
      <c r="H37" s="304"/>
      <c r="I37" s="304"/>
      <c r="O37" s="304"/>
      <c r="P37" s="304"/>
      <c r="Q37" s="304"/>
      <c r="R37" s="304"/>
      <c r="S37" s="335"/>
      <c r="T37" s="377"/>
      <c r="U37" s="335"/>
      <c r="V37" s="335"/>
      <c r="W37" s="322"/>
      <c r="X37" s="322"/>
      <c r="Y37" s="322"/>
      <c r="Z37" s="372"/>
      <c r="AA37" s="372"/>
      <c r="AB37" s="304"/>
      <c r="AC37" s="304"/>
      <c r="AI37" s="304"/>
      <c r="AJ37" s="304"/>
      <c r="AK37" s="304"/>
      <c r="AL37" s="335"/>
      <c r="AM37" s="136"/>
      <c r="AN37" s="136"/>
      <c r="AO37" s="136"/>
    </row>
    <row r="38" spans="1:41" hidden="1" outlineLevel="1">
      <c r="A38" s="308"/>
      <c r="B38" s="304" t="s">
        <v>569</v>
      </c>
      <c r="C38" s="304"/>
      <c r="D38" s="304"/>
      <c r="E38" s="304"/>
      <c r="F38" s="372"/>
      <c r="G38" s="372"/>
      <c r="H38" s="304"/>
      <c r="I38" s="304"/>
      <c r="O38" s="304"/>
      <c r="P38" s="376"/>
      <c r="Q38" s="323"/>
      <c r="R38" s="323"/>
      <c r="U38" s="364"/>
      <c r="W38" s="304"/>
      <c r="X38" s="304"/>
      <c r="Y38" s="304"/>
      <c r="Z38" s="372"/>
      <c r="AA38" s="372"/>
      <c r="AB38" s="304"/>
      <c r="AC38" s="304"/>
      <c r="AI38" s="304"/>
      <c r="AJ38" s="376"/>
      <c r="AK38" s="323"/>
      <c r="AM38" s="136"/>
      <c r="AN38" s="136"/>
      <c r="AO38" s="136"/>
    </row>
    <row r="39" spans="1:41" hidden="1" outlineLevel="1">
      <c r="A39" s="592" t="s">
        <v>568</v>
      </c>
      <c r="B39" s="304" t="s">
        <v>500</v>
      </c>
      <c r="C39" s="304"/>
      <c r="D39" s="304"/>
      <c r="E39" s="304"/>
      <c r="F39" s="372" t="s">
        <v>828</v>
      </c>
      <c r="G39" s="372"/>
      <c r="H39" s="590">
        <v>72627013.844064206</v>
      </c>
      <c r="I39" s="304"/>
      <c r="O39" s="304"/>
      <c r="P39" s="376"/>
      <c r="Q39" s="323"/>
      <c r="R39" s="323"/>
      <c r="U39" s="364"/>
      <c r="W39" s="304"/>
      <c r="X39" s="304"/>
      <c r="Y39" s="304"/>
      <c r="Z39" s="372" t="s">
        <v>828</v>
      </c>
      <c r="AA39" s="372"/>
      <c r="AB39" s="869">
        <v>70576048.1803343</v>
      </c>
      <c r="AC39" s="304"/>
      <c r="AI39" s="304"/>
      <c r="AJ39" s="376"/>
      <c r="AK39" s="323"/>
      <c r="AM39" s="136"/>
      <c r="AN39" s="136"/>
      <c r="AO39" s="136"/>
    </row>
    <row r="40" spans="1:41" ht="15.75" hidden="1" outlineLevel="1">
      <c r="A40" s="592" t="s">
        <v>566</v>
      </c>
      <c r="B40" s="304" t="s">
        <v>565</v>
      </c>
      <c r="C40" s="304"/>
      <c r="D40" s="304"/>
      <c r="E40" s="304"/>
      <c r="F40" s="372" t="s">
        <v>564</v>
      </c>
      <c r="G40" s="372"/>
      <c r="H40" s="306">
        <f>IF(H39=0,0,H39/H11)</f>
        <v>1.4979019279017571E-2</v>
      </c>
      <c r="I40" s="306"/>
      <c r="O40" s="374">
        <f>H40</f>
        <v>1.4979019279017571E-2</v>
      </c>
      <c r="P40" s="376"/>
      <c r="Q40" s="323"/>
      <c r="R40" s="323"/>
      <c r="S40" s="335"/>
      <c r="T40" s="335"/>
      <c r="U40" s="364"/>
      <c r="V40" s="335"/>
      <c r="W40" s="304"/>
      <c r="X40" s="304"/>
      <c r="Y40" s="304"/>
      <c r="Z40" s="372" t="s">
        <v>564</v>
      </c>
      <c r="AA40" s="372"/>
      <c r="AB40" s="306">
        <f>IF(AB39=0,0,AB39/AB11)</f>
        <v>1.4581269935895501E-2</v>
      </c>
      <c r="AC40" s="306"/>
      <c r="AI40" s="374">
        <f>AB40</f>
        <v>1.4581269935895501E-2</v>
      </c>
      <c r="AJ40" s="376"/>
      <c r="AK40" s="323"/>
      <c r="AL40" s="335"/>
      <c r="AM40" s="136"/>
      <c r="AN40" s="136"/>
      <c r="AO40" s="136"/>
    </row>
    <row r="41" spans="1:41" hidden="1" outlineLevel="1">
      <c r="A41" s="592"/>
      <c r="B41" s="304"/>
      <c r="C41" s="304"/>
      <c r="D41" s="304"/>
      <c r="E41" s="304"/>
      <c r="F41" s="372"/>
      <c r="G41" s="372"/>
      <c r="H41" s="304"/>
      <c r="I41" s="304"/>
      <c r="O41" s="304"/>
      <c r="P41" s="304"/>
      <c r="S41" s="336"/>
      <c r="T41" s="335"/>
      <c r="U41" s="336"/>
      <c r="V41" s="336"/>
      <c r="W41" s="304"/>
      <c r="X41" s="304"/>
      <c r="Y41" s="304"/>
      <c r="Z41" s="372"/>
      <c r="AA41" s="372"/>
      <c r="AB41" s="304"/>
      <c r="AC41" s="304"/>
      <c r="AI41" s="304"/>
      <c r="AJ41" s="304"/>
      <c r="AL41" s="336"/>
      <c r="AM41" s="136"/>
      <c r="AN41" s="136"/>
      <c r="AO41" s="136"/>
    </row>
    <row r="42" spans="1:41" hidden="1" outlineLevel="1">
      <c r="A42" s="592"/>
      <c r="B42" s="322" t="s">
        <v>190</v>
      </c>
      <c r="C42" s="322"/>
      <c r="D42" s="322"/>
      <c r="E42" s="322"/>
      <c r="F42" s="367"/>
      <c r="G42" s="367"/>
      <c r="P42" s="304"/>
      <c r="S42" s="335"/>
      <c r="T42" s="335"/>
      <c r="U42" s="335"/>
      <c r="V42" s="335"/>
      <c r="W42" s="322"/>
      <c r="X42" s="322"/>
      <c r="Y42" s="322"/>
      <c r="Z42" s="367"/>
      <c r="AA42" s="367"/>
      <c r="AJ42" s="304"/>
      <c r="AL42" s="335"/>
      <c r="AM42" s="136"/>
      <c r="AN42" s="136"/>
      <c r="AO42" s="136"/>
    </row>
    <row r="43" spans="1:41" hidden="1" outlineLevel="1">
      <c r="A43" s="592" t="s">
        <v>563</v>
      </c>
      <c r="B43" s="322" t="s">
        <v>562</v>
      </c>
      <c r="C43" s="322"/>
      <c r="D43" s="322"/>
      <c r="E43" s="322"/>
      <c r="F43" s="372" t="s">
        <v>830</v>
      </c>
      <c r="G43" s="372"/>
      <c r="H43" s="590">
        <v>302712893.95036954</v>
      </c>
      <c r="I43" s="304"/>
      <c r="O43" s="304"/>
      <c r="P43" s="304"/>
      <c r="S43" s="335"/>
      <c r="T43" s="335"/>
      <c r="U43" s="335"/>
      <c r="V43" s="335"/>
      <c r="W43" s="322"/>
      <c r="X43" s="322"/>
      <c r="Y43" s="322"/>
      <c r="Z43" s="372" t="s">
        <v>830</v>
      </c>
      <c r="AA43" s="372"/>
      <c r="AB43" s="869">
        <v>301623393.89588213</v>
      </c>
      <c r="AC43" s="304"/>
      <c r="AI43" s="304"/>
      <c r="AJ43" s="304"/>
      <c r="AL43" s="335"/>
      <c r="AM43" s="136"/>
      <c r="AN43" s="136"/>
      <c r="AO43" s="136"/>
    </row>
    <row r="44" spans="1:41" ht="15.75" hidden="1" outlineLevel="1">
      <c r="A44" s="592" t="s">
        <v>560</v>
      </c>
      <c r="B44" s="304" t="s">
        <v>559</v>
      </c>
      <c r="C44" s="304"/>
      <c r="D44" s="304"/>
      <c r="E44" s="304"/>
      <c r="F44" s="372" t="s">
        <v>558</v>
      </c>
      <c r="G44" s="372"/>
      <c r="H44" s="200">
        <f>IF(H43=0,0,H43/H11)</f>
        <v>6.2433274266588588E-2</v>
      </c>
      <c r="I44" s="200"/>
      <c r="O44" s="374">
        <f>H44</f>
        <v>6.2433274266588588E-2</v>
      </c>
      <c r="P44" s="304"/>
      <c r="T44" s="373"/>
      <c r="U44" s="364"/>
      <c r="W44" s="304"/>
      <c r="X44" s="304"/>
      <c r="Y44" s="304"/>
      <c r="Z44" s="372" t="s">
        <v>558</v>
      </c>
      <c r="AA44" s="372"/>
      <c r="AB44" s="200">
        <f>IF(AB43=0,0,AB43/AB11)</f>
        <v>6.2316497434639455E-2</v>
      </c>
      <c r="AC44" s="200"/>
      <c r="AI44" s="374">
        <f>AB44</f>
        <v>6.2316497434639455E-2</v>
      </c>
      <c r="AJ44" s="304"/>
      <c r="AM44" s="136"/>
      <c r="AN44" s="136"/>
      <c r="AO44" s="136"/>
    </row>
    <row r="45" spans="1:41" hidden="1" outlineLevel="1">
      <c r="A45" s="592"/>
      <c r="B45" s="322"/>
      <c r="C45" s="322"/>
      <c r="D45" s="322"/>
      <c r="E45" s="322"/>
      <c r="F45" s="372"/>
      <c r="G45" s="372"/>
      <c r="H45" s="304"/>
      <c r="I45" s="304"/>
      <c r="O45" s="304"/>
      <c r="P45" s="304"/>
      <c r="Q45" s="367"/>
      <c r="R45" s="367"/>
      <c r="S45" s="335"/>
      <c r="T45" s="335"/>
      <c r="U45" s="335"/>
      <c r="V45" s="335"/>
      <c r="W45" s="322"/>
      <c r="X45" s="322"/>
      <c r="Y45" s="322"/>
      <c r="Z45" s="372"/>
      <c r="AA45" s="372"/>
      <c r="AB45" s="304"/>
      <c r="AC45" s="304"/>
      <c r="AI45" s="304"/>
      <c r="AJ45" s="304"/>
      <c r="AK45" s="367"/>
      <c r="AL45" s="335"/>
      <c r="AM45" s="136"/>
      <c r="AN45" s="136"/>
      <c r="AO45" s="136"/>
    </row>
    <row r="46" spans="1:41" ht="15.75" hidden="1" outlineLevel="1">
      <c r="A46" s="371" t="s">
        <v>557</v>
      </c>
      <c r="B46" s="360" t="s">
        <v>543</v>
      </c>
      <c r="C46" s="360"/>
      <c r="D46" s="360"/>
      <c r="E46" s="360"/>
      <c r="F46" s="369" t="s">
        <v>556</v>
      </c>
      <c r="G46" s="369"/>
      <c r="H46" s="368"/>
      <c r="I46" s="368"/>
      <c r="O46" s="192">
        <f>O40+O44</f>
        <v>7.7412293545606164E-2</v>
      </c>
      <c r="P46" s="304"/>
      <c r="Q46" s="367"/>
      <c r="R46" s="367"/>
      <c r="S46" s="335"/>
      <c r="T46" s="335"/>
      <c r="U46" s="335"/>
      <c r="V46" s="335"/>
      <c r="W46" s="360"/>
      <c r="X46" s="360"/>
      <c r="Y46" s="360"/>
      <c r="Z46" s="369" t="s">
        <v>556</v>
      </c>
      <c r="AA46" s="369"/>
      <c r="AB46" s="368"/>
      <c r="AC46" s="368"/>
      <c r="AI46" s="192">
        <f>AI40+AI44</f>
        <v>7.6897767370534956E-2</v>
      </c>
      <c r="AJ46" s="304"/>
      <c r="AK46" s="367"/>
      <c r="AL46" s="335"/>
      <c r="AM46" s="136"/>
      <c r="AN46" s="136"/>
      <c r="AO46" s="330"/>
    </row>
    <row r="47" spans="1:41" collapsed="1">
      <c r="F47" s="322"/>
      <c r="G47" s="322"/>
      <c r="H47" s="322"/>
      <c r="I47" s="322"/>
      <c r="J47" s="322"/>
      <c r="K47" s="322"/>
      <c r="L47" s="322"/>
      <c r="M47" s="322"/>
      <c r="N47" s="322"/>
      <c r="O47" s="322"/>
      <c r="P47" s="322"/>
      <c r="Q47" s="322"/>
      <c r="R47" s="322"/>
      <c r="S47" s="335"/>
      <c r="T47" s="336"/>
      <c r="U47" s="335"/>
      <c r="V47" s="335"/>
      <c r="Z47" s="322"/>
      <c r="AA47" s="322"/>
      <c r="AB47" s="322"/>
      <c r="AC47" s="322"/>
      <c r="AD47" s="322"/>
      <c r="AE47" s="322"/>
      <c r="AF47" s="322"/>
      <c r="AG47" s="322"/>
      <c r="AH47" s="322"/>
      <c r="AI47" s="322"/>
      <c r="AJ47" s="322"/>
      <c r="AK47" s="322"/>
      <c r="AL47" s="335"/>
      <c r="AM47" s="136"/>
      <c r="AN47" s="136"/>
      <c r="AO47" s="136"/>
    </row>
    <row r="48" spans="1:41" ht="18.75">
      <c r="A48" s="593" t="s">
        <v>360</v>
      </c>
      <c r="B48" s="593"/>
      <c r="C48" s="976" t="str">
        <f>A49&amp;" Projected Revenue Requirement Calculation"</f>
        <v>2020 Projected Revenue Requirement Calculation</v>
      </c>
      <c r="D48" s="976"/>
      <c r="E48" s="976"/>
      <c r="F48" s="976"/>
      <c r="G48" s="976"/>
      <c r="H48" s="976"/>
      <c r="I48" s="976"/>
      <c r="J48" s="976"/>
      <c r="K48" s="976"/>
      <c r="L48" s="976"/>
      <c r="M48" s="976"/>
      <c r="N48" s="976"/>
      <c r="O48" s="976"/>
      <c r="P48" s="976"/>
      <c r="Q48" s="976"/>
      <c r="R48" s="976"/>
      <c r="S48" s="335"/>
      <c r="T48" s="977" t="s">
        <v>811</v>
      </c>
      <c r="U48" s="977"/>
      <c r="V48" s="335"/>
      <c r="W48" s="976" t="str">
        <f>A49&amp;" Actual Revenue Requirement"</f>
        <v>2020 Actual Revenue Requirement</v>
      </c>
      <c r="X48" s="976"/>
      <c r="Y48" s="976"/>
      <c r="Z48" s="976"/>
      <c r="AA48" s="976"/>
      <c r="AB48" s="976"/>
      <c r="AC48" s="976"/>
      <c r="AD48" s="976"/>
      <c r="AE48" s="976"/>
      <c r="AF48" s="976"/>
      <c r="AG48" s="976"/>
      <c r="AH48" s="976"/>
      <c r="AI48" s="976"/>
      <c r="AJ48" s="976"/>
      <c r="AK48" s="976"/>
      <c r="AL48" s="335"/>
      <c r="AM48" s="977" t="str">
        <f>A49&amp;" Annual True-up Calculation"</f>
        <v>2020 Annual True-up Calculation</v>
      </c>
      <c r="AN48" s="977"/>
      <c r="AO48" s="977"/>
    </row>
    <row r="49" spans="1:41">
      <c r="A49" s="495">
        <v>2020</v>
      </c>
      <c r="B49" s="305"/>
      <c r="C49" s="305"/>
      <c r="D49" s="305"/>
      <c r="E49" s="594">
        <f>+O21</f>
        <v>5.4248891824145641E-2</v>
      </c>
      <c r="F49" s="322"/>
      <c r="G49" s="594">
        <f>+O36</f>
        <v>1.322981697214683E-2</v>
      </c>
      <c r="H49" s="136"/>
      <c r="I49" s="136"/>
      <c r="J49" s="157"/>
      <c r="K49" s="594">
        <f>+O46</f>
        <v>7.7412293545606164E-2</v>
      </c>
      <c r="L49" s="157"/>
      <c r="M49" s="157"/>
      <c r="N49" s="157"/>
      <c r="O49" s="157"/>
      <c r="P49" s="304"/>
      <c r="Q49" s="304"/>
      <c r="R49" s="304"/>
      <c r="S49" s="335"/>
      <c r="T49" s="875">
        <v>33671246.229999997</v>
      </c>
      <c r="U49" s="497" t="s">
        <v>855</v>
      </c>
      <c r="V49" s="335"/>
      <c r="W49" s="305"/>
      <c r="X49" s="305"/>
      <c r="Y49" s="868">
        <f>+AI21</f>
        <v>5.3201521592995661E-2</v>
      </c>
      <c r="Z49" s="322"/>
      <c r="AA49" s="868">
        <f>+AI36</f>
        <v>1.3412221807639516E-2</v>
      </c>
      <c r="AB49" s="136"/>
      <c r="AC49" s="136"/>
      <c r="AD49" s="157"/>
      <c r="AE49" s="868">
        <f>+AI46</f>
        <v>7.6897767370534956E-2</v>
      </c>
      <c r="AF49" s="157"/>
      <c r="AG49" s="157"/>
      <c r="AH49" s="157"/>
      <c r="AI49" s="157"/>
      <c r="AJ49" s="304"/>
      <c r="AK49" s="304"/>
      <c r="AL49" s="335"/>
      <c r="AM49" s="497"/>
      <c r="AN49" s="497"/>
      <c r="AO49" s="497"/>
    </row>
    <row r="50" spans="1:41">
      <c r="A50" s="305"/>
      <c r="B50" s="305"/>
      <c r="C50" s="305"/>
      <c r="D50" s="305"/>
      <c r="E50" s="305"/>
      <c r="F50" s="305"/>
      <c r="G50" s="305"/>
      <c r="H50" s="305"/>
      <c r="I50" s="305"/>
      <c r="J50" s="305"/>
      <c r="K50" s="305"/>
      <c r="L50" s="305"/>
      <c r="M50" s="305"/>
      <c r="N50" s="305"/>
      <c r="O50" s="305"/>
      <c r="P50" s="305"/>
      <c r="Q50" s="305"/>
      <c r="R50" s="305"/>
      <c r="S50" s="335"/>
      <c r="T50" s="624">
        <f>+P65</f>
        <v>3367611.7141850577</v>
      </c>
      <c r="U50" s="497" t="s">
        <v>384</v>
      </c>
      <c r="V50" s="335"/>
      <c r="W50" s="305"/>
      <c r="X50" s="305"/>
      <c r="Y50" s="305"/>
      <c r="Z50" s="305"/>
      <c r="AA50" s="305"/>
      <c r="AB50" s="305"/>
      <c r="AC50" s="305"/>
      <c r="AD50" s="305"/>
      <c r="AE50" s="305"/>
      <c r="AF50" s="157"/>
      <c r="AG50" s="157"/>
      <c r="AH50" s="157"/>
      <c r="AI50" s="157"/>
      <c r="AJ50" s="304"/>
      <c r="AK50" s="304"/>
      <c r="AL50" s="335"/>
      <c r="AM50" s="497"/>
      <c r="AN50" s="501">
        <f>'MM TU Interest'!E29</f>
        <v>7.9167592443813231E-3</v>
      </c>
      <c r="AO50" s="136" t="s">
        <v>873</v>
      </c>
    </row>
    <row r="51" spans="1:41">
      <c r="A51" s="305"/>
      <c r="B51" s="305"/>
      <c r="C51" s="305"/>
      <c r="D51" s="305"/>
      <c r="E51" s="305"/>
      <c r="F51" s="305"/>
      <c r="G51" s="305"/>
      <c r="H51" s="305"/>
      <c r="I51" s="305"/>
      <c r="J51" s="305"/>
      <c r="K51" s="305"/>
      <c r="L51" s="305"/>
      <c r="M51" s="305"/>
      <c r="N51" s="305"/>
      <c r="O51" s="305"/>
      <c r="P51" s="305"/>
      <c r="Q51" s="305"/>
      <c r="R51" s="305"/>
      <c r="S51" s="335"/>
      <c r="T51" s="502">
        <f>SUM(T49:T50)</f>
        <v>37038857.944185056</v>
      </c>
      <c r="U51" s="496"/>
      <c r="V51" s="335"/>
      <c r="W51" s="305"/>
      <c r="X51" s="305"/>
      <c r="Y51" s="305"/>
      <c r="Z51" s="305"/>
      <c r="AA51" s="305"/>
      <c r="AB51" s="305"/>
      <c r="AC51" s="305"/>
      <c r="AD51" s="305"/>
      <c r="AE51" s="305"/>
      <c r="AF51" s="157"/>
      <c r="AG51" s="157"/>
      <c r="AH51" s="157"/>
      <c r="AI51" s="157"/>
      <c r="AJ51" s="304"/>
      <c r="AK51" s="304"/>
      <c r="AL51" s="335"/>
      <c r="AM51" s="497"/>
      <c r="AN51" s="330">
        <f>'MM TU Interest'!E35</f>
        <v>36011.914859883022</v>
      </c>
      <c r="AO51" s="136" t="s">
        <v>874</v>
      </c>
    </row>
    <row r="52" spans="1:41">
      <c r="A52" s="545" t="s">
        <v>288</v>
      </c>
      <c r="B52" s="595" t="s">
        <v>290</v>
      </c>
      <c r="C52" s="596" t="s">
        <v>834</v>
      </c>
      <c r="D52" s="596" t="s">
        <v>835</v>
      </c>
      <c r="E52" s="596" t="s">
        <v>836</v>
      </c>
      <c r="F52" s="596" t="s">
        <v>837</v>
      </c>
      <c r="G52" s="596" t="s">
        <v>838</v>
      </c>
      <c r="H52" s="596" t="s">
        <v>839</v>
      </c>
      <c r="I52" s="596" t="s">
        <v>840</v>
      </c>
      <c r="J52" s="596" t="s">
        <v>864</v>
      </c>
      <c r="K52" s="596" t="s">
        <v>875</v>
      </c>
      <c r="L52" s="596" t="s">
        <v>876</v>
      </c>
      <c r="M52" s="596" t="s">
        <v>877</v>
      </c>
      <c r="N52" s="596" t="s">
        <v>878</v>
      </c>
      <c r="O52" s="595" t="s">
        <v>292</v>
      </c>
      <c r="P52" s="595" t="s">
        <v>294</v>
      </c>
      <c r="Q52" s="595" t="s">
        <v>295</v>
      </c>
      <c r="R52" s="595" t="s">
        <v>297</v>
      </c>
      <c r="S52" s="335"/>
      <c r="T52" s="547" t="s">
        <v>299</v>
      </c>
      <c r="U52" s="548" t="s">
        <v>301</v>
      </c>
      <c r="V52" s="335"/>
      <c r="W52" s="597" t="s">
        <v>841</v>
      </c>
      <c r="X52" s="597" t="s">
        <v>842</v>
      </c>
      <c r="Y52" s="597" t="s">
        <v>843</v>
      </c>
      <c r="Z52" s="597" t="s">
        <v>844</v>
      </c>
      <c r="AA52" s="597" t="s">
        <v>845</v>
      </c>
      <c r="AB52" s="597" t="s">
        <v>846</v>
      </c>
      <c r="AC52" s="597" t="s">
        <v>847</v>
      </c>
      <c r="AD52" s="596" t="s">
        <v>865</v>
      </c>
      <c r="AE52" s="596" t="s">
        <v>879</v>
      </c>
      <c r="AF52" s="596" t="s">
        <v>880</v>
      </c>
      <c r="AG52" s="596" t="s">
        <v>881</v>
      </c>
      <c r="AH52" s="596" t="s">
        <v>882</v>
      </c>
      <c r="AI52" s="595" t="s">
        <v>303</v>
      </c>
      <c r="AJ52" s="595" t="s">
        <v>305</v>
      </c>
      <c r="AK52" s="595" t="s">
        <v>307</v>
      </c>
      <c r="AL52" s="335"/>
      <c r="AM52" s="547" t="s">
        <v>316</v>
      </c>
      <c r="AN52" s="547" t="s">
        <v>318</v>
      </c>
      <c r="AO52" s="547" t="s">
        <v>320</v>
      </c>
    </row>
    <row r="53" spans="1:41" ht="75">
      <c r="A53" s="598" t="s">
        <v>548</v>
      </c>
      <c r="B53" s="598" t="s">
        <v>549</v>
      </c>
      <c r="C53" s="598" t="s">
        <v>883</v>
      </c>
      <c r="D53" s="598" t="s">
        <v>680</v>
      </c>
      <c r="E53" s="598" t="s">
        <v>679</v>
      </c>
      <c r="F53" s="343" t="s">
        <v>678</v>
      </c>
      <c r="G53" s="343" t="s">
        <v>677</v>
      </c>
      <c r="H53" s="599" t="s">
        <v>676</v>
      </c>
      <c r="I53" s="600" t="s">
        <v>545</v>
      </c>
      <c r="J53" s="343" t="s">
        <v>544</v>
      </c>
      <c r="K53" s="343" t="s">
        <v>543</v>
      </c>
      <c r="L53" s="600" t="s">
        <v>542</v>
      </c>
      <c r="M53" s="343" t="s">
        <v>541</v>
      </c>
      <c r="N53" s="343" t="s">
        <v>609</v>
      </c>
      <c r="O53" s="340" t="s">
        <v>539</v>
      </c>
      <c r="P53" s="341" t="s">
        <v>849</v>
      </c>
      <c r="Q53" s="340" t="s">
        <v>675</v>
      </c>
      <c r="R53" s="553" t="s">
        <v>850</v>
      </c>
      <c r="S53" s="601"/>
      <c r="T53" s="553" t="s">
        <v>851</v>
      </c>
      <c r="U53" s="553" t="s">
        <v>813</v>
      </c>
      <c r="V53" s="601"/>
      <c r="W53" s="598" t="s">
        <v>884</v>
      </c>
      <c r="X53" s="598" t="s">
        <v>680</v>
      </c>
      <c r="Y53" s="598" t="s">
        <v>679</v>
      </c>
      <c r="Z53" s="343" t="s">
        <v>678</v>
      </c>
      <c r="AA53" s="343" t="s">
        <v>677</v>
      </c>
      <c r="AB53" s="599" t="s">
        <v>676</v>
      </c>
      <c r="AC53" s="600" t="s">
        <v>545</v>
      </c>
      <c r="AD53" s="343" t="s">
        <v>544</v>
      </c>
      <c r="AE53" s="343" t="s">
        <v>543</v>
      </c>
      <c r="AF53" s="600" t="s">
        <v>542</v>
      </c>
      <c r="AG53" s="343" t="s">
        <v>541</v>
      </c>
      <c r="AH53" s="343" t="s">
        <v>609</v>
      </c>
      <c r="AI53" s="340" t="s">
        <v>539</v>
      </c>
      <c r="AJ53" s="341" t="s">
        <v>849</v>
      </c>
      <c r="AK53" s="340" t="s">
        <v>675</v>
      </c>
      <c r="AL53" s="601"/>
      <c r="AM53" s="553" t="s">
        <v>853</v>
      </c>
      <c r="AN53" s="553" t="s">
        <v>854</v>
      </c>
      <c r="AO53" s="553" t="str">
        <f>"Total "&amp;J49&amp;" True-up"</f>
        <v>Total  True-up</v>
      </c>
    </row>
    <row r="54" spans="1:41">
      <c r="A54" s="157"/>
      <c r="B54" s="157"/>
      <c r="C54" s="157"/>
      <c r="D54" s="157"/>
      <c r="E54" s="157"/>
      <c r="F54" s="157"/>
      <c r="G54" s="157"/>
      <c r="H54" s="157"/>
      <c r="I54" s="338"/>
      <c r="J54" s="157"/>
      <c r="K54" s="157"/>
      <c r="L54" s="338"/>
      <c r="M54" s="157"/>
      <c r="N54" s="157"/>
      <c r="O54" s="338"/>
      <c r="P54" s="304"/>
      <c r="Q54" s="337"/>
      <c r="R54" s="337"/>
      <c r="S54" s="335"/>
      <c r="T54" s="602"/>
      <c r="U54" s="603"/>
      <c r="V54" s="335"/>
      <c r="W54" s="157"/>
      <c r="X54" s="157"/>
      <c r="Y54" s="157"/>
      <c r="Z54" s="157"/>
      <c r="AA54" s="157"/>
      <c r="AB54" s="157"/>
      <c r="AC54" s="338"/>
      <c r="AD54" s="157"/>
      <c r="AE54" s="157"/>
      <c r="AF54" s="338"/>
      <c r="AG54" s="157"/>
      <c r="AH54" s="157"/>
      <c r="AI54" s="338"/>
      <c r="AJ54" s="304"/>
      <c r="AK54" s="337"/>
      <c r="AL54" s="335"/>
      <c r="AM54" s="604"/>
      <c r="AN54" s="604"/>
      <c r="AO54" s="604"/>
    </row>
    <row r="55" spans="1:41">
      <c r="A55" s="605">
        <v>2844</v>
      </c>
      <c r="B55" s="606" t="s">
        <v>959</v>
      </c>
      <c r="C55" s="607">
        <v>2844</v>
      </c>
      <c r="D55" s="607">
        <v>4852327</v>
      </c>
      <c r="E55" s="200">
        <f>E$49</f>
        <v>5.4248891824145641E-2</v>
      </c>
      <c r="F55" s="330">
        <f t="shared" ref="F55:F63" si="0">D55*E55</f>
        <v>263233.36251838115</v>
      </c>
      <c r="G55" s="200">
        <f>G$49</f>
        <v>1.322981697214683E-2</v>
      </c>
      <c r="H55" s="608">
        <f t="shared" ref="H55:H63" si="1">C55*G55</f>
        <v>37.625599468785587</v>
      </c>
      <c r="I55" s="329">
        <f t="shared" ref="I55:I63" si="2">F55+H55</f>
        <v>263270.98811784992</v>
      </c>
      <c r="J55" s="607">
        <v>28677918</v>
      </c>
      <c r="K55" s="200">
        <f>K$49</f>
        <v>7.7412293545606164E-2</v>
      </c>
      <c r="L55" s="329">
        <f t="shared" ref="L55:L63" si="3">J55*K55</f>
        <v>2220023.4064928228</v>
      </c>
      <c r="M55" s="607">
        <v>726745</v>
      </c>
      <c r="N55" s="607">
        <v>0</v>
      </c>
      <c r="O55" s="329">
        <f t="shared" ref="O55:O63" si="4">I55+L55+M55+N55</f>
        <v>3210039.3946106727</v>
      </c>
      <c r="P55" s="607">
        <v>284205.96980045724</v>
      </c>
      <c r="Q55" s="329">
        <f t="shared" ref="Q55:Q63" si="5">O55+P55</f>
        <v>3494245.3644111301</v>
      </c>
      <c r="R55" s="609">
        <f>+Q55/$Q65</f>
        <v>9.7049752545178822E-2</v>
      </c>
      <c r="S55" s="138"/>
      <c r="T55" s="329">
        <f>+R55*T51</f>
        <v>3594611.9980391907</v>
      </c>
      <c r="U55" s="609">
        <f>+T55/T65</f>
        <v>9.7049752545178822E-2</v>
      </c>
      <c r="V55" s="138"/>
      <c r="W55" s="867">
        <v>33524337.389999989</v>
      </c>
      <c r="X55" s="867">
        <v>4846124.339999998</v>
      </c>
      <c r="Y55" s="200">
        <f>Y$49</f>
        <v>5.3201521592995661E-2</v>
      </c>
      <c r="Z55" s="330">
        <f t="shared" ref="Z55:Z63" si="6">X55*Y55</f>
        <v>257821.18871685173</v>
      </c>
      <c r="AA55" s="200">
        <f>AA$49</f>
        <v>1.3412221807639516E-2</v>
      </c>
      <c r="AB55" s="608">
        <f t="shared" ref="AB55:AB63" si="7">W55*AA55</f>
        <v>449635.84902882267</v>
      </c>
      <c r="AC55" s="329">
        <f t="shared" ref="AC55:AC63" si="8">Z55+AB55</f>
        <v>707457.03774567437</v>
      </c>
      <c r="AD55" s="330">
        <f>W55-X55</f>
        <v>28678213.04999999</v>
      </c>
      <c r="AE55" s="200">
        <f>AE$49</f>
        <v>7.6897767370534956E-2</v>
      </c>
      <c r="AF55" s="329">
        <f t="shared" ref="AF55:AF63" si="9">AD55*AE55</f>
        <v>2205290.5557215391</v>
      </c>
      <c r="AG55" s="867">
        <v>726563.87999999989</v>
      </c>
      <c r="AH55" s="867">
        <v>0</v>
      </c>
      <c r="AI55" s="329">
        <f t="shared" ref="AI55:AI63" si="10">AC55+AF55+AG55+AH55</f>
        <v>3639311.4734672131</v>
      </c>
      <c r="AJ55" s="330">
        <f>P55</f>
        <v>284205.96980045724</v>
      </c>
      <c r="AK55" s="329">
        <f t="shared" ref="AK55:AK63" si="11">AI55+AJ55</f>
        <v>3923517.4432676705</v>
      </c>
      <c r="AL55" s="138"/>
      <c r="AM55" s="329">
        <f>+AK55-T55</f>
        <v>328905.4452284798</v>
      </c>
      <c r="AN55" s="329">
        <f>(AM55/$AM65)*$AN51</f>
        <v>5243.9484043370094</v>
      </c>
      <c r="AO55" s="329">
        <f t="shared" ref="AO55:AO63" si="12">+AM55+AN55</f>
        <v>334149.39363281679</v>
      </c>
    </row>
    <row r="56" spans="1:41">
      <c r="A56" s="605">
        <v>3127</v>
      </c>
      <c r="B56" s="606" t="s">
        <v>960</v>
      </c>
      <c r="C56" s="607">
        <v>3127</v>
      </c>
      <c r="D56" s="607">
        <v>12879255</v>
      </c>
      <c r="E56" s="200">
        <f t="shared" ref="E56:E63" si="13">E$49</f>
        <v>5.4248891824145641E-2</v>
      </c>
      <c r="F56" s="330">
        <f t="shared" si="0"/>
        <v>698685.31127058691</v>
      </c>
      <c r="G56" s="200">
        <f t="shared" ref="G56:G63" si="14">G$49</f>
        <v>1.322981697214683E-2</v>
      </c>
      <c r="H56" s="608">
        <f t="shared" si="1"/>
        <v>41.369637671903135</v>
      </c>
      <c r="I56" s="329">
        <f t="shared" si="2"/>
        <v>698726.68090825877</v>
      </c>
      <c r="J56" s="607">
        <v>271243133</v>
      </c>
      <c r="K56" s="200">
        <f t="shared" ref="K56:K63" si="15">K$49</f>
        <v>7.7412293545606164E-2</v>
      </c>
      <c r="L56" s="329">
        <f t="shared" si="3"/>
        <v>20997553.034025893</v>
      </c>
      <c r="M56" s="607">
        <v>7730750</v>
      </c>
      <c r="N56" s="607">
        <v>0</v>
      </c>
      <c r="O56" s="329">
        <f t="shared" si="4"/>
        <v>29427029.714934152</v>
      </c>
      <c r="P56" s="607">
        <v>3083405.7443846003</v>
      </c>
      <c r="Q56" s="329">
        <f t="shared" si="5"/>
        <v>32510435.459318753</v>
      </c>
      <c r="R56" s="609">
        <f>+Q56/$Q65</f>
        <v>0.90295024745482122</v>
      </c>
      <c r="S56" s="138"/>
      <c r="T56" s="329">
        <f>+R56*T51</f>
        <v>33444245.946145866</v>
      </c>
      <c r="U56" s="609">
        <f>+T56/T65</f>
        <v>0.90295024745482122</v>
      </c>
      <c r="V56" s="138"/>
      <c r="W56" s="867">
        <v>285532991.49384606</v>
      </c>
      <c r="X56" s="867">
        <v>11878918.386153849</v>
      </c>
      <c r="Y56" s="200">
        <f t="shared" ref="Y56:Y63" si="16">Y$49</f>
        <v>5.3201521592995661E-2</v>
      </c>
      <c r="Z56" s="330">
        <f t="shared" si="6"/>
        <v>631976.5330223972</v>
      </c>
      <c r="AA56" s="200">
        <f t="shared" ref="AA56:AA63" si="17">AA$49</f>
        <v>1.3412221807639516E-2</v>
      </c>
      <c r="AB56" s="608">
        <f t="shared" si="7"/>
        <v>3829631.8153143106</v>
      </c>
      <c r="AC56" s="329">
        <f t="shared" si="8"/>
        <v>4461608.3483367078</v>
      </c>
      <c r="AD56" s="330">
        <f t="shared" ref="AD56:AD63" si="18">W56-X56</f>
        <v>273654073.10769218</v>
      </c>
      <c r="AE56" s="200">
        <f t="shared" ref="AE56:AE63" si="19">AE$49</f>
        <v>7.6897767370534956E-2</v>
      </c>
      <c r="AF56" s="329">
        <f t="shared" si="9"/>
        <v>21043387.25383468</v>
      </c>
      <c r="AG56" s="867">
        <v>6746349.96</v>
      </c>
      <c r="AH56" s="867">
        <v>39290.839999999997</v>
      </c>
      <c r="AI56" s="329">
        <f t="shared" si="10"/>
        <v>32290636.402171388</v>
      </c>
      <c r="AJ56" s="330">
        <f t="shared" ref="AJ56:AJ63" si="20">P56</f>
        <v>3083405.7443846003</v>
      </c>
      <c r="AK56" s="329">
        <f t="shared" si="11"/>
        <v>35374042.14655599</v>
      </c>
      <c r="AL56" s="138"/>
      <c r="AM56" s="329">
        <f t="shared" ref="AM56:AM63" si="21">+AK56-T56</f>
        <v>1929796.2004101239</v>
      </c>
      <c r="AN56" s="329">
        <f>(AM56/$AM65)*$AN51</f>
        <v>30767.966455546011</v>
      </c>
      <c r="AO56" s="329">
        <f t="shared" si="12"/>
        <v>1960564.1668656699</v>
      </c>
    </row>
    <row r="57" spans="1:41">
      <c r="A57" s="610"/>
      <c r="B57" s="606"/>
      <c r="C57" s="607">
        <v>0</v>
      </c>
      <c r="D57" s="607">
        <v>0</v>
      </c>
      <c r="E57" s="200">
        <f t="shared" si="13"/>
        <v>5.4248891824145641E-2</v>
      </c>
      <c r="F57" s="330">
        <f t="shared" si="0"/>
        <v>0</v>
      </c>
      <c r="G57" s="200">
        <f t="shared" si="14"/>
        <v>1.322981697214683E-2</v>
      </c>
      <c r="H57" s="608">
        <f t="shared" si="1"/>
        <v>0</v>
      </c>
      <c r="I57" s="329">
        <f t="shared" si="2"/>
        <v>0</v>
      </c>
      <c r="J57" s="607">
        <v>0</v>
      </c>
      <c r="K57" s="200">
        <f t="shared" si="15"/>
        <v>7.7412293545606164E-2</v>
      </c>
      <c r="L57" s="329">
        <f t="shared" si="3"/>
        <v>0</v>
      </c>
      <c r="M57" s="607">
        <v>0</v>
      </c>
      <c r="N57" s="607">
        <v>0</v>
      </c>
      <c r="O57" s="329">
        <f t="shared" si="4"/>
        <v>0</v>
      </c>
      <c r="P57" s="607">
        <v>0</v>
      </c>
      <c r="Q57" s="329">
        <f t="shared" si="5"/>
        <v>0</v>
      </c>
      <c r="R57" s="609">
        <f>+Q57/$Q65</f>
        <v>0</v>
      </c>
      <c r="S57" s="138"/>
      <c r="T57" s="329">
        <f>+R57*T51</f>
        <v>0</v>
      </c>
      <c r="U57" s="609">
        <f>+T57/T65</f>
        <v>0</v>
      </c>
      <c r="V57" s="138"/>
      <c r="W57" s="867">
        <v>0</v>
      </c>
      <c r="X57" s="867">
        <v>0</v>
      </c>
      <c r="Y57" s="200">
        <f t="shared" si="16"/>
        <v>5.3201521592995661E-2</v>
      </c>
      <c r="Z57" s="330">
        <f t="shared" si="6"/>
        <v>0</v>
      </c>
      <c r="AA57" s="200">
        <f t="shared" si="17"/>
        <v>1.3412221807639516E-2</v>
      </c>
      <c r="AB57" s="608">
        <f t="shared" si="7"/>
        <v>0</v>
      </c>
      <c r="AC57" s="329">
        <f t="shared" si="8"/>
        <v>0</v>
      </c>
      <c r="AD57" s="330">
        <f t="shared" si="18"/>
        <v>0</v>
      </c>
      <c r="AE57" s="200">
        <f t="shared" si="19"/>
        <v>7.6897767370534956E-2</v>
      </c>
      <c r="AF57" s="329">
        <f t="shared" si="9"/>
        <v>0</v>
      </c>
      <c r="AG57" s="867">
        <v>0</v>
      </c>
      <c r="AH57" s="867">
        <v>0</v>
      </c>
      <c r="AI57" s="329">
        <f t="shared" si="10"/>
        <v>0</v>
      </c>
      <c r="AJ57" s="330">
        <f t="shared" si="20"/>
        <v>0</v>
      </c>
      <c r="AK57" s="329">
        <f t="shared" si="11"/>
        <v>0</v>
      </c>
      <c r="AL57" s="138"/>
      <c r="AM57" s="329">
        <f t="shared" si="21"/>
        <v>0</v>
      </c>
      <c r="AN57" s="329">
        <f>(AM57/$AM65)*$AN51</f>
        <v>0</v>
      </c>
      <c r="AO57" s="329">
        <f t="shared" si="12"/>
        <v>0</v>
      </c>
    </row>
    <row r="58" spans="1:41">
      <c r="A58" s="610"/>
      <c r="B58" s="606"/>
      <c r="C58" s="607">
        <v>0</v>
      </c>
      <c r="D58" s="607">
        <f t="shared" ref="D58:D63" si="22">+C58-J58</f>
        <v>0</v>
      </c>
      <c r="E58" s="200">
        <f t="shared" si="13"/>
        <v>5.4248891824145641E-2</v>
      </c>
      <c r="F58" s="330">
        <f t="shared" si="0"/>
        <v>0</v>
      </c>
      <c r="G58" s="200">
        <f t="shared" si="14"/>
        <v>1.322981697214683E-2</v>
      </c>
      <c r="H58" s="608">
        <f t="shared" si="1"/>
        <v>0</v>
      </c>
      <c r="I58" s="329">
        <f t="shared" si="2"/>
        <v>0</v>
      </c>
      <c r="J58" s="607">
        <v>0</v>
      </c>
      <c r="K58" s="200">
        <f t="shared" si="15"/>
        <v>7.7412293545606164E-2</v>
      </c>
      <c r="L58" s="329">
        <f t="shared" si="3"/>
        <v>0</v>
      </c>
      <c r="M58" s="607">
        <v>0</v>
      </c>
      <c r="N58" s="607">
        <v>0</v>
      </c>
      <c r="O58" s="329">
        <f t="shared" si="4"/>
        <v>0</v>
      </c>
      <c r="P58" s="607">
        <v>0</v>
      </c>
      <c r="Q58" s="329">
        <f t="shared" si="5"/>
        <v>0</v>
      </c>
      <c r="R58" s="609">
        <f>+Q58/$Q65</f>
        <v>0</v>
      </c>
      <c r="S58" s="138"/>
      <c r="T58" s="329">
        <f>+R58*T51</f>
        <v>0</v>
      </c>
      <c r="U58" s="609">
        <f>+T58/T65</f>
        <v>0</v>
      </c>
      <c r="V58" s="138"/>
      <c r="W58" s="867">
        <v>0</v>
      </c>
      <c r="X58" s="867">
        <v>0</v>
      </c>
      <c r="Y58" s="200">
        <f t="shared" si="16"/>
        <v>5.3201521592995661E-2</v>
      </c>
      <c r="Z58" s="330">
        <f t="shared" si="6"/>
        <v>0</v>
      </c>
      <c r="AA58" s="200">
        <f t="shared" si="17"/>
        <v>1.3412221807639516E-2</v>
      </c>
      <c r="AB58" s="608">
        <f t="shared" si="7"/>
        <v>0</v>
      </c>
      <c r="AC58" s="329">
        <f t="shared" si="8"/>
        <v>0</v>
      </c>
      <c r="AD58" s="330">
        <f t="shared" si="18"/>
        <v>0</v>
      </c>
      <c r="AE58" s="200">
        <f t="shared" si="19"/>
        <v>7.6897767370534956E-2</v>
      </c>
      <c r="AF58" s="329">
        <f t="shared" si="9"/>
        <v>0</v>
      </c>
      <c r="AG58" s="867">
        <v>0</v>
      </c>
      <c r="AH58" s="867">
        <v>0</v>
      </c>
      <c r="AI58" s="329">
        <f t="shared" si="10"/>
        <v>0</v>
      </c>
      <c r="AJ58" s="330">
        <f t="shared" si="20"/>
        <v>0</v>
      </c>
      <c r="AK58" s="329">
        <f t="shared" si="11"/>
        <v>0</v>
      </c>
      <c r="AL58" s="138"/>
      <c r="AM58" s="329">
        <f t="shared" si="21"/>
        <v>0</v>
      </c>
      <c r="AN58" s="329">
        <f>(AM58/$AM65)*$AN51</f>
        <v>0</v>
      </c>
      <c r="AO58" s="329">
        <f t="shared" si="12"/>
        <v>0</v>
      </c>
    </row>
    <row r="59" spans="1:41">
      <c r="A59" s="610"/>
      <c r="B59" s="606"/>
      <c r="C59" s="607">
        <v>0</v>
      </c>
      <c r="D59" s="607">
        <f t="shared" si="22"/>
        <v>0</v>
      </c>
      <c r="E59" s="200">
        <f t="shared" si="13"/>
        <v>5.4248891824145641E-2</v>
      </c>
      <c r="F59" s="330">
        <f t="shared" si="0"/>
        <v>0</v>
      </c>
      <c r="G59" s="200">
        <f t="shared" si="14"/>
        <v>1.322981697214683E-2</v>
      </c>
      <c r="H59" s="608">
        <f t="shared" si="1"/>
        <v>0</v>
      </c>
      <c r="I59" s="329">
        <f t="shared" si="2"/>
        <v>0</v>
      </c>
      <c r="J59" s="607">
        <v>0</v>
      </c>
      <c r="K59" s="200">
        <f t="shared" si="15"/>
        <v>7.7412293545606164E-2</v>
      </c>
      <c r="L59" s="329">
        <f t="shared" si="3"/>
        <v>0</v>
      </c>
      <c r="M59" s="607">
        <v>0</v>
      </c>
      <c r="N59" s="607">
        <v>0</v>
      </c>
      <c r="O59" s="329">
        <f t="shared" si="4"/>
        <v>0</v>
      </c>
      <c r="P59" s="607">
        <v>0</v>
      </c>
      <c r="Q59" s="329">
        <f t="shared" si="5"/>
        <v>0</v>
      </c>
      <c r="R59" s="609">
        <f>+Q59/$Q65</f>
        <v>0</v>
      </c>
      <c r="S59" s="138"/>
      <c r="T59" s="329">
        <f>+R59*T51</f>
        <v>0</v>
      </c>
      <c r="U59" s="609">
        <f>+T59/T65</f>
        <v>0</v>
      </c>
      <c r="V59" s="138"/>
      <c r="W59" s="867">
        <v>0</v>
      </c>
      <c r="X59" s="867">
        <v>0</v>
      </c>
      <c r="Y59" s="200">
        <f t="shared" si="16"/>
        <v>5.3201521592995661E-2</v>
      </c>
      <c r="Z59" s="330">
        <f t="shared" si="6"/>
        <v>0</v>
      </c>
      <c r="AA59" s="200">
        <f t="shared" si="17"/>
        <v>1.3412221807639516E-2</v>
      </c>
      <c r="AB59" s="608">
        <f t="shared" si="7"/>
        <v>0</v>
      </c>
      <c r="AC59" s="329">
        <f t="shared" si="8"/>
        <v>0</v>
      </c>
      <c r="AD59" s="330">
        <f t="shared" si="18"/>
        <v>0</v>
      </c>
      <c r="AE59" s="200">
        <f t="shared" si="19"/>
        <v>7.6897767370534956E-2</v>
      </c>
      <c r="AF59" s="329">
        <f t="shared" si="9"/>
        <v>0</v>
      </c>
      <c r="AG59" s="867">
        <v>0</v>
      </c>
      <c r="AH59" s="867">
        <v>0</v>
      </c>
      <c r="AI59" s="329">
        <f t="shared" si="10"/>
        <v>0</v>
      </c>
      <c r="AJ59" s="330">
        <f t="shared" si="20"/>
        <v>0</v>
      </c>
      <c r="AK59" s="329">
        <f t="shared" si="11"/>
        <v>0</v>
      </c>
      <c r="AL59" s="138"/>
      <c r="AM59" s="329">
        <f t="shared" si="21"/>
        <v>0</v>
      </c>
      <c r="AN59" s="329">
        <f>(AM59/$AM65)*$AN51</f>
        <v>0</v>
      </c>
      <c r="AO59" s="329">
        <f t="shared" si="12"/>
        <v>0</v>
      </c>
    </row>
    <row r="60" spans="1:41">
      <c r="A60" s="610"/>
      <c r="B60" s="606"/>
      <c r="C60" s="607">
        <v>0</v>
      </c>
      <c r="D60" s="607">
        <f t="shared" si="22"/>
        <v>0</v>
      </c>
      <c r="E60" s="200">
        <f t="shared" si="13"/>
        <v>5.4248891824145641E-2</v>
      </c>
      <c r="F60" s="330">
        <f t="shared" si="0"/>
        <v>0</v>
      </c>
      <c r="G60" s="200">
        <f t="shared" si="14"/>
        <v>1.322981697214683E-2</v>
      </c>
      <c r="H60" s="608">
        <f t="shared" si="1"/>
        <v>0</v>
      </c>
      <c r="I60" s="329">
        <f t="shared" si="2"/>
        <v>0</v>
      </c>
      <c r="J60" s="607">
        <v>0</v>
      </c>
      <c r="K60" s="200">
        <f t="shared" si="15"/>
        <v>7.7412293545606164E-2</v>
      </c>
      <c r="L60" s="329">
        <f t="shared" si="3"/>
        <v>0</v>
      </c>
      <c r="M60" s="607">
        <v>0</v>
      </c>
      <c r="N60" s="607">
        <v>0</v>
      </c>
      <c r="O60" s="329">
        <f t="shared" si="4"/>
        <v>0</v>
      </c>
      <c r="P60" s="607">
        <v>0</v>
      </c>
      <c r="Q60" s="329">
        <f t="shared" si="5"/>
        <v>0</v>
      </c>
      <c r="R60" s="609">
        <f>+Q60/$Q65</f>
        <v>0</v>
      </c>
      <c r="S60" s="138"/>
      <c r="T60" s="329">
        <f>+R60*T51</f>
        <v>0</v>
      </c>
      <c r="U60" s="609">
        <f>+T60/T65</f>
        <v>0</v>
      </c>
      <c r="V60" s="138"/>
      <c r="W60" s="867">
        <v>0</v>
      </c>
      <c r="X60" s="867">
        <v>0</v>
      </c>
      <c r="Y60" s="200">
        <f t="shared" si="16"/>
        <v>5.3201521592995661E-2</v>
      </c>
      <c r="Z60" s="330">
        <f t="shared" si="6"/>
        <v>0</v>
      </c>
      <c r="AA60" s="200">
        <f t="shared" si="17"/>
        <v>1.3412221807639516E-2</v>
      </c>
      <c r="AB60" s="608">
        <f t="shared" si="7"/>
        <v>0</v>
      </c>
      <c r="AC60" s="329">
        <f t="shared" si="8"/>
        <v>0</v>
      </c>
      <c r="AD60" s="330">
        <f t="shared" si="18"/>
        <v>0</v>
      </c>
      <c r="AE60" s="200">
        <f t="shared" si="19"/>
        <v>7.6897767370534956E-2</v>
      </c>
      <c r="AF60" s="329">
        <f t="shared" si="9"/>
        <v>0</v>
      </c>
      <c r="AG60" s="867">
        <v>0</v>
      </c>
      <c r="AH60" s="867">
        <v>0</v>
      </c>
      <c r="AI60" s="329">
        <f t="shared" si="10"/>
        <v>0</v>
      </c>
      <c r="AJ60" s="330">
        <f t="shared" si="20"/>
        <v>0</v>
      </c>
      <c r="AK60" s="329">
        <f t="shared" si="11"/>
        <v>0</v>
      </c>
      <c r="AL60" s="138"/>
      <c r="AM60" s="329">
        <f t="shared" si="21"/>
        <v>0</v>
      </c>
      <c r="AN60" s="329">
        <f>(AM60/$AM65)*$AN51</f>
        <v>0</v>
      </c>
      <c r="AO60" s="329">
        <f t="shared" si="12"/>
        <v>0</v>
      </c>
    </row>
    <row r="61" spans="1:41">
      <c r="A61" s="610"/>
      <c r="B61" s="606"/>
      <c r="C61" s="607">
        <v>0</v>
      </c>
      <c r="D61" s="607">
        <f t="shared" si="22"/>
        <v>0</v>
      </c>
      <c r="E61" s="200">
        <f t="shared" si="13"/>
        <v>5.4248891824145641E-2</v>
      </c>
      <c r="F61" s="330">
        <f t="shared" si="0"/>
        <v>0</v>
      </c>
      <c r="G61" s="200">
        <f t="shared" si="14"/>
        <v>1.322981697214683E-2</v>
      </c>
      <c r="H61" s="608">
        <f t="shared" si="1"/>
        <v>0</v>
      </c>
      <c r="I61" s="329">
        <f t="shared" si="2"/>
        <v>0</v>
      </c>
      <c r="J61" s="607">
        <v>0</v>
      </c>
      <c r="K61" s="200">
        <f t="shared" si="15"/>
        <v>7.7412293545606164E-2</v>
      </c>
      <c r="L61" s="329">
        <f t="shared" si="3"/>
        <v>0</v>
      </c>
      <c r="M61" s="607">
        <v>0</v>
      </c>
      <c r="N61" s="607">
        <v>0</v>
      </c>
      <c r="O61" s="329">
        <f t="shared" si="4"/>
        <v>0</v>
      </c>
      <c r="P61" s="607">
        <v>0</v>
      </c>
      <c r="Q61" s="329">
        <f t="shared" si="5"/>
        <v>0</v>
      </c>
      <c r="R61" s="609">
        <f>+Q61/$Q65</f>
        <v>0</v>
      </c>
      <c r="S61" s="138"/>
      <c r="T61" s="329">
        <f>+R61*T51</f>
        <v>0</v>
      </c>
      <c r="U61" s="609">
        <f>+T61/T65</f>
        <v>0</v>
      </c>
      <c r="V61" s="138"/>
      <c r="W61" s="867">
        <v>0</v>
      </c>
      <c r="X61" s="867">
        <v>0</v>
      </c>
      <c r="Y61" s="200">
        <f t="shared" si="16"/>
        <v>5.3201521592995661E-2</v>
      </c>
      <c r="Z61" s="330">
        <f t="shared" si="6"/>
        <v>0</v>
      </c>
      <c r="AA61" s="200">
        <f t="shared" si="17"/>
        <v>1.3412221807639516E-2</v>
      </c>
      <c r="AB61" s="608">
        <f t="shared" si="7"/>
        <v>0</v>
      </c>
      <c r="AC61" s="329">
        <f t="shared" si="8"/>
        <v>0</v>
      </c>
      <c r="AD61" s="330">
        <f t="shared" si="18"/>
        <v>0</v>
      </c>
      <c r="AE61" s="200">
        <f t="shared" si="19"/>
        <v>7.6897767370534956E-2</v>
      </c>
      <c r="AF61" s="329">
        <f t="shared" si="9"/>
        <v>0</v>
      </c>
      <c r="AG61" s="867">
        <v>0</v>
      </c>
      <c r="AH61" s="867">
        <v>0</v>
      </c>
      <c r="AI61" s="329">
        <f t="shared" si="10"/>
        <v>0</v>
      </c>
      <c r="AJ61" s="330">
        <f t="shared" si="20"/>
        <v>0</v>
      </c>
      <c r="AK61" s="329">
        <f t="shared" si="11"/>
        <v>0</v>
      </c>
      <c r="AL61" s="138"/>
      <c r="AM61" s="329">
        <f t="shared" si="21"/>
        <v>0</v>
      </c>
      <c r="AN61" s="329">
        <f>(AM61/$AM65)*$AN51</f>
        <v>0</v>
      </c>
      <c r="AO61" s="329">
        <f t="shared" si="12"/>
        <v>0</v>
      </c>
    </row>
    <row r="62" spans="1:41">
      <c r="A62" s="610"/>
      <c r="B62" s="606"/>
      <c r="C62" s="607">
        <v>0</v>
      </c>
      <c r="D62" s="607">
        <f t="shared" si="22"/>
        <v>0</v>
      </c>
      <c r="E62" s="200">
        <f t="shared" si="13"/>
        <v>5.4248891824145641E-2</v>
      </c>
      <c r="F62" s="330">
        <f t="shared" si="0"/>
        <v>0</v>
      </c>
      <c r="G62" s="200">
        <f t="shared" si="14"/>
        <v>1.322981697214683E-2</v>
      </c>
      <c r="H62" s="608">
        <f t="shared" si="1"/>
        <v>0</v>
      </c>
      <c r="I62" s="329">
        <f t="shared" si="2"/>
        <v>0</v>
      </c>
      <c r="J62" s="607">
        <v>0</v>
      </c>
      <c r="K62" s="200">
        <f t="shared" si="15"/>
        <v>7.7412293545606164E-2</v>
      </c>
      <c r="L62" s="329">
        <f t="shared" si="3"/>
        <v>0</v>
      </c>
      <c r="M62" s="607">
        <v>0</v>
      </c>
      <c r="N62" s="607">
        <v>0</v>
      </c>
      <c r="O62" s="329">
        <f t="shared" si="4"/>
        <v>0</v>
      </c>
      <c r="P62" s="607">
        <v>0</v>
      </c>
      <c r="Q62" s="329">
        <f t="shared" si="5"/>
        <v>0</v>
      </c>
      <c r="R62" s="627">
        <f>+Q62/$Q65</f>
        <v>0</v>
      </c>
      <c r="S62" s="138"/>
      <c r="T62" s="329">
        <f>+R62*T51</f>
        <v>0</v>
      </c>
      <c r="U62" s="609">
        <f>+T62/T65</f>
        <v>0</v>
      </c>
      <c r="V62" s="138"/>
      <c r="W62" s="867">
        <v>0</v>
      </c>
      <c r="X62" s="867">
        <v>0</v>
      </c>
      <c r="Y62" s="200">
        <f t="shared" si="16"/>
        <v>5.3201521592995661E-2</v>
      </c>
      <c r="Z62" s="330">
        <f t="shared" si="6"/>
        <v>0</v>
      </c>
      <c r="AA62" s="200">
        <f t="shared" si="17"/>
        <v>1.3412221807639516E-2</v>
      </c>
      <c r="AB62" s="608">
        <f t="shared" si="7"/>
        <v>0</v>
      </c>
      <c r="AC62" s="329">
        <f t="shared" si="8"/>
        <v>0</v>
      </c>
      <c r="AD62" s="330">
        <f t="shared" si="18"/>
        <v>0</v>
      </c>
      <c r="AE62" s="200">
        <f t="shared" si="19"/>
        <v>7.6897767370534956E-2</v>
      </c>
      <c r="AF62" s="329">
        <f t="shared" si="9"/>
        <v>0</v>
      </c>
      <c r="AG62" s="867">
        <v>0</v>
      </c>
      <c r="AH62" s="867">
        <v>0</v>
      </c>
      <c r="AI62" s="329">
        <f t="shared" si="10"/>
        <v>0</v>
      </c>
      <c r="AJ62" s="330">
        <f t="shared" si="20"/>
        <v>0</v>
      </c>
      <c r="AK62" s="329">
        <f t="shared" si="11"/>
        <v>0</v>
      </c>
      <c r="AL62" s="138"/>
      <c r="AM62" s="329">
        <f t="shared" si="21"/>
        <v>0</v>
      </c>
      <c r="AN62" s="329">
        <f>(AM62/$AM65)*$AN51</f>
        <v>0</v>
      </c>
      <c r="AO62" s="329">
        <f t="shared" si="12"/>
        <v>0</v>
      </c>
    </row>
    <row r="63" spans="1:41">
      <c r="A63" s="610"/>
      <c r="B63" s="611"/>
      <c r="C63" s="607">
        <v>0</v>
      </c>
      <c r="D63" s="607">
        <f t="shared" si="22"/>
        <v>0</v>
      </c>
      <c r="E63" s="200">
        <f t="shared" si="13"/>
        <v>5.4248891824145641E-2</v>
      </c>
      <c r="F63" s="330">
        <f t="shared" si="0"/>
        <v>0</v>
      </c>
      <c r="G63" s="200">
        <f t="shared" si="14"/>
        <v>1.322981697214683E-2</v>
      </c>
      <c r="H63" s="608">
        <f t="shared" si="1"/>
        <v>0</v>
      </c>
      <c r="I63" s="329">
        <f t="shared" si="2"/>
        <v>0</v>
      </c>
      <c r="J63" s="607">
        <v>0</v>
      </c>
      <c r="K63" s="200">
        <f t="shared" si="15"/>
        <v>7.7412293545606164E-2</v>
      </c>
      <c r="L63" s="329">
        <f t="shared" si="3"/>
        <v>0</v>
      </c>
      <c r="M63" s="607">
        <v>0</v>
      </c>
      <c r="N63" s="607">
        <v>0</v>
      </c>
      <c r="O63" s="329">
        <f t="shared" si="4"/>
        <v>0</v>
      </c>
      <c r="P63" s="607">
        <v>0</v>
      </c>
      <c r="Q63" s="329">
        <f t="shared" si="5"/>
        <v>0</v>
      </c>
      <c r="R63" s="609">
        <f>+Q63/$Q65</f>
        <v>0</v>
      </c>
      <c r="S63" s="138"/>
      <c r="T63" s="329">
        <f>+R63*T51</f>
        <v>0</v>
      </c>
      <c r="U63" s="609">
        <f>+T63/T65</f>
        <v>0</v>
      </c>
      <c r="V63" s="138"/>
      <c r="W63" s="867">
        <v>0</v>
      </c>
      <c r="X63" s="867">
        <v>0</v>
      </c>
      <c r="Y63" s="200">
        <f t="shared" si="16"/>
        <v>5.3201521592995661E-2</v>
      </c>
      <c r="Z63" s="330">
        <f t="shared" si="6"/>
        <v>0</v>
      </c>
      <c r="AA63" s="200">
        <f t="shared" si="17"/>
        <v>1.3412221807639516E-2</v>
      </c>
      <c r="AB63" s="608">
        <f t="shared" si="7"/>
        <v>0</v>
      </c>
      <c r="AC63" s="329">
        <f t="shared" si="8"/>
        <v>0</v>
      </c>
      <c r="AD63" s="330">
        <f t="shared" si="18"/>
        <v>0</v>
      </c>
      <c r="AE63" s="200">
        <f t="shared" si="19"/>
        <v>7.6897767370534956E-2</v>
      </c>
      <c r="AF63" s="329">
        <f t="shared" si="9"/>
        <v>0</v>
      </c>
      <c r="AG63" s="867">
        <v>0</v>
      </c>
      <c r="AH63" s="867">
        <v>0</v>
      </c>
      <c r="AI63" s="329">
        <f t="shared" si="10"/>
        <v>0</v>
      </c>
      <c r="AJ63" s="330">
        <f t="shared" si="20"/>
        <v>0</v>
      </c>
      <c r="AK63" s="329">
        <f t="shared" si="11"/>
        <v>0</v>
      </c>
      <c r="AL63" s="138"/>
      <c r="AM63" s="329">
        <f t="shared" si="21"/>
        <v>0</v>
      </c>
      <c r="AN63" s="329">
        <f>(AM63/$AM65)*$AN51</f>
        <v>0</v>
      </c>
      <c r="AO63" s="329">
        <f t="shared" si="12"/>
        <v>0</v>
      </c>
    </row>
    <row r="64" spans="1:41">
      <c r="A64" s="136"/>
      <c r="B64" s="138"/>
      <c r="C64" s="136"/>
      <c r="D64" s="136"/>
      <c r="E64" s="200"/>
      <c r="F64" s="136"/>
      <c r="G64" s="200"/>
      <c r="H64" s="138"/>
      <c r="I64" s="612"/>
      <c r="J64" s="136"/>
      <c r="K64" s="200"/>
      <c r="L64" s="613"/>
      <c r="M64" s="136"/>
      <c r="N64" s="136"/>
      <c r="O64" s="613"/>
      <c r="P64" s="136"/>
      <c r="Q64" s="612"/>
      <c r="R64" s="571"/>
      <c r="S64" s="138"/>
      <c r="T64" s="329"/>
      <c r="U64" s="612"/>
      <c r="V64" s="138"/>
      <c r="W64" s="136"/>
      <c r="X64" s="136"/>
      <c r="Y64" s="200"/>
      <c r="Z64" s="136"/>
      <c r="AA64" s="200"/>
      <c r="AB64" s="138"/>
      <c r="AC64" s="612"/>
      <c r="AD64" s="136"/>
      <c r="AE64" s="200"/>
      <c r="AF64" s="613"/>
      <c r="AG64" s="136"/>
      <c r="AH64" s="136"/>
      <c r="AI64" s="613"/>
      <c r="AJ64" s="136"/>
      <c r="AK64" s="612"/>
      <c r="AL64" s="138"/>
      <c r="AM64" s="329"/>
      <c r="AN64" s="329"/>
      <c r="AO64" s="329"/>
    </row>
    <row r="65" spans="1:43">
      <c r="A65" s="621"/>
      <c r="B65" s="621" t="s">
        <v>662</v>
      </c>
      <c r="C65" s="622">
        <f>SUM(C55:C64)</f>
        <v>5971</v>
      </c>
      <c r="D65" s="622">
        <f>SUM(D55:D64)</f>
        <v>17731582</v>
      </c>
      <c r="E65" s="622"/>
      <c r="F65" s="622">
        <f>SUM(F55:F64)</f>
        <v>961918.67378896801</v>
      </c>
      <c r="G65" s="622"/>
      <c r="H65" s="622">
        <f>SUM(H55:H64)</f>
        <v>78.995237140688715</v>
      </c>
      <c r="I65" s="622">
        <f>SUM(I55:I64)</f>
        <v>961997.66902610869</v>
      </c>
      <c r="J65" s="622">
        <f>SUM(J55:J64)</f>
        <v>299921051</v>
      </c>
      <c r="K65" s="622"/>
      <c r="L65" s="622">
        <f t="shared" ref="L65:R65" si="23">SUM(L55:L64)</f>
        <v>23217576.440518714</v>
      </c>
      <c r="M65" s="622">
        <f t="shared" si="23"/>
        <v>8457495</v>
      </c>
      <c r="N65" s="622">
        <f t="shared" si="23"/>
        <v>0</v>
      </c>
      <c r="O65" s="622">
        <f t="shared" si="23"/>
        <v>32637069.109544825</v>
      </c>
      <c r="P65" s="622">
        <f t="shared" si="23"/>
        <v>3367611.7141850577</v>
      </c>
      <c r="Q65" s="622">
        <f t="shared" si="23"/>
        <v>36004680.82372988</v>
      </c>
      <c r="R65" s="623">
        <f t="shared" si="23"/>
        <v>1</v>
      </c>
      <c r="S65" s="138"/>
      <c r="T65" s="622">
        <f>SUM(T55:T64)</f>
        <v>37038857.944185056</v>
      </c>
      <c r="U65" s="623">
        <f>SUM(U55:U64)</f>
        <v>1</v>
      </c>
      <c r="V65" s="138"/>
      <c r="W65" s="622">
        <f>SUM(W55:W64)</f>
        <v>319057328.88384604</v>
      </c>
      <c r="X65" s="622">
        <f>SUM(X55:X64)</f>
        <v>16725042.726153847</v>
      </c>
      <c r="Y65" s="622"/>
      <c r="Z65" s="622">
        <f>SUM(Z55:Z64)</f>
        <v>889797.72173924895</v>
      </c>
      <c r="AA65" s="622"/>
      <c r="AB65" s="622">
        <f>SUM(AB55:AB64)</f>
        <v>4279267.6643431336</v>
      </c>
      <c r="AC65" s="622">
        <f>SUM(AC55:AC64)</f>
        <v>5169065.3860823819</v>
      </c>
      <c r="AD65" s="622">
        <f>SUM(AD55:AD64)</f>
        <v>302332286.15769219</v>
      </c>
      <c r="AE65" s="622"/>
      <c r="AF65" s="622">
        <f t="shared" ref="AF65:AK65" si="24">SUM(AF55:AF64)</f>
        <v>23248677.80955622</v>
      </c>
      <c r="AG65" s="622">
        <f t="shared" si="24"/>
        <v>7472913.8399999999</v>
      </c>
      <c r="AH65" s="622">
        <f t="shared" si="24"/>
        <v>39290.839999999997</v>
      </c>
      <c r="AI65" s="622">
        <f t="shared" si="24"/>
        <v>35929947.875638604</v>
      </c>
      <c r="AJ65" s="622">
        <f t="shared" si="24"/>
        <v>3367611.7141850577</v>
      </c>
      <c r="AK65" s="622">
        <f t="shared" si="24"/>
        <v>39297559.589823663</v>
      </c>
      <c r="AL65" s="138"/>
      <c r="AM65" s="622">
        <f>SUM(AM55:AM64)</f>
        <v>2258701.6456386037</v>
      </c>
      <c r="AN65" s="622">
        <f>SUM(AN55:AN64)</f>
        <v>36011.914859883022</v>
      </c>
      <c r="AO65" s="622">
        <f>SUM(AO55:AO64)</f>
        <v>2294713.5604984867</v>
      </c>
      <c r="AQ65" s="626"/>
    </row>
    <row r="66" spans="1:43">
      <c r="A66" s="138"/>
      <c r="B66" s="138"/>
      <c r="C66" s="138"/>
      <c r="D66" s="138"/>
      <c r="E66" s="138"/>
      <c r="F66" s="138"/>
      <c r="G66" s="138"/>
      <c r="H66" s="138"/>
      <c r="I66" s="138"/>
      <c r="J66" s="138"/>
      <c r="K66" s="138"/>
      <c r="L66" s="138"/>
      <c r="M66" s="138"/>
      <c r="N66" s="138"/>
      <c r="O66" s="138"/>
      <c r="P66" s="138"/>
      <c r="Q66" s="138"/>
      <c r="R66" s="138"/>
      <c r="S66" s="138"/>
      <c r="T66" s="138"/>
      <c r="U66" s="138"/>
      <c r="V66" s="138"/>
      <c r="W66" s="138"/>
      <c r="X66" s="138"/>
      <c r="AL66" s="138"/>
    </row>
    <row r="67" spans="1:43" ht="15.75">
      <c r="A67" s="614" t="s">
        <v>426</v>
      </c>
      <c r="B67" s="138"/>
      <c r="C67" s="138"/>
      <c r="D67" s="138"/>
      <c r="E67" s="138"/>
      <c r="F67" s="138"/>
      <c r="G67" s="138"/>
      <c r="H67" s="138"/>
      <c r="I67" s="138"/>
      <c r="J67" s="138"/>
      <c r="K67" s="138"/>
      <c r="L67" s="138"/>
      <c r="M67" s="138"/>
      <c r="N67" s="138"/>
      <c r="O67" s="138"/>
      <c r="P67" s="138"/>
      <c r="Q67" s="138"/>
      <c r="R67" s="138"/>
      <c r="S67" s="138"/>
      <c r="T67" s="138"/>
      <c r="U67" s="138"/>
      <c r="V67" s="138"/>
      <c r="W67" s="138"/>
      <c r="X67" s="138"/>
      <c r="AL67" s="138"/>
    </row>
    <row r="68" spans="1:43" ht="15.75">
      <c r="A68" s="615" t="s">
        <v>856</v>
      </c>
      <c r="C68" s="616"/>
      <c r="D68" s="616"/>
      <c r="E68" s="617"/>
      <c r="F68" s="617"/>
      <c r="G68" s="617"/>
      <c r="H68" s="617"/>
      <c r="I68" s="617"/>
      <c r="J68" s="617"/>
      <c r="K68" s="617"/>
      <c r="L68" s="617"/>
      <c r="M68" s="617"/>
      <c r="N68" s="617"/>
      <c r="O68" s="617"/>
      <c r="P68" s="617"/>
      <c r="Q68" s="617"/>
      <c r="R68" s="617"/>
      <c r="S68" s="138"/>
      <c r="T68" s="138"/>
      <c r="U68" s="138"/>
      <c r="V68" s="138"/>
      <c r="W68" s="138"/>
      <c r="X68" s="138"/>
      <c r="AL68" s="138"/>
    </row>
    <row r="69" spans="1:43" ht="15.75">
      <c r="A69" s="615" t="s">
        <v>857</v>
      </c>
      <c r="C69" s="317"/>
      <c r="D69" s="317"/>
      <c r="E69" s="488"/>
      <c r="F69" s="488"/>
      <c r="G69" s="488"/>
      <c r="H69" s="488"/>
      <c r="I69" s="488"/>
      <c r="J69" s="488"/>
      <c r="K69" s="488"/>
      <c r="L69" s="488"/>
      <c r="M69" s="488"/>
      <c r="N69" s="488"/>
      <c r="O69" s="488"/>
      <c r="P69" s="488"/>
      <c r="Q69" s="488"/>
      <c r="R69" s="488"/>
      <c r="S69" s="138"/>
      <c r="T69" s="138"/>
      <c r="U69" s="138"/>
      <c r="V69" s="138"/>
      <c r="W69" s="138"/>
      <c r="X69" s="138"/>
      <c r="AK69" s="618"/>
      <c r="AL69" s="138"/>
      <c r="AM69" s="373"/>
      <c r="AN69" s="373"/>
      <c r="AO69" s="373"/>
    </row>
    <row r="70" spans="1:43" ht="15.75">
      <c r="A70" s="615" t="s">
        <v>858</v>
      </c>
      <c r="C70" s="616"/>
      <c r="D70" s="616"/>
      <c r="E70" s="617"/>
      <c r="F70" s="617"/>
      <c r="G70" s="617"/>
      <c r="H70" s="617"/>
      <c r="I70" s="617"/>
      <c r="J70" s="617"/>
      <c r="K70" s="617"/>
      <c r="L70" s="617"/>
      <c r="M70" s="617"/>
      <c r="N70" s="617"/>
      <c r="O70" s="617"/>
      <c r="P70" s="617"/>
      <c r="Q70" s="617"/>
      <c r="R70" s="617"/>
      <c r="S70" s="138"/>
      <c r="T70" s="138"/>
      <c r="U70" s="138"/>
      <c r="V70" s="138"/>
      <c r="W70" s="138"/>
      <c r="X70" s="138"/>
      <c r="AK70" s="618"/>
      <c r="AL70" s="138"/>
      <c r="AM70" s="373"/>
      <c r="AN70" s="373"/>
      <c r="AO70" s="373"/>
    </row>
    <row r="71" spans="1:43" ht="15.75">
      <c r="A71" s="615" t="s">
        <v>859</v>
      </c>
      <c r="C71" s="619"/>
      <c r="D71" s="619"/>
      <c r="E71" s="619"/>
      <c r="F71" s="619"/>
      <c r="G71" s="619"/>
      <c r="H71" s="619"/>
      <c r="I71" s="619"/>
      <c r="J71" s="619"/>
      <c r="K71" s="619"/>
      <c r="L71" s="619"/>
      <c r="M71" s="619"/>
      <c r="N71" s="619"/>
      <c r="O71" s="619"/>
      <c r="P71" s="619"/>
      <c r="Q71" s="619"/>
      <c r="R71" s="619"/>
      <c r="S71" s="138"/>
      <c r="T71" s="138"/>
      <c r="U71" s="138"/>
      <c r="V71" s="138"/>
      <c r="W71" s="138"/>
      <c r="X71" s="138"/>
      <c r="AK71" s="618"/>
      <c r="AL71" s="138"/>
      <c r="AM71" s="373"/>
      <c r="AN71" s="373"/>
      <c r="AO71" s="373"/>
    </row>
    <row r="72" spans="1:43" ht="15.75">
      <c r="A72" s="615" t="s">
        <v>860</v>
      </c>
      <c r="C72" s="489"/>
      <c r="D72" s="489"/>
      <c r="E72" s="489"/>
      <c r="F72" s="489"/>
      <c r="G72" s="489"/>
      <c r="H72" s="489"/>
      <c r="I72" s="489"/>
      <c r="J72" s="489"/>
      <c r="K72" s="489"/>
      <c r="L72" s="489"/>
      <c r="M72" s="489"/>
      <c r="N72" s="489"/>
      <c r="O72" s="489"/>
      <c r="P72" s="489"/>
      <c r="Q72" s="489"/>
      <c r="R72" s="489"/>
      <c r="S72" s="138"/>
      <c r="T72" s="138"/>
      <c r="U72" s="138"/>
      <c r="V72" s="138"/>
      <c r="W72" s="138"/>
      <c r="X72" s="138"/>
      <c r="AL72" s="138"/>
    </row>
    <row r="73" spans="1:43" ht="15.75">
      <c r="A73" s="620" t="s">
        <v>815</v>
      </c>
      <c r="C73" s="619"/>
      <c r="D73" s="619"/>
      <c r="E73" s="619"/>
      <c r="F73" s="619"/>
      <c r="G73" s="619"/>
      <c r="H73" s="619"/>
      <c r="I73" s="619"/>
      <c r="J73" s="619"/>
      <c r="K73" s="619"/>
      <c r="L73" s="619"/>
      <c r="M73" s="619"/>
      <c r="N73" s="619"/>
      <c r="O73" s="619"/>
      <c r="P73" s="619"/>
      <c r="Q73" s="619"/>
      <c r="R73" s="619"/>
      <c r="S73" s="138"/>
      <c r="T73" s="138"/>
      <c r="U73" s="138"/>
      <c r="V73" s="138"/>
      <c r="W73" s="138"/>
      <c r="X73" s="138"/>
      <c r="AL73" s="138"/>
    </row>
    <row r="74" spans="1:43">
      <c r="A74" s="136"/>
      <c r="C74" s="136"/>
      <c r="D74" s="136"/>
      <c r="E74" s="136"/>
      <c r="F74" s="136"/>
      <c r="G74" s="136"/>
      <c r="H74" s="136"/>
      <c r="I74" s="136"/>
      <c r="J74" s="136"/>
      <c r="K74" s="136"/>
      <c r="L74" s="136"/>
      <c r="M74" s="136"/>
      <c r="N74" s="136"/>
      <c r="O74" s="136"/>
      <c r="P74" s="136"/>
      <c r="Q74" s="136"/>
      <c r="R74" s="136"/>
      <c r="S74" s="138"/>
      <c r="T74" s="138"/>
      <c r="U74" s="138"/>
      <c r="V74" s="138"/>
      <c r="W74" s="138"/>
      <c r="X74" s="138"/>
      <c r="AL74" s="138"/>
    </row>
    <row r="75" spans="1:43">
      <c r="A75" s="138"/>
      <c r="B75" s="138"/>
      <c r="C75" s="138"/>
      <c r="D75" s="138"/>
      <c r="E75" s="138"/>
      <c r="F75" s="138"/>
      <c r="G75" s="138"/>
      <c r="H75" s="138"/>
      <c r="I75" s="138"/>
      <c r="J75" s="138"/>
      <c r="K75" s="138"/>
      <c r="L75" s="138"/>
      <c r="M75" s="138"/>
      <c r="N75" s="138"/>
      <c r="O75" s="138"/>
      <c r="P75" s="138"/>
      <c r="Q75" s="138"/>
      <c r="R75" s="138"/>
      <c r="S75" s="138"/>
      <c r="T75" s="138"/>
      <c r="U75" s="138"/>
      <c r="V75" s="138"/>
      <c r="W75" s="138"/>
      <c r="X75" s="138"/>
      <c r="AL75" s="138"/>
    </row>
    <row r="76" spans="1:43">
      <c r="A76" s="138"/>
      <c r="B76" s="138"/>
      <c r="C76" s="138"/>
      <c r="D76" s="138"/>
      <c r="E76" s="138"/>
      <c r="F76" s="138"/>
      <c r="G76" s="138"/>
      <c r="H76" s="138"/>
      <c r="I76" s="138"/>
      <c r="J76" s="138"/>
      <c r="K76" s="138"/>
      <c r="L76" s="138"/>
      <c r="M76" s="138"/>
      <c r="N76" s="138"/>
      <c r="O76" s="138"/>
      <c r="P76" s="138"/>
      <c r="Q76" s="138"/>
      <c r="R76" s="138"/>
      <c r="S76" s="138"/>
      <c r="T76" s="138"/>
      <c r="U76" s="138"/>
      <c r="V76" s="138"/>
      <c r="W76" s="138"/>
      <c r="X76" s="138"/>
      <c r="AL76" s="138"/>
    </row>
    <row r="77" spans="1:43">
      <c r="A77" s="138"/>
      <c r="B77" s="138"/>
      <c r="C77" s="138"/>
      <c r="D77" s="138"/>
      <c r="E77" s="138"/>
      <c r="F77" s="138"/>
      <c r="G77" s="138"/>
      <c r="H77" s="138"/>
      <c r="I77" s="138"/>
      <c r="J77" s="138"/>
      <c r="K77" s="138"/>
      <c r="L77" s="138"/>
      <c r="M77" s="138"/>
      <c r="N77" s="138"/>
      <c r="O77" s="138"/>
      <c r="P77" s="138"/>
      <c r="Q77" s="138"/>
      <c r="R77" s="138"/>
      <c r="S77" s="138"/>
      <c r="T77" s="138"/>
      <c r="U77" s="138"/>
      <c r="V77" s="138"/>
      <c r="W77" s="138"/>
      <c r="X77" s="138"/>
      <c r="AL77" s="138"/>
    </row>
    <row r="78" spans="1:43">
      <c r="A78" s="138"/>
      <c r="B78" s="138"/>
      <c r="C78" s="138"/>
      <c r="D78" s="138"/>
      <c r="E78" s="138"/>
      <c r="F78" s="138"/>
      <c r="G78" s="138"/>
      <c r="H78" s="138"/>
      <c r="I78" s="138"/>
      <c r="J78" s="138"/>
      <c r="K78" s="138"/>
      <c r="L78" s="138"/>
      <c r="M78" s="138"/>
      <c r="N78" s="138"/>
      <c r="O78" s="138"/>
      <c r="P78" s="138"/>
      <c r="Q78" s="138"/>
      <c r="R78" s="138"/>
      <c r="S78" s="138"/>
      <c r="T78" s="138"/>
      <c r="U78" s="138"/>
      <c r="V78" s="138"/>
      <c r="W78" s="138"/>
      <c r="X78" s="138"/>
      <c r="AL78" s="138"/>
    </row>
    <row r="79" spans="1:43">
      <c r="A79" s="138"/>
      <c r="B79" s="138"/>
      <c r="C79" s="138"/>
      <c r="D79" s="138"/>
      <c r="E79" s="138"/>
      <c r="F79" s="138"/>
      <c r="G79" s="138"/>
      <c r="H79" s="138"/>
      <c r="I79" s="138"/>
      <c r="J79" s="138"/>
      <c r="K79" s="138"/>
      <c r="L79" s="138"/>
      <c r="M79" s="138"/>
      <c r="N79" s="138"/>
      <c r="O79" s="138"/>
      <c r="P79" s="138"/>
      <c r="Q79" s="138"/>
      <c r="R79" s="138"/>
      <c r="S79" s="138"/>
      <c r="T79" s="138"/>
      <c r="U79" s="138"/>
      <c r="V79" s="138"/>
      <c r="W79" s="138"/>
      <c r="X79" s="138"/>
      <c r="AL79" s="138"/>
    </row>
    <row r="80" spans="1:43">
      <c r="A80" s="138"/>
      <c r="B80" s="138"/>
      <c r="C80" s="138"/>
      <c r="D80" s="138"/>
      <c r="E80" s="138"/>
      <c r="F80" s="138"/>
      <c r="G80" s="138"/>
      <c r="H80" s="138"/>
      <c r="I80" s="138"/>
      <c r="J80" s="138"/>
      <c r="K80" s="138"/>
      <c r="L80" s="138"/>
      <c r="M80" s="138"/>
      <c r="N80" s="138"/>
      <c r="O80" s="138"/>
      <c r="P80" s="138"/>
      <c r="Q80" s="138"/>
      <c r="R80" s="138"/>
      <c r="S80" s="138"/>
      <c r="T80" s="138"/>
      <c r="U80" s="138"/>
      <c r="V80" s="138"/>
      <c r="W80" s="138"/>
      <c r="X80" s="138"/>
      <c r="AL80" s="138"/>
    </row>
    <row r="81" spans="1:38">
      <c r="A81" s="138"/>
      <c r="B81" s="138"/>
      <c r="C81" s="138"/>
      <c r="D81" s="138"/>
      <c r="E81" s="138"/>
      <c r="F81" s="138"/>
      <c r="G81" s="138"/>
      <c r="H81" s="138"/>
      <c r="I81" s="138"/>
      <c r="J81" s="138"/>
      <c r="K81" s="138"/>
      <c r="L81" s="138"/>
      <c r="M81" s="138"/>
      <c r="N81" s="138"/>
      <c r="O81" s="138"/>
      <c r="P81" s="138"/>
      <c r="Q81" s="138"/>
      <c r="R81" s="138"/>
      <c r="S81" s="138"/>
      <c r="T81" s="138"/>
      <c r="U81" s="138"/>
      <c r="V81" s="138"/>
      <c r="W81" s="138"/>
      <c r="X81" s="138"/>
      <c r="AL81" s="138"/>
    </row>
    <row r="82" spans="1:38">
      <c r="A82" s="138"/>
      <c r="B82" s="138"/>
      <c r="C82" s="138"/>
      <c r="D82" s="138"/>
      <c r="E82" s="138"/>
      <c r="F82" s="138"/>
      <c r="G82" s="138"/>
      <c r="H82" s="138"/>
      <c r="I82" s="138"/>
      <c r="J82" s="138"/>
      <c r="K82" s="138"/>
      <c r="L82" s="138"/>
      <c r="M82" s="138"/>
      <c r="N82" s="138"/>
      <c r="O82" s="138"/>
      <c r="P82" s="138"/>
      <c r="Q82" s="138"/>
      <c r="R82" s="138"/>
      <c r="S82" s="138"/>
      <c r="T82" s="138"/>
      <c r="U82" s="138"/>
      <c r="V82" s="138"/>
      <c r="W82" s="138"/>
      <c r="X82" s="138"/>
      <c r="AL82" s="138"/>
    </row>
    <row r="83" spans="1:38">
      <c r="A83" s="138"/>
      <c r="B83" s="138"/>
      <c r="C83" s="138"/>
      <c r="D83" s="138"/>
      <c r="E83" s="138"/>
      <c r="F83" s="138"/>
      <c r="G83" s="138"/>
      <c r="H83" s="138"/>
      <c r="I83" s="138"/>
      <c r="J83" s="138"/>
      <c r="K83" s="138"/>
      <c r="L83" s="138"/>
      <c r="M83" s="138"/>
      <c r="N83" s="138"/>
      <c r="O83" s="138"/>
      <c r="P83" s="138"/>
      <c r="Q83" s="138"/>
      <c r="R83" s="138"/>
      <c r="S83" s="138"/>
      <c r="T83" s="138"/>
      <c r="U83" s="138"/>
      <c r="V83" s="138"/>
      <c r="W83" s="138"/>
      <c r="X83" s="138"/>
      <c r="AL83" s="138"/>
    </row>
    <row r="84" spans="1:38">
      <c r="A84" s="138"/>
      <c r="B84" s="138"/>
      <c r="C84" s="138"/>
      <c r="D84" s="138"/>
      <c r="E84" s="138"/>
      <c r="F84" s="138"/>
      <c r="G84" s="138"/>
      <c r="H84" s="138"/>
      <c r="I84" s="138"/>
      <c r="J84" s="138"/>
      <c r="K84" s="138"/>
      <c r="L84" s="138"/>
      <c r="M84" s="138"/>
      <c r="N84" s="138"/>
      <c r="O84" s="138"/>
      <c r="P84" s="138"/>
      <c r="Q84" s="138"/>
      <c r="R84" s="138"/>
      <c r="S84" s="138"/>
      <c r="T84" s="138"/>
      <c r="U84" s="138"/>
      <c r="V84" s="138"/>
      <c r="W84" s="138"/>
      <c r="X84" s="138"/>
      <c r="AL84" s="138"/>
    </row>
    <row r="85" spans="1:38">
      <c r="A85" s="138"/>
      <c r="B85" s="138"/>
      <c r="C85" s="138"/>
      <c r="D85" s="138"/>
      <c r="E85" s="138"/>
      <c r="F85" s="138"/>
      <c r="G85" s="138"/>
      <c r="H85" s="138"/>
      <c r="I85" s="138"/>
      <c r="J85" s="138"/>
      <c r="K85" s="138"/>
      <c r="L85" s="138"/>
      <c r="M85" s="138"/>
      <c r="N85" s="138"/>
      <c r="O85" s="138"/>
      <c r="P85" s="138"/>
      <c r="Q85" s="138"/>
      <c r="R85" s="138"/>
      <c r="S85" s="138"/>
      <c r="T85" s="138"/>
      <c r="U85" s="138"/>
      <c r="V85" s="138"/>
      <c r="W85" s="138"/>
      <c r="X85" s="138"/>
      <c r="AL85" s="138"/>
    </row>
    <row r="86" spans="1:38">
      <c r="A86" s="138"/>
      <c r="B86" s="138"/>
      <c r="C86" s="138"/>
      <c r="D86" s="138"/>
      <c r="E86" s="138"/>
      <c r="F86" s="138"/>
      <c r="G86" s="138"/>
      <c r="H86" s="138"/>
      <c r="I86" s="138"/>
      <c r="J86" s="138"/>
      <c r="K86" s="138"/>
      <c r="L86" s="138"/>
      <c r="M86" s="138"/>
      <c r="N86" s="138"/>
      <c r="O86" s="138"/>
      <c r="P86" s="138"/>
      <c r="Q86" s="138"/>
      <c r="R86" s="138"/>
      <c r="S86" s="138"/>
      <c r="T86" s="138"/>
      <c r="U86" s="138"/>
      <c r="V86" s="138"/>
      <c r="W86" s="138"/>
      <c r="X86" s="138"/>
      <c r="AL86" s="138"/>
    </row>
    <row r="87" spans="1:38">
      <c r="A87" s="138"/>
      <c r="B87" s="138"/>
      <c r="C87" s="138"/>
      <c r="D87" s="138"/>
      <c r="E87" s="138"/>
      <c r="F87" s="138"/>
      <c r="G87" s="138"/>
      <c r="H87" s="138"/>
      <c r="I87" s="138"/>
      <c r="J87" s="138"/>
      <c r="K87" s="138"/>
      <c r="L87" s="138"/>
      <c r="M87" s="138"/>
      <c r="N87" s="138"/>
      <c r="O87" s="138"/>
      <c r="P87" s="138"/>
      <c r="Q87" s="138"/>
      <c r="R87" s="138"/>
      <c r="S87" s="138"/>
      <c r="T87" s="138"/>
      <c r="U87" s="138"/>
      <c r="V87" s="138"/>
      <c r="W87" s="138"/>
      <c r="X87" s="138"/>
      <c r="AL87" s="138"/>
    </row>
    <row r="88" spans="1:38">
      <c r="A88" s="138"/>
      <c r="B88" s="138"/>
      <c r="C88" s="138"/>
      <c r="D88" s="138"/>
      <c r="E88" s="138"/>
      <c r="F88" s="138"/>
      <c r="G88" s="138"/>
      <c r="H88" s="138"/>
      <c r="I88" s="138"/>
      <c r="J88" s="138"/>
      <c r="K88" s="138"/>
      <c r="L88" s="138"/>
      <c r="M88" s="138"/>
      <c r="N88" s="138"/>
      <c r="O88" s="138"/>
      <c r="P88" s="138"/>
      <c r="Q88" s="138"/>
      <c r="R88" s="138"/>
      <c r="S88" s="138"/>
      <c r="T88" s="138"/>
      <c r="U88" s="138"/>
      <c r="V88" s="138"/>
      <c r="W88" s="138"/>
      <c r="X88" s="138"/>
      <c r="AL88" s="138"/>
    </row>
    <row r="89" spans="1:38">
      <c r="A89" s="138"/>
      <c r="B89" s="138"/>
      <c r="C89" s="138"/>
      <c r="D89" s="138"/>
      <c r="E89" s="138"/>
      <c r="F89" s="138"/>
      <c r="G89" s="138"/>
      <c r="H89" s="138"/>
      <c r="I89" s="138"/>
      <c r="J89" s="138"/>
      <c r="K89" s="138"/>
      <c r="L89" s="138"/>
      <c r="M89" s="138"/>
      <c r="N89" s="138"/>
      <c r="O89" s="138"/>
      <c r="P89" s="138"/>
      <c r="Q89" s="138"/>
      <c r="R89" s="138"/>
      <c r="S89" s="138"/>
      <c r="T89" s="138"/>
      <c r="U89" s="138"/>
      <c r="V89" s="138"/>
      <c r="W89" s="138"/>
      <c r="X89" s="138"/>
      <c r="AL89" s="138"/>
    </row>
    <row r="90" spans="1:38">
      <c r="A90" s="138"/>
      <c r="B90" s="138"/>
      <c r="C90" s="138"/>
      <c r="D90" s="138"/>
      <c r="E90" s="138"/>
      <c r="F90" s="138"/>
      <c r="G90" s="138"/>
      <c r="H90" s="138"/>
      <c r="I90" s="138"/>
      <c r="J90" s="138"/>
      <c r="K90" s="138"/>
      <c r="L90" s="138"/>
      <c r="M90" s="138"/>
      <c r="N90" s="138"/>
      <c r="O90" s="138"/>
      <c r="P90" s="138"/>
      <c r="Q90" s="138"/>
      <c r="R90" s="138"/>
      <c r="S90" s="138"/>
      <c r="T90" s="138"/>
      <c r="U90" s="138"/>
      <c r="V90" s="138"/>
      <c r="W90" s="138"/>
      <c r="X90" s="138"/>
      <c r="AL90" s="138"/>
    </row>
    <row r="91" spans="1:38">
      <c r="A91" s="138"/>
      <c r="B91" s="138"/>
      <c r="C91" s="138"/>
      <c r="D91" s="138"/>
      <c r="E91" s="138"/>
      <c r="F91" s="138"/>
      <c r="G91" s="138"/>
      <c r="H91" s="138"/>
      <c r="I91" s="138"/>
      <c r="J91" s="138"/>
      <c r="K91" s="138"/>
      <c r="L91" s="138"/>
      <c r="M91" s="138"/>
      <c r="N91" s="138"/>
      <c r="O91" s="138"/>
      <c r="P91" s="138"/>
      <c r="Q91" s="138"/>
      <c r="R91" s="138"/>
      <c r="S91" s="138"/>
      <c r="T91" s="138"/>
      <c r="U91" s="138"/>
      <c r="V91" s="138"/>
      <c r="W91" s="138"/>
      <c r="X91" s="138"/>
      <c r="AL91" s="138"/>
    </row>
    <row r="92" spans="1:38">
      <c r="A92" s="138"/>
      <c r="B92" s="138"/>
      <c r="C92" s="138"/>
      <c r="D92" s="138"/>
      <c r="E92" s="138"/>
      <c r="F92" s="138"/>
      <c r="G92" s="138"/>
      <c r="H92" s="138"/>
      <c r="I92" s="138"/>
      <c r="J92" s="138"/>
      <c r="K92" s="138"/>
      <c r="L92" s="138"/>
      <c r="M92" s="138"/>
      <c r="N92" s="138"/>
      <c r="O92" s="138"/>
      <c r="P92" s="138"/>
      <c r="Q92" s="138"/>
      <c r="R92" s="138"/>
      <c r="S92" s="138"/>
      <c r="T92" s="138"/>
      <c r="U92" s="138"/>
      <c r="V92" s="138"/>
      <c r="W92" s="138"/>
      <c r="X92" s="138"/>
      <c r="AL92" s="138"/>
    </row>
    <row r="93" spans="1:38">
      <c r="A93" s="138"/>
      <c r="B93" s="138"/>
      <c r="C93" s="138"/>
      <c r="D93" s="138"/>
      <c r="E93" s="138"/>
      <c r="F93" s="138"/>
      <c r="G93" s="138"/>
      <c r="H93" s="138"/>
      <c r="I93" s="138"/>
      <c r="J93" s="138"/>
      <c r="K93" s="138"/>
      <c r="L93" s="138"/>
      <c r="M93" s="138"/>
      <c r="N93" s="138"/>
      <c r="O93" s="138"/>
      <c r="P93" s="138"/>
      <c r="Q93" s="138"/>
      <c r="R93" s="138"/>
      <c r="S93" s="138"/>
      <c r="T93" s="138"/>
      <c r="U93" s="138"/>
      <c r="V93" s="138"/>
      <c r="W93" s="138"/>
      <c r="X93" s="138"/>
      <c r="AL93" s="138"/>
    </row>
    <row r="94" spans="1:38">
      <c r="A94" s="138"/>
      <c r="B94" s="138"/>
      <c r="C94" s="138"/>
      <c r="D94" s="138"/>
      <c r="E94" s="138"/>
      <c r="F94" s="138"/>
      <c r="G94" s="138"/>
      <c r="H94" s="138"/>
      <c r="I94" s="138"/>
      <c r="J94" s="138"/>
      <c r="K94" s="138"/>
      <c r="L94" s="138"/>
      <c r="M94" s="138"/>
      <c r="N94" s="138"/>
      <c r="O94" s="138"/>
      <c r="P94" s="138"/>
      <c r="Q94" s="138"/>
      <c r="R94" s="138"/>
      <c r="S94" s="138"/>
      <c r="T94" s="138"/>
      <c r="U94" s="138"/>
      <c r="V94" s="138"/>
      <c r="W94" s="138"/>
      <c r="X94" s="138"/>
      <c r="AL94" s="138"/>
    </row>
    <row r="95" spans="1:38">
      <c r="A95" s="138"/>
      <c r="B95" s="138"/>
      <c r="C95" s="138"/>
      <c r="D95" s="138"/>
      <c r="E95" s="138"/>
      <c r="F95" s="138"/>
      <c r="G95" s="138"/>
      <c r="H95" s="138"/>
      <c r="I95" s="138"/>
      <c r="J95" s="138"/>
      <c r="K95" s="138"/>
      <c r="L95" s="138"/>
      <c r="M95" s="138"/>
      <c r="N95" s="138"/>
      <c r="O95" s="138"/>
      <c r="P95" s="138"/>
      <c r="Q95" s="138"/>
      <c r="R95" s="138"/>
      <c r="S95" s="138"/>
      <c r="T95" s="138"/>
      <c r="U95" s="138"/>
      <c r="V95" s="138"/>
      <c r="W95" s="138"/>
      <c r="X95" s="138"/>
      <c r="AL95" s="138"/>
    </row>
    <row r="96" spans="1:38">
      <c r="A96" s="138"/>
      <c r="B96" s="138"/>
      <c r="C96" s="138"/>
      <c r="D96" s="138"/>
      <c r="E96" s="138"/>
      <c r="F96" s="138"/>
      <c r="G96" s="138"/>
      <c r="H96" s="138"/>
      <c r="I96" s="138"/>
      <c r="J96" s="138"/>
      <c r="K96" s="138"/>
      <c r="L96" s="138"/>
      <c r="M96" s="138"/>
      <c r="N96" s="138"/>
      <c r="O96" s="138"/>
      <c r="P96" s="138"/>
      <c r="Q96" s="138"/>
      <c r="R96" s="138"/>
      <c r="S96" s="138"/>
      <c r="T96" s="138"/>
      <c r="U96" s="138"/>
      <c r="V96" s="138"/>
      <c r="W96" s="138"/>
      <c r="X96" s="138"/>
      <c r="AL96" s="138"/>
    </row>
    <row r="97" spans="1:38">
      <c r="A97" s="138"/>
      <c r="B97" s="138"/>
      <c r="C97" s="138"/>
      <c r="D97" s="138"/>
      <c r="E97" s="138"/>
      <c r="F97" s="138"/>
      <c r="G97" s="138"/>
      <c r="H97" s="138"/>
      <c r="I97" s="138"/>
      <c r="J97" s="138"/>
      <c r="K97" s="138"/>
      <c r="L97" s="138"/>
      <c r="M97" s="138"/>
      <c r="N97" s="138"/>
      <c r="O97" s="138"/>
      <c r="P97" s="138"/>
      <c r="Q97" s="138"/>
      <c r="R97" s="138"/>
      <c r="S97" s="138"/>
      <c r="T97" s="138"/>
      <c r="U97" s="138"/>
      <c r="V97" s="138"/>
      <c r="W97" s="138"/>
      <c r="X97" s="138"/>
      <c r="AL97" s="138"/>
    </row>
    <row r="98" spans="1:38">
      <c r="A98" s="138"/>
      <c r="B98" s="138"/>
      <c r="C98" s="138"/>
      <c r="D98" s="138"/>
      <c r="E98" s="138"/>
      <c r="F98" s="138"/>
      <c r="G98" s="138"/>
      <c r="H98" s="138"/>
      <c r="I98" s="138"/>
      <c r="J98" s="138"/>
      <c r="K98" s="138"/>
      <c r="L98" s="138"/>
      <c r="M98" s="138"/>
      <c r="N98" s="138"/>
      <c r="O98" s="138"/>
      <c r="P98" s="138"/>
      <c r="Q98" s="138"/>
      <c r="R98" s="138"/>
      <c r="S98" s="138"/>
      <c r="T98" s="138"/>
      <c r="U98" s="138"/>
      <c r="V98" s="138"/>
      <c r="W98" s="138"/>
      <c r="X98" s="138"/>
      <c r="AL98" s="138"/>
    </row>
    <row r="99" spans="1:38">
      <c r="A99" s="138"/>
      <c r="B99" s="138"/>
      <c r="C99" s="138"/>
      <c r="D99" s="138"/>
      <c r="E99" s="138"/>
      <c r="F99" s="138"/>
      <c r="G99" s="138"/>
      <c r="H99" s="138"/>
      <c r="I99" s="138"/>
      <c r="J99" s="138"/>
      <c r="K99" s="138"/>
      <c r="L99" s="138"/>
      <c r="M99" s="138"/>
      <c r="N99" s="138"/>
      <c r="O99" s="138"/>
      <c r="P99" s="138"/>
      <c r="Q99" s="138"/>
      <c r="R99" s="138"/>
    </row>
    <row r="100" spans="1:38">
      <c r="A100" s="138"/>
      <c r="B100" s="138"/>
      <c r="C100" s="138"/>
      <c r="D100" s="138"/>
      <c r="E100" s="138"/>
      <c r="F100" s="138"/>
      <c r="G100" s="138"/>
      <c r="H100" s="138"/>
      <c r="I100" s="138"/>
      <c r="J100" s="138"/>
      <c r="K100" s="138"/>
      <c r="L100" s="138"/>
      <c r="M100" s="138"/>
      <c r="N100" s="138"/>
      <c r="O100" s="138"/>
      <c r="P100" s="138"/>
      <c r="Q100" s="138"/>
      <c r="R100" s="138"/>
    </row>
    <row r="101" spans="1:38">
      <c r="A101" s="138"/>
      <c r="B101" s="138"/>
      <c r="C101" s="138"/>
      <c r="D101" s="138"/>
      <c r="E101" s="138"/>
      <c r="F101" s="138"/>
      <c r="G101" s="138"/>
      <c r="H101" s="138"/>
      <c r="I101" s="138"/>
      <c r="J101" s="138"/>
      <c r="K101" s="138"/>
      <c r="L101" s="138"/>
      <c r="M101" s="138"/>
      <c r="N101" s="138"/>
      <c r="O101" s="138"/>
      <c r="P101" s="138"/>
      <c r="Q101" s="138"/>
      <c r="R101" s="138"/>
    </row>
    <row r="102" spans="1:38">
      <c r="A102" s="138"/>
      <c r="B102" s="138"/>
      <c r="C102" s="138"/>
      <c r="D102" s="138"/>
      <c r="E102" s="138"/>
      <c r="F102" s="138"/>
      <c r="G102" s="138"/>
      <c r="H102" s="138"/>
      <c r="I102" s="138"/>
      <c r="J102" s="138"/>
      <c r="K102" s="138"/>
      <c r="L102" s="138"/>
      <c r="M102" s="138"/>
      <c r="N102" s="138"/>
      <c r="O102" s="138"/>
      <c r="P102" s="138"/>
      <c r="Q102" s="138"/>
      <c r="R102" s="138"/>
    </row>
    <row r="103" spans="1:38">
      <c r="A103" s="138"/>
      <c r="B103" s="138"/>
      <c r="C103" s="138"/>
      <c r="D103" s="138"/>
      <c r="E103" s="138"/>
      <c r="F103" s="138"/>
      <c r="G103" s="138"/>
      <c r="H103" s="138"/>
      <c r="I103" s="138"/>
      <c r="J103" s="138"/>
      <c r="K103" s="138"/>
      <c r="L103" s="138"/>
      <c r="M103" s="138"/>
      <c r="N103" s="138"/>
      <c r="O103" s="138"/>
      <c r="P103" s="138"/>
      <c r="Q103" s="138"/>
      <c r="R103" s="138"/>
    </row>
    <row r="104" spans="1:38">
      <c r="A104" s="138"/>
      <c r="B104" s="138"/>
      <c r="C104" s="138"/>
      <c r="D104" s="138"/>
      <c r="E104" s="138"/>
      <c r="F104" s="138"/>
      <c r="G104" s="138"/>
      <c r="H104" s="138"/>
      <c r="I104" s="138"/>
      <c r="J104" s="138"/>
      <c r="K104" s="138"/>
      <c r="L104" s="138"/>
      <c r="M104" s="138"/>
      <c r="N104" s="138"/>
      <c r="O104" s="138"/>
      <c r="P104" s="138"/>
      <c r="Q104" s="138"/>
      <c r="R104" s="138"/>
    </row>
    <row r="105" spans="1:38">
      <c r="A105" s="138"/>
      <c r="B105" s="138"/>
      <c r="C105" s="138"/>
      <c r="D105" s="138"/>
      <c r="E105" s="138"/>
      <c r="F105" s="138"/>
      <c r="G105" s="138"/>
      <c r="H105" s="138"/>
      <c r="I105" s="138"/>
      <c r="J105" s="138"/>
      <c r="K105" s="138"/>
      <c r="L105" s="138"/>
      <c r="M105" s="138"/>
      <c r="N105" s="138"/>
      <c r="O105" s="138"/>
      <c r="P105" s="138"/>
      <c r="Q105" s="138"/>
      <c r="R105" s="138"/>
    </row>
    <row r="106" spans="1:38">
      <c r="A106" s="138"/>
      <c r="B106" s="138"/>
      <c r="C106" s="138"/>
      <c r="D106" s="138"/>
      <c r="E106" s="138"/>
      <c r="F106" s="138"/>
      <c r="G106" s="138"/>
      <c r="H106" s="138"/>
      <c r="I106" s="138"/>
      <c r="J106" s="138"/>
      <c r="K106" s="138"/>
      <c r="L106" s="138"/>
      <c r="M106" s="138"/>
      <c r="N106" s="138"/>
      <c r="O106" s="138"/>
      <c r="P106" s="138"/>
      <c r="Q106" s="138"/>
      <c r="R106" s="138"/>
    </row>
  </sheetData>
  <mergeCells count="4">
    <mergeCell ref="C48:R48"/>
    <mergeCell ref="T48:U48"/>
    <mergeCell ref="W48:AK48"/>
    <mergeCell ref="AM48:AO48"/>
  </mergeCells>
  <pageMargins left="0.25" right="0.25" top="0.75" bottom="0.75" header="0.3" footer="0.3"/>
  <pageSetup scale="17"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I45"/>
  <sheetViews>
    <sheetView zoomScaleNormal="100" zoomScaleSheetLayoutView="100" workbookViewId="0">
      <pane xSplit="1" ySplit="5" topLeftCell="B6" activePane="bottomRight" state="frozen"/>
      <selection activeCell="I78" sqref="I78"/>
      <selection pane="topRight" activeCell="I78" sqref="I78"/>
      <selection pane="bottomLeft" activeCell="I78" sqref="I78"/>
      <selection pane="bottomRight" activeCell="E37" sqref="E37"/>
    </sheetView>
  </sheetViews>
  <sheetFormatPr defaultRowHeight="15" outlineLevelRow="1"/>
  <cols>
    <col min="1" max="1" width="9.140625" style="632"/>
    <col min="2" max="2" width="34.140625" style="634" customWidth="1"/>
    <col min="3" max="5" width="15.5703125" style="634" customWidth="1"/>
    <col min="6" max="7" width="9.140625" style="634"/>
    <col min="8" max="8" width="15.28515625" style="634" bestFit="1" customWidth="1"/>
    <col min="9" max="16384" width="9.140625" style="634"/>
  </cols>
  <sheetData>
    <row r="1" spans="1:9">
      <c r="A1" s="631"/>
    </row>
    <row r="2" spans="1:9">
      <c r="B2" s="633" t="s">
        <v>1014</v>
      </c>
      <c r="C2" s="630"/>
      <c r="D2" s="630"/>
      <c r="E2" s="632"/>
    </row>
    <row r="3" spans="1:9">
      <c r="B3" s="625" t="s">
        <v>992</v>
      </c>
      <c r="C3" s="630"/>
      <c r="D3" s="630"/>
      <c r="E3" s="632"/>
    </row>
    <row r="4" spans="1:9">
      <c r="B4" s="630" t="s">
        <v>887</v>
      </c>
      <c r="C4" s="630"/>
      <c r="D4" s="630"/>
      <c r="E4" s="632"/>
    </row>
    <row r="5" spans="1:9" ht="30">
      <c r="B5" s="635" t="str">
        <f>IF($E$32&lt;0,"Applicable Annual Quarter","Month")</f>
        <v>Month</v>
      </c>
      <c r="C5" s="635" t="str">
        <f>IF($E$32&lt;0,"","Debt Amount")</f>
        <v>Debt Amount</v>
      </c>
      <c r="D5" s="635" t="str">
        <f>IF($E$32&lt;0,"Annual Rate","Monthly Effective Rate")</f>
        <v>Monthly Effective Rate</v>
      </c>
      <c r="E5" s="635" t="str">
        <f>IF($E$32&lt;0,"Monthly Rate","Weighted Effective Rate")</f>
        <v>Weighted Effective Rate</v>
      </c>
    </row>
    <row r="6" spans="1:9">
      <c r="B6" s="632"/>
      <c r="C6" s="632"/>
      <c r="D6" s="636"/>
      <c r="E6" s="632"/>
    </row>
    <row r="7" spans="1:9">
      <c r="B7" s="637" t="s">
        <v>993</v>
      </c>
      <c r="C7" s="638">
        <v>249051290.30000001</v>
      </c>
      <c r="D7" s="639">
        <v>1.87108E-2</v>
      </c>
      <c r="E7" s="640">
        <f t="shared" ref="E7:E13" si="0">IF($E$32&lt;0,ROUND(D7/12,4),$C7/SUM($C$7:$C$27)*$D7)</f>
        <v>1.0302148804171602E-3</v>
      </c>
      <c r="H7" s="650"/>
      <c r="I7" s="860"/>
    </row>
    <row r="8" spans="1:9">
      <c r="B8" s="637" t="s">
        <v>994</v>
      </c>
      <c r="C8" s="638">
        <v>307202586.19999999</v>
      </c>
      <c r="D8" s="639">
        <v>1.8594792999999998E-2</v>
      </c>
      <c r="E8" s="640">
        <f t="shared" si="0"/>
        <v>1.2628823145693095E-3</v>
      </c>
      <c r="H8" s="650"/>
      <c r="I8" s="860"/>
    </row>
    <row r="9" spans="1:9">
      <c r="B9" s="637" t="s">
        <v>995</v>
      </c>
      <c r="C9" s="638">
        <v>306479677.39999998</v>
      </c>
      <c r="D9" s="639">
        <v>1.6799768999999999E-2</v>
      </c>
      <c r="E9" s="640">
        <f>IF($E$32&lt;0,ROUND(D9/12,4),$C9/SUM($C$7:$C$27)*$D9)</f>
        <v>1.1382866903444514E-3</v>
      </c>
      <c r="H9" s="650"/>
      <c r="I9" s="860"/>
    </row>
    <row r="10" spans="1:9">
      <c r="B10" s="637" t="s">
        <v>996</v>
      </c>
      <c r="C10" s="638">
        <v>293779033.30000001</v>
      </c>
      <c r="D10" s="639">
        <v>1.1235906E-2</v>
      </c>
      <c r="E10" s="640">
        <f t="shared" si="0"/>
        <v>7.2975244789744468E-4</v>
      </c>
      <c r="H10" s="650"/>
      <c r="I10" s="860"/>
    </row>
    <row r="11" spans="1:9">
      <c r="B11" s="637" t="s">
        <v>997</v>
      </c>
      <c r="C11" s="638">
        <v>255307645.19999999</v>
      </c>
      <c r="D11" s="639">
        <v>8.8809379999999997E-3</v>
      </c>
      <c r="E11" s="640">
        <f t="shared" si="0"/>
        <v>5.0126724167308238E-4</v>
      </c>
      <c r="H11" s="650"/>
      <c r="I11" s="860"/>
    </row>
    <row r="12" spans="1:9">
      <c r="B12" s="637" t="s">
        <v>998</v>
      </c>
      <c r="C12" s="638">
        <v>272235133.30000001</v>
      </c>
      <c r="D12" s="639">
        <v>7.1941829999999998E-3</v>
      </c>
      <c r="E12" s="640">
        <f t="shared" si="0"/>
        <v>4.3298446939985273E-4</v>
      </c>
      <c r="H12" s="650"/>
      <c r="I12" s="860"/>
    </row>
    <row r="13" spans="1:9">
      <c r="B13" s="637" t="s">
        <v>999</v>
      </c>
      <c r="C13" s="638">
        <v>187256451.59999999</v>
      </c>
      <c r="D13" s="639">
        <v>6.3545140000000003E-3</v>
      </c>
      <c r="E13" s="640">
        <f t="shared" si="0"/>
        <v>2.6306665111351516E-4</v>
      </c>
      <c r="H13" s="650"/>
      <c r="I13" s="860"/>
    </row>
    <row r="14" spans="1:9" outlineLevel="1">
      <c r="B14" s="637" t="s">
        <v>1000</v>
      </c>
      <c r="C14" s="638">
        <v>215172032.30000001</v>
      </c>
      <c r="D14" s="639">
        <v>5.526769E-3</v>
      </c>
      <c r="E14" s="640">
        <f t="shared" ref="E14:E27" si="1">IF($E$32&lt;0,"",$C14/SUM($C$7:$C$27)*$D14)</f>
        <v>2.62907999487246E-4</v>
      </c>
      <c r="H14" s="650"/>
      <c r="I14" s="860"/>
    </row>
    <row r="15" spans="1:9" outlineLevel="1">
      <c r="B15" s="637" t="s">
        <v>1001</v>
      </c>
      <c r="C15" s="638">
        <v>203150266.69999999</v>
      </c>
      <c r="D15" s="639">
        <v>5.036942E-3</v>
      </c>
      <c r="E15" s="640">
        <f t="shared" si="1"/>
        <v>2.2622000761007036E-4</v>
      </c>
      <c r="H15" s="650"/>
      <c r="I15" s="860"/>
    </row>
    <row r="16" spans="1:9" s="632" customFormat="1" outlineLevel="1">
      <c r="B16" s="637" t="s">
        <v>1002</v>
      </c>
      <c r="C16" s="638">
        <v>190053419.40000001</v>
      </c>
      <c r="D16" s="639">
        <v>4.7299860000000003E-3</v>
      </c>
      <c r="E16" s="640">
        <f t="shared" si="1"/>
        <v>1.9873859209642607E-4</v>
      </c>
      <c r="H16" s="859"/>
      <c r="I16" s="860"/>
    </row>
    <row r="17" spans="2:9" s="632" customFormat="1" outlineLevel="1">
      <c r="B17" s="637" t="s">
        <v>1003</v>
      </c>
      <c r="C17" s="638">
        <v>226022633.30000001</v>
      </c>
      <c r="D17" s="639">
        <v>4.7293279999999997E-3</v>
      </c>
      <c r="E17" s="640">
        <f t="shared" si="1"/>
        <v>2.3631866879659819E-4</v>
      </c>
      <c r="H17" s="859"/>
      <c r="I17" s="860"/>
    </row>
    <row r="18" spans="2:9" s="632" customFormat="1" outlineLevel="1">
      <c r="B18" s="637" t="s">
        <v>1004</v>
      </c>
      <c r="C18" s="638">
        <v>169022806.5</v>
      </c>
      <c r="D18" s="639">
        <v>4.878828E-3</v>
      </c>
      <c r="E18" s="640">
        <f t="shared" si="1"/>
        <v>1.8230873684664092E-4</v>
      </c>
      <c r="H18" s="859"/>
      <c r="I18" s="860"/>
    </row>
    <row r="19" spans="2:9" s="632" customFormat="1" outlineLevel="1">
      <c r="B19" s="637" t="s">
        <v>1005</v>
      </c>
      <c r="C19" s="638">
        <v>156011741.90000001</v>
      </c>
      <c r="D19" s="639">
        <v>4.592011E-3</v>
      </c>
      <c r="E19" s="640">
        <f t="shared" si="1"/>
        <v>1.5838238241581523E-4</v>
      </c>
      <c r="H19" s="859"/>
      <c r="I19" s="860"/>
    </row>
    <row r="20" spans="2:9" s="632" customFormat="1" outlineLevel="1">
      <c r="B20" s="637" t="s">
        <v>1006</v>
      </c>
      <c r="C20" s="638">
        <v>188358535.69999999</v>
      </c>
      <c r="D20" s="639">
        <v>4.5597270000000004E-3</v>
      </c>
      <c r="E20" s="640">
        <f t="shared" si="1"/>
        <v>1.8987632293579696E-4</v>
      </c>
      <c r="H20" s="859"/>
      <c r="I20" s="860"/>
    </row>
    <row r="21" spans="2:9" s="632" customFormat="1" outlineLevel="1">
      <c r="B21" s="637" t="s">
        <v>1007</v>
      </c>
      <c r="C21" s="638">
        <v>178394161.30000001</v>
      </c>
      <c r="D21" s="639">
        <v>4.4870989999999996E-3</v>
      </c>
      <c r="E21" s="640">
        <f t="shared" si="1"/>
        <v>1.7696727094174624E-4</v>
      </c>
      <c r="H21" s="859"/>
      <c r="I21" s="860"/>
    </row>
    <row r="22" spans="2:9" s="632" customFormat="1" outlineLevel="1">
      <c r="B22" s="637" t="s">
        <v>1008</v>
      </c>
      <c r="C22" s="638">
        <v>163983600</v>
      </c>
      <c r="D22" s="639">
        <v>4.150015E-3</v>
      </c>
      <c r="E22" s="640">
        <f t="shared" si="1"/>
        <v>1.5045157853306657E-4</v>
      </c>
      <c r="H22" s="859"/>
      <c r="I22" s="860"/>
    </row>
    <row r="23" spans="2:9" s="632" customFormat="1" outlineLevel="1">
      <c r="B23" s="637" t="s">
        <v>1009</v>
      </c>
      <c r="C23" s="638">
        <v>205070741.90000001</v>
      </c>
      <c r="D23" s="639">
        <v>3.9982350000000002E-3</v>
      </c>
      <c r="E23" s="640">
        <f t="shared" si="1"/>
        <v>1.8126697406640341E-4</v>
      </c>
      <c r="H23" s="859"/>
      <c r="I23" s="860"/>
    </row>
    <row r="24" spans="2:9" s="632" customFormat="1" outlineLevel="1">
      <c r="B24" s="637" t="s">
        <v>1010</v>
      </c>
      <c r="C24" s="638">
        <v>179746466.69999999</v>
      </c>
      <c r="D24" s="639">
        <v>3.5945780000000002E-3</v>
      </c>
      <c r="E24" s="640">
        <f t="shared" si="1"/>
        <v>1.4284167688609903E-4</v>
      </c>
      <c r="H24" s="859"/>
      <c r="I24" s="860"/>
    </row>
    <row r="25" spans="2:9" s="632" customFormat="1" outlineLevel="1">
      <c r="B25" s="637" t="s">
        <v>1011</v>
      </c>
      <c r="C25" s="638">
        <v>162573870.96774188</v>
      </c>
      <c r="D25" s="639">
        <v>3.5287710400631798E-3</v>
      </c>
      <c r="E25" s="640">
        <f t="shared" si="1"/>
        <v>1.2682967894090915E-4</v>
      </c>
      <c r="H25" s="859"/>
      <c r="I25" s="860"/>
    </row>
    <row r="26" spans="2:9" s="632" customFormat="1" outlineLevel="1">
      <c r="B26" s="637" t="s">
        <v>1012</v>
      </c>
      <c r="C26" s="638">
        <v>203740967.74193537</v>
      </c>
      <c r="D26" s="639">
        <v>3.5593733029130959E-3</v>
      </c>
      <c r="E26" s="640">
        <f t="shared" si="1"/>
        <v>1.6032401086883772E-4</v>
      </c>
      <c r="H26" s="859"/>
      <c r="I26" s="860"/>
    </row>
    <row r="27" spans="2:9" s="632" customFormat="1">
      <c r="B27" s="637" t="s">
        <v>1013</v>
      </c>
      <c r="C27" s="638">
        <v>210665500</v>
      </c>
      <c r="D27" s="639">
        <v>3.5400000000000002E-3</v>
      </c>
      <c r="E27" s="640">
        <f t="shared" si="1"/>
        <v>1.6487064854085051E-4</v>
      </c>
      <c r="H27" s="859"/>
      <c r="I27" s="860"/>
    </row>
    <row r="28" spans="2:9" s="632" customFormat="1">
      <c r="B28" s="637"/>
      <c r="C28" s="638"/>
      <c r="D28" s="641"/>
    </row>
    <row r="29" spans="2:9" s="632" customFormat="1">
      <c r="B29" s="629"/>
      <c r="C29" s="642" t="str">
        <f>IF($E$32&lt;0,"Average FERC Rate","Average ST Debt Rate")</f>
        <v>Average ST Debt Rate</v>
      </c>
      <c r="D29" s="643"/>
      <c r="E29" s="649">
        <f>IF(E32&lt;0,AVERAGE(E7:E28)*12,SUM(E7:E28))</f>
        <v>7.9167592443813231E-3</v>
      </c>
      <c r="H29" s="858"/>
    </row>
    <row r="30" spans="2:9" s="632" customFormat="1">
      <c r="B30" s="629"/>
      <c r="C30" s="642"/>
      <c r="D30" s="643"/>
      <c r="E30" s="643"/>
    </row>
    <row r="31" spans="2:9" s="632" customFormat="1">
      <c r="B31" s="629"/>
      <c r="C31" s="642"/>
      <c r="D31" s="643"/>
      <c r="E31" s="643"/>
    </row>
    <row r="32" spans="2:9" s="632" customFormat="1">
      <c r="D32" s="642" t="str">
        <f>IF(E32&lt;0,"Over Collected Amount","Under Collected Amount")</f>
        <v>Under Collected Amount</v>
      </c>
      <c r="E32" s="644">
        <f>'MM True-up Template'!AM65</f>
        <v>2258701.6456386037</v>
      </c>
    </row>
    <row r="33" spans="4:5" s="632" customFormat="1">
      <c r="D33" s="642"/>
      <c r="E33" s="644"/>
    </row>
    <row r="34" spans="4:5" s="632" customFormat="1">
      <c r="D34" s="642" t="s">
        <v>886</v>
      </c>
      <c r="E34" s="632">
        <v>2</v>
      </c>
    </row>
    <row r="35" spans="4:5" s="632" customFormat="1">
      <c r="D35" s="642" t="s">
        <v>885</v>
      </c>
      <c r="E35" s="645">
        <f>IF(E32&lt;0,-FV(E29/4,E34*4,0,E32)-E32,FV(E29/4,E34*4,0,-E32)-E32)</f>
        <v>36011.914859883022</v>
      </c>
    </row>
    <row r="36" spans="4:5" s="632" customFormat="1"/>
    <row r="37" spans="4:5" s="632" customFormat="1" ht="15.75" thickBot="1">
      <c r="E37" s="647">
        <f>E32+E35</f>
        <v>2294713.5604984867</v>
      </c>
    </row>
    <row r="38" spans="4:5" s="632" customFormat="1" ht="15.75" thickTop="1"/>
    <row r="39" spans="4:5" s="632" customFormat="1"/>
    <row r="40" spans="4:5" s="632" customFormat="1"/>
    <row r="41" spans="4:5" s="632" customFormat="1"/>
    <row r="42" spans="4:5" s="632" customFormat="1"/>
    <row r="43" spans="4:5" s="632" customFormat="1"/>
    <row r="44" spans="4:5" s="632" customFormat="1"/>
    <row r="45" spans="4:5" s="632" customFormat="1"/>
  </sheetData>
  <pageMargins left="0.7" right="0.7" top="0.75" bottom="0.75" header="0.3" footer="0.3"/>
  <pageSetup orientation="portrait" verticalDpi="597"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5">
    <pageSetUpPr fitToPage="1"/>
  </sheetPr>
  <dimension ref="A1:U49"/>
  <sheetViews>
    <sheetView zoomScaleNormal="100" zoomScaleSheetLayoutView="100" workbookViewId="0">
      <pane xSplit="1" ySplit="6" topLeftCell="B7" activePane="bottomRight" state="frozen"/>
      <selection activeCell="C6" sqref="C6"/>
      <selection pane="topRight" activeCell="C6" sqref="C6"/>
      <selection pane="bottomLeft" activeCell="C6" sqref="C6"/>
      <selection pane="bottomRight" activeCell="B22" sqref="B22"/>
    </sheetView>
  </sheetViews>
  <sheetFormatPr defaultColWidth="11.42578125" defaultRowHeight="12.75"/>
  <cols>
    <col min="1" max="1" width="16.7109375" style="55" customWidth="1"/>
    <col min="2" max="8" width="23.5703125" style="55" customWidth="1"/>
    <col min="9" max="16384" width="11.42578125" style="55"/>
  </cols>
  <sheetData>
    <row r="1" spans="1:8" s="102" customFormat="1" ht="15">
      <c r="A1" s="877"/>
      <c r="B1" s="662"/>
      <c r="C1" s="662"/>
      <c r="D1" s="662"/>
      <c r="E1" s="877"/>
      <c r="F1" s="877"/>
      <c r="G1" s="877"/>
      <c r="H1" s="878"/>
    </row>
    <row r="2" spans="1:8">
      <c r="A2" s="54" t="s">
        <v>363</v>
      </c>
      <c r="B2" s="879"/>
      <c r="C2" s="879"/>
      <c r="D2" s="879"/>
      <c r="E2" s="879"/>
      <c r="F2" s="879"/>
      <c r="G2" s="879"/>
      <c r="H2" s="879"/>
    </row>
    <row r="3" spans="1:8">
      <c r="A3" s="54" t="s">
        <v>986</v>
      </c>
      <c r="B3" s="879"/>
      <c r="C3" s="879"/>
      <c r="D3" s="879"/>
      <c r="E3" s="879"/>
      <c r="F3" s="879"/>
      <c r="G3" s="879"/>
      <c r="H3" s="879"/>
    </row>
    <row r="4" spans="1:8">
      <c r="A4" s="54" t="s">
        <v>364</v>
      </c>
      <c r="B4" s="879"/>
      <c r="C4" s="879"/>
      <c r="D4" s="879"/>
      <c r="E4" s="879"/>
      <c r="F4" s="879"/>
      <c r="G4" s="879"/>
      <c r="H4" s="879"/>
    </row>
    <row r="5" spans="1:8">
      <c r="A5" s="879"/>
      <c r="B5" s="879"/>
      <c r="C5" s="879"/>
      <c r="D5" s="879"/>
      <c r="E5" s="879"/>
      <c r="F5" s="879"/>
      <c r="G5" s="879"/>
      <c r="H5" s="879"/>
    </row>
    <row r="6" spans="1:8" ht="25.5" customHeight="1">
      <c r="A6" s="881"/>
      <c r="B6" s="63" t="s">
        <v>351</v>
      </c>
      <c r="C6" s="63"/>
      <c r="D6" s="63"/>
      <c r="E6" s="63"/>
      <c r="F6" s="63"/>
      <c r="G6" s="881"/>
      <c r="H6" s="881"/>
    </row>
    <row r="7" spans="1:8" s="59" customFormat="1" ht="38.25">
      <c r="A7" s="57" t="s">
        <v>361</v>
      </c>
      <c r="B7" s="58" t="s">
        <v>352</v>
      </c>
      <c r="C7" s="58" t="s">
        <v>353</v>
      </c>
      <c r="D7" s="57" t="s">
        <v>354</v>
      </c>
      <c r="E7" s="58" t="s">
        <v>355</v>
      </c>
      <c r="F7" s="58" t="s">
        <v>356</v>
      </c>
      <c r="G7" s="58" t="s">
        <v>358</v>
      </c>
      <c r="H7" s="58" t="s">
        <v>359</v>
      </c>
    </row>
    <row r="8" spans="1:8" s="61" customFormat="1">
      <c r="A8" s="882" t="s">
        <v>365</v>
      </c>
      <c r="B8" s="883"/>
      <c r="C8" s="883" t="s">
        <v>78</v>
      </c>
      <c r="D8" s="884" t="s">
        <v>81</v>
      </c>
      <c r="E8" s="883">
        <v>4</v>
      </c>
      <c r="F8" s="883">
        <v>25</v>
      </c>
      <c r="G8" s="883">
        <v>27</v>
      </c>
      <c r="H8" s="883">
        <v>28</v>
      </c>
    </row>
    <row r="9" spans="1:8" s="59" customFormat="1">
      <c r="A9" s="668" t="s">
        <v>987</v>
      </c>
      <c r="B9" s="885">
        <v>7092274599.0501156</v>
      </c>
      <c r="C9" s="956">
        <v>6823419627.1555138</v>
      </c>
      <c r="D9" s="885">
        <v>184908093.01753676</v>
      </c>
      <c r="E9" s="885">
        <v>252912031.89460173</v>
      </c>
      <c r="F9" s="885">
        <v>15942940</v>
      </c>
      <c r="G9" s="885">
        <v>3493761.4</v>
      </c>
      <c r="H9" s="885">
        <v>9263693.6669999994</v>
      </c>
    </row>
    <row r="10" spans="1:8">
      <c r="A10" s="668" t="s">
        <v>988</v>
      </c>
      <c r="B10" s="885">
        <v>7126466536.2475433</v>
      </c>
      <c r="C10" s="956">
        <v>6856463344.5229416</v>
      </c>
      <c r="D10" s="885">
        <v>190060111.58423674</v>
      </c>
      <c r="E10" s="885">
        <v>254060251.72460175</v>
      </c>
      <c r="F10" s="885">
        <v>15942940</v>
      </c>
      <c r="G10" s="885">
        <v>3493761.4</v>
      </c>
      <c r="H10" s="885">
        <v>9025459.3336999975</v>
      </c>
    </row>
    <row r="11" spans="1:8">
      <c r="A11" s="879" t="s">
        <v>366</v>
      </c>
      <c r="B11" s="885">
        <v>7152179431.6499481</v>
      </c>
      <c r="C11" s="956">
        <v>6880655471.9362574</v>
      </c>
      <c r="D11" s="885">
        <v>204996323.93413675</v>
      </c>
      <c r="E11" s="885">
        <v>255581019.71369079</v>
      </c>
      <c r="F11" s="885">
        <v>15942940</v>
      </c>
      <c r="G11" s="885">
        <v>3493761.4</v>
      </c>
      <c r="H11" s="885">
        <v>12327013.333699998</v>
      </c>
    </row>
    <row r="12" spans="1:8">
      <c r="A12" s="879" t="s">
        <v>367</v>
      </c>
      <c r="B12" s="885">
        <v>7153414641.9580193</v>
      </c>
      <c r="C12" s="956">
        <v>6886543468.4543285</v>
      </c>
      <c r="D12" s="885">
        <v>227475288.31403676</v>
      </c>
      <c r="E12" s="885">
        <v>250928233.50369081</v>
      </c>
      <c r="F12" s="885">
        <v>15942940</v>
      </c>
      <c r="G12" s="885">
        <v>3493761.4</v>
      </c>
      <c r="H12" s="885">
        <v>11734800.167099997</v>
      </c>
    </row>
    <row r="13" spans="1:8">
      <c r="A13" s="879" t="s">
        <v>368</v>
      </c>
      <c r="B13" s="885">
        <v>7178868843.1373844</v>
      </c>
      <c r="C13" s="956">
        <v>6910878239.103694</v>
      </c>
      <c r="D13" s="885">
        <v>232336808.32883674</v>
      </c>
      <c r="E13" s="885">
        <v>252047664.03369081</v>
      </c>
      <c r="F13" s="885">
        <v>15942940</v>
      </c>
      <c r="G13" s="885">
        <v>3493761.4</v>
      </c>
      <c r="H13" s="885">
        <v>11142587.000499997</v>
      </c>
    </row>
    <row r="14" spans="1:8">
      <c r="A14" s="879" t="s">
        <v>362</v>
      </c>
      <c r="B14" s="885">
        <v>7193653324.8433361</v>
      </c>
      <c r="C14" s="956">
        <v>6924095228.3383217</v>
      </c>
      <c r="D14" s="885">
        <v>250270685.94742689</v>
      </c>
      <c r="E14" s="885">
        <v>253615156.50501454</v>
      </c>
      <c r="F14" s="885">
        <v>15942940</v>
      </c>
      <c r="G14" s="885">
        <v>3493761.4</v>
      </c>
      <c r="H14" s="885">
        <v>10550373.833899997</v>
      </c>
    </row>
    <row r="15" spans="1:8">
      <c r="A15" s="879" t="s">
        <v>369</v>
      </c>
      <c r="B15" s="885">
        <v>7226065981.9296436</v>
      </c>
      <c r="C15" s="956">
        <v>6955059666.9846287</v>
      </c>
      <c r="D15" s="885">
        <v>260990853.5958153</v>
      </c>
      <c r="E15" s="885">
        <v>255063374.94501457</v>
      </c>
      <c r="F15" s="885">
        <v>15942940</v>
      </c>
      <c r="G15" s="885">
        <v>3493761.4</v>
      </c>
      <c r="H15" s="885">
        <v>13372680.438099999</v>
      </c>
    </row>
    <row r="16" spans="1:8">
      <c r="A16" s="879" t="s">
        <v>370</v>
      </c>
      <c r="B16" s="885">
        <v>7253477540.8364925</v>
      </c>
      <c r="C16" s="956">
        <v>6981050856.0614777</v>
      </c>
      <c r="D16" s="885">
        <v>271250881.4299019</v>
      </c>
      <c r="E16" s="885">
        <v>256483744.77501458</v>
      </c>
      <c r="F16" s="885">
        <v>15942940</v>
      </c>
      <c r="G16" s="885">
        <v>3493761.4</v>
      </c>
      <c r="H16" s="885">
        <v>12718595.6985</v>
      </c>
    </row>
    <row r="17" spans="1:21">
      <c r="A17" s="879" t="s">
        <v>371</v>
      </c>
      <c r="B17" s="885">
        <v>7258574316.7958069</v>
      </c>
      <c r="C17" s="956">
        <v>6984618662.1907921</v>
      </c>
      <c r="D17" s="885">
        <v>302746797.63350189</v>
      </c>
      <c r="E17" s="885">
        <v>258012714.60501459</v>
      </c>
      <c r="F17" s="885">
        <v>15942940</v>
      </c>
      <c r="G17" s="885">
        <v>3493761.4</v>
      </c>
      <c r="H17" s="885">
        <v>12064510.958900001</v>
      </c>
    </row>
    <row r="18" spans="1:21">
      <c r="A18" s="879" t="s">
        <v>372</v>
      </c>
      <c r="B18" s="885">
        <v>7299743170.1724186</v>
      </c>
      <c r="C18" s="956">
        <v>7029816081.1974039</v>
      </c>
      <c r="D18" s="885">
        <v>298075067.75000191</v>
      </c>
      <c r="E18" s="885">
        <v>253984148.9750146</v>
      </c>
      <c r="F18" s="885">
        <v>15942940</v>
      </c>
      <c r="G18" s="885">
        <v>3493761.4</v>
      </c>
      <c r="H18" s="885">
        <v>11410426.219300002</v>
      </c>
    </row>
    <row r="19" spans="1:21">
      <c r="A19" s="879" t="s">
        <v>373</v>
      </c>
      <c r="B19" s="885">
        <v>7313005609.5783501</v>
      </c>
      <c r="C19" s="956">
        <v>7040050877.5833359</v>
      </c>
      <c r="D19" s="885">
        <v>318409021.53866136</v>
      </c>
      <c r="E19" s="885">
        <v>257011791.99501461</v>
      </c>
      <c r="F19" s="885">
        <v>15942940</v>
      </c>
      <c r="G19" s="885">
        <v>3493761.4</v>
      </c>
      <c r="H19" s="885">
        <v>10756341.479700003</v>
      </c>
    </row>
    <row r="20" spans="1:21">
      <c r="A20" s="879" t="s">
        <v>374</v>
      </c>
      <c r="B20" s="885">
        <v>7339308861.0498524</v>
      </c>
      <c r="C20" s="956">
        <v>7064878700.6548376</v>
      </c>
      <c r="D20" s="885">
        <v>332728788.86961293</v>
      </c>
      <c r="E20" s="885">
        <v>258487220.39501461</v>
      </c>
      <c r="F20" s="885">
        <v>15942940</v>
      </c>
      <c r="G20" s="885">
        <v>3493761.4</v>
      </c>
      <c r="H20" s="885">
        <v>10102256.740100004</v>
      </c>
    </row>
    <row r="21" spans="1:21">
      <c r="A21" s="668" t="s">
        <v>989</v>
      </c>
      <c r="B21" s="885">
        <v>7436830739.4443188</v>
      </c>
      <c r="C21" s="956">
        <v>7165669333.2693043</v>
      </c>
      <c r="D21" s="885">
        <v>261041107.47424287</v>
      </c>
      <c r="E21" s="885">
        <v>255218466.17501462</v>
      </c>
      <c r="F21" s="885">
        <v>15942940</v>
      </c>
      <c r="G21" s="885">
        <v>3493761.4</v>
      </c>
      <c r="H21" s="885">
        <v>9448172.0005000047</v>
      </c>
    </row>
    <row r="22" spans="1:21" ht="13.5" thickBot="1">
      <c r="A22" s="880" t="s">
        <v>375</v>
      </c>
      <c r="B22" s="957">
        <f t="shared" ref="B22:H22" si="0">SUM(B9:B21)/13</f>
        <v>7232604892.0533257</v>
      </c>
      <c r="C22" s="957">
        <f t="shared" si="0"/>
        <v>6961784581.3425245</v>
      </c>
      <c r="D22" s="957">
        <f t="shared" si="0"/>
        <v>256560756.10907295</v>
      </c>
      <c r="E22" s="886">
        <f t="shared" si="0"/>
        <v>254877370.71079943</v>
      </c>
      <c r="F22" s="886">
        <f t="shared" si="0"/>
        <v>15942940</v>
      </c>
      <c r="G22" s="886">
        <f t="shared" si="0"/>
        <v>3493761.399999999</v>
      </c>
      <c r="H22" s="886">
        <f t="shared" si="0"/>
        <v>11070531.605461538</v>
      </c>
    </row>
    <row r="23" spans="1:21" ht="15.75" thickTop="1">
      <c r="A23" s="879"/>
      <c r="B23" s="887"/>
      <c r="C23" s="65"/>
      <c r="D23" s="926"/>
      <c r="E23" s="65"/>
      <c r="F23" s="65"/>
      <c r="G23" s="887"/>
      <c r="H23" s="887"/>
    </row>
    <row r="24" spans="1:21" ht="15">
      <c r="A24" s="879"/>
      <c r="B24" s="887"/>
      <c r="C24" s="65"/>
      <c r="D24" s="887"/>
      <c r="E24" s="65"/>
      <c r="F24" s="65"/>
      <c r="G24" s="887"/>
      <c r="H24" s="887"/>
    </row>
    <row r="25" spans="1:21" ht="25.5" customHeight="1">
      <c r="A25" s="63" t="s">
        <v>376</v>
      </c>
      <c r="B25" s="64"/>
      <c r="C25" s="64"/>
      <c r="D25" s="64"/>
      <c r="E25" s="64"/>
      <c r="F25" s="65"/>
      <c r="G25" s="887"/>
      <c r="H25" s="887"/>
    </row>
    <row r="26" spans="1:21" ht="38.25">
      <c r="A26" s="57" t="s">
        <v>361</v>
      </c>
      <c r="B26" s="58" t="s">
        <v>352</v>
      </c>
      <c r="C26" s="58" t="s">
        <v>353</v>
      </c>
      <c r="D26" s="57" t="s">
        <v>354</v>
      </c>
      <c r="E26" s="58" t="s">
        <v>355</v>
      </c>
      <c r="F26" s="879"/>
      <c r="G26" s="879"/>
      <c r="H26" s="879"/>
      <c r="I26" s="62"/>
      <c r="J26" s="62"/>
      <c r="K26" s="62"/>
      <c r="L26" s="62"/>
      <c r="M26" s="62"/>
      <c r="N26" s="62"/>
      <c r="O26" s="62"/>
      <c r="P26" s="62"/>
      <c r="Q26" s="62"/>
      <c r="R26" s="62"/>
      <c r="S26" s="62"/>
      <c r="T26" s="62"/>
      <c r="U26" s="62"/>
    </row>
    <row r="27" spans="1:21" s="56" customFormat="1" ht="15">
      <c r="A27" s="882" t="s">
        <v>365</v>
      </c>
      <c r="B27" s="883"/>
      <c r="C27" s="883" t="s">
        <v>95</v>
      </c>
      <c r="D27" s="884" t="s">
        <v>97</v>
      </c>
      <c r="E27" s="883">
        <v>10</v>
      </c>
      <c r="F27" s="879"/>
      <c r="G27" s="879"/>
      <c r="H27" s="879"/>
      <c r="I27" s="65"/>
      <c r="J27" s="65"/>
      <c r="K27" s="65"/>
      <c r="L27" s="65"/>
      <c r="M27" s="65"/>
      <c r="N27" s="65"/>
      <c r="O27" s="65"/>
      <c r="P27" s="65"/>
      <c r="Q27" s="65"/>
      <c r="R27" s="65"/>
      <c r="S27" s="65"/>
      <c r="T27" s="65"/>
      <c r="U27" s="65"/>
    </row>
    <row r="28" spans="1:21" ht="15">
      <c r="A28" s="668" t="str">
        <f t="shared" ref="A28:A40" si="1">+A9</f>
        <v>December '21</v>
      </c>
      <c r="B28" s="885">
        <v>-2032888479.8858278</v>
      </c>
      <c r="C28" s="958">
        <v>-1936776460.5102971</v>
      </c>
      <c r="D28" s="65"/>
      <c r="E28" s="885">
        <v>-96112019.375530824</v>
      </c>
      <c r="F28" s="879"/>
      <c r="G28" s="879"/>
      <c r="H28" s="879"/>
      <c r="I28" s="62"/>
      <c r="J28" s="62"/>
      <c r="K28" s="62"/>
      <c r="L28" s="62"/>
      <c r="M28" s="62"/>
      <c r="N28" s="62"/>
      <c r="O28" s="62"/>
      <c r="P28" s="62"/>
      <c r="Q28" s="62"/>
      <c r="R28" s="62"/>
      <c r="S28" s="62"/>
      <c r="T28" s="62"/>
      <c r="U28" s="62"/>
    </row>
    <row r="29" spans="1:21" ht="15">
      <c r="A29" s="668" t="str">
        <f t="shared" si="1"/>
        <v>January '22</v>
      </c>
      <c r="B29" s="885">
        <v>-2047541295.9140944</v>
      </c>
      <c r="C29" s="958">
        <v>-1949184650.0541849</v>
      </c>
      <c r="D29" s="65"/>
      <c r="E29" s="885">
        <v>-98356645.85990946</v>
      </c>
      <c r="F29" s="879"/>
      <c r="G29" s="879"/>
      <c r="H29" s="879"/>
      <c r="I29" s="62"/>
      <c r="J29" s="62"/>
      <c r="K29" s="62"/>
      <c r="L29" s="62"/>
      <c r="M29" s="62"/>
      <c r="N29" s="62"/>
      <c r="O29" s="62"/>
      <c r="P29" s="62"/>
      <c r="Q29" s="62"/>
      <c r="R29" s="62"/>
      <c r="S29" s="62"/>
      <c r="T29" s="62"/>
      <c r="U29" s="62"/>
    </row>
    <row r="30" spans="1:21" ht="15">
      <c r="A30" s="668" t="str">
        <f t="shared" si="1"/>
        <v>February</v>
      </c>
      <c r="B30" s="885">
        <v>-2063280369.9515316</v>
      </c>
      <c r="C30" s="958">
        <v>-1962555040.6868315</v>
      </c>
      <c r="D30" s="65"/>
      <c r="E30" s="885">
        <v>-100725329.26470029</v>
      </c>
      <c r="F30" s="879"/>
      <c r="G30" s="879"/>
      <c r="H30" s="879"/>
      <c r="I30" s="62"/>
      <c r="J30" s="62"/>
      <c r="K30" s="62"/>
      <c r="L30" s="62"/>
      <c r="M30" s="62"/>
      <c r="N30" s="62"/>
      <c r="O30" s="62"/>
      <c r="P30" s="62"/>
      <c r="Q30" s="62"/>
      <c r="R30" s="62"/>
      <c r="S30" s="62"/>
      <c r="T30" s="62"/>
      <c r="U30" s="62"/>
    </row>
    <row r="31" spans="1:21" ht="15">
      <c r="A31" s="668" t="str">
        <f t="shared" si="1"/>
        <v xml:space="preserve">March </v>
      </c>
      <c r="B31" s="885">
        <v>-2071234398.0427377</v>
      </c>
      <c r="C31" s="958">
        <v>-1975629449.5773435</v>
      </c>
      <c r="D31" s="65"/>
      <c r="E31" s="885">
        <v>-95604948.465394303</v>
      </c>
      <c r="F31" s="879"/>
      <c r="G31" s="879"/>
      <c r="H31" s="879"/>
      <c r="I31" s="62"/>
      <c r="J31" s="62"/>
      <c r="K31" s="62"/>
      <c r="L31" s="62"/>
      <c r="M31" s="62"/>
      <c r="N31" s="62"/>
      <c r="O31" s="62"/>
      <c r="P31" s="62"/>
      <c r="Q31" s="62"/>
      <c r="R31" s="62"/>
      <c r="S31" s="62"/>
      <c r="T31" s="62"/>
      <c r="U31" s="62"/>
    </row>
    <row r="32" spans="1:21" ht="15">
      <c r="A32" s="668" t="str">
        <f t="shared" si="1"/>
        <v>April</v>
      </c>
      <c r="B32" s="885">
        <v>-2087152163.0140204</v>
      </c>
      <c r="C32" s="958">
        <v>-1989118673.4481747</v>
      </c>
      <c r="D32" s="65"/>
      <c r="E32" s="885">
        <v>-98033489.565845668</v>
      </c>
      <c r="F32" s="879"/>
      <c r="G32" s="879"/>
      <c r="H32" s="879"/>
      <c r="I32" s="62"/>
      <c r="J32" s="62"/>
      <c r="K32" s="62"/>
      <c r="L32" s="62"/>
      <c r="M32" s="62"/>
      <c r="N32" s="62"/>
      <c r="O32" s="62"/>
      <c r="P32" s="62"/>
      <c r="Q32" s="62"/>
      <c r="R32" s="62"/>
      <c r="S32" s="62"/>
      <c r="T32" s="62"/>
      <c r="U32" s="62"/>
    </row>
    <row r="33" spans="1:21" ht="15">
      <c r="A33" s="668" t="str">
        <f t="shared" si="1"/>
        <v>May</v>
      </c>
      <c r="B33" s="885">
        <v>-2103338193.2598515</v>
      </c>
      <c r="C33" s="958">
        <v>-2002482120.8135765</v>
      </c>
      <c r="D33" s="65"/>
      <c r="E33" s="885">
        <v>-100856072.44627491</v>
      </c>
      <c r="F33" s="879"/>
      <c r="G33" s="879"/>
      <c r="H33" s="879"/>
      <c r="I33" s="62"/>
      <c r="J33" s="62"/>
      <c r="K33" s="62"/>
      <c r="L33" s="62"/>
      <c r="M33" s="62"/>
      <c r="N33" s="62"/>
      <c r="O33" s="62"/>
      <c r="P33" s="62"/>
      <c r="Q33" s="62"/>
      <c r="R33" s="62"/>
      <c r="S33" s="62"/>
      <c r="T33" s="62"/>
      <c r="U33" s="62"/>
    </row>
    <row r="34" spans="1:21" ht="15">
      <c r="A34" s="668" t="str">
        <f t="shared" si="1"/>
        <v>June</v>
      </c>
      <c r="B34" s="885">
        <v>-2118112634.3089349</v>
      </c>
      <c r="C34" s="958">
        <v>-2015702437.9722836</v>
      </c>
      <c r="D34" s="65"/>
      <c r="E34" s="885">
        <v>-102410196.33665133</v>
      </c>
      <c r="F34" s="879"/>
      <c r="G34" s="879"/>
      <c r="H34" s="879"/>
      <c r="I34" s="62"/>
      <c r="J34" s="62"/>
      <c r="K34" s="62"/>
      <c r="L34" s="62"/>
      <c r="M34" s="62"/>
      <c r="N34" s="62"/>
      <c r="O34" s="62"/>
      <c r="P34" s="62"/>
      <c r="Q34" s="62"/>
      <c r="R34" s="62"/>
      <c r="S34" s="62"/>
      <c r="T34" s="62"/>
      <c r="U34" s="62"/>
    </row>
    <row r="35" spans="1:21" ht="15">
      <c r="A35" s="668" t="str">
        <f t="shared" si="1"/>
        <v>July</v>
      </c>
      <c r="B35" s="885">
        <v>-2134391445.5019386</v>
      </c>
      <c r="C35" s="958">
        <v>-2029096275.6294353</v>
      </c>
      <c r="D35" s="65"/>
      <c r="E35" s="885">
        <v>-105295169.87250324</v>
      </c>
      <c r="F35" s="879"/>
      <c r="G35" s="879"/>
      <c r="H35" s="879"/>
      <c r="I35" s="62"/>
      <c r="J35" s="62"/>
      <c r="K35" s="62"/>
      <c r="L35" s="62"/>
      <c r="M35" s="62"/>
      <c r="N35" s="62"/>
      <c r="O35" s="62"/>
      <c r="P35" s="62"/>
      <c r="Q35" s="62"/>
      <c r="R35" s="62"/>
      <c r="S35" s="62"/>
      <c r="T35" s="62"/>
      <c r="U35" s="62"/>
    </row>
    <row r="36" spans="1:21" ht="15">
      <c r="A36" s="668" t="str">
        <f t="shared" si="1"/>
        <v xml:space="preserve">August </v>
      </c>
      <c r="B36" s="885">
        <v>-2150855102.2684817</v>
      </c>
      <c r="C36" s="958">
        <v>-2042526262.484195</v>
      </c>
      <c r="D36" s="65"/>
      <c r="E36" s="885">
        <v>-108328839.78428678</v>
      </c>
      <c r="F36" s="879"/>
      <c r="G36" s="879"/>
      <c r="H36" s="879"/>
      <c r="I36" s="62"/>
      <c r="J36" s="62"/>
      <c r="K36" s="62"/>
      <c r="L36" s="62"/>
      <c r="M36" s="62"/>
      <c r="N36" s="62"/>
      <c r="O36" s="62"/>
      <c r="P36" s="62"/>
      <c r="Q36" s="62"/>
      <c r="R36" s="62"/>
      <c r="S36" s="62"/>
      <c r="T36" s="62"/>
      <c r="U36" s="62"/>
    </row>
    <row r="37" spans="1:21" ht="15">
      <c r="A37" s="668" t="str">
        <f t="shared" si="1"/>
        <v>September</v>
      </c>
      <c r="B37" s="885">
        <v>-2170344940.7027693</v>
      </c>
      <c r="C37" s="958">
        <v>-2065141942.5282674</v>
      </c>
      <c r="D37" s="65"/>
      <c r="E37" s="885">
        <v>-105202998.17450193</v>
      </c>
      <c r="F37" s="879"/>
      <c r="G37" s="879"/>
      <c r="H37" s="879"/>
      <c r="I37" s="62"/>
      <c r="J37" s="62"/>
      <c r="K37" s="62"/>
      <c r="L37" s="62"/>
      <c r="M37" s="62"/>
      <c r="N37" s="62"/>
      <c r="O37" s="62"/>
      <c r="P37" s="62"/>
      <c r="Q37" s="62"/>
      <c r="R37" s="62"/>
      <c r="S37" s="62"/>
      <c r="T37" s="62"/>
      <c r="U37" s="62"/>
    </row>
    <row r="38" spans="1:21" ht="15">
      <c r="A38" s="668" t="str">
        <f t="shared" si="1"/>
        <v>October</v>
      </c>
      <c r="B38" s="885">
        <v>-2187014908.1909509</v>
      </c>
      <c r="C38" s="958">
        <v>-2078902989.1398878</v>
      </c>
      <c r="D38" s="65"/>
      <c r="E38" s="885">
        <v>-108111919.05106297</v>
      </c>
      <c r="F38" s="879"/>
      <c r="G38" s="879"/>
      <c r="H38" s="879"/>
      <c r="I38" s="62"/>
      <c r="J38" s="62"/>
      <c r="K38" s="62"/>
      <c r="L38" s="62"/>
      <c r="M38" s="62"/>
      <c r="N38" s="62"/>
      <c r="O38" s="62"/>
      <c r="P38" s="62"/>
      <c r="Q38" s="62"/>
      <c r="R38" s="62"/>
      <c r="S38" s="62"/>
      <c r="T38" s="62"/>
      <c r="U38" s="62"/>
    </row>
    <row r="39" spans="1:21" ht="15">
      <c r="A39" s="668" t="str">
        <f t="shared" si="1"/>
        <v>November</v>
      </c>
      <c r="B39" s="885">
        <v>-2203465328.9209003</v>
      </c>
      <c r="C39" s="958">
        <v>-2092567434.8308411</v>
      </c>
      <c r="D39" s="65"/>
      <c r="E39" s="885">
        <v>-110897894.09005925</v>
      </c>
      <c r="F39" s="879"/>
      <c r="G39" s="879"/>
      <c r="H39" s="879"/>
      <c r="I39" s="62"/>
      <c r="J39" s="62"/>
      <c r="K39" s="62"/>
      <c r="L39" s="62"/>
      <c r="M39" s="62"/>
      <c r="N39" s="62"/>
      <c r="O39" s="62"/>
      <c r="P39" s="62"/>
      <c r="Q39" s="62"/>
      <c r="R39" s="62"/>
      <c r="S39" s="62"/>
      <c r="T39" s="62"/>
      <c r="U39" s="62"/>
    </row>
    <row r="40" spans="1:21" ht="15">
      <c r="A40" s="668" t="str">
        <f t="shared" si="1"/>
        <v>December '22</v>
      </c>
      <c r="B40" s="885">
        <v>-2214145415.9292727</v>
      </c>
      <c r="C40" s="958">
        <v>-2106756212.1637454</v>
      </c>
      <c r="D40" s="65"/>
      <c r="E40" s="885">
        <v>-107389203.7655272</v>
      </c>
      <c r="F40" s="879"/>
      <c r="G40" s="879"/>
      <c r="H40" s="879"/>
      <c r="I40" s="62"/>
      <c r="J40" s="62"/>
      <c r="K40" s="62"/>
      <c r="L40" s="62"/>
      <c r="M40" s="62"/>
      <c r="N40" s="62"/>
      <c r="O40" s="62"/>
      <c r="P40" s="62"/>
      <c r="Q40" s="62"/>
      <c r="R40" s="62"/>
      <c r="S40" s="62"/>
      <c r="T40" s="62"/>
      <c r="U40" s="62"/>
    </row>
    <row r="41" spans="1:21" ht="15.75" thickBot="1">
      <c r="A41" s="880" t="s">
        <v>375</v>
      </c>
      <c r="B41" s="886">
        <f>SUM(B28:B40)/13</f>
        <v>-2121828051.9916396</v>
      </c>
      <c r="C41" s="959">
        <f>SUM(C28:C40)/13</f>
        <v>-2018956919.2183897</v>
      </c>
      <c r="D41" s="886">
        <f>SUM(D28:D40)/13</f>
        <v>0</v>
      </c>
      <c r="E41" s="886">
        <f>SUM(E28:E40)/13</f>
        <v>-102871132.77324986</v>
      </c>
      <c r="F41" s="879"/>
      <c r="G41" s="879"/>
      <c r="H41" s="879"/>
      <c r="I41" s="62"/>
      <c r="J41" s="62"/>
      <c r="K41" s="62"/>
      <c r="L41" s="62"/>
      <c r="M41" s="62"/>
      <c r="N41" s="62"/>
      <c r="O41" s="62"/>
      <c r="P41" s="62"/>
      <c r="Q41" s="62"/>
      <c r="R41" s="62"/>
      <c r="S41" s="62"/>
      <c r="T41" s="62"/>
      <c r="U41" s="62"/>
    </row>
    <row r="42" spans="1:21" ht="15.75" thickTop="1">
      <c r="A42" s="879"/>
      <c r="B42" s="879"/>
      <c r="C42" s="65"/>
      <c r="D42" s="926"/>
      <c r="E42" s="65"/>
      <c r="F42" s="65"/>
      <c r="G42" s="65"/>
      <c r="H42" s="65"/>
      <c r="I42" s="62"/>
      <c r="J42" s="62"/>
      <c r="K42" s="62"/>
      <c r="L42" s="62"/>
      <c r="M42" s="62"/>
      <c r="N42" s="62"/>
      <c r="O42" s="62"/>
      <c r="P42" s="62"/>
      <c r="Q42" s="62"/>
      <c r="R42" s="62"/>
      <c r="S42" s="62"/>
      <c r="T42" s="62"/>
      <c r="U42" s="62"/>
    </row>
    <row r="43" spans="1:21" s="67" customFormat="1" ht="15">
      <c r="A43" s="66"/>
      <c r="B43" s="888"/>
      <c r="C43" s="889"/>
      <c r="D43" s="889"/>
      <c r="E43" s="889"/>
      <c r="F43" s="889"/>
      <c r="G43" s="889"/>
      <c r="H43" s="889"/>
      <c r="I43" s="68"/>
      <c r="J43" s="68"/>
      <c r="K43" s="68"/>
      <c r="L43" s="68"/>
      <c r="M43" s="68"/>
      <c r="N43" s="68"/>
      <c r="O43" s="68"/>
      <c r="P43" s="68"/>
      <c r="Q43" s="68"/>
      <c r="R43" s="68"/>
      <c r="S43" s="68"/>
      <c r="T43" s="68"/>
      <c r="U43" s="68"/>
    </row>
    <row r="44" spans="1:21" s="67" customFormat="1" ht="25.5" customHeight="1">
      <c r="A44" s="63" t="s">
        <v>377</v>
      </c>
      <c r="B44" s="64"/>
      <c r="C44" s="64"/>
      <c r="D44" s="64"/>
      <c r="E44" s="64"/>
      <c r="F44" s="47"/>
      <c r="G44" s="889"/>
      <c r="H44" s="889"/>
      <c r="I44" s="68"/>
      <c r="J44" s="68"/>
      <c r="K44" s="68"/>
      <c r="L44" s="68"/>
      <c r="M44" s="68"/>
      <c r="N44" s="68"/>
      <c r="O44" s="68"/>
      <c r="P44" s="68"/>
      <c r="Q44" s="68"/>
      <c r="R44" s="68"/>
      <c r="S44" s="68"/>
      <c r="T44" s="68"/>
      <c r="U44" s="68"/>
    </row>
    <row r="45" spans="1:21" s="67" customFormat="1" ht="38.25">
      <c r="A45" s="57" t="s">
        <v>361</v>
      </c>
      <c r="B45" s="58" t="s">
        <v>352</v>
      </c>
      <c r="C45" s="58" t="s">
        <v>353</v>
      </c>
      <c r="D45" s="57" t="s">
        <v>354</v>
      </c>
      <c r="E45" s="58" t="s">
        <v>355</v>
      </c>
      <c r="F45" s="890"/>
      <c r="G45" s="889"/>
      <c r="H45" s="889"/>
      <c r="I45" s="68"/>
      <c r="J45" s="68"/>
      <c r="K45" s="68"/>
      <c r="L45" s="68"/>
      <c r="M45" s="68"/>
      <c r="N45" s="68"/>
      <c r="O45" s="68"/>
      <c r="P45" s="68"/>
      <c r="Q45" s="68"/>
      <c r="R45" s="68"/>
      <c r="S45" s="68"/>
      <c r="T45" s="68"/>
      <c r="U45" s="68"/>
    </row>
    <row r="46" spans="1:21" s="67" customFormat="1" ht="15">
      <c r="A46" s="884" t="s">
        <v>365</v>
      </c>
      <c r="B46" s="883"/>
      <c r="C46" s="883" t="s">
        <v>95</v>
      </c>
      <c r="D46" s="884" t="s">
        <v>97</v>
      </c>
      <c r="E46" s="883">
        <v>10</v>
      </c>
      <c r="F46" s="890"/>
      <c r="G46" s="889"/>
      <c r="H46" s="889"/>
    </row>
    <row r="47" spans="1:21" s="67" customFormat="1" ht="15.75" thickBot="1">
      <c r="A47" s="880" t="s">
        <v>375</v>
      </c>
      <c r="B47" s="886">
        <f>+B22+B41</f>
        <v>5110776840.0616856</v>
      </c>
      <c r="C47" s="886">
        <f>+C22+C41</f>
        <v>4942827662.124135</v>
      </c>
      <c r="D47" s="886">
        <f>+D22+D41</f>
        <v>256560756.10907295</v>
      </c>
      <c r="E47" s="886">
        <f>+E22+E41</f>
        <v>152006237.93754956</v>
      </c>
      <c r="F47" s="890"/>
      <c r="G47" s="889"/>
      <c r="H47" s="889"/>
    </row>
    <row r="48" spans="1:21" s="67" customFormat="1" ht="15.75" thickTop="1">
      <c r="A48" s="888"/>
      <c r="B48" s="891"/>
      <c r="C48" s="890"/>
      <c r="D48" s="925"/>
      <c r="E48" s="890"/>
      <c r="F48" s="890"/>
      <c r="G48" s="889"/>
      <c r="H48" s="889"/>
    </row>
    <row r="49" spans="1:8" s="67" customFormat="1" ht="15">
      <c r="A49" s="888"/>
      <c r="B49" s="891"/>
      <c r="C49" s="890"/>
      <c r="D49" s="891"/>
      <c r="E49" s="890"/>
      <c r="F49" s="890"/>
      <c r="G49" s="889"/>
      <c r="H49" s="889"/>
    </row>
  </sheetData>
  <pageMargins left="0.7" right="0.7" top="0.75" bottom="0.75" header="0.3" footer="0.3"/>
  <pageSetup scale="65" orientation="landscape" r:id="rId1"/>
  <headerFooter>
    <oddFooter>&amp;R&amp;A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9">
    <pageSetUpPr fitToPage="1"/>
  </sheetPr>
  <dimension ref="A1:G39"/>
  <sheetViews>
    <sheetView zoomScaleNormal="100" zoomScaleSheetLayoutView="100" workbookViewId="0">
      <pane ySplit="3" topLeftCell="A4" activePane="bottomLeft" state="frozen"/>
      <selection activeCell="I37" sqref="I37"/>
      <selection pane="bottomLeft" activeCell="I37" sqref="I37"/>
    </sheetView>
  </sheetViews>
  <sheetFormatPr defaultRowHeight="12.75"/>
  <cols>
    <col min="1" max="1" width="12.28515625" style="272" customWidth="1"/>
    <col min="2" max="2" width="16.140625" style="272" bestFit="1" customWidth="1"/>
    <col min="3" max="3" width="41.28515625" style="272" customWidth="1"/>
    <col min="4" max="4" width="70.28515625" style="272" customWidth="1"/>
    <col min="5" max="5" width="10.7109375" style="272" customWidth="1"/>
    <col min="6" max="6" width="9.42578125" style="272" customWidth="1"/>
    <col min="7" max="16384" width="9.140625" style="272"/>
  </cols>
  <sheetData>
    <row r="1" spans="1:7">
      <c r="A1" s="430" t="s">
        <v>731</v>
      </c>
      <c r="F1" s="429"/>
    </row>
    <row r="3" spans="1:7" ht="25.5">
      <c r="A3" s="427" t="s">
        <v>625</v>
      </c>
      <c r="B3" s="428" t="s">
        <v>652</v>
      </c>
      <c r="C3" s="428" t="s">
        <v>651</v>
      </c>
      <c r="D3" s="427" t="s">
        <v>650</v>
      </c>
      <c r="F3" s="227"/>
    </row>
    <row r="4" spans="1:7">
      <c r="A4" s="295">
        <v>2844</v>
      </c>
      <c r="B4" s="296">
        <v>41469</v>
      </c>
      <c r="C4" s="424">
        <v>4998</v>
      </c>
      <c r="D4" s="298" t="s">
        <v>664</v>
      </c>
      <c r="F4" s="227"/>
      <c r="G4" s="227"/>
    </row>
    <row r="5" spans="1:7" ht="25.5">
      <c r="A5" s="295">
        <v>3127</v>
      </c>
      <c r="B5" s="296">
        <v>43371</v>
      </c>
      <c r="C5" s="424" t="s">
        <v>920</v>
      </c>
      <c r="D5" s="298" t="s">
        <v>730</v>
      </c>
      <c r="F5" s="227"/>
      <c r="G5" s="227"/>
    </row>
    <row r="6" spans="1:7">
      <c r="A6" s="423"/>
      <c r="B6" s="296"/>
      <c r="C6" s="424"/>
      <c r="D6" s="426"/>
      <c r="F6" s="227"/>
      <c r="G6" s="227"/>
    </row>
    <row r="7" spans="1:7">
      <c r="A7" s="423"/>
      <c r="B7" s="296"/>
      <c r="C7" s="424"/>
      <c r="D7" s="298"/>
      <c r="F7" s="227"/>
      <c r="G7" s="227"/>
    </row>
    <row r="8" spans="1:7">
      <c r="A8" s="423"/>
      <c r="B8" s="296"/>
      <c r="C8" s="424"/>
      <c r="D8" s="298"/>
      <c r="F8" s="227"/>
      <c r="G8" s="227"/>
    </row>
    <row r="9" spans="1:7">
      <c r="A9" s="425"/>
      <c r="B9" s="296"/>
      <c r="C9" s="424"/>
      <c r="D9" s="298"/>
      <c r="F9" s="227"/>
      <c r="G9" s="227"/>
    </row>
    <row r="10" spans="1:7">
      <c r="A10" s="423"/>
      <c r="B10" s="296"/>
      <c r="C10" s="297"/>
      <c r="D10" s="298"/>
      <c r="F10" s="227"/>
      <c r="G10" s="227"/>
    </row>
    <row r="11" spans="1:7">
      <c r="A11" s="423"/>
      <c r="B11" s="296"/>
      <c r="C11" s="297"/>
      <c r="D11" s="298"/>
      <c r="F11" s="227"/>
      <c r="G11" s="227"/>
    </row>
    <row r="12" spans="1:7">
      <c r="A12" s="423"/>
      <c r="B12" s="296"/>
      <c r="C12" s="297"/>
      <c r="D12" s="298"/>
      <c r="F12" s="227"/>
      <c r="G12" s="227"/>
    </row>
    <row r="13" spans="1:7">
      <c r="A13" s="423"/>
      <c r="B13" s="296"/>
      <c r="C13" s="297"/>
      <c r="D13" s="298"/>
      <c r="F13" s="227"/>
      <c r="G13" s="227"/>
    </row>
    <row r="14" spans="1:7">
      <c r="A14" s="423"/>
      <c r="B14" s="296"/>
      <c r="C14" s="424"/>
      <c r="D14" s="298"/>
      <c r="F14" s="227"/>
      <c r="G14" s="227"/>
    </row>
    <row r="15" spans="1:7">
      <c r="A15" s="423"/>
      <c r="B15" s="296"/>
      <c r="C15" s="297"/>
      <c r="D15" s="298"/>
      <c r="F15" s="227"/>
      <c r="G15" s="227"/>
    </row>
    <row r="16" spans="1:7">
      <c r="A16" s="423"/>
      <c r="B16" s="423"/>
      <c r="C16" s="293"/>
      <c r="D16" s="292"/>
      <c r="F16" s="227"/>
      <c r="G16" s="227"/>
    </row>
    <row r="17" spans="1:7">
      <c r="A17" s="423"/>
      <c r="B17" s="423"/>
      <c r="C17" s="293"/>
      <c r="D17" s="292"/>
      <c r="F17" s="227"/>
      <c r="G17" s="227"/>
    </row>
    <row r="18" spans="1:7">
      <c r="A18" s="423"/>
      <c r="B18" s="423"/>
      <c r="C18" s="293"/>
      <c r="D18" s="292"/>
    </row>
    <row r="19" spans="1:7">
      <c r="A19" s="423"/>
      <c r="B19" s="423"/>
      <c r="C19" s="293"/>
      <c r="D19" s="292"/>
    </row>
    <row r="20" spans="1:7">
      <c r="A20" s="423"/>
      <c r="B20" s="423"/>
      <c r="C20" s="293"/>
      <c r="D20" s="292"/>
    </row>
    <row r="21" spans="1:7">
      <c r="A21" s="423"/>
      <c r="B21" s="423"/>
      <c r="C21" s="293"/>
      <c r="D21" s="292"/>
    </row>
    <row r="22" spans="1:7">
      <c r="A22" s="423"/>
      <c r="B22" s="423"/>
      <c r="C22" s="293"/>
      <c r="D22" s="292"/>
    </row>
    <row r="23" spans="1:7">
      <c r="A23" s="423"/>
      <c r="B23" s="423"/>
      <c r="C23" s="293"/>
      <c r="D23" s="292"/>
    </row>
    <row r="24" spans="1:7">
      <c r="A24" s="423"/>
      <c r="B24" s="423"/>
      <c r="C24" s="293"/>
      <c r="D24" s="292"/>
    </row>
    <row r="25" spans="1:7">
      <c r="A25" s="423"/>
      <c r="B25" s="423"/>
      <c r="C25" s="293"/>
      <c r="D25" s="292"/>
    </row>
    <row r="26" spans="1:7">
      <c r="A26" s="423"/>
      <c r="B26" s="423"/>
      <c r="C26" s="293"/>
      <c r="D26" s="292"/>
    </row>
    <row r="27" spans="1:7">
      <c r="A27" s="423"/>
      <c r="B27" s="423"/>
      <c r="C27" s="293"/>
      <c r="D27" s="292"/>
    </row>
    <row r="28" spans="1:7">
      <c r="A28" s="423"/>
      <c r="B28" s="423"/>
      <c r="C28" s="293"/>
      <c r="D28" s="292"/>
    </row>
    <row r="29" spans="1:7">
      <c r="A29" s="423"/>
      <c r="B29" s="423"/>
      <c r="C29" s="293"/>
      <c r="D29" s="292"/>
    </row>
    <row r="30" spans="1:7">
      <c r="A30" s="423"/>
      <c r="B30" s="423"/>
      <c r="C30" s="293"/>
      <c r="D30" s="292"/>
    </row>
    <row r="31" spans="1:7">
      <c r="A31" s="423"/>
      <c r="B31" s="423"/>
      <c r="C31" s="293"/>
      <c r="D31" s="292"/>
    </row>
    <row r="32" spans="1:7">
      <c r="A32" s="423"/>
      <c r="B32" s="423"/>
      <c r="C32" s="293"/>
      <c r="D32" s="292"/>
    </row>
    <row r="33" spans="1:4">
      <c r="A33" s="423"/>
      <c r="B33" s="423"/>
      <c r="C33" s="293"/>
      <c r="D33" s="292"/>
    </row>
    <row r="34" spans="1:4">
      <c r="A34" s="423"/>
      <c r="B34" s="423"/>
      <c r="C34" s="293"/>
      <c r="D34" s="292"/>
    </row>
    <row r="35" spans="1:4">
      <c r="A35" s="423"/>
      <c r="B35" s="423"/>
      <c r="C35" s="293"/>
      <c r="D35" s="292"/>
    </row>
    <row r="36" spans="1:4">
      <c r="A36" s="423"/>
      <c r="B36" s="423"/>
      <c r="C36" s="293"/>
      <c r="D36" s="292"/>
    </row>
    <row r="37" spans="1:4">
      <c r="A37" s="423"/>
      <c r="B37" s="423"/>
      <c r="C37" s="293"/>
      <c r="D37" s="292"/>
    </row>
    <row r="38" spans="1:4">
      <c r="A38" s="423"/>
      <c r="B38" s="423"/>
      <c r="C38" s="293"/>
      <c r="D38" s="292"/>
    </row>
    <row r="39" spans="1:4">
      <c r="A39" s="423"/>
      <c r="B39" s="423"/>
      <c r="C39" s="293"/>
      <c r="D39" s="292"/>
    </row>
  </sheetData>
  <pageMargins left="0.7" right="0.7" top="0.75" bottom="0.75" header="0.3" footer="0.3"/>
  <pageSetup scale="87" orientation="landscape" r:id="rId1"/>
  <colBreaks count="1" manualBreakCount="1">
    <brk id="4"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0">
    <tabColor rgb="FF00FFFF"/>
    <pageSetUpPr fitToPage="1"/>
  </sheetPr>
  <dimension ref="A1:H50"/>
  <sheetViews>
    <sheetView showGridLines="0" zoomScaleNormal="100" zoomScaleSheetLayoutView="100" workbookViewId="0">
      <pane xSplit="1" ySplit="2" topLeftCell="B3" activePane="bottomRight" state="frozen"/>
      <selection activeCell="I156" sqref="I156"/>
      <selection pane="topRight" activeCell="I156" sqref="I156"/>
      <selection pane="bottomLeft" activeCell="I156" sqref="I156"/>
      <selection pane="bottomRight" activeCell="H26" sqref="H26"/>
    </sheetView>
  </sheetViews>
  <sheetFormatPr defaultRowHeight="12.75" outlineLevelRow="1"/>
  <cols>
    <col min="1" max="1" width="20" style="272" customWidth="1"/>
    <col min="2" max="2" width="14" style="272" customWidth="1"/>
    <col min="3" max="3" width="15" style="272" bestFit="1" customWidth="1"/>
    <col min="4" max="4" width="16.28515625" style="272" bestFit="1" customWidth="1"/>
    <col min="5" max="5" width="16.5703125" style="272" bestFit="1" customWidth="1"/>
    <col min="6" max="6" width="16.7109375" style="272" customWidth="1"/>
    <col min="7" max="7" width="13.7109375" style="272" customWidth="1"/>
    <col min="8" max="8" width="15.28515625" style="272" customWidth="1"/>
    <col min="9" max="9" width="14" style="272" bestFit="1" customWidth="1"/>
    <col min="10" max="16384" width="9.140625" style="272"/>
  </cols>
  <sheetData>
    <row r="1" spans="1:8" ht="15.75">
      <c r="A1" s="450" t="s">
        <v>746</v>
      </c>
      <c r="B1" s="449"/>
      <c r="C1" s="449"/>
      <c r="D1" s="449"/>
      <c r="E1" s="449"/>
      <c r="F1" s="440"/>
      <c r="G1" s="448" t="s">
        <v>745</v>
      </c>
      <c r="H1" s="646">
        <f ca="1">TODAY()</f>
        <v>44469</v>
      </c>
    </row>
    <row r="2" spans="1:8" ht="13.5" thickBot="1">
      <c r="B2" s="447" t="s">
        <v>744</v>
      </c>
      <c r="C2" s="447" t="s">
        <v>743</v>
      </c>
      <c r="D2" s="447" t="s">
        <v>742</v>
      </c>
      <c r="E2" s="447" t="s">
        <v>741</v>
      </c>
      <c r="F2" s="447" t="s">
        <v>740</v>
      </c>
      <c r="G2" s="227"/>
      <c r="H2" s="446"/>
    </row>
    <row r="5" spans="1:8">
      <c r="G5" s="440" t="s">
        <v>739</v>
      </c>
      <c r="H5" s="443">
        <v>588244986.70161521</v>
      </c>
    </row>
    <row r="6" spans="1:8" ht="13.5" thickBot="1">
      <c r="G6" s="444" t="s">
        <v>897</v>
      </c>
      <c r="H6" s="872">
        <v>-10907669.50784648</v>
      </c>
    </row>
    <row r="7" spans="1:8">
      <c r="A7" s="442" t="s">
        <v>1026</v>
      </c>
      <c r="B7" s="441"/>
      <c r="C7" s="440"/>
      <c r="D7" s="440"/>
      <c r="E7" s="440"/>
      <c r="F7" s="439"/>
      <c r="G7" s="983" t="s">
        <v>737</v>
      </c>
      <c r="H7" s="984"/>
    </row>
    <row r="8" spans="1:8">
      <c r="A8" s="227" t="s">
        <v>736</v>
      </c>
      <c r="B8" s="438">
        <v>523846.98219153925</v>
      </c>
      <c r="C8" s="438">
        <v>2383784.1084794602</v>
      </c>
      <c r="D8" s="438">
        <v>2142575.6416666661</v>
      </c>
      <c r="E8" s="438">
        <v>4606274.6076098988</v>
      </c>
      <c r="F8" s="438">
        <v>160179.87499999997</v>
      </c>
      <c r="G8" s="435" t="s">
        <v>735</v>
      </c>
      <c r="H8" s="437">
        <f>SUM(H5:H6)</f>
        <v>577337317.19376874</v>
      </c>
    </row>
    <row r="9" spans="1:8" ht="13.5" thickBot="1">
      <c r="A9" s="272" t="s">
        <v>732</v>
      </c>
      <c r="B9" s="436">
        <f>H10</f>
        <v>4.9009986232613114</v>
      </c>
      <c r="C9" s="436">
        <f>+B9</f>
        <v>4.9009986232613114</v>
      </c>
      <c r="D9" s="436">
        <f>+C9</f>
        <v>4.9009986232613114</v>
      </c>
      <c r="E9" s="436">
        <f>+D9</f>
        <v>4.9009986232613114</v>
      </c>
      <c r="F9" s="436">
        <f>+E9</f>
        <v>4.9009986232613114</v>
      </c>
      <c r="G9" s="435" t="s">
        <v>734</v>
      </c>
      <c r="H9" s="434">
        <f>SUM(B8:F8)</f>
        <v>9816661.2149475645</v>
      </c>
    </row>
    <row r="10" spans="1:8" ht="13.5" thickBot="1">
      <c r="A10" s="272" t="s">
        <v>733</v>
      </c>
      <c r="B10" s="433">
        <f>B8*B9*12</f>
        <v>30808480.06224392</v>
      </c>
      <c r="C10" s="433">
        <f>C8*C9*12</f>
        <v>140195071.60572031</v>
      </c>
      <c r="D10" s="433">
        <f>D8*D9*12</f>
        <v>126009123.24049862</v>
      </c>
      <c r="E10" s="433">
        <f>E8*E9*12</f>
        <v>270904146.12311578</v>
      </c>
      <c r="F10" s="433">
        <f>F8*F9*12</f>
        <v>9420496.1621900257</v>
      </c>
      <c r="G10" s="432" t="s">
        <v>732</v>
      </c>
      <c r="H10" s="431">
        <f>H8/H9/12</f>
        <v>4.9009986232613114</v>
      </c>
    </row>
    <row r="13" spans="1:8" outlineLevel="1">
      <c r="G13" s="440" t="s">
        <v>739</v>
      </c>
      <c r="H13" s="443">
        <v>596627025.4817766</v>
      </c>
    </row>
    <row r="14" spans="1:8" ht="13.5" outlineLevel="1" thickBot="1">
      <c r="G14" s="444" t="s">
        <v>1035</v>
      </c>
      <c r="H14" s="445">
        <v>-5339834.4451299906</v>
      </c>
    </row>
    <row r="15" spans="1:8">
      <c r="A15" s="442" t="s">
        <v>1027</v>
      </c>
      <c r="B15" s="441"/>
      <c r="C15" s="440"/>
      <c r="D15" s="440"/>
      <c r="E15" s="440"/>
      <c r="F15" s="439"/>
      <c r="G15" s="983" t="s">
        <v>737</v>
      </c>
      <c r="H15" s="984"/>
    </row>
    <row r="16" spans="1:8">
      <c r="A16" s="227" t="s">
        <v>736</v>
      </c>
      <c r="B16" s="438">
        <v>512324.56332785875</v>
      </c>
      <c r="C16" s="438">
        <v>2411949.0177571299</v>
      </c>
      <c r="D16" s="438">
        <v>2020231.758333334</v>
      </c>
      <c r="E16" s="438">
        <v>4525217.3252705112</v>
      </c>
      <c r="F16" s="438">
        <v>166887.67499999996</v>
      </c>
      <c r="G16" s="435" t="s">
        <v>735</v>
      </c>
      <c r="H16" s="437">
        <f>SUM(H13:H14)</f>
        <v>591287191.0366466</v>
      </c>
    </row>
    <row r="17" spans="1:8" ht="13.5" thickBot="1">
      <c r="A17" s="272" t="s">
        <v>732</v>
      </c>
      <c r="B17" s="436">
        <f>H18</f>
        <v>5.1132017223369717</v>
      </c>
      <c r="C17" s="436">
        <f>+B17</f>
        <v>5.1132017223369717</v>
      </c>
      <c r="D17" s="436">
        <f>+C17</f>
        <v>5.1132017223369717</v>
      </c>
      <c r="E17" s="436">
        <f>+D17</f>
        <v>5.1132017223369717</v>
      </c>
      <c r="F17" s="436">
        <f>+E17</f>
        <v>5.1132017223369717</v>
      </c>
      <c r="G17" s="435" t="s">
        <v>734</v>
      </c>
      <c r="H17" s="434">
        <f>SUM(B16:F16)</f>
        <v>9636610.3396888338</v>
      </c>
    </row>
    <row r="18" spans="1:8" ht="13.5" thickBot="1">
      <c r="A18" s="272" t="s">
        <v>733</v>
      </c>
      <c r="B18" s="433">
        <f>B16*B17*12</f>
        <v>31435426.075242531</v>
      </c>
      <c r="C18" s="433">
        <f>C16*C17*12</f>
        <v>147993382.46141669</v>
      </c>
      <c r="D18" s="433">
        <f>D16*D17*12</f>
        <v>123958230.07475822</v>
      </c>
      <c r="E18" s="433">
        <f>E16*E17*12</f>
        <v>277660188.2582674</v>
      </c>
      <c r="F18" s="433">
        <f>F16*F17*12</f>
        <v>10239964.16696175</v>
      </c>
      <c r="G18" s="432" t="s">
        <v>732</v>
      </c>
      <c r="H18" s="431">
        <f>H16/H17/12</f>
        <v>5.1132017223369717</v>
      </c>
    </row>
    <row r="21" spans="1:8" outlineLevel="1">
      <c r="G21" s="440" t="s">
        <v>739</v>
      </c>
      <c r="H21" s="443">
        <v>608931728.99732327</v>
      </c>
    </row>
    <row r="22" spans="1:8" ht="13.5" outlineLevel="1" thickBot="1">
      <c r="G22" s="444" t="s">
        <v>1034</v>
      </c>
      <c r="H22" s="445">
        <f>'Sch 9 TU Interest'!E24</f>
        <v>-5295972.7194995116</v>
      </c>
    </row>
    <row r="23" spans="1:8">
      <c r="A23" s="442" t="s">
        <v>1028</v>
      </c>
      <c r="B23" s="441"/>
      <c r="C23" s="440"/>
      <c r="D23" s="440"/>
      <c r="E23" s="440"/>
      <c r="F23" s="439"/>
      <c r="G23" s="983" t="s">
        <v>737</v>
      </c>
      <c r="H23" s="984"/>
    </row>
    <row r="24" spans="1:8">
      <c r="A24" s="227" t="s">
        <v>736</v>
      </c>
      <c r="B24" s="438">
        <v>496176.73012696946</v>
      </c>
      <c r="C24" s="438">
        <v>2413147.7101718402</v>
      </c>
      <c r="D24" s="438">
        <v>2052314.1091666666</v>
      </c>
      <c r="E24" s="438">
        <v>4453195.0467152782</v>
      </c>
      <c r="F24" s="438">
        <v>149463.5</v>
      </c>
      <c r="G24" s="435" t="s">
        <v>735</v>
      </c>
      <c r="H24" s="437">
        <f>SUM(H21:H22)</f>
        <v>603635756.27782381</v>
      </c>
    </row>
    <row r="25" spans="1:8" ht="13.5" thickBot="1">
      <c r="A25" s="272" t="s">
        <v>732</v>
      </c>
      <c r="B25" s="436">
        <f>H26</f>
        <v>5.2594539027761682</v>
      </c>
      <c r="C25" s="436">
        <f>+B25</f>
        <v>5.2594539027761682</v>
      </c>
      <c r="D25" s="436">
        <f>+C25</f>
        <v>5.2594539027761682</v>
      </c>
      <c r="E25" s="436">
        <f>+D25</f>
        <v>5.2594539027761682</v>
      </c>
      <c r="F25" s="436">
        <f>+E25</f>
        <v>5.2594539027761682</v>
      </c>
      <c r="G25" s="435" t="s">
        <v>734</v>
      </c>
      <c r="H25" s="434">
        <f>SUM(B24:F24)</f>
        <v>9564297.0961807556</v>
      </c>
    </row>
    <row r="26" spans="1:8" ht="13.5" thickBot="1">
      <c r="A26" s="272" t="s">
        <v>733</v>
      </c>
      <c r="B26" s="433">
        <f>B24*B25*12</f>
        <v>31315423.676796086</v>
      </c>
      <c r="C26" s="433">
        <f>C24*C25*12</f>
        <v>152302069.70686388</v>
      </c>
      <c r="D26" s="433">
        <f>D24*D25*12</f>
        <v>129528617.41415063</v>
      </c>
      <c r="E26" s="433">
        <f>E24*E25*12</f>
        <v>281056488.819242</v>
      </c>
      <c r="F26" s="433">
        <f>F24*F25*12</f>
        <v>9433156.6607710309</v>
      </c>
      <c r="G26" s="432" t="s">
        <v>732</v>
      </c>
      <c r="H26" s="431">
        <f>H24/H25/12</f>
        <v>5.2594539027761682</v>
      </c>
    </row>
    <row r="28" spans="1:8" ht="13.5" thickBot="1"/>
    <row r="29" spans="1:8" ht="13.5" hidden="1" outlineLevel="1" thickBot="1">
      <c r="G29" s="440" t="s">
        <v>739</v>
      </c>
      <c r="H29" s="443">
        <v>634407879.74206781</v>
      </c>
    </row>
    <row r="30" spans="1:8" hidden="1" outlineLevel="1">
      <c r="G30" s="444" t="s">
        <v>738</v>
      </c>
      <c r="H30" s="443">
        <v>9.0764753520488736E-5</v>
      </c>
    </row>
    <row r="31" spans="1:8" collapsed="1">
      <c r="A31" s="442" t="s">
        <v>1029</v>
      </c>
      <c r="B31" s="441" t="s">
        <v>1025</v>
      </c>
      <c r="C31" s="440"/>
      <c r="D31" s="440"/>
      <c r="E31" s="440"/>
      <c r="F31" s="439"/>
      <c r="G31" s="983" t="s">
        <v>737</v>
      </c>
      <c r="H31" s="984"/>
    </row>
    <row r="32" spans="1:8">
      <c r="A32" s="227" t="s">
        <v>736</v>
      </c>
      <c r="B32" s="438">
        <v>497417.17195228685</v>
      </c>
      <c r="C32" s="438">
        <v>2419180.5794472694</v>
      </c>
      <c r="D32" s="438">
        <v>2057444.8944395832</v>
      </c>
      <c r="E32" s="438">
        <v>4464328.0343320658</v>
      </c>
      <c r="F32" s="438">
        <v>149837.15875</v>
      </c>
      <c r="G32" s="435" t="s">
        <v>735</v>
      </c>
      <c r="H32" s="437">
        <f>SUM(H29:H30)</f>
        <v>634407879.74215853</v>
      </c>
    </row>
    <row r="33" spans="1:8" ht="13.5" thickBot="1">
      <c r="A33" s="272" t="s">
        <v>732</v>
      </c>
      <c r="B33" s="436">
        <f>H34</f>
        <v>5.5137857042734675</v>
      </c>
      <c r="C33" s="436">
        <f>+B33</f>
        <v>5.5137857042734675</v>
      </c>
      <c r="D33" s="436">
        <f>+C33</f>
        <v>5.5137857042734675</v>
      </c>
      <c r="E33" s="436">
        <f>+D33</f>
        <v>5.5137857042734675</v>
      </c>
      <c r="F33" s="436">
        <f>+E33</f>
        <v>5.5137857042734675</v>
      </c>
      <c r="G33" s="435" t="s">
        <v>734</v>
      </c>
      <c r="H33" s="434">
        <f>SUM(B32:F32)</f>
        <v>9588207.8389212061</v>
      </c>
    </row>
    <row r="34" spans="1:8" ht="13.5" thickBot="1">
      <c r="A34" s="272" t="s">
        <v>733</v>
      </c>
      <c r="B34" s="433">
        <f>B32*B33*12</f>
        <v>32911820.30124788</v>
      </c>
      <c r="C34" s="433">
        <f>C32*C33*12</f>
        <v>160066119.54014832</v>
      </c>
      <c r="D34" s="433">
        <f>D32*D33*12</f>
        <v>136131722.95549688</v>
      </c>
      <c r="E34" s="433">
        <f>E32*E33*12</f>
        <v>295384177.13864899</v>
      </c>
      <c r="F34" s="433">
        <f>F32*F33*12</f>
        <v>9914039.8066164479</v>
      </c>
      <c r="G34" s="432" t="s">
        <v>732</v>
      </c>
      <c r="H34" s="431">
        <f>H32/H33/12</f>
        <v>5.5137857042734675</v>
      </c>
    </row>
    <row r="36" spans="1:8" ht="13.5" thickBot="1"/>
    <row r="37" spans="1:8" ht="13.5" hidden="1" outlineLevel="1" thickBot="1">
      <c r="G37" s="440" t="s">
        <v>739</v>
      </c>
      <c r="H37" s="443">
        <v>676853444.71221411</v>
      </c>
    </row>
    <row r="38" spans="1:8" ht="13.5" hidden="1" outlineLevel="1" thickBot="1">
      <c r="G38" s="444" t="s">
        <v>1033</v>
      </c>
      <c r="H38" s="443">
        <v>9.0764753520488736E-5</v>
      </c>
    </row>
    <row r="39" spans="1:8" collapsed="1">
      <c r="A39" s="442" t="s">
        <v>1030</v>
      </c>
      <c r="B39" s="441" t="s">
        <v>1025</v>
      </c>
      <c r="C39" s="440"/>
      <c r="D39" s="440"/>
      <c r="E39" s="440"/>
      <c r="F39" s="439"/>
      <c r="G39" s="983" t="s">
        <v>737</v>
      </c>
      <c r="H39" s="984"/>
    </row>
    <row r="40" spans="1:8">
      <c r="A40" s="227" t="s">
        <v>736</v>
      </c>
      <c r="B40" s="438">
        <v>498660.71488216752</v>
      </c>
      <c r="C40" s="438">
        <v>2425228.5308958874</v>
      </c>
      <c r="D40" s="438">
        <v>2062588.506675682</v>
      </c>
      <c r="E40" s="438">
        <v>4475488.8544178959</v>
      </c>
      <c r="F40" s="438">
        <v>150211.751646875</v>
      </c>
      <c r="G40" s="435" t="s">
        <v>735</v>
      </c>
      <c r="H40" s="437">
        <f>SUM(H37:H38)</f>
        <v>676853444.71230483</v>
      </c>
    </row>
    <row r="41" spans="1:8" ht="13.5" thickBot="1">
      <c r="A41" s="272" t="s">
        <v>732</v>
      </c>
      <c r="B41" s="436">
        <f>H42</f>
        <v>5.868019882926812</v>
      </c>
      <c r="C41" s="436">
        <f>+B41</f>
        <v>5.868019882926812</v>
      </c>
      <c r="D41" s="436">
        <f>+C41</f>
        <v>5.868019882926812</v>
      </c>
      <c r="E41" s="436">
        <f>+D41</f>
        <v>5.868019882926812</v>
      </c>
      <c r="F41" s="436">
        <f>+E41</f>
        <v>5.868019882926812</v>
      </c>
      <c r="G41" s="435" t="s">
        <v>734</v>
      </c>
      <c r="H41" s="434">
        <f>SUM(B40:F40)</f>
        <v>9612178.3585185073</v>
      </c>
    </row>
    <row r="42" spans="1:8" ht="13.5" thickBot="1">
      <c r="A42" s="272" t="s">
        <v>733</v>
      </c>
      <c r="B42" s="433">
        <f>B40*B41*12</f>
        <v>35113811.877156682</v>
      </c>
      <c r="C42" s="433">
        <f>C40*C41*12</f>
        <v>170775470.87926137</v>
      </c>
      <c r="D42" s="433">
        <f>D40*D41*12</f>
        <v>145239724.40963069</v>
      </c>
      <c r="E42" s="433">
        <f>E40*E41*12</f>
        <v>315147091.00249863</v>
      </c>
      <c r="F42" s="433">
        <f>F40*F41*12</f>
        <v>10577346.543757521</v>
      </c>
      <c r="G42" s="432" t="s">
        <v>732</v>
      </c>
      <c r="H42" s="431">
        <f>H40/H41/12</f>
        <v>5.868019882926812</v>
      </c>
    </row>
    <row r="44" spans="1:8" ht="13.5" thickBot="1"/>
    <row r="45" spans="1:8" ht="13.5" hidden="1" outlineLevel="1" thickBot="1">
      <c r="G45" s="440" t="s">
        <v>739</v>
      </c>
      <c r="H45" s="443">
        <v>699932411.66059649</v>
      </c>
    </row>
    <row r="46" spans="1:8" ht="13.5" hidden="1" outlineLevel="1" thickBot="1">
      <c r="G46" s="444" t="s">
        <v>1032</v>
      </c>
      <c r="H46" s="443">
        <v>9.0764753520488736E-5</v>
      </c>
    </row>
    <row r="47" spans="1:8" collapsed="1">
      <c r="A47" s="442" t="s">
        <v>1031</v>
      </c>
      <c r="B47" s="441" t="s">
        <v>1025</v>
      </c>
      <c r="C47" s="440"/>
      <c r="D47" s="440"/>
      <c r="E47" s="440"/>
      <c r="F47" s="439"/>
      <c r="G47" s="983" t="s">
        <v>737</v>
      </c>
      <c r="H47" s="984"/>
    </row>
    <row r="48" spans="1:8">
      <c r="A48" s="227" t="s">
        <v>736</v>
      </c>
      <c r="B48" s="438">
        <v>499907.36666937289</v>
      </c>
      <c r="C48" s="438">
        <v>2431291.6022231271</v>
      </c>
      <c r="D48" s="438">
        <v>2067744.977942371</v>
      </c>
      <c r="E48" s="438">
        <v>4486677.5765539408</v>
      </c>
      <c r="F48" s="438">
        <v>150587.28102599218</v>
      </c>
      <c r="G48" s="435" t="s">
        <v>735</v>
      </c>
      <c r="H48" s="437">
        <f>SUM(H45:H46)</f>
        <v>699932411.66068721</v>
      </c>
    </row>
    <row r="49" spans="1:8" ht="13.5" thickBot="1">
      <c r="A49" s="272" t="s">
        <v>732</v>
      </c>
      <c r="B49" s="436">
        <f>H50</f>
        <v>6.0529718850634753</v>
      </c>
      <c r="C49" s="436">
        <f>+B49</f>
        <v>6.0529718850634753</v>
      </c>
      <c r="D49" s="436">
        <f>+C49</f>
        <v>6.0529718850634753</v>
      </c>
      <c r="E49" s="436">
        <f>+D49</f>
        <v>6.0529718850634753</v>
      </c>
      <c r="F49" s="436">
        <f>+E49</f>
        <v>6.0529718850634753</v>
      </c>
      <c r="G49" s="435" t="s">
        <v>734</v>
      </c>
      <c r="H49" s="434">
        <f>SUM(B48:F48)</f>
        <v>9636208.8044148032</v>
      </c>
    </row>
    <row r="50" spans="1:8" ht="13.5" thickBot="1">
      <c r="A50" s="272" t="s">
        <v>733</v>
      </c>
      <c r="B50" s="433">
        <f>B48*B49*12</f>
        <v>36311102.827029988</v>
      </c>
      <c r="C50" s="433">
        <f>C48*C49*12</f>
        <v>176598476.55177021</v>
      </c>
      <c r="D50" s="433">
        <f>D48*D49*12</f>
        <v>150192026.60359642</v>
      </c>
      <c r="E50" s="433">
        <f>E48*E49*12</f>
        <v>325892798.73870873</v>
      </c>
      <c r="F50" s="433">
        <f>F48*F49*12</f>
        <v>10938006.939581798</v>
      </c>
      <c r="G50" s="432" t="s">
        <v>732</v>
      </c>
      <c r="H50" s="431">
        <f>H48/H49/12</f>
        <v>6.0529718850634753</v>
      </c>
    </row>
  </sheetData>
  <mergeCells count="6">
    <mergeCell ref="G7:H7"/>
    <mergeCell ref="G47:H47"/>
    <mergeCell ref="G31:H31"/>
    <mergeCell ref="G39:H39"/>
    <mergeCell ref="G23:H23"/>
    <mergeCell ref="G15:H15"/>
  </mergeCells>
  <pageMargins left="0.7" right="0.7" top="0.75" bottom="0.75" header="0.3" footer="0.3"/>
  <pageSetup scale="71"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1">
    <tabColor rgb="FF00FFFF"/>
    <pageSetUpPr fitToPage="1"/>
  </sheetPr>
  <dimension ref="A1:H155"/>
  <sheetViews>
    <sheetView showGridLines="0" zoomScaleNormal="100" zoomScaleSheetLayoutView="100" workbookViewId="0">
      <selection activeCell="F4" sqref="F4"/>
    </sheetView>
  </sheetViews>
  <sheetFormatPr defaultRowHeight="12.75"/>
  <cols>
    <col min="1" max="4" width="9.140625" style="225"/>
    <col min="5" max="5" width="11.28515625" style="225" customWidth="1"/>
    <col min="6" max="6" width="19.42578125" style="225" bestFit="1" customWidth="1"/>
    <col min="7" max="7" width="12.85546875" style="225" bestFit="1" customWidth="1"/>
    <col min="8" max="8" width="15.28515625" style="225" customWidth="1"/>
    <col min="9" max="16384" width="9.140625" style="225"/>
  </cols>
  <sheetData>
    <row r="1" spans="1:8">
      <c r="A1" s="985"/>
      <c r="B1" s="985"/>
      <c r="C1" s="985"/>
      <c r="D1" s="985"/>
      <c r="E1" s="985"/>
      <c r="F1" s="985"/>
      <c r="G1" s="985"/>
      <c r="H1" s="985"/>
    </row>
    <row r="2" spans="1:8">
      <c r="D2" s="461" t="s">
        <v>1015</v>
      </c>
      <c r="E2" s="460"/>
      <c r="H2" s="459" t="s">
        <v>770</v>
      </c>
    </row>
    <row r="4" spans="1:8">
      <c r="A4" s="225" t="s">
        <v>769</v>
      </c>
      <c r="F4" s="457">
        <v>603635756.27782381</v>
      </c>
    </row>
    <row r="6" spans="1:8">
      <c r="A6" s="225" t="s">
        <v>768</v>
      </c>
    </row>
    <row r="7" spans="1:8">
      <c r="A7" s="225" t="s">
        <v>767</v>
      </c>
    </row>
    <row r="8" spans="1:8">
      <c r="A8" s="225" t="s">
        <v>766</v>
      </c>
    </row>
    <row r="10" spans="1:8">
      <c r="A10" s="225" t="s">
        <v>756</v>
      </c>
      <c r="F10" s="458">
        <f>+F28+F50+F39+F61+F72</f>
        <v>114771565.15416905</v>
      </c>
    </row>
    <row r="12" spans="1:8">
      <c r="A12" s="225" t="s">
        <v>755</v>
      </c>
      <c r="F12" s="454">
        <f>(F4/F10)*1000</f>
        <v>5259.4539027761693</v>
      </c>
    </row>
    <row r="13" spans="1:8">
      <c r="A13" s="225" t="s">
        <v>754</v>
      </c>
      <c r="F13" s="454">
        <f>(F4/F10)*1000/52*12</f>
        <v>1213.7201314098852</v>
      </c>
    </row>
    <row r="14" spans="1:8">
      <c r="A14" s="225" t="s">
        <v>753</v>
      </c>
      <c r="F14" s="454">
        <f>F13/5</f>
        <v>242.74402628197703</v>
      </c>
    </row>
    <row r="15" spans="1:8">
      <c r="A15" s="225" t="s">
        <v>752</v>
      </c>
      <c r="F15" s="454">
        <f>F4/((F10/12)/1000)/365</f>
        <v>172.91355296798366</v>
      </c>
    </row>
    <row r="16" spans="1:8">
      <c r="A16" s="225" t="s">
        <v>751</v>
      </c>
      <c r="F16" s="454">
        <f>F14/16</f>
        <v>15.171501642623564</v>
      </c>
    </row>
    <row r="17" spans="1:7">
      <c r="A17" s="225" t="s">
        <v>750</v>
      </c>
      <c r="F17" s="454">
        <f>F15/24</f>
        <v>7.2047313736659859</v>
      </c>
    </row>
    <row r="19" spans="1:7">
      <c r="A19" s="225" t="s">
        <v>765</v>
      </c>
    </row>
    <row r="20" spans="1:7">
      <c r="A20" s="225" t="s">
        <v>764</v>
      </c>
    </row>
    <row r="22" spans="1:7">
      <c r="A22" s="225" t="s">
        <v>763</v>
      </c>
    </row>
    <row r="23" spans="1:7">
      <c r="A23" s="225" t="s">
        <v>762</v>
      </c>
    </row>
    <row r="26" spans="1:7">
      <c r="A26" s="301" t="s">
        <v>761</v>
      </c>
    </row>
    <row r="27" spans="1:7">
      <c r="A27" s="225" t="s">
        <v>757</v>
      </c>
      <c r="F27" s="457">
        <v>31315423.676796086</v>
      </c>
    </row>
    <row r="28" spans="1:7">
      <c r="A28" s="225" t="s">
        <v>756</v>
      </c>
      <c r="F28" s="457">
        <v>5954120.7615236333</v>
      </c>
      <c r="G28" s="456"/>
    </row>
    <row r="29" spans="1:7">
      <c r="G29" s="456"/>
    </row>
    <row r="30" spans="1:7">
      <c r="A30" s="225" t="s">
        <v>755</v>
      </c>
      <c r="F30" s="455">
        <f>(F27/F28)*1000</f>
        <v>5259.4539027761684</v>
      </c>
      <c r="G30" s="456"/>
    </row>
    <row r="31" spans="1:7">
      <c r="A31" s="225" t="s">
        <v>754</v>
      </c>
      <c r="F31" s="454">
        <f>(F27/F28)*1000/52*12</f>
        <v>1213.720131409885</v>
      </c>
      <c r="G31" s="456"/>
    </row>
    <row r="32" spans="1:7">
      <c r="A32" s="225" t="s">
        <v>753</v>
      </c>
      <c r="F32" s="454">
        <f>F31/5</f>
        <v>242.744026281977</v>
      </c>
      <c r="G32" s="456"/>
    </row>
    <row r="33" spans="1:7">
      <c r="A33" s="225" t="s">
        <v>752</v>
      </c>
      <c r="F33" s="454">
        <f>F27/((F28/12)/1000)/365</f>
        <v>172.91355296798361</v>
      </c>
      <c r="G33" s="456"/>
    </row>
    <row r="34" spans="1:7">
      <c r="A34" s="225" t="s">
        <v>751</v>
      </c>
      <c r="F34" s="454">
        <f>F32/16</f>
        <v>15.171501642623562</v>
      </c>
      <c r="G34" s="456"/>
    </row>
    <row r="35" spans="1:7">
      <c r="A35" s="225" t="s">
        <v>750</v>
      </c>
      <c r="F35" s="454">
        <f>F33/24</f>
        <v>7.2047313736659833</v>
      </c>
      <c r="G35" s="456"/>
    </row>
    <row r="36" spans="1:7">
      <c r="G36" s="456"/>
    </row>
    <row r="37" spans="1:7">
      <c r="A37" s="301" t="s">
        <v>759</v>
      </c>
      <c r="G37" s="456"/>
    </row>
    <row r="38" spans="1:7">
      <c r="A38" s="225" t="s">
        <v>757</v>
      </c>
      <c r="F38" s="457">
        <v>152302069.70686388</v>
      </c>
      <c r="G38" s="456"/>
    </row>
    <row r="39" spans="1:7">
      <c r="A39" s="225" t="s">
        <v>756</v>
      </c>
      <c r="F39" s="457">
        <v>28957772.522062082</v>
      </c>
      <c r="G39" s="456"/>
    </row>
    <row r="40" spans="1:7">
      <c r="G40" s="456"/>
    </row>
    <row r="41" spans="1:7">
      <c r="A41" s="225" t="s">
        <v>755</v>
      </c>
      <c r="F41" s="455">
        <f>(F38/F39)*1000</f>
        <v>5259.4539027761675</v>
      </c>
      <c r="G41" s="456"/>
    </row>
    <row r="42" spans="1:7">
      <c r="A42" s="225" t="s">
        <v>754</v>
      </c>
      <c r="F42" s="454">
        <f>(F38/F39)*1000/52*12</f>
        <v>1213.7201314098847</v>
      </c>
      <c r="G42" s="456"/>
    </row>
    <row r="43" spans="1:7">
      <c r="A43" s="225" t="s">
        <v>753</v>
      </c>
      <c r="F43" s="454">
        <f>F42/5</f>
        <v>242.74402628197694</v>
      </c>
      <c r="G43" s="456"/>
    </row>
    <row r="44" spans="1:7">
      <c r="A44" s="225" t="s">
        <v>752</v>
      </c>
      <c r="F44" s="454">
        <f>F38/((F39/12)/1000)/365</f>
        <v>172.91355296798358</v>
      </c>
      <c r="G44" s="456"/>
    </row>
    <row r="45" spans="1:7">
      <c r="A45" s="225" t="s">
        <v>751</v>
      </c>
      <c r="F45" s="454">
        <f>F43/16</f>
        <v>15.171501642623559</v>
      </c>
      <c r="G45" s="456"/>
    </row>
    <row r="46" spans="1:7">
      <c r="A46" s="225" t="s">
        <v>750</v>
      </c>
      <c r="F46" s="454">
        <f>F44/24</f>
        <v>7.2047313736659824</v>
      </c>
      <c r="G46" s="456"/>
    </row>
    <row r="47" spans="1:7">
      <c r="G47" s="456"/>
    </row>
    <row r="48" spans="1:7">
      <c r="A48" s="301" t="s">
        <v>760</v>
      </c>
      <c r="G48" s="456"/>
    </row>
    <row r="49" spans="1:7">
      <c r="A49" s="225" t="s">
        <v>757</v>
      </c>
      <c r="F49" s="457">
        <v>129528617.41415063</v>
      </c>
      <c r="G49" s="456"/>
    </row>
    <row r="50" spans="1:7">
      <c r="A50" s="225" t="s">
        <v>756</v>
      </c>
      <c r="F50" s="457">
        <v>24627769.309999999</v>
      </c>
      <c r="G50" s="456"/>
    </row>
    <row r="51" spans="1:7">
      <c r="G51" s="456"/>
    </row>
    <row r="52" spans="1:7">
      <c r="A52" s="225" t="s">
        <v>755</v>
      </c>
      <c r="F52" s="455">
        <f>(F49/F50)*1000</f>
        <v>5259.4539027761684</v>
      </c>
      <c r="G52" s="456"/>
    </row>
    <row r="53" spans="1:7">
      <c r="A53" s="225" t="s">
        <v>754</v>
      </c>
      <c r="F53" s="454">
        <f>(F49/F50)*1000/52*12</f>
        <v>1213.720131409885</v>
      </c>
      <c r="G53" s="456"/>
    </row>
    <row r="54" spans="1:7">
      <c r="A54" s="225" t="s">
        <v>753</v>
      </c>
      <c r="F54" s="454">
        <f>F53/5</f>
        <v>242.744026281977</v>
      </c>
      <c r="G54" s="456"/>
    </row>
    <row r="55" spans="1:7">
      <c r="A55" s="225" t="s">
        <v>752</v>
      </c>
      <c r="F55" s="454">
        <f>F49/((F50/12)/1000)/365</f>
        <v>172.91355296798358</v>
      </c>
      <c r="G55" s="456"/>
    </row>
    <row r="56" spans="1:7">
      <c r="A56" s="225" t="s">
        <v>751</v>
      </c>
      <c r="F56" s="454">
        <f>F54/16</f>
        <v>15.171501642623562</v>
      </c>
      <c r="G56" s="456"/>
    </row>
    <row r="57" spans="1:7">
      <c r="A57" s="225" t="s">
        <v>750</v>
      </c>
      <c r="F57" s="454">
        <f>F55/24</f>
        <v>7.2047313736659824</v>
      </c>
      <c r="G57" s="456"/>
    </row>
    <row r="58" spans="1:7">
      <c r="G58" s="456"/>
    </row>
    <row r="59" spans="1:7">
      <c r="A59" s="301" t="s">
        <v>758</v>
      </c>
      <c r="G59" s="456"/>
    </row>
    <row r="60" spans="1:7">
      <c r="A60" s="225" t="s">
        <v>757</v>
      </c>
      <c r="F60" s="457">
        <v>281056488.819242</v>
      </c>
      <c r="G60" s="456"/>
    </row>
    <row r="61" spans="1:7">
      <c r="A61" s="225" t="s">
        <v>756</v>
      </c>
      <c r="F61" s="457">
        <v>53438340.560583338</v>
      </c>
      <c r="G61" s="456"/>
    </row>
    <row r="63" spans="1:7">
      <c r="A63" s="225" t="s">
        <v>755</v>
      </c>
      <c r="F63" s="455">
        <f>(F60/F61)*1000</f>
        <v>5259.4539027761675</v>
      </c>
    </row>
    <row r="64" spans="1:7">
      <c r="A64" s="225" t="s">
        <v>754</v>
      </c>
      <c r="F64" s="454">
        <f>(F60/F61)*1000/52*12</f>
        <v>1213.7201314098847</v>
      </c>
    </row>
    <row r="65" spans="1:7">
      <c r="A65" s="225" t="s">
        <v>753</v>
      </c>
      <c r="F65" s="454">
        <f>F64/5</f>
        <v>242.74402628197694</v>
      </c>
    </row>
    <row r="66" spans="1:7">
      <c r="A66" s="225" t="s">
        <v>752</v>
      </c>
      <c r="F66" s="454">
        <f>F60/((F61/12)/1000)/365</f>
        <v>172.91355296798358</v>
      </c>
    </row>
    <row r="67" spans="1:7">
      <c r="A67" s="225" t="s">
        <v>751</v>
      </c>
      <c r="F67" s="454">
        <f>F65/16</f>
        <v>15.171501642623559</v>
      </c>
    </row>
    <row r="68" spans="1:7">
      <c r="A68" s="225" t="s">
        <v>750</v>
      </c>
      <c r="F68" s="454">
        <f>F66/24</f>
        <v>7.2047313736659824</v>
      </c>
    </row>
    <row r="70" spans="1:7">
      <c r="A70" s="301" t="s">
        <v>740</v>
      </c>
    </row>
    <row r="71" spans="1:7">
      <c r="A71" s="225" t="s">
        <v>757</v>
      </c>
      <c r="F71" s="457">
        <v>9433156.6607710309</v>
      </c>
    </row>
    <row r="72" spans="1:7">
      <c r="A72" s="225" t="s">
        <v>756</v>
      </c>
      <c r="F72" s="457">
        <v>1793562</v>
      </c>
      <c r="G72" s="456"/>
    </row>
    <row r="74" spans="1:7">
      <c r="A74" s="225" t="s">
        <v>755</v>
      </c>
      <c r="F74" s="455">
        <f>(F71/F72)*1000</f>
        <v>5259.4539027761693</v>
      </c>
    </row>
    <row r="75" spans="1:7">
      <c r="A75" s="225" t="s">
        <v>754</v>
      </c>
      <c r="F75" s="454">
        <f>(F71/F72)*1000/52*12</f>
        <v>1213.7201314098852</v>
      </c>
    </row>
    <row r="76" spans="1:7">
      <c r="A76" s="225" t="s">
        <v>753</v>
      </c>
      <c r="F76" s="454">
        <f>F75/5</f>
        <v>242.74402628197703</v>
      </c>
    </row>
    <row r="77" spans="1:7">
      <c r="A77" s="225" t="s">
        <v>752</v>
      </c>
      <c r="F77" s="454">
        <f>F71/((F72/12)/1000)/365</f>
        <v>172.91355296798363</v>
      </c>
    </row>
    <row r="78" spans="1:7">
      <c r="A78" s="225" t="s">
        <v>751</v>
      </c>
      <c r="F78" s="454">
        <f>F76/16</f>
        <v>15.171501642623564</v>
      </c>
    </row>
    <row r="79" spans="1:7">
      <c r="A79" s="225" t="s">
        <v>750</v>
      </c>
      <c r="F79" s="454">
        <f>F77/24</f>
        <v>7.204731373665985</v>
      </c>
    </row>
    <row r="80" spans="1:7" s="272" customFormat="1"/>
    <row r="81" spans="1:8" s="272" customFormat="1">
      <c r="A81" s="272" t="s">
        <v>748</v>
      </c>
      <c r="F81" s="453">
        <f>+F27+F49+F38+F60+F71</f>
        <v>603635756.27782357</v>
      </c>
    </row>
    <row r="82" spans="1:8" s="272" customFormat="1">
      <c r="A82" s="272" t="s">
        <v>748</v>
      </c>
      <c r="F82" s="440">
        <f>+F28+F50+F39+F61+F72</f>
        <v>114771565.15416905</v>
      </c>
      <c r="G82" s="272" t="s">
        <v>749</v>
      </c>
    </row>
    <row r="83" spans="1:8" s="272" customFormat="1">
      <c r="A83" s="272" t="s">
        <v>748</v>
      </c>
      <c r="F83" s="440">
        <f>+F82/12</f>
        <v>9564297.0961807538</v>
      </c>
      <c r="G83" s="272" t="s">
        <v>747</v>
      </c>
    </row>
    <row r="84" spans="1:8">
      <c r="A84" s="985"/>
      <c r="B84" s="985"/>
      <c r="C84" s="985"/>
      <c r="D84" s="985"/>
      <c r="E84" s="985"/>
      <c r="F84" s="985"/>
      <c r="G84" s="985"/>
      <c r="H84" s="985"/>
    </row>
    <row r="85" spans="1:8">
      <c r="D85" s="461" t="s">
        <v>1015</v>
      </c>
      <c r="E85" s="460"/>
      <c r="H85" s="459" t="s">
        <v>771</v>
      </c>
    </row>
    <row r="87" spans="1:8">
      <c r="A87" s="225" t="s">
        <v>769</v>
      </c>
      <c r="F87" s="457">
        <f>+'Sch 7,8'!F4</f>
        <v>603635756.27782381</v>
      </c>
    </row>
    <row r="89" spans="1:8">
      <c r="A89" s="225" t="s">
        <v>768</v>
      </c>
    </row>
    <row r="90" spans="1:8">
      <c r="A90" s="225" t="s">
        <v>767</v>
      </c>
    </row>
    <row r="91" spans="1:8">
      <c r="A91" s="225" t="s">
        <v>766</v>
      </c>
    </row>
    <row r="93" spans="1:8">
      <c r="A93" s="225" t="s">
        <v>756</v>
      </c>
      <c r="F93" s="458">
        <f>'Sch 7,8'!F10</f>
        <v>114771565.15416905</v>
      </c>
    </row>
    <row r="95" spans="1:8">
      <c r="A95" s="225" t="s">
        <v>755</v>
      </c>
      <c r="F95" s="454">
        <f>(F87/F93)*1000</f>
        <v>5259.4539027761693</v>
      </c>
    </row>
    <row r="96" spans="1:8">
      <c r="A96" s="225" t="s">
        <v>754</v>
      </c>
      <c r="F96" s="454">
        <f>(F87/F93)*1000/52*12</f>
        <v>1213.7201314098852</v>
      </c>
    </row>
    <row r="97" spans="1:8">
      <c r="A97" s="225" t="s">
        <v>753</v>
      </c>
      <c r="F97" s="454">
        <f>F96/5</f>
        <v>242.74402628197703</v>
      </c>
    </row>
    <row r="98" spans="1:8">
      <c r="A98" s="225" t="s">
        <v>752</v>
      </c>
      <c r="F98" s="454">
        <f>F87/((F93/12)/1000)/365</f>
        <v>172.91355296798366</v>
      </c>
    </row>
    <row r="100" spans="1:8">
      <c r="A100" s="225" t="s">
        <v>765</v>
      </c>
    </row>
    <row r="101" spans="1:8">
      <c r="A101" s="225" t="s">
        <v>764</v>
      </c>
    </row>
    <row r="103" spans="1:8">
      <c r="A103" s="301" t="s">
        <v>761</v>
      </c>
    </row>
    <row r="104" spans="1:8">
      <c r="A104" s="225" t="s">
        <v>757</v>
      </c>
      <c r="F104" s="457">
        <f>'Sch 7,8'!F27</f>
        <v>31315423.676796086</v>
      </c>
    </row>
    <row r="105" spans="1:8">
      <c r="A105" s="225" t="s">
        <v>756</v>
      </c>
      <c r="F105" s="458">
        <f>'Sch 7,8'!F28</f>
        <v>5954120.7615236333</v>
      </c>
      <c r="H105" s="225" t="s">
        <v>3</v>
      </c>
    </row>
    <row r="107" spans="1:8">
      <c r="A107" s="225" t="s">
        <v>755</v>
      </c>
      <c r="F107" s="455">
        <f>(F104/F105)*1000</f>
        <v>5259.4539027761684</v>
      </c>
    </row>
    <row r="108" spans="1:8">
      <c r="A108" s="225" t="s">
        <v>754</v>
      </c>
      <c r="F108" s="454">
        <f>(F104/F105)*1000/52*12</f>
        <v>1213.720131409885</v>
      </c>
    </row>
    <row r="109" spans="1:8">
      <c r="A109" s="225" t="s">
        <v>753</v>
      </c>
      <c r="F109" s="454">
        <f>F108/5</f>
        <v>242.744026281977</v>
      </c>
    </row>
    <row r="110" spans="1:8">
      <c r="A110" s="225" t="s">
        <v>752</v>
      </c>
      <c r="F110" s="454">
        <f>F104/((F105/12)/1000)/365</f>
        <v>172.91355296798361</v>
      </c>
    </row>
    <row r="112" spans="1:8">
      <c r="A112" s="301" t="s">
        <v>759</v>
      </c>
    </row>
    <row r="113" spans="1:6">
      <c r="A113" s="225" t="s">
        <v>757</v>
      </c>
      <c r="F113" s="457">
        <f>'Sch 7,8'!F38</f>
        <v>152302069.70686388</v>
      </c>
    </row>
    <row r="114" spans="1:6">
      <c r="A114" s="225" t="s">
        <v>756</v>
      </c>
      <c r="F114" s="458">
        <f>'Sch 7,8'!F39</f>
        <v>28957772.522062082</v>
      </c>
    </row>
    <row r="116" spans="1:6">
      <c r="A116" s="225" t="s">
        <v>755</v>
      </c>
      <c r="F116" s="455">
        <f>(F113/F114)*1000</f>
        <v>5259.4539027761675</v>
      </c>
    </row>
    <row r="117" spans="1:6">
      <c r="A117" s="225" t="s">
        <v>754</v>
      </c>
      <c r="F117" s="454">
        <f>(F113/F114)*1000/52*12</f>
        <v>1213.7201314098847</v>
      </c>
    </row>
    <row r="118" spans="1:6">
      <c r="A118" s="225" t="s">
        <v>753</v>
      </c>
      <c r="F118" s="454">
        <f>F117/5</f>
        <v>242.74402628197694</v>
      </c>
    </row>
    <row r="119" spans="1:6">
      <c r="A119" s="225" t="s">
        <v>752</v>
      </c>
      <c r="F119" s="454">
        <f>F113/((F114/12)/1000)/365</f>
        <v>172.91355296798358</v>
      </c>
    </row>
    <row r="121" spans="1:6">
      <c r="A121" s="301" t="s">
        <v>760</v>
      </c>
    </row>
    <row r="122" spans="1:6">
      <c r="A122" s="225" t="s">
        <v>757</v>
      </c>
      <c r="F122" s="457">
        <f>'Sch 7,8'!F49</f>
        <v>129528617.41415063</v>
      </c>
    </row>
    <row r="123" spans="1:6">
      <c r="A123" s="225" t="s">
        <v>756</v>
      </c>
      <c r="F123" s="458">
        <f>'Sch 7,8'!F50</f>
        <v>24627769.309999999</v>
      </c>
    </row>
    <row r="125" spans="1:6">
      <c r="A125" s="225" t="s">
        <v>755</v>
      </c>
      <c r="F125" s="455">
        <f>(F122/F123)*1000</f>
        <v>5259.4539027761684</v>
      </c>
    </row>
    <row r="126" spans="1:6">
      <c r="A126" s="225" t="s">
        <v>754</v>
      </c>
      <c r="F126" s="454">
        <f>(F122/F123)*1000/52*12</f>
        <v>1213.720131409885</v>
      </c>
    </row>
    <row r="127" spans="1:6">
      <c r="A127" s="225" t="s">
        <v>753</v>
      </c>
      <c r="F127" s="454">
        <f>F126/5</f>
        <v>242.744026281977</v>
      </c>
    </row>
    <row r="128" spans="1:6">
      <c r="A128" s="225" t="s">
        <v>752</v>
      </c>
      <c r="F128" s="454">
        <f>F122/((F123/12)/1000)/365</f>
        <v>172.91355296798358</v>
      </c>
    </row>
    <row r="130" spans="1:6">
      <c r="A130" s="301" t="s">
        <v>758</v>
      </c>
    </row>
    <row r="131" spans="1:6">
      <c r="A131" s="225" t="s">
        <v>757</v>
      </c>
      <c r="F131" s="457">
        <f>'Sch 7,8'!F60</f>
        <v>281056488.819242</v>
      </c>
    </row>
    <row r="132" spans="1:6">
      <c r="A132" s="225" t="s">
        <v>756</v>
      </c>
      <c r="F132" s="458">
        <f>'Sch 7,8'!F61</f>
        <v>53438340.560583338</v>
      </c>
    </row>
    <row r="134" spans="1:6">
      <c r="A134" s="225" t="s">
        <v>755</v>
      </c>
      <c r="F134" s="455">
        <f>(F131/F132)*1000</f>
        <v>5259.4539027761675</v>
      </c>
    </row>
    <row r="135" spans="1:6">
      <c r="A135" s="225" t="s">
        <v>754</v>
      </c>
      <c r="F135" s="454">
        <f>(F131/F132)*1000/52*12</f>
        <v>1213.7201314098847</v>
      </c>
    </row>
    <row r="136" spans="1:6">
      <c r="A136" s="225" t="s">
        <v>753</v>
      </c>
      <c r="F136" s="454">
        <f>F135/5</f>
        <v>242.74402628197694</v>
      </c>
    </row>
    <row r="137" spans="1:6">
      <c r="A137" s="225" t="s">
        <v>752</v>
      </c>
      <c r="F137" s="454">
        <f>F131/((F132/12)/1000)/365</f>
        <v>172.91355296798358</v>
      </c>
    </row>
    <row r="139" spans="1:6">
      <c r="A139" s="301" t="s">
        <v>740</v>
      </c>
    </row>
    <row r="140" spans="1:6">
      <c r="A140" s="225" t="s">
        <v>757</v>
      </c>
      <c r="F140" s="457">
        <f>'Sch 7,8'!F71</f>
        <v>9433156.6607710309</v>
      </c>
    </row>
    <row r="141" spans="1:6">
      <c r="A141" s="225" t="s">
        <v>756</v>
      </c>
      <c r="F141" s="458">
        <f>'Sch 7,8'!F72</f>
        <v>1793562</v>
      </c>
    </row>
    <row r="143" spans="1:6">
      <c r="A143" s="225" t="s">
        <v>755</v>
      </c>
      <c r="F143" s="455">
        <f>(F140/F141)*1000</f>
        <v>5259.4539027761693</v>
      </c>
    </row>
    <row r="144" spans="1:6">
      <c r="A144" s="225" t="s">
        <v>754</v>
      </c>
      <c r="F144" s="454">
        <f>(F140/F141)*1000/52*12</f>
        <v>1213.7201314098852</v>
      </c>
    </row>
    <row r="145" spans="1:7">
      <c r="A145" s="225" t="s">
        <v>753</v>
      </c>
      <c r="F145" s="454">
        <f>F144/5</f>
        <v>242.74402628197703</v>
      </c>
    </row>
    <row r="146" spans="1:7">
      <c r="A146" s="225" t="s">
        <v>752</v>
      </c>
      <c r="F146" s="454">
        <f>F140/((F141/12)/1000)/365</f>
        <v>172.91355296798363</v>
      </c>
    </row>
    <row r="147" spans="1:7" s="272" customFormat="1"/>
    <row r="148" spans="1:7" s="272" customFormat="1"/>
    <row r="149" spans="1:7" s="272" customFormat="1">
      <c r="F149" s="453">
        <f>F104+F122+F113+F131+F140</f>
        <v>603635756.27782357</v>
      </c>
    </row>
    <row r="150" spans="1:7" s="272" customFormat="1">
      <c r="F150" s="440">
        <f>F105+F123+F114+F132+F141</f>
        <v>114771565.15416905</v>
      </c>
      <c r="G150" s="272" t="s">
        <v>749</v>
      </c>
    </row>
    <row r="151" spans="1:7" s="272" customFormat="1">
      <c r="F151" s="440">
        <f>F150/12</f>
        <v>9564297.0961807538</v>
      </c>
      <c r="G151" s="272" t="s">
        <v>747</v>
      </c>
    </row>
    <row r="152" spans="1:7" s="272" customFormat="1"/>
    <row r="153" spans="1:7">
      <c r="F153" s="451"/>
    </row>
    <row r="154" spans="1:7">
      <c r="F154" s="452"/>
    </row>
    <row r="155" spans="1:7">
      <c r="F155" s="451"/>
    </row>
  </sheetData>
  <mergeCells count="2">
    <mergeCell ref="A1:H1"/>
    <mergeCell ref="A84:H84"/>
  </mergeCells>
  <pageMargins left="0.7" right="0.7" top="0.75" bottom="0.75" header="0.3" footer="0.3"/>
  <pageSetup scale="70"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F32"/>
  <sheetViews>
    <sheetView zoomScaleNormal="100" zoomScaleSheetLayoutView="100" workbookViewId="0">
      <pane xSplit="1" ySplit="5" topLeftCell="B6" activePane="bottomRight" state="frozen"/>
      <selection activeCell="C6" sqref="C6"/>
      <selection pane="topRight" activeCell="C6" sqref="C6"/>
      <selection pane="bottomLeft" activeCell="C6" sqref="C6"/>
      <selection pane="bottomRight" activeCell="D26" sqref="D26"/>
    </sheetView>
  </sheetViews>
  <sheetFormatPr defaultRowHeight="15"/>
  <cols>
    <col min="1" max="1" width="9.140625" style="632"/>
    <col min="2" max="2" width="34.140625" style="634" customWidth="1"/>
    <col min="3" max="5" width="15.5703125" style="634" customWidth="1"/>
    <col min="6" max="16384" width="9.140625" style="634"/>
  </cols>
  <sheetData>
    <row r="1" spans="1:5">
      <c r="A1" s="631"/>
    </row>
    <row r="2" spans="1:5">
      <c r="B2" s="633" t="s">
        <v>1016</v>
      </c>
      <c r="C2" s="630"/>
      <c r="D2" s="630"/>
      <c r="E2" s="632"/>
    </row>
    <row r="3" spans="1:5">
      <c r="B3" s="625" t="s">
        <v>992</v>
      </c>
      <c r="C3" s="630"/>
      <c r="D3" s="630"/>
      <c r="E3" s="632"/>
    </row>
    <row r="4" spans="1:5">
      <c r="B4" s="630" t="s">
        <v>887</v>
      </c>
      <c r="C4" s="630"/>
      <c r="D4" s="630"/>
      <c r="E4" s="632"/>
    </row>
    <row r="5" spans="1:5">
      <c r="B5" s="635" t="str">
        <f>IF($E$19&lt;0,"Applicable Annual Quarter","Month")</f>
        <v>Applicable Annual Quarter</v>
      </c>
      <c r="C5" s="635" t="str">
        <f>IF($E$19&lt;0,"","Debt Amount")</f>
        <v/>
      </c>
      <c r="D5" s="635" t="str">
        <f>IF($E$19&lt;0,"Annual Rate","Monthly Effective Rate")</f>
        <v>Annual Rate</v>
      </c>
      <c r="E5" s="635" t="str">
        <f>IF($E$19&lt;0,"Monthly Rate","Weighted Effective Rate")</f>
        <v>Monthly Rate</v>
      </c>
    </row>
    <row r="6" spans="1:5">
      <c r="B6" s="632"/>
      <c r="C6" s="632"/>
      <c r="D6" s="636"/>
      <c r="E6" s="632"/>
    </row>
    <row r="7" spans="1:5">
      <c r="B7" s="637" t="s">
        <v>1017</v>
      </c>
      <c r="C7" s="638" t="s">
        <v>663</v>
      </c>
      <c r="D7" s="639">
        <v>4.9599999999999998E-2</v>
      </c>
      <c r="E7" s="640">
        <f t="shared" ref="E7:E13" si="0">IF($E$19&lt;0,ROUND(D7/12,4),$C7/SUM($C$7:$C$14)*$D7)</f>
        <v>4.1000000000000003E-3</v>
      </c>
    </row>
    <row r="8" spans="1:5">
      <c r="B8" s="637" t="s">
        <v>1018</v>
      </c>
      <c r="C8" s="638" t="s">
        <v>663</v>
      </c>
      <c r="D8" s="639">
        <v>4.7500000000000001E-2</v>
      </c>
      <c r="E8" s="640">
        <f t="shared" si="0"/>
        <v>4.0000000000000001E-3</v>
      </c>
    </row>
    <row r="9" spans="1:5">
      <c r="B9" s="637" t="s">
        <v>1019</v>
      </c>
      <c r="C9" s="638" t="s">
        <v>663</v>
      </c>
      <c r="D9" s="639">
        <v>3.4299999999999997E-2</v>
      </c>
      <c r="E9" s="640">
        <f t="shared" si="0"/>
        <v>2.8999999999999998E-3</v>
      </c>
    </row>
    <row r="10" spans="1:5">
      <c r="B10" s="637" t="s">
        <v>1020</v>
      </c>
      <c r="C10" s="638" t="s">
        <v>663</v>
      </c>
      <c r="D10" s="639">
        <v>3.2500000000000001E-2</v>
      </c>
      <c r="E10" s="640">
        <f t="shared" si="0"/>
        <v>2.7000000000000001E-3</v>
      </c>
    </row>
    <row r="11" spans="1:5">
      <c r="B11" s="637" t="s">
        <v>1021</v>
      </c>
      <c r="C11" s="638" t="s">
        <v>663</v>
      </c>
      <c r="D11" s="639">
        <v>3.2500000000000001E-2</v>
      </c>
      <c r="E11" s="640">
        <f t="shared" si="0"/>
        <v>2.7000000000000001E-3</v>
      </c>
    </row>
    <row r="12" spans="1:5">
      <c r="B12" s="637" t="s">
        <v>1022</v>
      </c>
      <c r="C12" s="638" t="s">
        <v>663</v>
      </c>
      <c r="D12" s="639">
        <v>3.2500000000000001E-2</v>
      </c>
      <c r="E12" s="640">
        <f t="shared" si="0"/>
        <v>2.7000000000000001E-3</v>
      </c>
    </row>
    <row r="13" spans="1:5">
      <c r="B13" s="637" t="s">
        <v>1023</v>
      </c>
      <c r="C13" s="638" t="s">
        <v>663</v>
      </c>
      <c r="D13" s="639">
        <v>3.2500000000000001E-2</v>
      </c>
      <c r="E13" s="640">
        <f t="shared" si="0"/>
        <v>2.7000000000000001E-3</v>
      </c>
    </row>
    <row r="14" spans="1:5" s="632" customFormat="1">
      <c r="B14" s="637" t="s">
        <v>663</v>
      </c>
      <c r="C14" s="638" t="s">
        <v>663</v>
      </c>
      <c r="D14" s="639" t="s">
        <v>663</v>
      </c>
      <c r="E14" s="640" t="str">
        <f>IF($E$19&lt;0,"",$C14/SUM($C$7:$C$14)*$D14)</f>
        <v/>
      </c>
    </row>
    <row r="15" spans="1:5" s="632" customFormat="1">
      <c r="B15" s="637"/>
      <c r="C15" s="638"/>
      <c r="D15" s="641"/>
    </row>
    <row r="16" spans="1:5" s="632" customFormat="1">
      <c r="B16" s="629"/>
      <c r="C16" s="642" t="str">
        <f>IF($E$19&lt;0,"Average FERC Rate","Average ST Debt Rate")</f>
        <v>Average FERC Rate</v>
      </c>
      <c r="D16" s="643"/>
      <c r="E16" s="649">
        <f>IF(E19&lt;0,AVERAGE(E7:E15)*12,SUM(E7:E15))</f>
        <v>3.7371428571428576E-2</v>
      </c>
    </row>
    <row r="17" spans="2:6" s="632" customFormat="1">
      <c r="B17" s="629"/>
      <c r="C17" s="642"/>
      <c r="D17" s="643"/>
      <c r="E17" s="643"/>
    </row>
    <row r="18" spans="2:6" s="632" customFormat="1">
      <c r="B18" s="629"/>
      <c r="C18" s="642"/>
      <c r="D18" s="643"/>
      <c r="E18" s="643"/>
    </row>
    <row r="19" spans="2:6" s="632" customFormat="1">
      <c r="D19" s="642" t="str">
        <f>IF(E19&lt;0,"Over Collected Amount","Under Collected Amount")</f>
        <v>Over Collected Amount</v>
      </c>
      <c r="E19" s="644">
        <v>-4916273.4105711002</v>
      </c>
      <c r="F19" s="873"/>
    </row>
    <row r="20" spans="2:6" s="632" customFormat="1">
      <c r="D20" s="642"/>
      <c r="E20" s="644"/>
    </row>
    <row r="21" spans="2:6" s="632" customFormat="1">
      <c r="D21" s="642" t="str">
        <f>IF(E19&lt;0,"Months","Year")</f>
        <v>Months</v>
      </c>
      <c r="E21" s="632">
        <v>2</v>
      </c>
    </row>
    <row r="22" spans="2:6" s="632" customFormat="1">
      <c r="D22" s="642" t="s">
        <v>885</v>
      </c>
      <c r="E22" s="645">
        <f>IF(E19&lt;0,-FV(E16/4,E21*4,0,E19)-E19,FV(E16/4,E21*4,0,-E19)-E19)</f>
        <v>-379699.30892841145</v>
      </c>
    </row>
    <row r="23" spans="2:6" s="632" customFormat="1"/>
    <row r="24" spans="2:6" s="632" customFormat="1" ht="15.75" thickBot="1">
      <c r="E24" s="647">
        <f>E19+E22</f>
        <v>-5295972.7194995116</v>
      </c>
    </row>
    <row r="25" spans="2:6" s="632" customFormat="1" ht="15.75" thickTop="1"/>
    <row r="26" spans="2:6" s="632" customFormat="1"/>
    <row r="27" spans="2:6" s="632" customFormat="1"/>
    <row r="28" spans="2:6" s="632" customFormat="1"/>
    <row r="29" spans="2:6" s="632" customFormat="1"/>
    <row r="30" spans="2:6" s="632" customFormat="1"/>
    <row r="31" spans="2:6" s="632" customFormat="1"/>
    <row r="32" spans="2:6" s="632" customFormat="1"/>
  </sheetData>
  <pageMargins left="0.7" right="0.7" top="0.75" bottom="0.75" header="0.3" footer="0.3"/>
  <pageSetup orientation="portrait" verticalDpi="597"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3">
    <tabColor rgb="FF00FFFF"/>
    <pageSetUpPr fitToPage="1"/>
  </sheetPr>
  <dimension ref="A2:H39"/>
  <sheetViews>
    <sheetView showGridLines="0" topLeftCell="A4" zoomScale="85" zoomScaleNormal="85" zoomScaleSheetLayoutView="100" workbookViewId="0">
      <selection activeCell="G28" sqref="G28"/>
    </sheetView>
  </sheetViews>
  <sheetFormatPr defaultRowHeight="15"/>
  <cols>
    <col min="1" max="1" width="5.5703125" style="464" customWidth="1"/>
    <col min="2" max="2" width="19.140625" style="462" customWidth="1"/>
    <col min="3" max="3" width="16.42578125" style="462" customWidth="1"/>
    <col min="4" max="4" width="15.28515625" style="462" customWidth="1"/>
    <col min="5" max="5" width="37.42578125" style="462" bestFit="1" customWidth="1"/>
    <col min="6" max="6" width="4" style="462" customWidth="1"/>
    <col min="7" max="7" width="12.7109375" style="462" customWidth="1"/>
    <col min="8" max="8" width="9.140625" style="463"/>
    <col min="9" max="16384" width="9.140625" style="462"/>
  </cols>
  <sheetData>
    <row r="2" spans="1:7" ht="18.75">
      <c r="B2" s="483" t="s">
        <v>796</v>
      </c>
    </row>
    <row r="4" spans="1:7">
      <c r="B4" s="462" t="s">
        <v>795</v>
      </c>
      <c r="C4" s="482" t="s">
        <v>363</v>
      </c>
      <c r="D4" s="481"/>
      <c r="E4" s="465"/>
    </row>
    <row r="6" spans="1:7">
      <c r="B6" s="462" t="s">
        <v>794</v>
      </c>
      <c r="C6" s="480">
        <v>2022</v>
      </c>
    </row>
    <row r="7" spans="1:7">
      <c r="B7" s="462" t="s">
        <v>793</v>
      </c>
      <c r="C7" s="480">
        <f>C6-2</f>
        <v>2020</v>
      </c>
      <c r="D7" s="462" t="s">
        <v>29</v>
      </c>
    </row>
    <row r="8" spans="1:7">
      <c r="C8" s="464"/>
    </row>
    <row r="9" spans="1:7">
      <c r="B9" s="462" t="s">
        <v>792</v>
      </c>
      <c r="C9" s="480" t="s">
        <v>791</v>
      </c>
    </row>
    <row r="11" spans="1:7">
      <c r="B11" s="478" t="s">
        <v>62</v>
      </c>
      <c r="C11" s="479"/>
      <c r="D11" s="479"/>
      <c r="E11" s="478" t="s">
        <v>63</v>
      </c>
      <c r="F11" s="479"/>
      <c r="G11" s="478" t="s">
        <v>64</v>
      </c>
    </row>
    <row r="12" spans="1:7">
      <c r="A12" s="462"/>
      <c r="E12" s="475" t="s">
        <v>67</v>
      </c>
      <c r="G12" s="475" t="s">
        <v>790</v>
      </c>
    </row>
    <row r="13" spans="1:7">
      <c r="A13" s="477" t="s">
        <v>8</v>
      </c>
      <c r="E13" s="475" t="s">
        <v>69</v>
      </c>
      <c r="G13" s="475" t="s">
        <v>15</v>
      </c>
    </row>
    <row r="14" spans="1:7">
      <c r="A14" s="476" t="s">
        <v>10</v>
      </c>
      <c r="E14" s="475"/>
      <c r="G14" s="475"/>
    </row>
    <row r="15" spans="1:7">
      <c r="A15" s="464">
        <v>1</v>
      </c>
      <c r="B15" s="462" t="s">
        <v>789</v>
      </c>
      <c r="E15" s="462" t="s">
        <v>788</v>
      </c>
      <c r="G15" s="473">
        <f>'ATC Att O'!I235</f>
        <v>14320402</v>
      </c>
    </row>
    <row r="16" spans="1:7">
      <c r="A16" s="464">
        <v>2</v>
      </c>
      <c r="B16" s="462" t="s">
        <v>787</v>
      </c>
      <c r="E16" s="462" t="s">
        <v>786</v>
      </c>
      <c r="G16" s="473">
        <v>0</v>
      </c>
    </row>
    <row r="17" spans="1:7">
      <c r="A17" s="464">
        <v>3</v>
      </c>
      <c r="B17" s="462" t="s">
        <v>785</v>
      </c>
      <c r="E17" s="462" t="s">
        <v>784</v>
      </c>
      <c r="G17" s="473">
        <v>0</v>
      </c>
    </row>
    <row r="18" spans="1:7">
      <c r="A18" s="464">
        <v>4</v>
      </c>
      <c r="B18" s="462" t="s">
        <v>783</v>
      </c>
      <c r="E18" s="462" t="s">
        <v>782</v>
      </c>
      <c r="G18" s="474">
        <f>SUM(G15:G17)</f>
        <v>14320402</v>
      </c>
    </row>
    <row r="20" spans="1:7">
      <c r="A20" s="464">
        <v>5</v>
      </c>
      <c r="B20" s="462" t="s">
        <v>781</v>
      </c>
      <c r="E20" s="462" t="s">
        <v>780</v>
      </c>
      <c r="G20" s="473">
        <v>0</v>
      </c>
    </row>
    <row r="22" spans="1:7">
      <c r="A22" s="466">
        <v>6</v>
      </c>
      <c r="B22" s="465" t="s">
        <v>779</v>
      </c>
      <c r="C22" s="465"/>
      <c r="D22" s="465"/>
      <c r="G22" s="473">
        <v>0</v>
      </c>
    </row>
    <row r="24" spans="1:7">
      <c r="A24" s="464">
        <v>7</v>
      </c>
      <c r="B24" s="462" t="s">
        <v>778</v>
      </c>
      <c r="E24" s="462" t="str">
        <f>"(Line "&amp;A18&amp;" - Line "&amp;A20&amp;" - Line "&amp;A22&amp;")"</f>
        <v>(Line 4 - Line 5 - Line 6)</v>
      </c>
      <c r="G24" s="471">
        <f>+G18-G20-G22</f>
        <v>14320402</v>
      </c>
    </row>
    <row r="26" spans="1:7">
      <c r="A26" s="464">
        <v>8</v>
      </c>
      <c r="B26" s="462" t="s">
        <v>777</v>
      </c>
      <c r="G26" s="472">
        <f>'Sch 1 TU Interest'!E24</f>
        <v>-1260427.4259550932</v>
      </c>
    </row>
    <row r="28" spans="1:7">
      <c r="A28" s="464">
        <v>9</v>
      </c>
      <c r="B28" s="462" t="s">
        <v>776</v>
      </c>
      <c r="E28" s="462" t="str">
        <f>"(Line "&amp;A24&amp;" + Line "&amp;A26&amp;")"</f>
        <v>(Line 7 + Line 8)</v>
      </c>
      <c r="G28" s="471">
        <f>+G24+G26</f>
        <v>13059974.574044907</v>
      </c>
    </row>
    <row r="29" spans="1:7">
      <c r="G29" s="470"/>
    </row>
    <row r="31" spans="1:7">
      <c r="A31" s="469" t="s">
        <v>286</v>
      </c>
    </row>
    <row r="32" spans="1:7">
      <c r="A32" s="468" t="s">
        <v>287</v>
      </c>
    </row>
    <row r="33" spans="1:8" ht="15" customHeight="1">
      <c r="A33" s="467" t="s">
        <v>288</v>
      </c>
      <c r="B33" s="986" t="s">
        <v>775</v>
      </c>
      <c r="C33" s="986"/>
      <c r="D33" s="986"/>
      <c r="E33" s="986"/>
      <c r="F33" s="986"/>
      <c r="G33" s="986"/>
    </row>
    <row r="34" spans="1:8" ht="32.25" customHeight="1">
      <c r="A34" s="467" t="s">
        <v>290</v>
      </c>
      <c r="B34" s="986" t="s">
        <v>774</v>
      </c>
      <c r="C34" s="986"/>
      <c r="D34" s="986"/>
      <c r="E34" s="986"/>
      <c r="F34" s="986"/>
      <c r="G34" s="986"/>
    </row>
    <row r="35" spans="1:8" ht="62.25" customHeight="1">
      <c r="A35" s="467" t="s">
        <v>292</v>
      </c>
      <c r="B35" s="986" t="s">
        <v>773</v>
      </c>
      <c r="C35" s="986"/>
      <c r="D35" s="986"/>
      <c r="E35" s="986"/>
      <c r="F35" s="986"/>
      <c r="G35" s="986"/>
    </row>
    <row r="36" spans="1:8" ht="32.25" customHeight="1">
      <c r="A36" s="467" t="s">
        <v>294</v>
      </c>
      <c r="B36" s="986" t="s">
        <v>772</v>
      </c>
      <c r="C36" s="986"/>
      <c r="D36" s="986"/>
      <c r="E36" s="986"/>
      <c r="F36" s="986"/>
      <c r="G36" s="986"/>
    </row>
    <row r="37" spans="1:8" s="465" customFormat="1">
      <c r="A37" s="466"/>
      <c r="H37" s="463"/>
    </row>
    <row r="38" spans="1:8" s="465" customFormat="1">
      <c r="A38" s="466"/>
      <c r="H38" s="463"/>
    </row>
    <row r="39" spans="1:8" s="465" customFormat="1">
      <c r="A39" s="466"/>
      <c r="H39" s="463"/>
    </row>
  </sheetData>
  <mergeCells count="4">
    <mergeCell ref="B33:G33"/>
    <mergeCell ref="B34:G34"/>
    <mergeCell ref="B35:G35"/>
    <mergeCell ref="B36:G36"/>
  </mergeCells>
  <pageMargins left="0.5" right="0.19" top="0.8" bottom="0.5" header="0.3" footer="0.3"/>
  <pageSetup scale="90" orientation="portrait" r:id="rId1"/>
  <headerFooter>
    <oddHeader xml:space="preserve">&amp;R
</oddHeader>
  </headerFooter>
  <rowBreaks count="1" manualBreakCount="1">
    <brk id="41" max="1638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24">
    <pageSetUpPr fitToPage="1"/>
  </sheetPr>
  <dimension ref="A2:W38"/>
  <sheetViews>
    <sheetView showGridLines="0" zoomScale="85" zoomScaleNormal="85" zoomScaleSheetLayoutView="100" workbookViewId="0">
      <selection activeCell="G22" sqref="G22"/>
    </sheetView>
  </sheetViews>
  <sheetFormatPr defaultRowHeight="15"/>
  <cols>
    <col min="1" max="1" width="5.5703125" style="464" customWidth="1"/>
    <col min="2" max="2" width="19.140625" style="462" customWidth="1"/>
    <col min="3" max="3" width="20.28515625" style="462" customWidth="1"/>
    <col min="4" max="4" width="15.28515625" style="462" customWidth="1"/>
    <col min="5" max="5" width="37.42578125" style="462" bestFit="1" customWidth="1"/>
    <col min="6" max="6" width="4" style="462" customWidth="1"/>
    <col min="7" max="7" width="12.7109375" style="462" customWidth="1"/>
    <col min="8" max="8" width="9.140625" style="463"/>
    <col min="9" max="10" width="9.140625" style="462"/>
    <col min="11" max="22" width="12.85546875" style="462" bestFit="1" customWidth="1"/>
    <col min="23" max="23" width="14" style="462" bestFit="1" customWidth="1"/>
    <col min="24" max="16384" width="9.140625" style="462"/>
  </cols>
  <sheetData>
    <row r="2" spans="1:7" ht="18.75">
      <c r="B2" s="483" t="s">
        <v>810</v>
      </c>
    </row>
    <row r="4" spans="1:7">
      <c r="B4" s="462" t="s">
        <v>795</v>
      </c>
      <c r="C4" s="482" t="s">
        <v>363</v>
      </c>
      <c r="D4" s="482"/>
    </row>
    <row r="6" spans="1:7">
      <c r="B6" s="462" t="s">
        <v>793</v>
      </c>
      <c r="C6" s="480">
        <f>'Sch 1'!C7</f>
        <v>2020</v>
      </c>
    </row>
    <row r="9" spans="1:7">
      <c r="B9" s="487" t="s">
        <v>62</v>
      </c>
      <c r="E9" s="487" t="s">
        <v>63</v>
      </c>
      <c r="G9" s="487" t="s">
        <v>64</v>
      </c>
    </row>
    <row r="10" spans="1:7">
      <c r="E10" s="475" t="s">
        <v>67</v>
      </c>
      <c r="G10" s="475" t="s">
        <v>790</v>
      </c>
    </row>
    <row r="11" spans="1:7">
      <c r="A11" s="464" t="s">
        <v>8</v>
      </c>
      <c r="E11" s="475" t="s">
        <v>69</v>
      </c>
      <c r="G11" s="475" t="s">
        <v>15</v>
      </c>
    </row>
    <row r="12" spans="1:7">
      <c r="A12" s="468" t="s">
        <v>10</v>
      </c>
    </row>
    <row r="13" spans="1:7">
      <c r="A13" s="464">
        <v>1</v>
      </c>
      <c r="B13" s="462" t="s">
        <v>809</v>
      </c>
      <c r="E13" s="462" t="s">
        <v>788</v>
      </c>
      <c r="G13" s="473">
        <v>3404810</v>
      </c>
    </row>
    <row r="14" spans="1:7">
      <c r="A14" s="464">
        <f>+A13+1</f>
        <v>2</v>
      </c>
      <c r="B14" s="462" t="s">
        <v>787</v>
      </c>
      <c r="E14" s="462" t="s">
        <v>786</v>
      </c>
      <c r="G14" s="473">
        <v>10211872</v>
      </c>
    </row>
    <row r="15" spans="1:7">
      <c r="A15" s="464">
        <f>+A14+1</f>
        <v>3</v>
      </c>
      <c r="B15" s="462" t="s">
        <v>785</v>
      </c>
      <c r="E15" s="462" t="s">
        <v>784</v>
      </c>
      <c r="G15" s="473">
        <v>0</v>
      </c>
    </row>
    <row r="16" spans="1:7">
      <c r="A16" s="464">
        <f>+A15+1</f>
        <v>4</v>
      </c>
      <c r="B16" s="462" t="s">
        <v>808</v>
      </c>
      <c r="G16" s="474">
        <f>SUM(G13:G15)</f>
        <v>13616682</v>
      </c>
    </row>
    <row r="18" spans="1:23">
      <c r="A18" s="464">
        <f>+A16+1</f>
        <v>5</v>
      </c>
      <c r="B18" s="462" t="s">
        <v>807</v>
      </c>
      <c r="E18" s="462" t="s">
        <v>806</v>
      </c>
      <c r="G18" s="473">
        <v>0</v>
      </c>
    </row>
    <row r="19" spans="1:23">
      <c r="H19" s="465"/>
    </row>
    <row r="20" spans="1:23">
      <c r="A20" s="464">
        <f>+A18+1</f>
        <v>6</v>
      </c>
      <c r="B20" s="465" t="s">
        <v>805</v>
      </c>
      <c r="C20" s="465"/>
      <c r="D20" s="465"/>
      <c r="E20" s="462" t="str">
        <f>"(Line "&amp;A16&amp;" - Line "&amp;A18&amp;")"</f>
        <v>(Line 4 - Line 5)</v>
      </c>
      <c r="G20" s="471">
        <f>+G16-G18</f>
        <v>13616682</v>
      </c>
    </row>
    <row r="21" spans="1:23">
      <c r="B21" s="464"/>
      <c r="C21" s="464"/>
      <c r="D21" s="464"/>
      <c r="G21" s="486"/>
    </row>
    <row r="22" spans="1:23">
      <c r="A22" s="464">
        <f>+A20+1</f>
        <v>7</v>
      </c>
      <c r="B22" s="462" t="s">
        <v>804</v>
      </c>
      <c r="E22" s="462" t="s">
        <v>803</v>
      </c>
      <c r="G22" s="473">
        <v>14786742</v>
      </c>
    </row>
    <row r="24" spans="1:23">
      <c r="A24" s="464">
        <f>A22+1</f>
        <v>8</v>
      </c>
      <c r="B24" s="462" t="s">
        <v>802</v>
      </c>
      <c r="E24" s="462" t="str">
        <f>"(Line "&amp;A20&amp;" - Line "&amp;A22&amp;")"</f>
        <v>(Line 6 - Line 7)</v>
      </c>
      <c r="G24" s="470">
        <f>+G20-G22</f>
        <v>-1170060</v>
      </c>
      <c r="K24" s="871"/>
      <c r="L24" s="871"/>
      <c r="M24" s="871"/>
      <c r="N24" s="871"/>
      <c r="O24" s="871"/>
      <c r="P24" s="871"/>
      <c r="Q24" s="871"/>
      <c r="R24" s="871"/>
      <c r="S24" s="871"/>
      <c r="T24" s="871"/>
      <c r="U24" s="871"/>
      <c r="V24" s="871"/>
      <c r="W24" s="871"/>
    </row>
    <row r="26" spans="1:23">
      <c r="A26" s="469"/>
      <c r="B26" s="485"/>
      <c r="C26" s="485"/>
      <c r="D26" s="485"/>
      <c r="E26" s="485"/>
      <c r="F26" s="485"/>
      <c r="G26" s="485"/>
    </row>
    <row r="27" spans="1:23">
      <c r="A27" s="464" t="s">
        <v>287</v>
      </c>
    </row>
    <row r="28" spans="1:23">
      <c r="A28" s="468" t="s">
        <v>286</v>
      </c>
    </row>
    <row r="29" spans="1:23">
      <c r="A29" s="467" t="s">
        <v>288</v>
      </c>
      <c r="B29" s="988" t="s">
        <v>801</v>
      </c>
      <c r="C29" s="988"/>
      <c r="D29" s="988"/>
      <c r="E29" s="988"/>
      <c r="F29" s="988"/>
      <c r="G29" s="988"/>
    </row>
    <row r="30" spans="1:23">
      <c r="A30" s="467" t="s">
        <v>290</v>
      </c>
      <c r="B30" s="988" t="s">
        <v>800</v>
      </c>
      <c r="C30" s="988"/>
      <c r="D30" s="988"/>
      <c r="E30" s="988"/>
      <c r="F30" s="988"/>
      <c r="G30" s="988"/>
    </row>
    <row r="31" spans="1:23">
      <c r="A31" s="467" t="s">
        <v>292</v>
      </c>
      <c r="B31" s="988" t="s">
        <v>799</v>
      </c>
      <c r="C31" s="988"/>
      <c r="D31" s="988"/>
      <c r="E31" s="988"/>
      <c r="F31" s="988"/>
      <c r="G31" s="988"/>
    </row>
    <row r="32" spans="1:23" ht="15" customHeight="1">
      <c r="A32" s="467" t="s">
        <v>294</v>
      </c>
      <c r="B32" s="988" t="s">
        <v>798</v>
      </c>
      <c r="C32" s="988"/>
      <c r="D32" s="988"/>
      <c r="E32" s="988"/>
      <c r="F32" s="988"/>
      <c r="G32" s="988"/>
    </row>
    <row r="33" spans="1:8" ht="30" customHeight="1">
      <c r="A33" s="467" t="s">
        <v>295</v>
      </c>
      <c r="B33" s="988" t="s">
        <v>797</v>
      </c>
      <c r="C33" s="988"/>
      <c r="D33" s="988"/>
      <c r="E33" s="988"/>
      <c r="F33" s="988"/>
      <c r="G33" s="988"/>
    </row>
    <row r="34" spans="1:8" ht="15" customHeight="1">
      <c r="A34" s="467"/>
      <c r="B34" s="988"/>
      <c r="C34" s="988"/>
      <c r="D34" s="988"/>
      <c r="E34" s="988"/>
      <c r="F34" s="988"/>
      <c r="G34" s="988"/>
    </row>
    <row r="35" spans="1:8" s="465" customFormat="1">
      <c r="A35" s="484"/>
      <c r="B35" s="987"/>
      <c r="C35" s="987"/>
      <c r="D35" s="987"/>
      <c r="E35" s="987"/>
      <c r="F35" s="987"/>
      <c r="G35" s="987"/>
      <c r="H35" s="463"/>
    </row>
    <row r="36" spans="1:8" s="465" customFormat="1">
      <c r="A36" s="466"/>
      <c r="H36" s="463"/>
    </row>
    <row r="37" spans="1:8" s="465" customFormat="1">
      <c r="A37" s="466"/>
      <c r="H37" s="463"/>
    </row>
    <row r="38" spans="1:8">
      <c r="B38" s="464"/>
    </row>
  </sheetData>
  <mergeCells count="7">
    <mergeCell ref="B35:G35"/>
    <mergeCell ref="B29:G29"/>
    <mergeCell ref="B30:G30"/>
    <mergeCell ref="B31:G31"/>
    <mergeCell ref="B32:G32"/>
    <mergeCell ref="B33:G33"/>
    <mergeCell ref="B34:G34"/>
  </mergeCells>
  <pageMargins left="0.5" right="0.19" top="0.8" bottom="0.5" header="0.3" footer="0.3"/>
  <pageSetup scale="86" orientation="portrait" r:id="rId1"/>
  <headerFooter>
    <oddHeader xml:space="preserve">&amp;R
</oddHeader>
  </headerFooter>
  <rowBreaks count="1" manualBreakCount="1">
    <brk id="76" max="16383"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E32"/>
  <sheetViews>
    <sheetView zoomScaleNormal="100" zoomScaleSheetLayoutView="100" workbookViewId="0">
      <pane xSplit="1" ySplit="5" topLeftCell="B6" activePane="bottomRight" state="frozen"/>
      <selection pane="topRight" activeCell="B1" sqref="B1"/>
      <selection pane="bottomLeft" activeCell="A6" sqref="A6"/>
      <selection pane="bottomRight" activeCell="E24" sqref="E24"/>
    </sheetView>
  </sheetViews>
  <sheetFormatPr defaultRowHeight="15"/>
  <cols>
    <col min="1" max="1" width="9.140625" style="632"/>
    <col min="2" max="2" width="34.140625" style="634" customWidth="1"/>
    <col min="3" max="5" width="15.5703125" style="634" customWidth="1"/>
    <col min="6" max="16384" width="9.140625" style="634"/>
  </cols>
  <sheetData>
    <row r="1" spans="1:5">
      <c r="A1" s="631"/>
    </row>
    <row r="2" spans="1:5">
      <c r="B2" s="633" t="s">
        <v>1024</v>
      </c>
      <c r="C2" s="630"/>
      <c r="D2" s="630"/>
      <c r="E2" s="632"/>
    </row>
    <row r="3" spans="1:5">
      <c r="B3" s="625" t="s">
        <v>992</v>
      </c>
      <c r="C3" s="630"/>
      <c r="D3" s="630"/>
      <c r="E3" s="632"/>
    </row>
    <row r="4" spans="1:5">
      <c r="B4" s="630" t="s">
        <v>887</v>
      </c>
      <c r="C4" s="630"/>
      <c r="D4" s="630"/>
      <c r="E4" s="632"/>
    </row>
    <row r="5" spans="1:5">
      <c r="B5" s="635" t="str">
        <f>IF($E$19&lt;0,"Applicable Annual Quarter","Month")</f>
        <v>Applicable Annual Quarter</v>
      </c>
      <c r="C5" s="635" t="str">
        <f>IF($E$19&lt;0,"","Debt Amount")</f>
        <v/>
      </c>
      <c r="D5" s="635" t="str">
        <f>IF($E$19&lt;0,"Annual Rate","Monthly Effective Rate")</f>
        <v>Annual Rate</v>
      </c>
      <c r="E5" s="635" t="str">
        <f>IF($E$19&lt;0,"Monthly Rate","Weighted Effective Rate")</f>
        <v>Monthly Rate</v>
      </c>
    </row>
    <row r="6" spans="1:5">
      <c r="B6" s="632"/>
      <c r="C6" s="632"/>
      <c r="D6" s="636"/>
      <c r="E6" s="632"/>
    </row>
    <row r="7" spans="1:5">
      <c r="B7" s="637" t="s">
        <v>1017</v>
      </c>
      <c r="C7" s="638" t="s">
        <v>663</v>
      </c>
      <c r="D7" s="639">
        <v>4.9599999999999998E-2</v>
      </c>
      <c r="E7" s="640">
        <f t="shared" ref="E7:E13" si="0">IF($E$19&lt;0,ROUND(D7/12,4),$C7/SUM($C$7:$C$14)*$D7)</f>
        <v>4.1000000000000003E-3</v>
      </c>
    </row>
    <row r="8" spans="1:5">
      <c r="B8" s="637" t="s">
        <v>1018</v>
      </c>
      <c r="C8" s="638" t="s">
        <v>663</v>
      </c>
      <c r="D8" s="639">
        <v>4.7500000000000001E-2</v>
      </c>
      <c r="E8" s="640">
        <f t="shared" si="0"/>
        <v>4.0000000000000001E-3</v>
      </c>
    </row>
    <row r="9" spans="1:5">
      <c r="B9" s="637" t="s">
        <v>1019</v>
      </c>
      <c r="C9" s="638" t="s">
        <v>663</v>
      </c>
      <c r="D9" s="639">
        <v>3.4299999999999997E-2</v>
      </c>
      <c r="E9" s="640">
        <f t="shared" si="0"/>
        <v>2.8999999999999998E-3</v>
      </c>
    </row>
    <row r="10" spans="1:5">
      <c r="B10" s="637" t="s">
        <v>1020</v>
      </c>
      <c r="C10" s="638" t="s">
        <v>663</v>
      </c>
      <c r="D10" s="639">
        <v>3.2500000000000001E-2</v>
      </c>
      <c r="E10" s="640">
        <f t="shared" si="0"/>
        <v>2.7000000000000001E-3</v>
      </c>
    </row>
    <row r="11" spans="1:5">
      <c r="B11" s="637" t="s">
        <v>1021</v>
      </c>
      <c r="C11" s="638" t="s">
        <v>663</v>
      </c>
      <c r="D11" s="639">
        <v>3.2500000000000001E-2</v>
      </c>
      <c r="E11" s="640">
        <f t="shared" si="0"/>
        <v>2.7000000000000001E-3</v>
      </c>
    </row>
    <row r="12" spans="1:5">
      <c r="B12" s="637" t="s">
        <v>1022</v>
      </c>
      <c r="C12" s="638" t="s">
        <v>663</v>
      </c>
      <c r="D12" s="639">
        <v>3.2500000000000001E-2</v>
      </c>
      <c r="E12" s="640">
        <f t="shared" si="0"/>
        <v>2.7000000000000001E-3</v>
      </c>
    </row>
    <row r="13" spans="1:5">
      <c r="B13" s="637" t="s">
        <v>1023</v>
      </c>
      <c r="C13" s="638" t="s">
        <v>663</v>
      </c>
      <c r="D13" s="639">
        <v>3.2500000000000001E-2</v>
      </c>
      <c r="E13" s="640">
        <f t="shared" si="0"/>
        <v>2.7000000000000001E-3</v>
      </c>
    </row>
    <row r="14" spans="1:5" s="632" customFormat="1">
      <c r="B14" s="637" t="s">
        <v>663</v>
      </c>
      <c r="C14" s="638" t="s">
        <v>663</v>
      </c>
      <c r="D14" s="639" t="s">
        <v>663</v>
      </c>
      <c r="E14" s="640" t="str">
        <f>IF($E$19&lt;0,"",$C14/SUM($C$7:$C$14)*$D14)</f>
        <v/>
      </c>
    </row>
    <row r="15" spans="1:5" s="632" customFormat="1">
      <c r="B15" s="637"/>
      <c r="C15" s="638"/>
      <c r="D15" s="641"/>
    </row>
    <row r="16" spans="1:5" s="632" customFormat="1">
      <c r="B16" s="629"/>
      <c r="C16" s="642" t="str">
        <f>IF($E$19&lt;0,"Average FERC Rate","Average ST Debt Rate")</f>
        <v>Average FERC Rate</v>
      </c>
      <c r="D16" s="643"/>
      <c r="E16" s="649">
        <f>IF(E19&lt;0,AVERAGE(E7:E15)*12,SUM(E7:E15))</f>
        <v>3.7371428571428576E-2</v>
      </c>
    </row>
    <row r="17" spans="2:5" s="632" customFormat="1">
      <c r="B17" s="629"/>
      <c r="C17" s="642"/>
      <c r="D17" s="643"/>
      <c r="E17" s="643"/>
    </row>
    <row r="18" spans="2:5" s="632" customFormat="1">
      <c r="B18" s="629"/>
      <c r="C18" s="642"/>
      <c r="D18" s="643"/>
      <c r="E18" s="643"/>
    </row>
    <row r="19" spans="2:5" s="632" customFormat="1">
      <c r="D19" s="642" t="str">
        <f>IF(E19&lt;0,"Over Collected Amount","Under Collected Amount")</f>
        <v>Over Collected Amount</v>
      </c>
      <c r="E19" s="644">
        <f>'Sch 1 - True up'!G24</f>
        <v>-1170060</v>
      </c>
    </row>
    <row r="20" spans="2:5" s="632" customFormat="1">
      <c r="D20" s="642"/>
      <c r="E20" s="644"/>
    </row>
    <row r="21" spans="2:5" s="632" customFormat="1">
      <c r="D21" s="642" t="str">
        <f>IF(E19&lt;0,"Months","Year")</f>
        <v>Months</v>
      </c>
      <c r="E21" s="632">
        <v>2</v>
      </c>
    </row>
    <row r="22" spans="2:5" s="632" customFormat="1">
      <c r="D22" s="642" t="s">
        <v>885</v>
      </c>
      <c r="E22" s="645">
        <f>IF(E19&lt;0,-FV(E16/4,E21*4,0,E19)-E19,FV(E16/4,E21*4,0,-E19)-E19)</f>
        <v>-90367.425955093233</v>
      </c>
    </row>
    <row r="23" spans="2:5" s="632" customFormat="1"/>
    <row r="24" spans="2:5" s="632" customFormat="1" ht="15.75" thickBot="1">
      <c r="E24" s="647">
        <f>E19+E22</f>
        <v>-1260427.4259550932</v>
      </c>
    </row>
    <row r="25" spans="2:5" s="632" customFormat="1" ht="15.75" thickTop="1"/>
    <row r="26" spans="2:5" s="632" customFormat="1"/>
    <row r="27" spans="2:5" s="632" customFormat="1"/>
    <row r="28" spans="2:5" s="632" customFormat="1"/>
    <row r="29" spans="2:5" s="632" customFormat="1"/>
    <row r="30" spans="2:5" s="632" customFormat="1"/>
    <row r="31" spans="2:5" s="632" customFormat="1"/>
    <row r="32" spans="2:5" s="632" customFormat="1"/>
  </sheetData>
  <pageMargins left="0.7" right="0.7" top="0.75" bottom="0.75" header="0.3" footer="0.3"/>
  <pageSetup orientation="portrait" verticalDpi="597"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6">
    <pageSetUpPr fitToPage="1"/>
  </sheetPr>
  <dimension ref="A2:K18"/>
  <sheetViews>
    <sheetView zoomScaleNormal="100" zoomScaleSheetLayoutView="100" workbookViewId="0">
      <pane xSplit="1" ySplit="4" topLeftCell="B5" activePane="bottomRight" state="frozen"/>
      <selection activeCell="C6" sqref="C6"/>
      <selection pane="topRight" activeCell="C6" sqref="C6"/>
      <selection pane="bottomLeft" activeCell="C6" sqref="C6"/>
      <selection pane="bottomRight" activeCell="I26" sqref="I26"/>
    </sheetView>
  </sheetViews>
  <sheetFormatPr defaultRowHeight="12.75"/>
  <cols>
    <col min="1" max="1" width="13" style="69" bestFit="1" customWidth="1"/>
    <col min="2" max="2" width="14" style="69" bestFit="1" customWidth="1"/>
    <col min="3" max="5" width="11.5703125" style="69" customWidth="1"/>
    <col min="6" max="6" width="14" style="69" customWidth="1"/>
    <col min="7" max="7" width="12.28515625" style="69" bestFit="1" customWidth="1"/>
    <col min="8" max="8" width="15.140625" style="69" customWidth="1"/>
    <col min="9" max="9" width="11.5703125" style="69" customWidth="1"/>
    <col min="10" max="10" width="9.140625" style="69"/>
    <col min="11" max="11" width="24.28515625" style="70" customWidth="1"/>
    <col min="12" max="16384" width="9.140625" style="69"/>
  </cols>
  <sheetData>
    <row r="2" spans="1:8">
      <c r="A2" s="54" t="s">
        <v>378</v>
      </c>
    </row>
    <row r="3" spans="1:8" ht="38.25">
      <c r="A3" s="57" t="s">
        <v>361</v>
      </c>
      <c r="B3" s="71" t="s">
        <v>379</v>
      </c>
      <c r="C3" s="71" t="s">
        <v>380</v>
      </c>
      <c r="D3" s="71" t="s">
        <v>381</v>
      </c>
      <c r="E3" s="71" t="s">
        <v>382</v>
      </c>
      <c r="F3" s="71" t="s">
        <v>383</v>
      </c>
      <c r="G3" s="71" t="s">
        <v>384</v>
      </c>
      <c r="H3" s="71" t="s">
        <v>357</v>
      </c>
    </row>
    <row r="4" spans="1:8">
      <c r="A4" s="60" t="s">
        <v>365</v>
      </c>
      <c r="B4" s="72"/>
      <c r="C4" s="72"/>
      <c r="D4" s="72"/>
      <c r="E4" s="72"/>
      <c r="F4" s="72"/>
      <c r="G4" s="72"/>
      <c r="H4" s="73">
        <v>20</v>
      </c>
    </row>
    <row r="5" spans="1:8">
      <c r="A5" s="668" t="s">
        <v>987</v>
      </c>
      <c r="B5" s="667">
        <v>976033396.64021099</v>
      </c>
      <c r="C5" s="70">
        <v>0</v>
      </c>
      <c r="D5" s="74">
        <v>365</v>
      </c>
      <c r="E5" s="74">
        <v>365</v>
      </c>
      <c r="F5" s="75">
        <f>C5/D5*E5</f>
        <v>0</v>
      </c>
      <c r="G5" s="666">
        <v>0</v>
      </c>
      <c r="H5" s="75">
        <f>B5</f>
        <v>976033396.64021099</v>
      </c>
    </row>
    <row r="6" spans="1:8">
      <c r="A6" s="668" t="s">
        <v>988</v>
      </c>
      <c r="B6" s="667">
        <v>977344815.0370605</v>
      </c>
      <c r="C6" s="75">
        <f t="shared" ref="C6:C17" si="0">B6-B5</f>
        <v>1311418.3968495131</v>
      </c>
      <c r="D6" s="74">
        <v>335</v>
      </c>
      <c r="E6" s="74">
        <v>365</v>
      </c>
      <c r="F6" s="75">
        <f t="shared" ref="F6:F17" si="1">C6/E6*D6</f>
        <v>1203630.583409827</v>
      </c>
      <c r="G6" s="667">
        <v>0</v>
      </c>
      <c r="H6" s="75">
        <f t="shared" ref="H6:H17" si="2">H5+F6+G6</f>
        <v>977237027.22362077</v>
      </c>
    </row>
    <row r="7" spans="1:8">
      <c r="A7" s="879" t="s">
        <v>366</v>
      </c>
      <c r="B7" s="667">
        <v>978064350.13655019</v>
      </c>
      <c r="C7" s="75">
        <f t="shared" si="0"/>
        <v>719535.09948968887</v>
      </c>
      <c r="D7" s="74">
        <v>307</v>
      </c>
      <c r="E7" s="74">
        <v>365</v>
      </c>
      <c r="F7" s="75">
        <f t="shared" si="1"/>
        <v>605198.01518721774</v>
      </c>
      <c r="G7" s="667">
        <v>0</v>
      </c>
      <c r="H7" s="75">
        <f t="shared" si="2"/>
        <v>977842225.23880804</v>
      </c>
    </row>
    <row r="8" spans="1:8">
      <c r="A8" s="879" t="s">
        <v>367</v>
      </c>
      <c r="B8" s="667">
        <v>982533865.74450159</v>
      </c>
      <c r="C8" s="75">
        <f t="shared" si="0"/>
        <v>4469515.6079514027</v>
      </c>
      <c r="D8" s="74">
        <v>276</v>
      </c>
      <c r="E8" s="74">
        <v>365</v>
      </c>
      <c r="F8" s="75">
        <f t="shared" si="1"/>
        <v>3379688.5145057179</v>
      </c>
      <c r="G8" s="667">
        <v>0</v>
      </c>
      <c r="H8" s="75">
        <f t="shared" si="2"/>
        <v>981221913.75331378</v>
      </c>
    </row>
    <row r="9" spans="1:8">
      <c r="A9" s="879" t="s">
        <v>368</v>
      </c>
      <c r="B9" s="667">
        <v>983562541.76062751</v>
      </c>
      <c r="C9" s="75">
        <f t="shared" si="0"/>
        <v>1028676.0161259174</v>
      </c>
      <c r="D9" s="74">
        <v>246</v>
      </c>
      <c r="E9" s="74">
        <v>365</v>
      </c>
      <c r="F9" s="75">
        <f t="shared" si="1"/>
        <v>693299.45196431701</v>
      </c>
      <c r="G9" s="667">
        <v>0</v>
      </c>
      <c r="H9" s="75">
        <f t="shared" si="2"/>
        <v>981915213.20527804</v>
      </c>
    </row>
    <row r="10" spans="1:8">
      <c r="A10" s="879" t="s">
        <v>362</v>
      </c>
      <c r="B10" s="667">
        <v>984373187.40750694</v>
      </c>
      <c r="C10" s="75">
        <f t="shared" si="0"/>
        <v>810645.64687943459</v>
      </c>
      <c r="D10" s="74">
        <v>215</v>
      </c>
      <c r="E10" s="74">
        <v>365</v>
      </c>
      <c r="F10" s="75">
        <f t="shared" si="1"/>
        <v>477503.60021665326</v>
      </c>
      <c r="G10" s="667">
        <v>0</v>
      </c>
      <c r="H10" s="75">
        <f t="shared" si="2"/>
        <v>982392716.80549467</v>
      </c>
    </row>
    <row r="11" spans="1:8">
      <c r="A11" s="879" t="s">
        <v>369</v>
      </c>
      <c r="B11" s="667">
        <v>985600432.84018064</v>
      </c>
      <c r="C11" s="75">
        <f t="shared" si="0"/>
        <v>1227245.4326736927</v>
      </c>
      <c r="D11" s="74">
        <v>185</v>
      </c>
      <c r="E11" s="74">
        <v>365</v>
      </c>
      <c r="F11" s="75">
        <f t="shared" si="1"/>
        <v>622028.50697159767</v>
      </c>
      <c r="G11" s="667">
        <v>0</v>
      </c>
      <c r="H11" s="75">
        <f t="shared" si="2"/>
        <v>983014745.31246626</v>
      </c>
    </row>
    <row r="12" spans="1:8">
      <c r="A12" s="879" t="s">
        <v>370</v>
      </c>
      <c r="B12" s="667">
        <v>986692487.6571815</v>
      </c>
      <c r="C12" s="75">
        <f t="shared" si="0"/>
        <v>1092054.8170008659</v>
      </c>
      <c r="D12" s="74">
        <v>154</v>
      </c>
      <c r="E12" s="74">
        <v>365</v>
      </c>
      <c r="F12" s="75">
        <f t="shared" si="1"/>
        <v>460757.37484420097</v>
      </c>
      <c r="G12" s="667">
        <v>0</v>
      </c>
      <c r="H12" s="75">
        <f t="shared" si="2"/>
        <v>983475502.68731046</v>
      </c>
    </row>
    <row r="13" spans="1:8">
      <c r="A13" s="879" t="s">
        <v>371</v>
      </c>
      <c r="B13" s="667">
        <v>987298038.01593578</v>
      </c>
      <c r="C13" s="75">
        <f t="shared" si="0"/>
        <v>605550.35875427723</v>
      </c>
      <c r="D13" s="74">
        <v>123</v>
      </c>
      <c r="E13" s="74">
        <v>365</v>
      </c>
      <c r="F13" s="75">
        <f t="shared" si="1"/>
        <v>204062.17568979753</v>
      </c>
      <c r="G13" s="667">
        <v>0</v>
      </c>
      <c r="H13" s="75">
        <f t="shared" si="2"/>
        <v>983679564.86300027</v>
      </c>
    </row>
    <row r="14" spans="1:8">
      <c r="A14" s="879" t="s">
        <v>372</v>
      </c>
      <c r="B14" s="667">
        <v>988926064.89598644</v>
      </c>
      <c r="C14" s="75">
        <f t="shared" si="0"/>
        <v>1628026.8800506592</v>
      </c>
      <c r="D14" s="74">
        <v>93</v>
      </c>
      <c r="E14" s="74">
        <v>365</v>
      </c>
      <c r="F14" s="75">
        <f t="shared" si="1"/>
        <v>414812.32834167476</v>
      </c>
      <c r="G14" s="667">
        <v>0</v>
      </c>
      <c r="H14" s="75">
        <f t="shared" si="2"/>
        <v>984094377.191342</v>
      </c>
    </row>
    <row r="15" spans="1:8">
      <c r="A15" s="879" t="s">
        <v>373</v>
      </c>
      <c r="B15" s="667">
        <v>989854381.09009612</v>
      </c>
      <c r="C15" s="75">
        <f t="shared" si="0"/>
        <v>928316.19410967827</v>
      </c>
      <c r="D15" s="74">
        <v>62</v>
      </c>
      <c r="E15" s="74">
        <v>365</v>
      </c>
      <c r="F15" s="75">
        <f t="shared" si="1"/>
        <v>157686.58639671249</v>
      </c>
      <c r="G15" s="667">
        <v>0</v>
      </c>
      <c r="H15" s="75">
        <f t="shared" si="2"/>
        <v>984252063.77773869</v>
      </c>
    </row>
    <row r="16" spans="1:8" ht="13.5" thickBot="1">
      <c r="A16" s="879" t="s">
        <v>374</v>
      </c>
      <c r="B16" s="667">
        <v>991119066.98685992</v>
      </c>
      <c r="C16" s="75">
        <f t="shared" si="0"/>
        <v>1264685.8967638016</v>
      </c>
      <c r="D16" s="74">
        <v>32</v>
      </c>
      <c r="E16" s="74">
        <v>365</v>
      </c>
      <c r="F16" s="75">
        <f t="shared" si="1"/>
        <v>110876.57177107301</v>
      </c>
      <c r="G16" s="667">
        <v>0</v>
      </c>
      <c r="H16" s="75">
        <f t="shared" si="2"/>
        <v>984362940.34950972</v>
      </c>
    </row>
    <row r="17" spans="1:8" ht="13.5" thickBot="1">
      <c r="A17" s="668" t="s">
        <v>989</v>
      </c>
      <c r="B17" s="667">
        <v>995597225.48092282</v>
      </c>
      <c r="C17" s="75">
        <f t="shared" si="0"/>
        <v>4478158.4940629005</v>
      </c>
      <c r="D17" s="74">
        <v>1</v>
      </c>
      <c r="E17" s="74">
        <v>365</v>
      </c>
      <c r="F17" s="75">
        <f t="shared" si="1"/>
        <v>12268.927380994248</v>
      </c>
      <c r="G17" s="667">
        <v>0</v>
      </c>
      <c r="H17" s="665">
        <f t="shared" si="2"/>
        <v>984375209.27689075</v>
      </c>
    </row>
    <row r="18" spans="1:8">
      <c r="A18" s="76"/>
      <c r="B18" s="77"/>
      <c r="C18" s="77"/>
      <c r="D18" s="77"/>
      <c r="E18" s="77"/>
      <c r="F18" s="77"/>
      <c r="G18" s="77"/>
      <c r="H18" s="664"/>
    </row>
  </sheetData>
  <pageMargins left="0.7" right="0.7" top="0.75" bottom="0.75" header="0.3" footer="0.3"/>
  <pageSetup orientation="landscape" r:id="rId1"/>
  <headerFooter>
    <oddHeader xml:space="preserve">&amp;R
</oddHeader>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7">
    <pageSetUpPr fitToPage="1"/>
  </sheetPr>
  <dimension ref="A1:XEY33"/>
  <sheetViews>
    <sheetView zoomScaleNormal="100" zoomScaleSheetLayoutView="100" workbookViewId="0">
      <pane ySplit="1" topLeftCell="A2" activePane="bottomLeft" state="frozen"/>
      <selection pane="bottomLeft" activeCell="B17" sqref="B17"/>
    </sheetView>
  </sheetViews>
  <sheetFormatPr defaultRowHeight="12.75"/>
  <cols>
    <col min="1" max="1" width="14.5703125" style="50" customWidth="1"/>
    <col min="2" max="3" width="14" style="50" customWidth="1"/>
    <col min="4" max="4" width="13" style="50" customWidth="1"/>
    <col min="5" max="5" width="12.85546875" style="50" customWidth="1"/>
    <col min="6" max="6" width="14.140625" style="50" customWidth="1"/>
    <col min="7" max="12" width="14" style="50" customWidth="1"/>
    <col min="13" max="16384" width="9.140625" style="50"/>
  </cols>
  <sheetData>
    <row r="1" spans="1:16379">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c r="CV1" s="55"/>
      <c r="CW1" s="55"/>
      <c r="CX1" s="55"/>
      <c r="CY1" s="55"/>
      <c r="CZ1" s="55"/>
      <c r="DA1" s="55"/>
      <c r="DB1" s="55"/>
      <c r="DC1" s="55"/>
      <c r="DD1" s="55"/>
      <c r="DE1" s="55"/>
      <c r="DF1" s="55"/>
      <c r="DG1" s="55"/>
      <c r="DH1" s="55"/>
      <c r="DI1" s="55"/>
      <c r="DJ1" s="55"/>
      <c r="DK1" s="55"/>
      <c r="DL1" s="55"/>
      <c r="DM1" s="55"/>
      <c r="DN1" s="55"/>
      <c r="DO1" s="55"/>
      <c r="DP1" s="55"/>
      <c r="DQ1" s="55"/>
      <c r="DR1" s="55"/>
      <c r="DS1" s="55"/>
      <c r="DT1" s="55"/>
      <c r="DU1" s="55"/>
      <c r="DV1" s="55"/>
      <c r="DW1" s="55"/>
      <c r="DX1" s="55"/>
      <c r="DY1" s="55"/>
      <c r="DZ1" s="55"/>
      <c r="EA1" s="55"/>
      <c r="EB1" s="55"/>
      <c r="EC1" s="55"/>
      <c r="ED1" s="55"/>
      <c r="EE1" s="55"/>
      <c r="EF1" s="55"/>
      <c r="EG1" s="55"/>
      <c r="EH1" s="55"/>
      <c r="EI1" s="55"/>
      <c r="EJ1" s="55"/>
      <c r="EK1" s="55"/>
      <c r="EL1" s="55"/>
      <c r="EM1" s="55"/>
      <c r="EN1" s="55"/>
      <c r="EO1" s="55"/>
      <c r="EP1" s="55"/>
      <c r="EQ1" s="55"/>
      <c r="ER1" s="55"/>
      <c r="ES1" s="55"/>
      <c r="ET1" s="55"/>
      <c r="EU1" s="55"/>
      <c r="EV1" s="55"/>
      <c r="EW1" s="55"/>
      <c r="EX1" s="55"/>
      <c r="EY1" s="55"/>
      <c r="EZ1" s="55"/>
      <c r="FA1" s="55"/>
      <c r="FB1" s="55"/>
      <c r="FC1" s="55"/>
      <c r="FD1" s="55"/>
      <c r="FE1" s="55"/>
      <c r="FF1" s="55"/>
      <c r="FG1" s="55"/>
      <c r="FH1" s="55"/>
      <c r="FI1" s="55"/>
      <c r="FJ1" s="55"/>
      <c r="FK1" s="55"/>
      <c r="FL1" s="55"/>
      <c r="FM1" s="55"/>
      <c r="FN1" s="55"/>
      <c r="FO1" s="55"/>
      <c r="FP1" s="55"/>
      <c r="FQ1" s="55"/>
      <c r="FR1" s="55"/>
      <c r="FS1" s="55"/>
      <c r="FT1" s="55"/>
      <c r="FU1" s="55"/>
      <c r="FV1" s="55"/>
      <c r="FW1" s="55"/>
      <c r="FX1" s="55"/>
      <c r="FY1" s="55"/>
      <c r="FZ1" s="55"/>
      <c r="GA1" s="55"/>
      <c r="GB1" s="55"/>
      <c r="GC1" s="55"/>
      <c r="GD1" s="55"/>
      <c r="GE1" s="55"/>
      <c r="GF1" s="55"/>
      <c r="GG1" s="55"/>
      <c r="GH1" s="55"/>
      <c r="GI1" s="55"/>
      <c r="GJ1" s="55"/>
      <c r="GK1" s="55"/>
      <c r="GL1" s="55"/>
      <c r="GM1" s="55"/>
      <c r="GN1" s="55"/>
      <c r="GO1" s="55"/>
      <c r="GP1" s="55"/>
      <c r="GQ1" s="55"/>
      <c r="GR1" s="55"/>
      <c r="GS1" s="55"/>
      <c r="GT1" s="55"/>
      <c r="GU1" s="55"/>
      <c r="GV1" s="55"/>
      <c r="GW1" s="55"/>
      <c r="GX1" s="55"/>
      <c r="GY1" s="55"/>
      <c r="GZ1" s="55"/>
      <c r="HA1" s="55"/>
      <c r="HB1" s="55"/>
      <c r="HC1" s="55"/>
      <c r="HD1" s="55"/>
      <c r="HE1" s="55"/>
      <c r="HF1" s="55"/>
      <c r="HG1" s="55"/>
      <c r="HH1" s="55"/>
      <c r="HI1" s="55"/>
      <c r="HJ1" s="55"/>
      <c r="HK1" s="55"/>
      <c r="HL1" s="55"/>
      <c r="HM1" s="55"/>
      <c r="HN1" s="55"/>
      <c r="HO1" s="55"/>
      <c r="HP1" s="55"/>
      <c r="HQ1" s="55"/>
      <c r="HR1" s="55"/>
      <c r="HS1" s="55"/>
      <c r="HT1" s="55"/>
      <c r="HU1" s="55"/>
      <c r="HV1" s="55"/>
      <c r="HW1" s="55"/>
      <c r="HX1" s="55"/>
      <c r="HY1" s="55"/>
      <c r="HZ1" s="55"/>
      <c r="IA1" s="55"/>
      <c r="IB1" s="55"/>
      <c r="IC1" s="55"/>
      <c r="ID1" s="55"/>
      <c r="IE1" s="55"/>
      <c r="IF1" s="55"/>
      <c r="IG1" s="55"/>
      <c r="IH1" s="55"/>
      <c r="II1" s="55"/>
      <c r="IJ1" s="55"/>
      <c r="IK1" s="55"/>
      <c r="IL1" s="55"/>
      <c r="IM1" s="55"/>
      <c r="IN1" s="55"/>
      <c r="IO1" s="55"/>
      <c r="IP1" s="55"/>
      <c r="IQ1" s="55"/>
      <c r="IR1" s="55"/>
      <c r="IS1" s="55"/>
      <c r="IT1" s="55"/>
      <c r="IU1" s="55"/>
      <c r="IV1" s="55"/>
      <c r="IW1" s="55"/>
      <c r="IX1" s="55"/>
      <c r="IY1" s="55"/>
      <c r="IZ1" s="55"/>
      <c r="JA1" s="55"/>
      <c r="JB1" s="55"/>
      <c r="JC1" s="55"/>
      <c r="JD1" s="55"/>
      <c r="JE1" s="55"/>
      <c r="JF1" s="55"/>
      <c r="JG1" s="55"/>
      <c r="JH1" s="55"/>
      <c r="JI1" s="55"/>
      <c r="JJ1" s="55"/>
      <c r="JK1" s="55"/>
      <c r="JL1" s="55"/>
      <c r="JM1" s="55"/>
      <c r="JN1" s="55"/>
      <c r="JO1" s="55"/>
      <c r="JP1" s="55"/>
      <c r="JQ1" s="55"/>
      <c r="JR1" s="55"/>
      <c r="JS1" s="55"/>
      <c r="JT1" s="55"/>
      <c r="JU1" s="55"/>
      <c r="JV1" s="55"/>
      <c r="JW1" s="55"/>
      <c r="JX1" s="55"/>
      <c r="JY1" s="55"/>
      <c r="JZ1" s="55"/>
      <c r="KA1" s="55"/>
      <c r="KB1" s="55"/>
      <c r="KC1" s="55"/>
      <c r="KD1" s="55"/>
      <c r="KE1" s="55"/>
      <c r="KF1" s="55"/>
      <c r="KG1" s="55"/>
      <c r="KH1" s="55"/>
      <c r="KI1" s="55"/>
      <c r="KJ1" s="55"/>
      <c r="KK1" s="55"/>
      <c r="KL1" s="55"/>
      <c r="KM1" s="55"/>
      <c r="KN1" s="55"/>
      <c r="KO1" s="55"/>
      <c r="KP1" s="55"/>
      <c r="KQ1" s="55"/>
      <c r="KR1" s="55"/>
      <c r="KS1" s="55"/>
      <c r="KT1" s="55"/>
      <c r="KU1" s="55"/>
      <c r="KV1" s="55"/>
      <c r="KW1" s="55"/>
      <c r="KX1" s="55"/>
      <c r="KY1" s="55"/>
      <c r="KZ1" s="55"/>
      <c r="LA1" s="55"/>
      <c r="LB1" s="55"/>
      <c r="LC1" s="55"/>
      <c r="LD1" s="55"/>
      <c r="LE1" s="55"/>
      <c r="LF1" s="55"/>
      <c r="LG1" s="55"/>
      <c r="LH1" s="55"/>
      <c r="LI1" s="55"/>
      <c r="LJ1" s="55"/>
      <c r="LK1" s="55"/>
      <c r="LL1" s="55"/>
      <c r="LM1" s="55"/>
      <c r="LN1" s="55"/>
      <c r="LO1" s="55"/>
      <c r="LP1" s="55"/>
      <c r="LQ1" s="55"/>
      <c r="LR1" s="55"/>
      <c r="LS1" s="55"/>
      <c r="LT1" s="55"/>
      <c r="LU1" s="55"/>
      <c r="LV1" s="55"/>
      <c r="LW1" s="55"/>
      <c r="LX1" s="55"/>
      <c r="LY1" s="55"/>
      <c r="LZ1" s="55"/>
      <c r="MA1" s="55"/>
      <c r="MB1" s="55"/>
      <c r="MC1" s="55"/>
      <c r="MD1" s="55"/>
      <c r="ME1" s="55"/>
      <c r="MF1" s="55"/>
      <c r="MG1" s="55"/>
      <c r="MH1" s="55"/>
      <c r="MI1" s="55"/>
      <c r="MJ1" s="55"/>
      <c r="MK1" s="55"/>
      <c r="ML1" s="55"/>
      <c r="MM1" s="55"/>
      <c r="MN1" s="55"/>
      <c r="MO1" s="55"/>
      <c r="MP1" s="55"/>
      <c r="MQ1" s="55"/>
      <c r="MR1" s="55"/>
      <c r="MS1" s="55"/>
      <c r="MT1" s="55"/>
      <c r="MU1" s="55"/>
      <c r="MV1" s="55"/>
      <c r="MW1" s="55"/>
      <c r="MX1" s="55"/>
      <c r="MY1" s="55"/>
      <c r="MZ1" s="55"/>
      <c r="NA1" s="55"/>
      <c r="NB1" s="55"/>
      <c r="NC1" s="55"/>
      <c r="ND1" s="55"/>
      <c r="NE1" s="55"/>
      <c r="NF1" s="55"/>
      <c r="NG1" s="55"/>
      <c r="NH1" s="55"/>
      <c r="NI1" s="55"/>
      <c r="NJ1" s="55"/>
      <c r="NK1" s="55"/>
      <c r="NL1" s="55"/>
      <c r="NM1" s="55"/>
      <c r="NN1" s="55"/>
      <c r="NO1" s="55"/>
      <c r="NP1" s="55"/>
      <c r="NQ1" s="55"/>
      <c r="NR1" s="55"/>
      <c r="NS1" s="55"/>
      <c r="NT1" s="55"/>
      <c r="NU1" s="55"/>
      <c r="NV1" s="55"/>
      <c r="NW1" s="55"/>
      <c r="NX1" s="55"/>
      <c r="NY1" s="55"/>
      <c r="NZ1" s="55"/>
      <c r="OA1" s="55"/>
      <c r="OB1" s="55"/>
      <c r="OC1" s="55"/>
      <c r="OD1" s="55"/>
      <c r="OE1" s="55"/>
      <c r="OF1" s="55"/>
      <c r="OG1" s="55"/>
      <c r="OH1" s="55"/>
      <c r="OI1" s="55"/>
      <c r="OJ1" s="55"/>
      <c r="OK1" s="55"/>
      <c r="OL1" s="55"/>
      <c r="OM1" s="55"/>
      <c r="ON1" s="55"/>
      <c r="OO1" s="55"/>
      <c r="OP1" s="55"/>
      <c r="OQ1" s="55"/>
      <c r="OR1" s="55"/>
      <c r="OS1" s="55"/>
      <c r="OT1" s="55"/>
      <c r="OU1" s="55"/>
      <c r="OV1" s="55"/>
      <c r="OW1" s="55"/>
      <c r="OX1" s="55"/>
      <c r="OY1" s="55"/>
      <c r="OZ1" s="55"/>
      <c r="PA1" s="55"/>
      <c r="PB1" s="55"/>
      <c r="PC1" s="55"/>
      <c r="PD1" s="55"/>
      <c r="PE1" s="55"/>
      <c r="PF1" s="55"/>
      <c r="PG1" s="55"/>
      <c r="PH1" s="55"/>
      <c r="PI1" s="55"/>
      <c r="PJ1" s="55"/>
      <c r="PK1" s="55"/>
      <c r="PL1" s="55"/>
      <c r="PM1" s="55"/>
      <c r="PN1" s="55"/>
      <c r="PO1" s="55"/>
      <c r="PP1" s="55"/>
      <c r="PQ1" s="55"/>
      <c r="PR1" s="55"/>
      <c r="PS1" s="55"/>
      <c r="PT1" s="55"/>
      <c r="PU1" s="55"/>
      <c r="PV1" s="55"/>
      <c r="PW1" s="55"/>
      <c r="PX1" s="55"/>
      <c r="PY1" s="55"/>
      <c r="PZ1" s="55"/>
      <c r="QA1" s="55"/>
      <c r="QB1" s="55"/>
      <c r="QC1" s="55"/>
      <c r="QD1" s="55"/>
      <c r="QE1" s="55"/>
      <c r="QF1" s="55"/>
      <c r="QG1" s="55"/>
      <c r="QH1" s="55"/>
      <c r="QI1" s="55"/>
      <c r="QJ1" s="55"/>
      <c r="QK1" s="55"/>
      <c r="QL1" s="55"/>
      <c r="QM1" s="55"/>
      <c r="QN1" s="55"/>
      <c r="QO1" s="55"/>
      <c r="QP1" s="55"/>
      <c r="QQ1" s="55"/>
      <c r="QR1" s="55"/>
      <c r="QS1" s="55"/>
      <c r="QT1" s="55"/>
      <c r="QU1" s="55"/>
      <c r="QV1" s="55"/>
      <c r="QW1" s="55"/>
      <c r="QX1" s="55"/>
      <c r="QY1" s="55"/>
      <c r="QZ1" s="55"/>
      <c r="RA1" s="55"/>
      <c r="RB1" s="55"/>
      <c r="RC1" s="55"/>
      <c r="RD1" s="55"/>
      <c r="RE1" s="55"/>
      <c r="RF1" s="55"/>
      <c r="RG1" s="55"/>
      <c r="RH1" s="55"/>
      <c r="RI1" s="55"/>
      <c r="RJ1" s="55"/>
      <c r="RK1" s="55"/>
      <c r="RL1" s="55"/>
      <c r="RM1" s="55"/>
      <c r="RN1" s="55"/>
      <c r="RO1" s="55"/>
      <c r="RP1" s="55"/>
      <c r="RQ1" s="55"/>
      <c r="RR1" s="55"/>
      <c r="RS1" s="55"/>
      <c r="RT1" s="55"/>
      <c r="RU1" s="55"/>
      <c r="RV1" s="55"/>
      <c r="RW1" s="55"/>
      <c r="RX1" s="55"/>
      <c r="RY1" s="55"/>
      <c r="RZ1" s="55"/>
      <c r="SA1" s="55"/>
      <c r="SB1" s="55"/>
      <c r="SC1" s="55"/>
      <c r="SD1" s="55"/>
      <c r="SE1" s="55"/>
      <c r="SF1" s="55"/>
      <c r="SG1" s="55"/>
      <c r="SH1" s="55"/>
      <c r="SI1" s="55"/>
      <c r="SJ1" s="55"/>
      <c r="SK1" s="55"/>
      <c r="SL1" s="55"/>
      <c r="SM1" s="55"/>
      <c r="SN1" s="55"/>
      <c r="SO1" s="55"/>
      <c r="SP1" s="55"/>
      <c r="SQ1" s="55"/>
      <c r="SR1" s="55"/>
      <c r="SS1" s="55"/>
      <c r="ST1" s="55"/>
      <c r="SU1" s="55"/>
      <c r="SV1" s="55"/>
      <c r="SW1" s="55"/>
      <c r="SX1" s="55"/>
      <c r="SY1" s="55"/>
      <c r="SZ1" s="55"/>
      <c r="TA1" s="55"/>
      <c r="TB1" s="55"/>
      <c r="TC1" s="55"/>
      <c r="TD1" s="55"/>
      <c r="TE1" s="55"/>
      <c r="TF1" s="55"/>
      <c r="TG1" s="55"/>
      <c r="TH1" s="55"/>
      <c r="TI1" s="55"/>
      <c r="TJ1" s="55"/>
      <c r="TK1" s="55"/>
      <c r="TL1" s="55"/>
      <c r="TM1" s="55"/>
      <c r="TN1" s="55"/>
      <c r="TO1" s="55"/>
      <c r="TP1" s="55"/>
      <c r="TQ1" s="55"/>
      <c r="TR1" s="55"/>
      <c r="TS1" s="55"/>
      <c r="TT1" s="55"/>
      <c r="TU1" s="55"/>
      <c r="TV1" s="55"/>
      <c r="TW1" s="55"/>
      <c r="TX1" s="55"/>
      <c r="TY1" s="55"/>
      <c r="TZ1" s="55"/>
      <c r="UA1" s="55"/>
      <c r="UB1" s="55"/>
      <c r="UC1" s="55"/>
      <c r="UD1" s="55"/>
      <c r="UE1" s="55"/>
      <c r="UF1" s="55"/>
      <c r="UG1" s="55"/>
      <c r="UH1" s="55"/>
      <c r="UI1" s="55"/>
      <c r="UJ1" s="55"/>
      <c r="UK1" s="55"/>
      <c r="UL1" s="55"/>
      <c r="UM1" s="55"/>
      <c r="UN1" s="55"/>
      <c r="UO1" s="55"/>
      <c r="UP1" s="55"/>
      <c r="UQ1" s="55"/>
      <c r="UR1" s="55"/>
      <c r="US1" s="55"/>
      <c r="UT1" s="55"/>
      <c r="UU1" s="55"/>
      <c r="UV1" s="55"/>
      <c r="UW1" s="55"/>
      <c r="UX1" s="55"/>
      <c r="UY1" s="55"/>
      <c r="UZ1" s="55"/>
      <c r="VA1" s="55"/>
      <c r="VB1" s="55"/>
      <c r="VC1" s="55"/>
      <c r="VD1" s="55"/>
      <c r="VE1" s="55"/>
      <c r="VF1" s="55"/>
      <c r="VG1" s="55"/>
      <c r="VH1" s="55"/>
      <c r="VI1" s="55"/>
      <c r="VJ1" s="55"/>
      <c r="VK1" s="55"/>
      <c r="VL1" s="55"/>
      <c r="VM1" s="55"/>
      <c r="VN1" s="55"/>
      <c r="VO1" s="55"/>
      <c r="VP1" s="55"/>
      <c r="VQ1" s="55"/>
      <c r="VR1" s="55"/>
      <c r="VS1" s="55"/>
      <c r="VT1" s="55"/>
      <c r="VU1" s="55"/>
      <c r="VV1" s="55"/>
      <c r="VW1" s="55"/>
      <c r="VX1" s="55"/>
      <c r="VY1" s="55"/>
      <c r="VZ1" s="55"/>
      <c r="WA1" s="55"/>
      <c r="WB1" s="55"/>
      <c r="WC1" s="55"/>
      <c r="WD1" s="55"/>
      <c r="WE1" s="55"/>
      <c r="WF1" s="55"/>
      <c r="WG1" s="55"/>
      <c r="WH1" s="55"/>
      <c r="WI1" s="55"/>
      <c r="WJ1" s="55"/>
      <c r="WK1" s="55"/>
      <c r="WL1" s="55"/>
      <c r="WM1" s="55"/>
      <c r="WN1" s="55"/>
      <c r="WO1" s="55"/>
      <c r="WP1" s="55"/>
      <c r="WQ1" s="55"/>
      <c r="WR1" s="55"/>
      <c r="WS1" s="55"/>
      <c r="WT1" s="55"/>
      <c r="WU1" s="55"/>
      <c r="WV1" s="55"/>
      <c r="WW1" s="55"/>
      <c r="WX1" s="55"/>
      <c r="WY1" s="55"/>
      <c r="WZ1" s="55"/>
      <c r="XA1" s="55"/>
      <c r="XB1" s="55"/>
      <c r="XC1" s="55"/>
      <c r="XD1" s="55"/>
      <c r="XE1" s="55"/>
      <c r="XF1" s="55"/>
      <c r="XG1" s="55"/>
      <c r="XH1" s="55"/>
      <c r="XI1" s="55"/>
      <c r="XJ1" s="55"/>
      <c r="XK1" s="55"/>
      <c r="XL1" s="55"/>
      <c r="XM1" s="55"/>
      <c r="XN1" s="55"/>
      <c r="XO1" s="55"/>
      <c r="XP1" s="55"/>
      <c r="XQ1" s="55"/>
      <c r="XR1" s="55"/>
      <c r="XS1" s="55"/>
      <c r="XT1" s="55"/>
      <c r="XU1" s="55"/>
      <c r="XV1" s="55"/>
      <c r="XW1" s="55"/>
      <c r="XX1" s="55"/>
      <c r="XY1" s="55"/>
      <c r="XZ1" s="55"/>
      <c r="YA1" s="55"/>
      <c r="YB1" s="55"/>
      <c r="YC1" s="55"/>
      <c r="YD1" s="55"/>
      <c r="YE1" s="55"/>
      <c r="YF1" s="55"/>
      <c r="YG1" s="55"/>
      <c r="YH1" s="55"/>
      <c r="YI1" s="55"/>
      <c r="YJ1" s="55"/>
      <c r="YK1" s="55"/>
      <c r="YL1" s="55"/>
      <c r="YM1" s="55"/>
      <c r="YN1" s="55"/>
      <c r="YO1" s="55"/>
      <c r="YP1" s="55"/>
      <c r="YQ1" s="55"/>
      <c r="YR1" s="55"/>
      <c r="YS1" s="55"/>
      <c r="YT1" s="55"/>
      <c r="YU1" s="55"/>
      <c r="YV1" s="55"/>
      <c r="YW1" s="55"/>
      <c r="YX1" s="55"/>
      <c r="YY1" s="55"/>
      <c r="YZ1" s="55"/>
      <c r="ZA1" s="55"/>
      <c r="ZB1" s="55"/>
      <c r="ZC1" s="55"/>
      <c r="ZD1" s="55"/>
      <c r="ZE1" s="55"/>
      <c r="ZF1" s="55"/>
      <c r="ZG1" s="55"/>
      <c r="ZH1" s="55"/>
      <c r="ZI1" s="55"/>
      <c r="ZJ1" s="55"/>
      <c r="ZK1" s="55"/>
      <c r="ZL1" s="55"/>
      <c r="ZM1" s="55"/>
      <c r="ZN1" s="55"/>
      <c r="ZO1" s="55"/>
      <c r="ZP1" s="55"/>
      <c r="ZQ1" s="55"/>
      <c r="ZR1" s="55"/>
      <c r="ZS1" s="55"/>
      <c r="ZT1" s="55"/>
      <c r="ZU1" s="55"/>
      <c r="ZV1" s="55"/>
      <c r="ZW1" s="55"/>
      <c r="ZX1" s="55"/>
      <c r="ZY1" s="55"/>
      <c r="ZZ1" s="55"/>
      <c r="AAA1" s="55"/>
      <c r="AAB1" s="55"/>
      <c r="AAC1" s="55"/>
      <c r="AAD1" s="55"/>
      <c r="AAE1" s="55"/>
      <c r="AAF1" s="55"/>
      <c r="AAG1" s="55"/>
      <c r="AAH1" s="55"/>
      <c r="AAI1" s="55"/>
      <c r="AAJ1" s="55"/>
      <c r="AAK1" s="55"/>
      <c r="AAL1" s="55"/>
      <c r="AAM1" s="55"/>
      <c r="AAN1" s="55"/>
      <c r="AAO1" s="55"/>
      <c r="AAP1" s="55"/>
      <c r="AAQ1" s="55"/>
      <c r="AAR1" s="55"/>
      <c r="AAS1" s="55"/>
      <c r="AAT1" s="55"/>
      <c r="AAU1" s="55"/>
      <c r="AAV1" s="55"/>
      <c r="AAW1" s="55"/>
      <c r="AAX1" s="55"/>
      <c r="AAY1" s="55"/>
      <c r="AAZ1" s="55"/>
      <c r="ABA1" s="55"/>
      <c r="ABB1" s="55"/>
      <c r="ABC1" s="55"/>
      <c r="ABD1" s="55"/>
      <c r="ABE1" s="55"/>
      <c r="ABF1" s="55"/>
      <c r="ABG1" s="55"/>
      <c r="ABH1" s="55"/>
      <c r="ABI1" s="55"/>
      <c r="ABJ1" s="55"/>
      <c r="ABK1" s="55"/>
      <c r="ABL1" s="55"/>
      <c r="ABM1" s="55"/>
      <c r="ABN1" s="55"/>
      <c r="ABO1" s="55"/>
      <c r="ABP1" s="55"/>
      <c r="ABQ1" s="55"/>
      <c r="ABR1" s="55"/>
      <c r="ABS1" s="55"/>
      <c r="ABT1" s="55"/>
      <c r="ABU1" s="55"/>
      <c r="ABV1" s="55"/>
      <c r="ABW1" s="55"/>
      <c r="ABX1" s="55"/>
      <c r="ABY1" s="55"/>
      <c r="ABZ1" s="55"/>
      <c r="ACA1" s="55"/>
      <c r="ACB1" s="55"/>
      <c r="ACC1" s="55"/>
      <c r="ACD1" s="55"/>
      <c r="ACE1" s="55"/>
      <c r="ACF1" s="55"/>
      <c r="ACG1" s="55"/>
      <c r="ACH1" s="55"/>
      <c r="ACI1" s="55"/>
      <c r="ACJ1" s="55"/>
      <c r="ACK1" s="55"/>
      <c r="ACL1" s="55"/>
      <c r="ACM1" s="55"/>
      <c r="ACN1" s="55"/>
      <c r="ACO1" s="55"/>
      <c r="ACP1" s="55"/>
      <c r="ACQ1" s="55"/>
      <c r="ACR1" s="55"/>
      <c r="ACS1" s="55"/>
      <c r="ACT1" s="55"/>
      <c r="ACU1" s="55"/>
      <c r="ACV1" s="55"/>
      <c r="ACW1" s="55"/>
      <c r="ACX1" s="55"/>
      <c r="ACY1" s="55"/>
      <c r="ACZ1" s="55"/>
      <c r="ADA1" s="55"/>
      <c r="ADB1" s="55"/>
      <c r="ADC1" s="55"/>
      <c r="ADD1" s="55"/>
      <c r="ADE1" s="55"/>
      <c r="ADF1" s="55"/>
      <c r="ADG1" s="55"/>
      <c r="ADH1" s="55"/>
      <c r="ADI1" s="55"/>
      <c r="ADJ1" s="55"/>
      <c r="ADK1" s="55"/>
      <c r="ADL1" s="55"/>
      <c r="ADM1" s="55"/>
      <c r="ADN1" s="55"/>
      <c r="ADO1" s="55"/>
      <c r="ADP1" s="55"/>
      <c r="ADQ1" s="55"/>
      <c r="ADR1" s="55"/>
      <c r="ADS1" s="55"/>
      <c r="ADT1" s="55"/>
      <c r="ADU1" s="55"/>
      <c r="ADV1" s="55"/>
      <c r="ADW1" s="55"/>
      <c r="ADX1" s="55"/>
      <c r="ADY1" s="55"/>
      <c r="ADZ1" s="55"/>
      <c r="AEA1" s="55"/>
      <c r="AEB1" s="55"/>
      <c r="AEC1" s="55"/>
      <c r="AED1" s="55"/>
      <c r="AEE1" s="55"/>
      <c r="AEF1" s="55"/>
      <c r="AEG1" s="55"/>
      <c r="AEH1" s="55"/>
      <c r="AEI1" s="55"/>
      <c r="AEJ1" s="55"/>
      <c r="AEK1" s="55"/>
      <c r="AEL1" s="55"/>
      <c r="AEM1" s="55"/>
      <c r="AEN1" s="55"/>
      <c r="AEO1" s="55"/>
      <c r="AEP1" s="55"/>
      <c r="AEQ1" s="55"/>
      <c r="AER1" s="55"/>
      <c r="AES1" s="55"/>
      <c r="AET1" s="55"/>
      <c r="AEU1" s="55"/>
      <c r="AEV1" s="55"/>
      <c r="AEW1" s="55"/>
      <c r="AEX1" s="55"/>
      <c r="AEY1" s="55"/>
      <c r="AEZ1" s="55"/>
      <c r="AFA1" s="55"/>
      <c r="AFB1" s="55"/>
      <c r="AFC1" s="55"/>
      <c r="AFD1" s="55"/>
      <c r="AFE1" s="55"/>
      <c r="AFF1" s="55"/>
      <c r="AFG1" s="55"/>
      <c r="AFH1" s="55"/>
      <c r="AFI1" s="55"/>
      <c r="AFJ1" s="55"/>
      <c r="AFK1" s="55"/>
      <c r="AFL1" s="55"/>
      <c r="AFM1" s="55"/>
      <c r="AFN1" s="55"/>
      <c r="AFO1" s="55"/>
      <c r="AFP1" s="55"/>
      <c r="AFQ1" s="55"/>
      <c r="AFR1" s="55"/>
      <c r="AFS1" s="55"/>
      <c r="AFT1" s="55"/>
      <c r="AFU1" s="55"/>
      <c r="AFV1" s="55"/>
      <c r="AFW1" s="55"/>
      <c r="AFX1" s="55"/>
      <c r="AFY1" s="55"/>
      <c r="AFZ1" s="55"/>
      <c r="AGA1" s="55"/>
      <c r="AGB1" s="55"/>
      <c r="AGC1" s="55"/>
      <c r="AGD1" s="55"/>
      <c r="AGE1" s="55"/>
      <c r="AGF1" s="55"/>
      <c r="AGG1" s="55"/>
      <c r="AGH1" s="55"/>
      <c r="AGI1" s="55"/>
      <c r="AGJ1" s="55"/>
      <c r="AGK1" s="55"/>
      <c r="AGL1" s="55"/>
      <c r="AGM1" s="55"/>
      <c r="AGN1" s="55"/>
      <c r="AGO1" s="55"/>
      <c r="AGP1" s="55"/>
      <c r="AGQ1" s="55"/>
      <c r="AGR1" s="55"/>
      <c r="AGS1" s="55"/>
      <c r="AGT1" s="55"/>
      <c r="AGU1" s="55"/>
      <c r="AGV1" s="55"/>
      <c r="AGW1" s="55"/>
      <c r="AGX1" s="55"/>
      <c r="AGY1" s="55"/>
      <c r="AGZ1" s="55"/>
      <c r="AHA1" s="55"/>
      <c r="AHB1" s="55"/>
      <c r="AHC1" s="55"/>
      <c r="AHD1" s="55"/>
      <c r="AHE1" s="55"/>
      <c r="AHF1" s="55"/>
      <c r="AHG1" s="55"/>
      <c r="AHH1" s="55"/>
      <c r="AHI1" s="55"/>
      <c r="AHJ1" s="55"/>
      <c r="AHK1" s="55"/>
      <c r="AHL1" s="55"/>
      <c r="AHM1" s="55"/>
      <c r="AHN1" s="55"/>
      <c r="AHO1" s="55"/>
      <c r="AHP1" s="55"/>
      <c r="AHQ1" s="55"/>
      <c r="AHR1" s="55"/>
      <c r="AHS1" s="55"/>
      <c r="AHT1" s="55"/>
      <c r="AHU1" s="55"/>
      <c r="AHV1" s="55"/>
      <c r="AHW1" s="55"/>
      <c r="AHX1" s="55"/>
      <c r="AHY1" s="55"/>
      <c r="AHZ1" s="55"/>
      <c r="AIA1" s="55"/>
      <c r="AIB1" s="55"/>
      <c r="AIC1" s="55"/>
      <c r="AID1" s="55"/>
      <c r="AIE1" s="55"/>
      <c r="AIF1" s="55"/>
      <c r="AIG1" s="55"/>
      <c r="AIH1" s="55"/>
      <c r="AII1" s="55"/>
      <c r="AIJ1" s="55"/>
      <c r="AIK1" s="55"/>
      <c r="AIL1" s="55"/>
      <c r="AIM1" s="55"/>
      <c r="AIN1" s="55"/>
      <c r="AIO1" s="55"/>
      <c r="AIP1" s="55"/>
      <c r="AIQ1" s="55"/>
      <c r="AIR1" s="55"/>
      <c r="AIS1" s="55"/>
      <c r="AIT1" s="55"/>
      <c r="AIU1" s="55"/>
      <c r="AIV1" s="55"/>
      <c r="AIW1" s="55"/>
      <c r="AIX1" s="55"/>
      <c r="AIY1" s="55"/>
      <c r="AIZ1" s="55"/>
      <c r="AJA1" s="55"/>
      <c r="AJB1" s="55"/>
      <c r="AJC1" s="55"/>
      <c r="AJD1" s="55"/>
      <c r="AJE1" s="55"/>
      <c r="AJF1" s="55"/>
      <c r="AJG1" s="55"/>
      <c r="AJH1" s="55"/>
      <c r="AJI1" s="55"/>
      <c r="AJJ1" s="55"/>
      <c r="AJK1" s="55"/>
      <c r="AJL1" s="55"/>
      <c r="AJM1" s="55"/>
      <c r="AJN1" s="55"/>
      <c r="AJO1" s="55"/>
      <c r="AJP1" s="55"/>
      <c r="AJQ1" s="55"/>
      <c r="AJR1" s="55"/>
      <c r="AJS1" s="55"/>
      <c r="AJT1" s="55"/>
      <c r="AJU1" s="55"/>
      <c r="AJV1" s="55"/>
      <c r="AJW1" s="55"/>
      <c r="AJX1" s="55"/>
      <c r="AJY1" s="55"/>
      <c r="AJZ1" s="55"/>
      <c r="AKA1" s="55"/>
      <c r="AKB1" s="55"/>
      <c r="AKC1" s="55"/>
      <c r="AKD1" s="55"/>
      <c r="AKE1" s="55"/>
      <c r="AKF1" s="55"/>
      <c r="AKG1" s="55"/>
      <c r="AKH1" s="55"/>
      <c r="AKI1" s="55"/>
      <c r="AKJ1" s="55"/>
      <c r="AKK1" s="55"/>
      <c r="AKL1" s="55"/>
      <c r="AKM1" s="55"/>
      <c r="AKN1" s="55"/>
      <c r="AKO1" s="55"/>
      <c r="AKP1" s="55"/>
      <c r="AKQ1" s="55"/>
      <c r="AKR1" s="55"/>
      <c r="AKS1" s="55"/>
      <c r="AKT1" s="55"/>
      <c r="AKU1" s="55"/>
      <c r="AKV1" s="55"/>
      <c r="AKW1" s="55"/>
      <c r="AKX1" s="55"/>
      <c r="AKY1" s="55"/>
      <c r="AKZ1" s="55"/>
      <c r="ALA1" s="55"/>
      <c r="ALB1" s="55"/>
      <c r="ALC1" s="55"/>
      <c r="ALD1" s="55"/>
      <c r="ALE1" s="55"/>
      <c r="ALF1" s="55"/>
      <c r="ALG1" s="55"/>
      <c r="ALH1" s="55"/>
      <c r="ALI1" s="55"/>
      <c r="ALJ1" s="55"/>
      <c r="ALK1" s="55"/>
      <c r="ALL1" s="55"/>
      <c r="ALM1" s="55"/>
      <c r="ALN1" s="55"/>
      <c r="ALO1" s="55"/>
      <c r="ALP1" s="55"/>
      <c r="ALQ1" s="55"/>
      <c r="ALR1" s="55"/>
      <c r="ALS1" s="55"/>
      <c r="ALT1" s="55"/>
      <c r="ALU1" s="55"/>
      <c r="ALV1" s="55"/>
      <c r="ALW1" s="55"/>
      <c r="ALX1" s="55"/>
      <c r="ALY1" s="55"/>
      <c r="ALZ1" s="55"/>
      <c r="AMA1" s="55"/>
      <c r="AMB1" s="55"/>
      <c r="AMC1" s="55"/>
      <c r="AMD1" s="55"/>
      <c r="AME1" s="55"/>
      <c r="AMF1" s="55"/>
      <c r="AMG1" s="55"/>
      <c r="AMH1" s="55"/>
      <c r="AMI1" s="55"/>
      <c r="AMJ1" s="55"/>
      <c r="AMK1" s="55"/>
      <c r="AML1" s="55"/>
      <c r="AMM1" s="55"/>
      <c r="AMN1" s="55"/>
      <c r="AMO1" s="55"/>
      <c r="AMP1" s="55"/>
      <c r="AMQ1" s="55"/>
      <c r="AMR1" s="55"/>
      <c r="AMS1" s="55"/>
      <c r="AMT1" s="55"/>
      <c r="AMU1" s="55"/>
      <c r="AMV1" s="55"/>
      <c r="AMW1" s="55"/>
      <c r="AMX1" s="55"/>
      <c r="AMY1" s="55"/>
      <c r="AMZ1" s="55"/>
      <c r="ANA1" s="55"/>
      <c r="ANB1" s="55"/>
      <c r="ANC1" s="55"/>
      <c r="AND1" s="55"/>
      <c r="ANE1" s="55"/>
      <c r="ANF1" s="55"/>
      <c r="ANG1" s="55"/>
      <c r="ANH1" s="55"/>
      <c r="ANI1" s="55"/>
      <c r="ANJ1" s="55"/>
      <c r="ANK1" s="55"/>
      <c r="ANL1" s="55"/>
      <c r="ANM1" s="55"/>
      <c r="ANN1" s="55"/>
      <c r="ANO1" s="55"/>
      <c r="ANP1" s="55"/>
      <c r="ANQ1" s="55"/>
      <c r="ANR1" s="55"/>
      <c r="ANS1" s="55"/>
      <c r="ANT1" s="55"/>
      <c r="ANU1" s="55"/>
      <c r="ANV1" s="55"/>
      <c r="ANW1" s="55"/>
      <c r="ANX1" s="55"/>
      <c r="ANY1" s="55"/>
      <c r="ANZ1" s="55"/>
      <c r="AOA1" s="55"/>
      <c r="AOB1" s="55"/>
      <c r="AOC1" s="55"/>
      <c r="AOD1" s="55"/>
      <c r="AOE1" s="55"/>
      <c r="AOF1" s="55"/>
      <c r="AOG1" s="55"/>
      <c r="AOH1" s="55"/>
      <c r="AOI1" s="55"/>
      <c r="AOJ1" s="55"/>
      <c r="AOK1" s="55"/>
      <c r="AOL1" s="55"/>
      <c r="AOM1" s="55"/>
      <c r="AON1" s="55"/>
      <c r="AOO1" s="55"/>
      <c r="AOP1" s="55"/>
      <c r="AOQ1" s="55"/>
      <c r="AOR1" s="55"/>
      <c r="AOS1" s="55"/>
      <c r="AOT1" s="55"/>
      <c r="AOU1" s="55"/>
      <c r="AOV1" s="55"/>
      <c r="AOW1" s="55"/>
      <c r="AOX1" s="55"/>
      <c r="AOY1" s="55"/>
      <c r="AOZ1" s="55"/>
      <c r="APA1" s="55"/>
      <c r="APB1" s="55"/>
      <c r="APC1" s="55"/>
      <c r="APD1" s="55"/>
      <c r="APE1" s="55"/>
      <c r="APF1" s="55"/>
      <c r="APG1" s="55"/>
      <c r="APH1" s="55"/>
      <c r="API1" s="55"/>
      <c r="APJ1" s="55"/>
      <c r="APK1" s="55"/>
      <c r="APL1" s="55"/>
      <c r="APM1" s="55"/>
      <c r="APN1" s="55"/>
      <c r="APO1" s="55"/>
      <c r="APP1" s="55"/>
      <c r="APQ1" s="55"/>
      <c r="APR1" s="55"/>
      <c r="APS1" s="55"/>
      <c r="APT1" s="55"/>
      <c r="APU1" s="55"/>
      <c r="APV1" s="55"/>
      <c r="APW1" s="55"/>
      <c r="APX1" s="55"/>
      <c r="APY1" s="55"/>
      <c r="APZ1" s="55"/>
      <c r="AQA1" s="55"/>
      <c r="AQB1" s="55"/>
      <c r="AQC1" s="55"/>
      <c r="AQD1" s="55"/>
      <c r="AQE1" s="55"/>
      <c r="AQF1" s="55"/>
      <c r="AQG1" s="55"/>
      <c r="AQH1" s="55"/>
      <c r="AQI1" s="55"/>
      <c r="AQJ1" s="55"/>
      <c r="AQK1" s="55"/>
      <c r="AQL1" s="55"/>
      <c r="AQM1" s="55"/>
      <c r="AQN1" s="55"/>
      <c r="AQO1" s="55"/>
      <c r="AQP1" s="55"/>
      <c r="AQQ1" s="55"/>
      <c r="AQR1" s="55"/>
      <c r="AQS1" s="55"/>
      <c r="AQT1" s="55"/>
      <c r="AQU1" s="55"/>
      <c r="AQV1" s="55"/>
      <c r="AQW1" s="55"/>
      <c r="AQX1" s="55"/>
      <c r="AQY1" s="55"/>
      <c r="AQZ1" s="55"/>
      <c r="ARA1" s="55"/>
      <c r="ARB1" s="55"/>
      <c r="ARC1" s="55"/>
      <c r="ARD1" s="55"/>
      <c r="ARE1" s="55"/>
      <c r="ARF1" s="55"/>
      <c r="ARG1" s="55"/>
      <c r="ARH1" s="55"/>
      <c r="ARI1" s="55"/>
      <c r="ARJ1" s="55"/>
      <c r="ARK1" s="55"/>
      <c r="ARL1" s="55"/>
      <c r="ARM1" s="55"/>
      <c r="ARN1" s="55"/>
      <c r="ARO1" s="55"/>
      <c r="ARP1" s="55"/>
      <c r="ARQ1" s="55"/>
      <c r="ARR1" s="55"/>
      <c r="ARS1" s="55"/>
      <c r="ART1" s="55"/>
      <c r="ARU1" s="55"/>
      <c r="ARV1" s="55"/>
      <c r="ARW1" s="55"/>
      <c r="ARX1" s="55"/>
      <c r="ARY1" s="55"/>
      <c r="ARZ1" s="55"/>
      <c r="ASA1" s="55"/>
      <c r="ASB1" s="55"/>
      <c r="ASC1" s="55"/>
      <c r="ASD1" s="55"/>
      <c r="ASE1" s="55"/>
      <c r="ASF1" s="55"/>
      <c r="ASG1" s="55"/>
      <c r="ASH1" s="55"/>
      <c r="ASI1" s="55"/>
      <c r="ASJ1" s="55"/>
      <c r="ASK1" s="55"/>
      <c r="ASL1" s="55"/>
      <c r="ASM1" s="55"/>
      <c r="ASN1" s="55"/>
      <c r="ASO1" s="55"/>
      <c r="ASP1" s="55"/>
      <c r="ASQ1" s="55"/>
      <c r="ASR1" s="55"/>
      <c r="ASS1" s="55"/>
      <c r="AST1" s="55"/>
      <c r="ASU1" s="55"/>
      <c r="ASV1" s="55"/>
      <c r="ASW1" s="55"/>
      <c r="ASX1" s="55"/>
      <c r="ASY1" s="55"/>
      <c r="ASZ1" s="55"/>
      <c r="ATA1" s="55"/>
      <c r="ATB1" s="55"/>
      <c r="ATC1" s="55"/>
      <c r="ATD1" s="55"/>
      <c r="ATE1" s="55"/>
      <c r="ATF1" s="55"/>
      <c r="ATG1" s="55"/>
      <c r="ATH1" s="55"/>
      <c r="ATI1" s="55"/>
      <c r="ATJ1" s="55"/>
      <c r="ATK1" s="55"/>
      <c r="ATL1" s="55"/>
      <c r="ATM1" s="55"/>
      <c r="ATN1" s="55"/>
      <c r="ATO1" s="55"/>
      <c r="ATP1" s="55"/>
      <c r="ATQ1" s="55"/>
      <c r="ATR1" s="55"/>
      <c r="ATS1" s="55"/>
      <c r="ATT1" s="55"/>
      <c r="ATU1" s="55"/>
      <c r="ATV1" s="55"/>
      <c r="ATW1" s="55"/>
      <c r="ATX1" s="55"/>
      <c r="ATY1" s="55"/>
      <c r="ATZ1" s="55"/>
      <c r="AUA1" s="55"/>
      <c r="AUB1" s="55"/>
      <c r="AUC1" s="55"/>
      <c r="AUD1" s="55"/>
      <c r="AUE1" s="55"/>
      <c r="AUF1" s="55"/>
      <c r="AUG1" s="55"/>
      <c r="AUH1" s="55"/>
      <c r="AUI1" s="55"/>
      <c r="AUJ1" s="55"/>
      <c r="AUK1" s="55"/>
      <c r="AUL1" s="55"/>
      <c r="AUM1" s="55"/>
      <c r="AUN1" s="55"/>
      <c r="AUO1" s="55"/>
      <c r="AUP1" s="55"/>
      <c r="AUQ1" s="55"/>
      <c r="AUR1" s="55"/>
      <c r="AUS1" s="55"/>
      <c r="AUT1" s="55"/>
      <c r="AUU1" s="55"/>
      <c r="AUV1" s="55"/>
      <c r="AUW1" s="55"/>
      <c r="AUX1" s="55"/>
      <c r="AUY1" s="55"/>
      <c r="AUZ1" s="55"/>
      <c r="AVA1" s="55"/>
      <c r="AVB1" s="55"/>
      <c r="AVC1" s="55"/>
      <c r="AVD1" s="55"/>
      <c r="AVE1" s="55"/>
      <c r="AVF1" s="55"/>
      <c r="AVG1" s="55"/>
      <c r="AVH1" s="55"/>
      <c r="AVI1" s="55"/>
      <c r="AVJ1" s="55"/>
      <c r="AVK1" s="55"/>
      <c r="AVL1" s="55"/>
      <c r="AVM1" s="55"/>
      <c r="AVN1" s="55"/>
      <c r="AVO1" s="55"/>
      <c r="AVP1" s="55"/>
      <c r="AVQ1" s="55"/>
      <c r="AVR1" s="55"/>
      <c r="AVS1" s="55"/>
      <c r="AVT1" s="55"/>
      <c r="AVU1" s="55"/>
      <c r="AVV1" s="55"/>
      <c r="AVW1" s="55"/>
      <c r="AVX1" s="55"/>
      <c r="AVY1" s="55"/>
      <c r="AVZ1" s="55"/>
      <c r="AWA1" s="55"/>
      <c r="AWB1" s="55"/>
      <c r="AWC1" s="55"/>
      <c r="AWD1" s="55"/>
      <c r="AWE1" s="55"/>
      <c r="AWF1" s="55"/>
      <c r="AWG1" s="55"/>
      <c r="AWH1" s="55"/>
      <c r="AWI1" s="55"/>
      <c r="AWJ1" s="55"/>
      <c r="AWK1" s="55"/>
      <c r="AWL1" s="55"/>
      <c r="AWM1" s="55"/>
      <c r="AWN1" s="55"/>
      <c r="AWO1" s="55"/>
      <c r="AWP1" s="55"/>
      <c r="AWQ1" s="55"/>
      <c r="AWR1" s="55"/>
      <c r="AWS1" s="55"/>
      <c r="AWT1" s="55"/>
      <c r="AWU1" s="55"/>
      <c r="AWV1" s="55"/>
      <c r="AWW1" s="55"/>
      <c r="AWX1" s="55"/>
      <c r="AWY1" s="55"/>
      <c r="AWZ1" s="55"/>
      <c r="AXA1" s="55"/>
      <c r="AXB1" s="55"/>
      <c r="AXC1" s="55"/>
      <c r="AXD1" s="55"/>
      <c r="AXE1" s="55"/>
      <c r="AXF1" s="55"/>
      <c r="AXG1" s="55"/>
      <c r="AXH1" s="55"/>
      <c r="AXI1" s="55"/>
      <c r="AXJ1" s="55"/>
      <c r="AXK1" s="55"/>
      <c r="AXL1" s="55"/>
      <c r="AXM1" s="55"/>
      <c r="AXN1" s="55"/>
      <c r="AXO1" s="55"/>
      <c r="AXP1" s="55"/>
      <c r="AXQ1" s="55"/>
      <c r="AXR1" s="55"/>
      <c r="AXS1" s="55"/>
      <c r="AXT1" s="55"/>
      <c r="AXU1" s="55"/>
      <c r="AXV1" s="55"/>
      <c r="AXW1" s="55"/>
      <c r="AXX1" s="55"/>
      <c r="AXY1" s="55"/>
      <c r="AXZ1" s="55"/>
      <c r="AYA1" s="55"/>
      <c r="AYB1" s="55"/>
      <c r="AYC1" s="55"/>
      <c r="AYD1" s="55"/>
      <c r="AYE1" s="55"/>
      <c r="AYF1" s="55"/>
      <c r="AYG1" s="55"/>
      <c r="AYH1" s="55"/>
      <c r="AYI1" s="55"/>
      <c r="AYJ1" s="55"/>
      <c r="AYK1" s="55"/>
      <c r="AYL1" s="55"/>
      <c r="AYM1" s="55"/>
      <c r="AYN1" s="55"/>
      <c r="AYO1" s="55"/>
      <c r="AYP1" s="55"/>
      <c r="AYQ1" s="55"/>
      <c r="AYR1" s="55"/>
      <c r="AYS1" s="55"/>
      <c r="AYT1" s="55"/>
      <c r="AYU1" s="55"/>
      <c r="AYV1" s="55"/>
      <c r="AYW1" s="55"/>
      <c r="AYX1" s="55"/>
      <c r="AYY1" s="55"/>
      <c r="AYZ1" s="55"/>
      <c r="AZA1" s="55"/>
      <c r="AZB1" s="55"/>
      <c r="AZC1" s="55"/>
      <c r="AZD1" s="55"/>
      <c r="AZE1" s="55"/>
      <c r="AZF1" s="55"/>
      <c r="AZG1" s="55"/>
      <c r="AZH1" s="55"/>
      <c r="AZI1" s="55"/>
      <c r="AZJ1" s="55"/>
      <c r="AZK1" s="55"/>
      <c r="AZL1" s="55"/>
      <c r="AZM1" s="55"/>
      <c r="AZN1" s="55"/>
      <c r="AZO1" s="55"/>
      <c r="AZP1" s="55"/>
      <c r="AZQ1" s="55"/>
      <c r="AZR1" s="55"/>
      <c r="AZS1" s="55"/>
      <c r="AZT1" s="55"/>
      <c r="AZU1" s="55"/>
      <c r="AZV1" s="55"/>
      <c r="AZW1" s="55"/>
      <c r="AZX1" s="55"/>
      <c r="AZY1" s="55"/>
      <c r="AZZ1" s="55"/>
      <c r="BAA1" s="55"/>
      <c r="BAB1" s="55"/>
      <c r="BAC1" s="55"/>
      <c r="BAD1" s="55"/>
      <c r="BAE1" s="55"/>
      <c r="BAF1" s="55"/>
      <c r="BAG1" s="55"/>
      <c r="BAH1" s="55"/>
      <c r="BAI1" s="55"/>
      <c r="BAJ1" s="55"/>
      <c r="BAK1" s="55"/>
      <c r="BAL1" s="55"/>
      <c r="BAM1" s="55"/>
      <c r="BAN1" s="55"/>
      <c r="BAO1" s="55"/>
      <c r="BAP1" s="55"/>
      <c r="BAQ1" s="55"/>
      <c r="BAR1" s="55"/>
      <c r="BAS1" s="55"/>
      <c r="BAT1" s="55"/>
      <c r="BAU1" s="55"/>
      <c r="BAV1" s="55"/>
      <c r="BAW1" s="55"/>
      <c r="BAX1" s="55"/>
      <c r="BAY1" s="55"/>
      <c r="BAZ1" s="55"/>
      <c r="BBA1" s="55"/>
      <c r="BBB1" s="55"/>
      <c r="BBC1" s="55"/>
      <c r="BBD1" s="55"/>
      <c r="BBE1" s="55"/>
      <c r="BBF1" s="55"/>
      <c r="BBG1" s="55"/>
      <c r="BBH1" s="55"/>
      <c r="BBI1" s="55"/>
      <c r="BBJ1" s="55"/>
      <c r="BBK1" s="55"/>
      <c r="BBL1" s="55"/>
      <c r="BBM1" s="55"/>
      <c r="BBN1" s="55"/>
      <c r="BBO1" s="55"/>
      <c r="BBP1" s="55"/>
      <c r="BBQ1" s="55"/>
      <c r="BBR1" s="55"/>
      <c r="BBS1" s="55"/>
      <c r="BBT1" s="55"/>
      <c r="BBU1" s="55"/>
      <c r="BBV1" s="55"/>
      <c r="BBW1" s="55"/>
      <c r="BBX1" s="55"/>
      <c r="BBY1" s="55"/>
      <c r="BBZ1" s="55"/>
      <c r="BCA1" s="55"/>
      <c r="BCB1" s="55"/>
      <c r="BCC1" s="55"/>
      <c r="BCD1" s="55"/>
      <c r="BCE1" s="55"/>
      <c r="BCF1" s="55"/>
      <c r="BCG1" s="55"/>
      <c r="BCH1" s="55"/>
      <c r="BCI1" s="55"/>
      <c r="BCJ1" s="55"/>
      <c r="BCK1" s="55"/>
      <c r="BCL1" s="55"/>
      <c r="BCM1" s="55"/>
      <c r="BCN1" s="55"/>
      <c r="BCO1" s="55"/>
      <c r="BCP1" s="55"/>
      <c r="BCQ1" s="55"/>
      <c r="BCR1" s="55"/>
      <c r="BCS1" s="55"/>
      <c r="BCT1" s="55"/>
      <c r="BCU1" s="55"/>
      <c r="BCV1" s="55"/>
      <c r="BCW1" s="55"/>
      <c r="BCX1" s="55"/>
      <c r="BCY1" s="55"/>
      <c r="BCZ1" s="55"/>
      <c r="BDA1" s="55"/>
      <c r="BDB1" s="55"/>
      <c r="BDC1" s="55"/>
      <c r="BDD1" s="55"/>
      <c r="BDE1" s="55"/>
      <c r="BDF1" s="55"/>
      <c r="BDG1" s="55"/>
      <c r="BDH1" s="55"/>
      <c r="BDI1" s="55"/>
      <c r="BDJ1" s="55"/>
      <c r="BDK1" s="55"/>
      <c r="BDL1" s="55"/>
      <c r="BDM1" s="55"/>
      <c r="BDN1" s="55"/>
      <c r="BDO1" s="55"/>
      <c r="BDP1" s="55"/>
      <c r="BDQ1" s="55"/>
      <c r="BDR1" s="55"/>
      <c r="BDS1" s="55"/>
      <c r="BDT1" s="55"/>
      <c r="BDU1" s="55"/>
      <c r="BDV1" s="55"/>
      <c r="BDW1" s="55"/>
      <c r="BDX1" s="55"/>
      <c r="BDY1" s="55"/>
      <c r="BDZ1" s="55"/>
      <c r="BEA1" s="55"/>
      <c r="BEB1" s="55"/>
      <c r="BEC1" s="55"/>
      <c r="BED1" s="55"/>
      <c r="BEE1" s="55"/>
      <c r="BEF1" s="55"/>
      <c r="BEG1" s="55"/>
      <c r="BEH1" s="55"/>
      <c r="BEI1" s="55"/>
      <c r="BEJ1" s="55"/>
      <c r="BEK1" s="55"/>
      <c r="BEL1" s="55"/>
      <c r="BEM1" s="55"/>
      <c r="BEN1" s="55"/>
      <c r="BEO1" s="55"/>
      <c r="BEP1" s="55"/>
      <c r="BEQ1" s="55"/>
      <c r="BER1" s="55"/>
      <c r="BES1" s="55"/>
      <c r="BET1" s="55"/>
      <c r="BEU1" s="55"/>
      <c r="BEV1" s="55"/>
      <c r="BEW1" s="55"/>
      <c r="BEX1" s="55"/>
      <c r="BEY1" s="55"/>
      <c r="BEZ1" s="55"/>
      <c r="BFA1" s="55"/>
      <c r="BFB1" s="55"/>
      <c r="BFC1" s="55"/>
      <c r="BFD1" s="55"/>
      <c r="BFE1" s="55"/>
      <c r="BFF1" s="55"/>
      <c r="BFG1" s="55"/>
      <c r="BFH1" s="55"/>
      <c r="BFI1" s="55"/>
      <c r="BFJ1" s="55"/>
      <c r="BFK1" s="55"/>
      <c r="BFL1" s="55"/>
      <c r="BFM1" s="55"/>
      <c r="BFN1" s="55"/>
      <c r="BFO1" s="55"/>
      <c r="BFP1" s="55"/>
      <c r="BFQ1" s="55"/>
      <c r="BFR1" s="55"/>
      <c r="BFS1" s="55"/>
      <c r="BFT1" s="55"/>
      <c r="BFU1" s="55"/>
      <c r="BFV1" s="55"/>
      <c r="BFW1" s="55"/>
      <c r="BFX1" s="55"/>
      <c r="BFY1" s="55"/>
      <c r="BFZ1" s="55"/>
      <c r="BGA1" s="55"/>
      <c r="BGB1" s="55"/>
      <c r="BGC1" s="55"/>
      <c r="BGD1" s="55"/>
      <c r="BGE1" s="55"/>
      <c r="BGF1" s="55"/>
      <c r="BGG1" s="55"/>
      <c r="BGH1" s="55"/>
      <c r="BGI1" s="55"/>
      <c r="BGJ1" s="55"/>
      <c r="BGK1" s="55"/>
      <c r="BGL1" s="55"/>
      <c r="BGM1" s="55"/>
      <c r="BGN1" s="55"/>
      <c r="BGO1" s="55"/>
      <c r="BGP1" s="55"/>
      <c r="BGQ1" s="55"/>
      <c r="BGR1" s="55"/>
      <c r="BGS1" s="55"/>
      <c r="BGT1" s="55"/>
      <c r="BGU1" s="55"/>
      <c r="BGV1" s="55"/>
      <c r="BGW1" s="55"/>
      <c r="BGX1" s="55"/>
      <c r="BGY1" s="55"/>
      <c r="BGZ1" s="55"/>
      <c r="BHA1" s="55"/>
      <c r="BHB1" s="55"/>
      <c r="BHC1" s="55"/>
      <c r="BHD1" s="55"/>
      <c r="BHE1" s="55"/>
      <c r="BHF1" s="55"/>
      <c r="BHG1" s="55"/>
      <c r="BHH1" s="55"/>
      <c r="BHI1" s="55"/>
      <c r="BHJ1" s="55"/>
      <c r="BHK1" s="55"/>
      <c r="BHL1" s="55"/>
      <c r="BHM1" s="55"/>
      <c r="BHN1" s="55"/>
      <c r="BHO1" s="55"/>
      <c r="BHP1" s="55"/>
      <c r="BHQ1" s="55"/>
      <c r="BHR1" s="55"/>
      <c r="BHS1" s="55"/>
      <c r="BHT1" s="55"/>
      <c r="BHU1" s="55"/>
      <c r="BHV1" s="55"/>
      <c r="BHW1" s="55"/>
      <c r="BHX1" s="55"/>
      <c r="BHY1" s="55"/>
      <c r="BHZ1" s="55"/>
      <c r="BIA1" s="55"/>
      <c r="BIB1" s="55"/>
      <c r="BIC1" s="55"/>
      <c r="BID1" s="55"/>
      <c r="BIE1" s="55"/>
      <c r="BIF1" s="55"/>
      <c r="BIG1" s="55"/>
      <c r="BIH1" s="55"/>
      <c r="BII1" s="55"/>
      <c r="BIJ1" s="55"/>
      <c r="BIK1" s="55"/>
      <c r="BIL1" s="55"/>
      <c r="BIM1" s="55"/>
      <c r="BIN1" s="55"/>
      <c r="BIO1" s="55"/>
      <c r="BIP1" s="55"/>
      <c r="BIQ1" s="55"/>
      <c r="BIR1" s="55"/>
      <c r="BIS1" s="55"/>
      <c r="BIT1" s="55"/>
      <c r="BIU1" s="55"/>
      <c r="BIV1" s="55"/>
      <c r="BIW1" s="55"/>
      <c r="BIX1" s="55"/>
      <c r="BIY1" s="55"/>
      <c r="BIZ1" s="55"/>
      <c r="BJA1" s="55"/>
      <c r="BJB1" s="55"/>
      <c r="BJC1" s="55"/>
      <c r="BJD1" s="55"/>
      <c r="BJE1" s="55"/>
      <c r="BJF1" s="55"/>
      <c r="BJG1" s="55"/>
      <c r="BJH1" s="55"/>
      <c r="BJI1" s="55"/>
      <c r="BJJ1" s="55"/>
      <c r="BJK1" s="55"/>
      <c r="BJL1" s="55"/>
      <c r="BJM1" s="55"/>
      <c r="BJN1" s="55"/>
      <c r="BJO1" s="55"/>
      <c r="BJP1" s="55"/>
      <c r="BJQ1" s="55"/>
      <c r="BJR1" s="55"/>
      <c r="BJS1" s="55"/>
      <c r="BJT1" s="55"/>
      <c r="BJU1" s="55"/>
      <c r="BJV1" s="55"/>
      <c r="BJW1" s="55"/>
      <c r="BJX1" s="55"/>
      <c r="BJY1" s="55"/>
      <c r="BJZ1" s="55"/>
      <c r="BKA1" s="55"/>
      <c r="BKB1" s="55"/>
      <c r="BKC1" s="55"/>
      <c r="BKD1" s="55"/>
      <c r="BKE1" s="55"/>
      <c r="BKF1" s="55"/>
      <c r="BKG1" s="55"/>
      <c r="BKH1" s="55"/>
      <c r="BKI1" s="55"/>
      <c r="BKJ1" s="55"/>
      <c r="BKK1" s="55"/>
      <c r="BKL1" s="55"/>
      <c r="BKM1" s="55"/>
      <c r="BKN1" s="55"/>
      <c r="BKO1" s="55"/>
      <c r="BKP1" s="55"/>
      <c r="BKQ1" s="55"/>
      <c r="BKR1" s="55"/>
      <c r="BKS1" s="55"/>
      <c r="BKT1" s="55"/>
      <c r="BKU1" s="55"/>
      <c r="BKV1" s="55"/>
      <c r="BKW1" s="55"/>
      <c r="BKX1" s="55"/>
      <c r="BKY1" s="55"/>
      <c r="BKZ1" s="55"/>
      <c r="BLA1" s="55"/>
      <c r="BLB1" s="55"/>
      <c r="BLC1" s="55"/>
      <c r="BLD1" s="55"/>
      <c r="BLE1" s="55"/>
      <c r="BLF1" s="55"/>
      <c r="BLG1" s="55"/>
      <c r="BLH1" s="55"/>
      <c r="BLI1" s="55"/>
      <c r="BLJ1" s="55"/>
      <c r="BLK1" s="55"/>
      <c r="BLL1" s="55"/>
      <c r="BLM1" s="55"/>
      <c r="BLN1" s="55"/>
      <c r="BLO1" s="55"/>
      <c r="BLP1" s="55"/>
      <c r="BLQ1" s="55"/>
      <c r="BLR1" s="55"/>
      <c r="BLS1" s="55"/>
      <c r="BLT1" s="55"/>
      <c r="BLU1" s="55"/>
      <c r="BLV1" s="55"/>
      <c r="BLW1" s="55"/>
      <c r="BLX1" s="55"/>
      <c r="BLY1" s="55"/>
      <c r="BLZ1" s="55"/>
      <c r="BMA1" s="55"/>
      <c r="BMB1" s="55"/>
      <c r="BMC1" s="55"/>
      <c r="BMD1" s="55"/>
      <c r="BME1" s="55"/>
      <c r="BMF1" s="55"/>
      <c r="BMG1" s="55"/>
      <c r="BMH1" s="55"/>
      <c r="BMI1" s="55"/>
      <c r="BMJ1" s="55"/>
      <c r="BMK1" s="55"/>
      <c r="BML1" s="55"/>
      <c r="BMM1" s="55"/>
      <c r="BMN1" s="55"/>
      <c r="BMO1" s="55"/>
      <c r="BMP1" s="55"/>
      <c r="BMQ1" s="55"/>
      <c r="BMR1" s="55"/>
      <c r="BMS1" s="55"/>
      <c r="BMT1" s="55"/>
      <c r="BMU1" s="55"/>
      <c r="BMV1" s="55"/>
      <c r="BMW1" s="55"/>
      <c r="BMX1" s="55"/>
      <c r="BMY1" s="55"/>
      <c r="BMZ1" s="55"/>
      <c r="BNA1" s="55"/>
      <c r="BNB1" s="55"/>
      <c r="BNC1" s="55"/>
      <c r="BND1" s="55"/>
      <c r="BNE1" s="55"/>
      <c r="BNF1" s="55"/>
      <c r="BNG1" s="55"/>
      <c r="BNH1" s="55"/>
      <c r="BNI1" s="55"/>
      <c r="BNJ1" s="55"/>
      <c r="BNK1" s="55"/>
      <c r="BNL1" s="55"/>
      <c r="BNM1" s="55"/>
      <c r="BNN1" s="55"/>
      <c r="BNO1" s="55"/>
      <c r="BNP1" s="55"/>
      <c r="BNQ1" s="55"/>
      <c r="BNR1" s="55"/>
      <c r="BNS1" s="55"/>
      <c r="BNT1" s="55"/>
      <c r="BNU1" s="55"/>
      <c r="BNV1" s="55"/>
      <c r="BNW1" s="55"/>
      <c r="BNX1" s="55"/>
      <c r="BNY1" s="55"/>
      <c r="BNZ1" s="55"/>
      <c r="BOA1" s="55"/>
      <c r="BOB1" s="55"/>
      <c r="BOC1" s="55"/>
      <c r="BOD1" s="55"/>
      <c r="BOE1" s="55"/>
      <c r="BOF1" s="55"/>
      <c r="BOG1" s="55"/>
      <c r="BOH1" s="55"/>
      <c r="BOI1" s="55"/>
      <c r="BOJ1" s="55"/>
      <c r="BOK1" s="55"/>
      <c r="BOL1" s="55"/>
      <c r="BOM1" s="55"/>
      <c r="BON1" s="55"/>
      <c r="BOO1" s="55"/>
      <c r="BOP1" s="55"/>
      <c r="BOQ1" s="55"/>
      <c r="BOR1" s="55"/>
      <c r="BOS1" s="55"/>
      <c r="BOT1" s="55"/>
      <c r="BOU1" s="55"/>
      <c r="BOV1" s="55"/>
      <c r="BOW1" s="55"/>
      <c r="BOX1" s="55"/>
      <c r="BOY1" s="55"/>
      <c r="BOZ1" s="55"/>
      <c r="BPA1" s="55"/>
      <c r="BPB1" s="55"/>
      <c r="BPC1" s="55"/>
      <c r="BPD1" s="55"/>
      <c r="BPE1" s="55"/>
      <c r="BPF1" s="55"/>
      <c r="BPG1" s="55"/>
      <c r="BPH1" s="55"/>
      <c r="BPI1" s="55"/>
      <c r="BPJ1" s="55"/>
      <c r="BPK1" s="55"/>
      <c r="BPL1" s="55"/>
      <c r="BPM1" s="55"/>
      <c r="BPN1" s="55"/>
      <c r="BPO1" s="55"/>
      <c r="BPP1" s="55"/>
      <c r="BPQ1" s="55"/>
      <c r="BPR1" s="55"/>
      <c r="BPS1" s="55"/>
      <c r="BPT1" s="55"/>
      <c r="BPU1" s="55"/>
      <c r="BPV1" s="55"/>
      <c r="BPW1" s="55"/>
      <c r="BPX1" s="55"/>
      <c r="BPY1" s="55"/>
      <c r="BPZ1" s="55"/>
      <c r="BQA1" s="55"/>
      <c r="BQB1" s="55"/>
      <c r="BQC1" s="55"/>
      <c r="BQD1" s="55"/>
      <c r="BQE1" s="55"/>
      <c r="BQF1" s="55"/>
      <c r="BQG1" s="55"/>
      <c r="BQH1" s="55"/>
      <c r="BQI1" s="55"/>
      <c r="BQJ1" s="55"/>
      <c r="BQK1" s="55"/>
      <c r="BQL1" s="55"/>
      <c r="BQM1" s="55"/>
      <c r="BQN1" s="55"/>
      <c r="BQO1" s="55"/>
      <c r="BQP1" s="55"/>
      <c r="BQQ1" s="55"/>
      <c r="BQR1" s="55"/>
      <c r="BQS1" s="55"/>
      <c r="BQT1" s="55"/>
      <c r="BQU1" s="55"/>
      <c r="BQV1" s="55"/>
      <c r="BQW1" s="55"/>
      <c r="BQX1" s="55"/>
      <c r="BQY1" s="55"/>
      <c r="BQZ1" s="55"/>
      <c r="BRA1" s="55"/>
      <c r="BRB1" s="55"/>
      <c r="BRC1" s="55"/>
      <c r="BRD1" s="55"/>
      <c r="BRE1" s="55"/>
      <c r="BRF1" s="55"/>
      <c r="BRG1" s="55"/>
      <c r="BRH1" s="55"/>
      <c r="BRI1" s="55"/>
      <c r="BRJ1" s="55"/>
      <c r="BRK1" s="55"/>
      <c r="BRL1" s="55"/>
      <c r="BRM1" s="55"/>
      <c r="BRN1" s="55"/>
      <c r="BRO1" s="55"/>
      <c r="BRP1" s="55"/>
      <c r="BRQ1" s="55"/>
      <c r="BRR1" s="55"/>
      <c r="BRS1" s="55"/>
      <c r="BRT1" s="55"/>
      <c r="BRU1" s="55"/>
      <c r="BRV1" s="55"/>
      <c r="BRW1" s="55"/>
      <c r="BRX1" s="55"/>
      <c r="BRY1" s="55"/>
      <c r="BRZ1" s="55"/>
      <c r="BSA1" s="55"/>
      <c r="BSB1" s="55"/>
      <c r="BSC1" s="55"/>
      <c r="BSD1" s="55"/>
      <c r="BSE1" s="55"/>
      <c r="BSF1" s="55"/>
      <c r="BSG1" s="55"/>
      <c r="BSH1" s="55"/>
      <c r="BSI1" s="55"/>
      <c r="BSJ1" s="55"/>
      <c r="BSK1" s="55"/>
      <c r="BSL1" s="55"/>
      <c r="BSM1" s="55"/>
      <c r="BSN1" s="55"/>
      <c r="BSO1" s="55"/>
      <c r="BSP1" s="55"/>
      <c r="BSQ1" s="55"/>
      <c r="BSR1" s="55"/>
      <c r="BSS1" s="55"/>
      <c r="BST1" s="55"/>
      <c r="BSU1" s="55"/>
      <c r="BSV1" s="55"/>
      <c r="BSW1" s="55"/>
      <c r="BSX1" s="55"/>
      <c r="BSY1" s="55"/>
      <c r="BSZ1" s="55"/>
      <c r="BTA1" s="55"/>
      <c r="BTB1" s="55"/>
      <c r="BTC1" s="55"/>
      <c r="BTD1" s="55"/>
      <c r="BTE1" s="55"/>
      <c r="BTF1" s="55"/>
      <c r="BTG1" s="55"/>
      <c r="BTH1" s="55"/>
      <c r="BTI1" s="55"/>
      <c r="BTJ1" s="55"/>
      <c r="BTK1" s="55"/>
      <c r="BTL1" s="55"/>
      <c r="BTM1" s="55"/>
      <c r="BTN1" s="55"/>
      <c r="BTO1" s="55"/>
      <c r="BTP1" s="55"/>
      <c r="BTQ1" s="55"/>
      <c r="BTR1" s="55"/>
      <c r="BTS1" s="55"/>
      <c r="BTT1" s="55"/>
      <c r="BTU1" s="55"/>
      <c r="BTV1" s="55"/>
      <c r="BTW1" s="55"/>
      <c r="BTX1" s="55"/>
      <c r="BTY1" s="55"/>
      <c r="BTZ1" s="55"/>
      <c r="BUA1" s="55"/>
      <c r="BUB1" s="55"/>
      <c r="BUC1" s="55"/>
      <c r="BUD1" s="55"/>
      <c r="BUE1" s="55"/>
      <c r="BUF1" s="55"/>
      <c r="BUG1" s="55"/>
      <c r="BUH1" s="55"/>
      <c r="BUI1" s="55"/>
      <c r="BUJ1" s="55"/>
      <c r="BUK1" s="55"/>
      <c r="BUL1" s="55"/>
      <c r="BUM1" s="55"/>
      <c r="BUN1" s="55"/>
      <c r="BUO1" s="55"/>
      <c r="BUP1" s="55"/>
      <c r="BUQ1" s="55"/>
      <c r="BUR1" s="55"/>
      <c r="BUS1" s="55"/>
      <c r="BUT1" s="55"/>
      <c r="BUU1" s="55"/>
      <c r="BUV1" s="55"/>
      <c r="BUW1" s="55"/>
      <c r="BUX1" s="55"/>
      <c r="BUY1" s="55"/>
      <c r="BUZ1" s="55"/>
      <c r="BVA1" s="55"/>
      <c r="BVB1" s="55"/>
      <c r="BVC1" s="55"/>
      <c r="BVD1" s="55"/>
      <c r="BVE1" s="55"/>
      <c r="BVF1" s="55"/>
      <c r="BVG1" s="55"/>
      <c r="BVH1" s="55"/>
      <c r="BVI1" s="55"/>
      <c r="BVJ1" s="55"/>
      <c r="BVK1" s="55"/>
      <c r="BVL1" s="55"/>
      <c r="BVM1" s="55"/>
      <c r="BVN1" s="55"/>
      <c r="BVO1" s="55"/>
      <c r="BVP1" s="55"/>
      <c r="BVQ1" s="55"/>
      <c r="BVR1" s="55"/>
      <c r="BVS1" s="55"/>
      <c r="BVT1" s="55"/>
      <c r="BVU1" s="55"/>
      <c r="BVV1" s="55"/>
      <c r="BVW1" s="55"/>
      <c r="BVX1" s="55"/>
      <c r="BVY1" s="55"/>
      <c r="BVZ1" s="55"/>
      <c r="BWA1" s="55"/>
      <c r="BWB1" s="55"/>
      <c r="BWC1" s="55"/>
      <c r="BWD1" s="55"/>
      <c r="BWE1" s="55"/>
      <c r="BWF1" s="55"/>
      <c r="BWG1" s="55"/>
      <c r="BWH1" s="55"/>
      <c r="BWI1" s="55"/>
      <c r="BWJ1" s="55"/>
      <c r="BWK1" s="55"/>
      <c r="BWL1" s="55"/>
      <c r="BWM1" s="55"/>
      <c r="BWN1" s="55"/>
      <c r="BWO1" s="55"/>
      <c r="BWP1" s="55"/>
      <c r="BWQ1" s="55"/>
      <c r="BWR1" s="55"/>
      <c r="BWS1" s="55"/>
      <c r="BWT1" s="55"/>
      <c r="BWU1" s="55"/>
      <c r="BWV1" s="55"/>
      <c r="BWW1" s="55"/>
      <c r="BWX1" s="55"/>
      <c r="BWY1" s="55"/>
      <c r="BWZ1" s="55"/>
      <c r="BXA1" s="55"/>
      <c r="BXB1" s="55"/>
      <c r="BXC1" s="55"/>
      <c r="BXD1" s="55"/>
      <c r="BXE1" s="55"/>
      <c r="BXF1" s="55"/>
      <c r="BXG1" s="55"/>
      <c r="BXH1" s="55"/>
      <c r="BXI1" s="55"/>
      <c r="BXJ1" s="55"/>
      <c r="BXK1" s="55"/>
      <c r="BXL1" s="55"/>
      <c r="BXM1" s="55"/>
      <c r="BXN1" s="55"/>
      <c r="BXO1" s="55"/>
      <c r="BXP1" s="55"/>
      <c r="BXQ1" s="55"/>
      <c r="BXR1" s="55"/>
      <c r="BXS1" s="55"/>
      <c r="BXT1" s="55"/>
      <c r="BXU1" s="55"/>
      <c r="BXV1" s="55"/>
      <c r="BXW1" s="55"/>
      <c r="BXX1" s="55"/>
      <c r="BXY1" s="55"/>
      <c r="BXZ1" s="55"/>
      <c r="BYA1" s="55"/>
      <c r="BYB1" s="55"/>
      <c r="BYC1" s="55"/>
      <c r="BYD1" s="55"/>
      <c r="BYE1" s="55"/>
      <c r="BYF1" s="55"/>
      <c r="BYG1" s="55"/>
      <c r="BYH1" s="55"/>
      <c r="BYI1" s="55"/>
      <c r="BYJ1" s="55"/>
      <c r="BYK1" s="55"/>
      <c r="BYL1" s="55"/>
      <c r="BYM1" s="55"/>
      <c r="BYN1" s="55"/>
      <c r="BYO1" s="55"/>
      <c r="BYP1" s="55"/>
      <c r="BYQ1" s="55"/>
      <c r="BYR1" s="55"/>
      <c r="BYS1" s="55"/>
      <c r="BYT1" s="55"/>
      <c r="BYU1" s="55"/>
      <c r="BYV1" s="55"/>
      <c r="BYW1" s="55"/>
      <c r="BYX1" s="55"/>
      <c r="BYY1" s="55"/>
      <c r="BYZ1" s="55"/>
      <c r="BZA1" s="55"/>
      <c r="BZB1" s="55"/>
      <c r="BZC1" s="55"/>
      <c r="BZD1" s="55"/>
      <c r="BZE1" s="55"/>
      <c r="BZF1" s="55"/>
      <c r="BZG1" s="55"/>
      <c r="BZH1" s="55"/>
      <c r="BZI1" s="55"/>
      <c r="BZJ1" s="55"/>
      <c r="BZK1" s="55"/>
      <c r="BZL1" s="55"/>
      <c r="BZM1" s="55"/>
      <c r="BZN1" s="55"/>
      <c r="BZO1" s="55"/>
      <c r="BZP1" s="55"/>
      <c r="BZQ1" s="55"/>
      <c r="BZR1" s="55"/>
      <c r="BZS1" s="55"/>
      <c r="BZT1" s="55"/>
      <c r="BZU1" s="55"/>
      <c r="BZV1" s="55"/>
      <c r="BZW1" s="55"/>
      <c r="BZX1" s="55"/>
      <c r="BZY1" s="55"/>
      <c r="BZZ1" s="55"/>
      <c r="CAA1" s="55"/>
      <c r="CAB1" s="55"/>
      <c r="CAC1" s="55"/>
      <c r="CAD1" s="55"/>
      <c r="CAE1" s="55"/>
      <c r="CAF1" s="55"/>
      <c r="CAG1" s="55"/>
      <c r="CAH1" s="55"/>
      <c r="CAI1" s="55"/>
      <c r="CAJ1" s="55"/>
      <c r="CAK1" s="55"/>
      <c r="CAL1" s="55"/>
      <c r="CAM1" s="55"/>
      <c r="CAN1" s="55"/>
      <c r="CAO1" s="55"/>
      <c r="CAP1" s="55"/>
      <c r="CAQ1" s="55"/>
      <c r="CAR1" s="55"/>
      <c r="CAS1" s="55"/>
      <c r="CAT1" s="55"/>
      <c r="CAU1" s="55"/>
      <c r="CAV1" s="55"/>
      <c r="CAW1" s="55"/>
      <c r="CAX1" s="55"/>
      <c r="CAY1" s="55"/>
      <c r="CAZ1" s="55"/>
      <c r="CBA1" s="55"/>
      <c r="CBB1" s="55"/>
      <c r="CBC1" s="55"/>
      <c r="CBD1" s="55"/>
      <c r="CBE1" s="55"/>
      <c r="CBF1" s="55"/>
      <c r="CBG1" s="55"/>
      <c r="CBH1" s="55"/>
      <c r="CBI1" s="55"/>
      <c r="CBJ1" s="55"/>
      <c r="CBK1" s="55"/>
      <c r="CBL1" s="55"/>
      <c r="CBM1" s="55"/>
      <c r="CBN1" s="55"/>
      <c r="CBO1" s="55"/>
      <c r="CBP1" s="55"/>
      <c r="CBQ1" s="55"/>
      <c r="CBR1" s="55"/>
      <c r="CBS1" s="55"/>
      <c r="CBT1" s="55"/>
      <c r="CBU1" s="55"/>
      <c r="CBV1" s="55"/>
      <c r="CBW1" s="55"/>
      <c r="CBX1" s="55"/>
      <c r="CBY1" s="55"/>
      <c r="CBZ1" s="55"/>
      <c r="CCA1" s="55"/>
      <c r="CCB1" s="55"/>
      <c r="CCC1" s="55"/>
      <c r="CCD1" s="55"/>
      <c r="CCE1" s="55"/>
      <c r="CCF1" s="55"/>
      <c r="CCG1" s="55"/>
      <c r="CCH1" s="55"/>
      <c r="CCI1" s="55"/>
      <c r="CCJ1" s="55"/>
      <c r="CCK1" s="55"/>
      <c r="CCL1" s="55"/>
      <c r="CCM1" s="55"/>
      <c r="CCN1" s="55"/>
      <c r="CCO1" s="55"/>
      <c r="CCP1" s="55"/>
      <c r="CCQ1" s="55"/>
      <c r="CCR1" s="55"/>
      <c r="CCS1" s="55"/>
      <c r="CCT1" s="55"/>
      <c r="CCU1" s="55"/>
      <c r="CCV1" s="55"/>
      <c r="CCW1" s="55"/>
      <c r="CCX1" s="55"/>
      <c r="CCY1" s="55"/>
      <c r="CCZ1" s="55"/>
      <c r="CDA1" s="55"/>
      <c r="CDB1" s="55"/>
      <c r="CDC1" s="55"/>
      <c r="CDD1" s="55"/>
      <c r="CDE1" s="55"/>
      <c r="CDF1" s="55"/>
      <c r="CDG1" s="55"/>
      <c r="CDH1" s="55"/>
      <c r="CDI1" s="55"/>
      <c r="CDJ1" s="55"/>
      <c r="CDK1" s="55"/>
      <c r="CDL1" s="55"/>
      <c r="CDM1" s="55"/>
      <c r="CDN1" s="55"/>
      <c r="CDO1" s="55"/>
      <c r="CDP1" s="55"/>
      <c r="CDQ1" s="55"/>
      <c r="CDR1" s="55"/>
      <c r="CDS1" s="55"/>
      <c r="CDT1" s="55"/>
      <c r="CDU1" s="55"/>
      <c r="CDV1" s="55"/>
      <c r="CDW1" s="55"/>
      <c r="CDX1" s="55"/>
      <c r="CDY1" s="55"/>
      <c r="CDZ1" s="55"/>
      <c r="CEA1" s="55"/>
      <c r="CEB1" s="55"/>
      <c r="CEC1" s="55"/>
      <c r="CED1" s="55"/>
      <c r="CEE1" s="55"/>
      <c r="CEF1" s="55"/>
      <c r="CEG1" s="55"/>
      <c r="CEH1" s="55"/>
      <c r="CEI1" s="55"/>
      <c r="CEJ1" s="55"/>
      <c r="CEK1" s="55"/>
      <c r="CEL1" s="55"/>
      <c r="CEM1" s="55"/>
      <c r="CEN1" s="55"/>
      <c r="CEO1" s="55"/>
      <c r="CEP1" s="55"/>
      <c r="CEQ1" s="55"/>
      <c r="CER1" s="55"/>
      <c r="CES1" s="55"/>
      <c r="CET1" s="55"/>
      <c r="CEU1" s="55"/>
      <c r="CEV1" s="55"/>
      <c r="CEW1" s="55"/>
      <c r="CEX1" s="55"/>
      <c r="CEY1" s="55"/>
      <c r="CEZ1" s="55"/>
      <c r="CFA1" s="55"/>
      <c r="CFB1" s="55"/>
      <c r="CFC1" s="55"/>
      <c r="CFD1" s="55"/>
      <c r="CFE1" s="55"/>
      <c r="CFF1" s="55"/>
      <c r="CFG1" s="55"/>
      <c r="CFH1" s="55"/>
      <c r="CFI1" s="55"/>
      <c r="CFJ1" s="55"/>
      <c r="CFK1" s="55"/>
      <c r="CFL1" s="55"/>
      <c r="CFM1" s="55"/>
      <c r="CFN1" s="55"/>
      <c r="CFO1" s="55"/>
      <c r="CFP1" s="55"/>
      <c r="CFQ1" s="55"/>
      <c r="CFR1" s="55"/>
      <c r="CFS1" s="55"/>
      <c r="CFT1" s="55"/>
      <c r="CFU1" s="55"/>
      <c r="CFV1" s="55"/>
      <c r="CFW1" s="55"/>
      <c r="CFX1" s="55"/>
      <c r="CFY1" s="55"/>
      <c r="CFZ1" s="55"/>
      <c r="CGA1" s="55"/>
      <c r="CGB1" s="55"/>
      <c r="CGC1" s="55"/>
      <c r="CGD1" s="55"/>
      <c r="CGE1" s="55"/>
      <c r="CGF1" s="55"/>
      <c r="CGG1" s="55"/>
      <c r="CGH1" s="55"/>
      <c r="CGI1" s="55"/>
      <c r="CGJ1" s="55"/>
      <c r="CGK1" s="55"/>
      <c r="CGL1" s="55"/>
      <c r="CGM1" s="55"/>
      <c r="CGN1" s="55"/>
      <c r="CGO1" s="55"/>
      <c r="CGP1" s="55"/>
      <c r="CGQ1" s="55"/>
      <c r="CGR1" s="55"/>
      <c r="CGS1" s="55"/>
      <c r="CGT1" s="55"/>
      <c r="CGU1" s="55"/>
      <c r="CGV1" s="55"/>
      <c r="CGW1" s="55"/>
      <c r="CGX1" s="55"/>
      <c r="CGY1" s="55"/>
      <c r="CGZ1" s="55"/>
      <c r="CHA1" s="55"/>
      <c r="CHB1" s="55"/>
      <c r="CHC1" s="55"/>
      <c r="CHD1" s="55"/>
      <c r="CHE1" s="55"/>
      <c r="CHF1" s="55"/>
      <c r="CHG1" s="55"/>
      <c r="CHH1" s="55"/>
      <c r="CHI1" s="55"/>
      <c r="CHJ1" s="55"/>
      <c r="CHK1" s="55"/>
      <c r="CHL1" s="55"/>
      <c r="CHM1" s="55"/>
      <c r="CHN1" s="55"/>
      <c r="CHO1" s="55"/>
      <c r="CHP1" s="55"/>
      <c r="CHQ1" s="55"/>
      <c r="CHR1" s="55"/>
      <c r="CHS1" s="55"/>
      <c r="CHT1" s="55"/>
      <c r="CHU1" s="55"/>
      <c r="CHV1" s="55"/>
      <c r="CHW1" s="55"/>
      <c r="CHX1" s="55"/>
      <c r="CHY1" s="55"/>
      <c r="CHZ1" s="55"/>
      <c r="CIA1" s="55"/>
      <c r="CIB1" s="55"/>
      <c r="CIC1" s="55"/>
      <c r="CID1" s="55"/>
      <c r="CIE1" s="55"/>
      <c r="CIF1" s="55"/>
      <c r="CIG1" s="55"/>
      <c r="CIH1" s="55"/>
      <c r="CII1" s="55"/>
      <c r="CIJ1" s="55"/>
      <c r="CIK1" s="55"/>
      <c r="CIL1" s="55"/>
      <c r="CIM1" s="55"/>
      <c r="CIN1" s="55"/>
      <c r="CIO1" s="55"/>
      <c r="CIP1" s="55"/>
      <c r="CIQ1" s="55"/>
      <c r="CIR1" s="55"/>
      <c r="CIS1" s="55"/>
      <c r="CIT1" s="55"/>
      <c r="CIU1" s="55"/>
      <c r="CIV1" s="55"/>
      <c r="CIW1" s="55"/>
      <c r="CIX1" s="55"/>
      <c r="CIY1" s="55"/>
      <c r="CIZ1" s="55"/>
      <c r="CJA1" s="55"/>
      <c r="CJB1" s="55"/>
      <c r="CJC1" s="55"/>
      <c r="CJD1" s="55"/>
      <c r="CJE1" s="55"/>
      <c r="CJF1" s="55"/>
      <c r="CJG1" s="55"/>
      <c r="CJH1" s="55"/>
      <c r="CJI1" s="55"/>
      <c r="CJJ1" s="55"/>
      <c r="CJK1" s="55"/>
      <c r="CJL1" s="55"/>
      <c r="CJM1" s="55"/>
      <c r="CJN1" s="55"/>
      <c r="CJO1" s="55"/>
      <c r="CJP1" s="55"/>
      <c r="CJQ1" s="55"/>
      <c r="CJR1" s="55"/>
      <c r="CJS1" s="55"/>
      <c r="CJT1" s="55"/>
      <c r="CJU1" s="55"/>
      <c r="CJV1" s="55"/>
      <c r="CJW1" s="55"/>
      <c r="CJX1" s="55"/>
      <c r="CJY1" s="55"/>
      <c r="CJZ1" s="55"/>
      <c r="CKA1" s="55"/>
      <c r="CKB1" s="55"/>
      <c r="CKC1" s="55"/>
      <c r="CKD1" s="55"/>
      <c r="CKE1" s="55"/>
      <c r="CKF1" s="55"/>
      <c r="CKG1" s="55"/>
      <c r="CKH1" s="55"/>
      <c r="CKI1" s="55"/>
      <c r="CKJ1" s="55"/>
      <c r="CKK1" s="55"/>
      <c r="CKL1" s="55"/>
      <c r="CKM1" s="55"/>
      <c r="CKN1" s="55"/>
      <c r="CKO1" s="55"/>
      <c r="CKP1" s="55"/>
      <c r="CKQ1" s="55"/>
      <c r="CKR1" s="55"/>
      <c r="CKS1" s="55"/>
      <c r="CKT1" s="55"/>
      <c r="CKU1" s="55"/>
      <c r="CKV1" s="55"/>
      <c r="CKW1" s="55"/>
      <c r="CKX1" s="55"/>
      <c r="CKY1" s="55"/>
      <c r="CKZ1" s="55"/>
      <c r="CLA1" s="55"/>
      <c r="CLB1" s="55"/>
      <c r="CLC1" s="55"/>
      <c r="CLD1" s="55"/>
      <c r="CLE1" s="55"/>
      <c r="CLF1" s="55"/>
      <c r="CLG1" s="55"/>
      <c r="CLH1" s="55"/>
      <c r="CLI1" s="55"/>
      <c r="CLJ1" s="55"/>
      <c r="CLK1" s="55"/>
      <c r="CLL1" s="55"/>
      <c r="CLM1" s="55"/>
      <c r="CLN1" s="55"/>
      <c r="CLO1" s="55"/>
      <c r="CLP1" s="55"/>
      <c r="CLQ1" s="55"/>
      <c r="CLR1" s="55"/>
      <c r="CLS1" s="55"/>
      <c r="CLT1" s="55"/>
      <c r="CLU1" s="55"/>
      <c r="CLV1" s="55"/>
      <c r="CLW1" s="55"/>
      <c r="CLX1" s="55"/>
      <c r="CLY1" s="55"/>
      <c r="CLZ1" s="55"/>
      <c r="CMA1" s="55"/>
      <c r="CMB1" s="55"/>
      <c r="CMC1" s="55"/>
      <c r="CMD1" s="55"/>
      <c r="CME1" s="55"/>
      <c r="CMF1" s="55"/>
      <c r="CMG1" s="55"/>
      <c r="CMH1" s="55"/>
      <c r="CMI1" s="55"/>
      <c r="CMJ1" s="55"/>
      <c r="CMK1" s="55"/>
      <c r="CML1" s="55"/>
      <c r="CMM1" s="55"/>
      <c r="CMN1" s="55"/>
      <c r="CMO1" s="55"/>
      <c r="CMP1" s="55"/>
      <c r="CMQ1" s="55"/>
      <c r="CMR1" s="55"/>
      <c r="CMS1" s="55"/>
      <c r="CMT1" s="55"/>
      <c r="CMU1" s="55"/>
      <c r="CMV1" s="55"/>
      <c r="CMW1" s="55"/>
      <c r="CMX1" s="55"/>
      <c r="CMY1" s="55"/>
      <c r="CMZ1" s="55"/>
      <c r="CNA1" s="55"/>
      <c r="CNB1" s="55"/>
      <c r="CNC1" s="55"/>
      <c r="CND1" s="55"/>
      <c r="CNE1" s="55"/>
      <c r="CNF1" s="55"/>
      <c r="CNG1" s="55"/>
      <c r="CNH1" s="55"/>
      <c r="CNI1" s="55"/>
      <c r="CNJ1" s="55"/>
      <c r="CNK1" s="55"/>
      <c r="CNL1" s="55"/>
      <c r="CNM1" s="55"/>
      <c r="CNN1" s="55"/>
      <c r="CNO1" s="55"/>
      <c r="CNP1" s="55"/>
      <c r="CNQ1" s="55"/>
      <c r="CNR1" s="55"/>
      <c r="CNS1" s="55"/>
      <c r="CNT1" s="55"/>
      <c r="CNU1" s="55"/>
      <c r="CNV1" s="55"/>
      <c r="CNW1" s="55"/>
      <c r="CNX1" s="55"/>
      <c r="CNY1" s="55"/>
      <c r="CNZ1" s="55"/>
      <c r="COA1" s="55"/>
      <c r="COB1" s="55"/>
      <c r="COC1" s="55"/>
      <c r="COD1" s="55"/>
      <c r="COE1" s="55"/>
      <c r="COF1" s="55"/>
      <c r="COG1" s="55"/>
      <c r="COH1" s="55"/>
      <c r="COI1" s="55"/>
      <c r="COJ1" s="55"/>
      <c r="COK1" s="55"/>
      <c r="COL1" s="55"/>
      <c r="COM1" s="55"/>
      <c r="CON1" s="55"/>
      <c r="COO1" s="55"/>
      <c r="COP1" s="55"/>
      <c r="COQ1" s="55"/>
      <c r="COR1" s="55"/>
      <c r="COS1" s="55"/>
      <c r="COT1" s="55"/>
      <c r="COU1" s="55"/>
      <c r="COV1" s="55"/>
      <c r="COW1" s="55"/>
      <c r="COX1" s="55"/>
      <c r="COY1" s="55"/>
      <c r="COZ1" s="55"/>
      <c r="CPA1" s="55"/>
      <c r="CPB1" s="55"/>
      <c r="CPC1" s="55"/>
      <c r="CPD1" s="55"/>
      <c r="CPE1" s="55"/>
      <c r="CPF1" s="55"/>
      <c r="CPG1" s="55"/>
      <c r="CPH1" s="55"/>
      <c r="CPI1" s="55"/>
      <c r="CPJ1" s="55"/>
      <c r="CPK1" s="55"/>
      <c r="CPL1" s="55"/>
      <c r="CPM1" s="55"/>
      <c r="CPN1" s="55"/>
      <c r="CPO1" s="55"/>
      <c r="CPP1" s="55"/>
      <c r="CPQ1" s="55"/>
      <c r="CPR1" s="55"/>
      <c r="CPS1" s="55"/>
      <c r="CPT1" s="55"/>
      <c r="CPU1" s="55"/>
      <c r="CPV1" s="55"/>
      <c r="CPW1" s="55"/>
      <c r="CPX1" s="55"/>
      <c r="CPY1" s="55"/>
      <c r="CPZ1" s="55"/>
      <c r="CQA1" s="55"/>
      <c r="CQB1" s="55"/>
      <c r="CQC1" s="55"/>
      <c r="CQD1" s="55"/>
      <c r="CQE1" s="55"/>
      <c r="CQF1" s="55"/>
      <c r="CQG1" s="55"/>
      <c r="CQH1" s="55"/>
      <c r="CQI1" s="55"/>
      <c r="CQJ1" s="55"/>
      <c r="CQK1" s="55"/>
      <c r="CQL1" s="55"/>
      <c r="CQM1" s="55"/>
      <c r="CQN1" s="55"/>
      <c r="CQO1" s="55"/>
      <c r="CQP1" s="55"/>
      <c r="CQQ1" s="55"/>
      <c r="CQR1" s="55"/>
      <c r="CQS1" s="55"/>
      <c r="CQT1" s="55"/>
      <c r="CQU1" s="55"/>
      <c r="CQV1" s="55"/>
      <c r="CQW1" s="55"/>
      <c r="CQX1" s="55"/>
      <c r="CQY1" s="55"/>
      <c r="CQZ1" s="55"/>
      <c r="CRA1" s="55"/>
      <c r="CRB1" s="55"/>
      <c r="CRC1" s="55"/>
      <c r="CRD1" s="55"/>
      <c r="CRE1" s="55"/>
      <c r="CRF1" s="55"/>
      <c r="CRG1" s="55"/>
      <c r="CRH1" s="55"/>
      <c r="CRI1" s="55"/>
      <c r="CRJ1" s="55"/>
      <c r="CRK1" s="55"/>
      <c r="CRL1" s="55"/>
      <c r="CRM1" s="55"/>
      <c r="CRN1" s="55"/>
      <c r="CRO1" s="55"/>
      <c r="CRP1" s="55"/>
      <c r="CRQ1" s="55"/>
      <c r="CRR1" s="55"/>
      <c r="CRS1" s="55"/>
      <c r="CRT1" s="55"/>
      <c r="CRU1" s="55"/>
      <c r="CRV1" s="55"/>
      <c r="CRW1" s="55"/>
      <c r="CRX1" s="55"/>
      <c r="CRY1" s="55"/>
      <c r="CRZ1" s="55"/>
      <c r="CSA1" s="55"/>
      <c r="CSB1" s="55"/>
      <c r="CSC1" s="55"/>
      <c r="CSD1" s="55"/>
      <c r="CSE1" s="55"/>
      <c r="CSF1" s="55"/>
      <c r="CSG1" s="55"/>
      <c r="CSH1" s="55"/>
      <c r="CSI1" s="55"/>
      <c r="CSJ1" s="55"/>
      <c r="CSK1" s="55"/>
      <c r="CSL1" s="55"/>
      <c r="CSM1" s="55"/>
      <c r="CSN1" s="55"/>
      <c r="CSO1" s="55"/>
      <c r="CSP1" s="55"/>
      <c r="CSQ1" s="55"/>
      <c r="CSR1" s="55"/>
      <c r="CSS1" s="55"/>
      <c r="CST1" s="55"/>
      <c r="CSU1" s="55"/>
      <c r="CSV1" s="55"/>
      <c r="CSW1" s="55"/>
      <c r="CSX1" s="55"/>
      <c r="CSY1" s="55"/>
      <c r="CSZ1" s="55"/>
      <c r="CTA1" s="55"/>
      <c r="CTB1" s="55"/>
      <c r="CTC1" s="55"/>
      <c r="CTD1" s="55"/>
      <c r="CTE1" s="55"/>
      <c r="CTF1" s="55"/>
      <c r="CTG1" s="55"/>
      <c r="CTH1" s="55"/>
      <c r="CTI1" s="55"/>
      <c r="CTJ1" s="55"/>
      <c r="CTK1" s="55"/>
      <c r="CTL1" s="55"/>
      <c r="CTM1" s="55"/>
      <c r="CTN1" s="55"/>
      <c r="CTO1" s="55"/>
      <c r="CTP1" s="55"/>
      <c r="CTQ1" s="55"/>
      <c r="CTR1" s="55"/>
      <c r="CTS1" s="55"/>
      <c r="CTT1" s="55"/>
      <c r="CTU1" s="55"/>
      <c r="CTV1" s="55"/>
      <c r="CTW1" s="55"/>
      <c r="CTX1" s="55"/>
      <c r="CTY1" s="55"/>
      <c r="CTZ1" s="55"/>
      <c r="CUA1" s="55"/>
      <c r="CUB1" s="55"/>
      <c r="CUC1" s="55"/>
      <c r="CUD1" s="55"/>
      <c r="CUE1" s="55"/>
      <c r="CUF1" s="55"/>
      <c r="CUG1" s="55"/>
      <c r="CUH1" s="55"/>
      <c r="CUI1" s="55"/>
      <c r="CUJ1" s="55"/>
      <c r="CUK1" s="55"/>
      <c r="CUL1" s="55"/>
      <c r="CUM1" s="55"/>
      <c r="CUN1" s="55"/>
      <c r="CUO1" s="55"/>
      <c r="CUP1" s="55"/>
      <c r="CUQ1" s="55"/>
      <c r="CUR1" s="55"/>
      <c r="CUS1" s="55"/>
      <c r="CUT1" s="55"/>
      <c r="CUU1" s="55"/>
      <c r="CUV1" s="55"/>
      <c r="CUW1" s="55"/>
      <c r="CUX1" s="55"/>
      <c r="CUY1" s="55"/>
      <c r="CUZ1" s="55"/>
      <c r="CVA1" s="55"/>
      <c r="CVB1" s="55"/>
      <c r="CVC1" s="55"/>
      <c r="CVD1" s="55"/>
      <c r="CVE1" s="55"/>
      <c r="CVF1" s="55"/>
      <c r="CVG1" s="55"/>
      <c r="CVH1" s="55"/>
      <c r="CVI1" s="55"/>
      <c r="CVJ1" s="55"/>
      <c r="CVK1" s="55"/>
      <c r="CVL1" s="55"/>
      <c r="CVM1" s="55"/>
      <c r="CVN1" s="55"/>
      <c r="CVO1" s="55"/>
      <c r="CVP1" s="55"/>
      <c r="CVQ1" s="55"/>
      <c r="CVR1" s="55"/>
      <c r="CVS1" s="55"/>
      <c r="CVT1" s="55"/>
      <c r="CVU1" s="55"/>
      <c r="CVV1" s="55"/>
      <c r="CVW1" s="55"/>
      <c r="CVX1" s="55"/>
      <c r="CVY1" s="55"/>
      <c r="CVZ1" s="55"/>
      <c r="CWA1" s="55"/>
      <c r="CWB1" s="55"/>
      <c r="CWC1" s="55"/>
      <c r="CWD1" s="55"/>
      <c r="CWE1" s="55"/>
      <c r="CWF1" s="55"/>
      <c r="CWG1" s="55"/>
      <c r="CWH1" s="55"/>
      <c r="CWI1" s="55"/>
      <c r="CWJ1" s="55"/>
      <c r="CWK1" s="55"/>
      <c r="CWL1" s="55"/>
      <c r="CWM1" s="55"/>
      <c r="CWN1" s="55"/>
      <c r="CWO1" s="55"/>
      <c r="CWP1" s="55"/>
      <c r="CWQ1" s="55"/>
      <c r="CWR1" s="55"/>
      <c r="CWS1" s="55"/>
      <c r="CWT1" s="55"/>
      <c r="CWU1" s="55"/>
      <c r="CWV1" s="55"/>
      <c r="CWW1" s="55"/>
      <c r="CWX1" s="55"/>
      <c r="CWY1" s="55"/>
      <c r="CWZ1" s="55"/>
      <c r="CXA1" s="55"/>
      <c r="CXB1" s="55"/>
      <c r="CXC1" s="55"/>
      <c r="CXD1" s="55"/>
      <c r="CXE1" s="55"/>
      <c r="CXF1" s="55"/>
      <c r="CXG1" s="55"/>
      <c r="CXH1" s="55"/>
      <c r="CXI1" s="55"/>
      <c r="CXJ1" s="55"/>
      <c r="CXK1" s="55"/>
      <c r="CXL1" s="55"/>
      <c r="CXM1" s="55"/>
      <c r="CXN1" s="55"/>
      <c r="CXO1" s="55"/>
      <c r="CXP1" s="55"/>
      <c r="CXQ1" s="55"/>
      <c r="CXR1" s="55"/>
      <c r="CXS1" s="55"/>
      <c r="CXT1" s="55"/>
      <c r="CXU1" s="55"/>
      <c r="CXV1" s="55"/>
      <c r="CXW1" s="55"/>
      <c r="CXX1" s="55"/>
      <c r="CXY1" s="55"/>
      <c r="CXZ1" s="55"/>
      <c r="CYA1" s="55"/>
      <c r="CYB1" s="55"/>
      <c r="CYC1" s="55"/>
      <c r="CYD1" s="55"/>
      <c r="CYE1" s="55"/>
      <c r="CYF1" s="55"/>
      <c r="CYG1" s="55"/>
      <c r="CYH1" s="55"/>
      <c r="CYI1" s="55"/>
      <c r="CYJ1" s="55"/>
      <c r="CYK1" s="55"/>
      <c r="CYL1" s="55"/>
      <c r="CYM1" s="55"/>
      <c r="CYN1" s="55"/>
      <c r="CYO1" s="55"/>
      <c r="CYP1" s="55"/>
      <c r="CYQ1" s="55"/>
      <c r="CYR1" s="55"/>
      <c r="CYS1" s="55"/>
      <c r="CYT1" s="55"/>
      <c r="CYU1" s="55"/>
      <c r="CYV1" s="55"/>
      <c r="CYW1" s="55"/>
      <c r="CYX1" s="55"/>
      <c r="CYY1" s="55"/>
      <c r="CYZ1" s="55"/>
      <c r="CZA1" s="55"/>
      <c r="CZB1" s="55"/>
      <c r="CZC1" s="55"/>
      <c r="CZD1" s="55"/>
      <c r="CZE1" s="55"/>
      <c r="CZF1" s="55"/>
      <c r="CZG1" s="55"/>
      <c r="CZH1" s="55"/>
      <c r="CZI1" s="55"/>
      <c r="CZJ1" s="55"/>
      <c r="CZK1" s="55"/>
      <c r="CZL1" s="55"/>
      <c r="CZM1" s="55"/>
      <c r="CZN1" s="55"/>
      <c r="CZO1" s="55"/>
      <c r="CZP1" s="55"/>
      <c r="CZQ1" s="55"/>
      <c r="CZR1" s="55"/>
      <c r="CZS1" s="55"/>
      <c r="CZT1" s="55"/>
      <c r="CZU1" s="55"/>
      <c r="CZV1" s="55"/>
      <c r="CZW1" s="55"/>
      <c r="CZX1" s="55"/>
      <c r="CZY1" s="55"/>
      <c r="CZZ1" s="55"/>
      <c r="DAA1" s="55"/>
      <c r="DAB1" s="55"/>
      <c r="DAC1" s="55"/>
      <c r="DAD1" s="55"/>
      <c r="DAE1" s="55"/>
      <c r="DAF1" s="55"/>
      <c r="DAG1" s="55"/>
      <c r="DAH1" s="55"/>
      <c r="DAI1" s="55"/>
      <c r="DAJ1" s="55"/>
      <c r="DAK1" s="55"/>
      <c r="DAL1" s="55"/>
      <c r="DAM1" s="55"/>
      <c r="DAN1" s="55"/>
      <c r="DAO1" s="55"/>
      <c r="DAP1" s="55"/>
      <c r="DAQ1" s="55"/>
      <c r="DAR1" s="55"/>
      <c r="DAS1" s="55"/>
      <c r="DAT1" s="55"/>
      <c r="DAU1" s="55"/>
      <c r="DAV1" s="55"/>
      <c r="DAW1" s="55"/>
      <c r="DAX1" s="55"/>
      <c r="DAY1" s="55"/>
      <c r="DAZ1" s="55"/>
      <c r="DBA1" s="55"/>
      <c r="DBB1" s="55"/>
      <c r="DBC1" s="55"/>
      <c r="DBD1" s="55"/>
      <c r="DBE1" s="55"/>
      <c r="DBF1" s="55"/>
      <c r="DBG1" s="55"/>
      <c r="DBH1" s="55"/>
      <c r="DBI1" s="55"/>
      <c r="DBJ1" s="55"/>
      <c r="DBK1" s="55"/>
      <c r="DBL1" s="55"/>
      <c r="DBM1" s="55"/>
      <c r="DBN1" s="55"/>
      <c r="DBO1" s="55"/>
      <c r="DBP1" s="55"/>
      <c r="DBQ1" s="55"/>
      <c r="DBR1" s="55"/>
      <c r="DBS1" s="55"/>
      <c r="DBT1" s="55"/>
      <c r="DBU1" s="55"/>
      <c r="DBV1" s="55"/>
      <c r="DBW1" s="55"/>
      <c r="DBX1" s="55"/>
      <c r="DBY1" s="55"/>
      <c r="DBZ1" s="55"/>
      <c r="DCA1" s="55"/>
      <c r="DCB1" s="55"/>
      <c r="DCC1" s="55"/>
      <c r="DCD1" s="55"/>
      <c r="DCE1" s="55"/>
      <c r="DCF1" s="55"/>
      <c r="DCG1" s="55"/>
      <c r="DCH1" s="55"/>
      <c r="DCI1" s="55"/>
      <c r="DCJ1" s="55"/>
      <c r="DCK1" s="55"/>
      <c r="DCL1" s="55"/>
      <c r="DCM1" s="55"/>
      <c r="DCN1" s="55"/>
      <c r="DCO1" s="55"/>
      <c r="DCP1" s="55"/>
      <c r="DCQ1" s="55"/>
      <c r="DCR1" s="55"/>
      <c r="DCS1" s="55"/>
      <c r="DCT1" s="55"/>
      <c r="DCU1" s="55"/>
      <c r="DCV1" s="55"/>
      <c r="DCW1" s="55"/>
      <c r="DCX1" s="55"/>
      <c r="DCY1" s="55"/>
      <c r="DCZ1" s="55"/>
      <c r="DDA1" s="55"/>
      <c r="DDB1" s="55"/>
      <c r="DDC1" s="55"/>
      <c r="DDD1" s="55"/>
      <c r="DDE1" s="55"/>
      <c r="DDF1" s="55"/>
      <c r="DDG1" s="55"/>
      <c r="DDH1" s="55"/>
      <c r="DDI1" s="55"/>
      <c r="DDJ1" s="55"/>
      <c r="DDK1" s="55"/>
      <c r="DDL1" s="55"/>
      <c r="DDM1" s="55"/>
      <c r="DDN1" s="55"/>
      <c r="DDO1" s="55"/>
      <c r="DDP1" s="55"/>
      <c r="DDQ1" s="55"/>
      <c r="DDR1" s="55"/>
      <c r="DDS1" s="55"/>
      <c r="DDT1" s="55"/>
      <c r="DDU1" s="55"/>
      <c r="DDV1" s="55"/>
      <c r="DDW1" s="55"/>
      <c r="DDX1" s="55"/>
      <c r="DDY1" s="55"/>
      <c r="DDZ1" s="55"/>
      <c r="DEA1" s="55"/>
      <c r="DEB1" s="55"/>
      <c r="DEC1" s="55"/>
      <c r="DED1" s="55"/>
      <c r="DEE1" s="55"/>
      <c r="DEF1" s="55"/>
      <c r="DEG1" s="55"/>
      <c r="DEH1" s="55"/>
      <c r="DEI1" s="55"/>
      <c r="DEJ1" s="55"/>
      <c r="DEK1" s="55"/>
      <c r="DEL1" s="55"/>
      <c r="DEM1" s="55"/>
      <c r="DEN1" s="55"/>
      <c r="DEO1" s="55"/>
      <c r="DEP1" s="55"/>
      <c r="DEQ1" s="55"/>
      <c r="DER1" s="55"/>
      <c r="DES1" s="55"/>
      <c r="DET1" s="55"/>
      <c r="DEU1" s="55"/>
      <c r="DEV1" s="55"/>
      <c r="DEW1" s="55"/>
      <c r="DEX1" s="55"/>
      <c r="DEY1" s="55"/>
      <c r="DEZ1" s="55"/>
      <c r="DFA1" s="55"/>
      <c r="DFB1" s="55"/>
      <c r="DFC1" s="55"/>
      <c r="DFD1" s="55"/>
      <c r="DFE1" s="55"/>
      <c r="DFF1" s="55"/>
      <c r="DFG1" s="55"/>
      <c r="DFH1" s="55"/>
      <c r="DFI1" s="55"/>
      <c r="DFJ1" s="55"/>
      <c r="DFK1" s="55"/>
      <c r="DFL1" s="55"/>
      <c r="DFM1" s="55"/>
      <c r="DFN1" s="55"/>
      <c r="DFO1" s="55"/>
      <c r="DFP1" s="55"/>
      <c r="DFQ1" s="55"/>
      <c r="DFR1" s="55"/>
      <c r="DFS1" s="55"/>
      <c r="DFT1" s="55"/>
      <c r="DFU1" s="55"/>
      <c r="DFV1" s="55"/>
      <c r="DFW1" s="55"/>
      <c r="DFX1" s="55"/>
      <c r="DFY1" s="55"/>
      <c r="DFZ1" s="55"/>
      <c r="DGA1" s="55"/>
      <c r="DGB1" s="55"/>
      <c r="DGC1" s="55"/>
      <c r="DGD1" s="55"/>
      <c r="DGE1" s="55"/>
      <c r="DGF1" s="55"/>
      <c r="DGG1" s="55"/>
      <c r="DGH1" s="55"/>
      <c r="DGI1" s="55"/>
      <c r="DGJ1" s="55"/>
      <c r="DGK1" s="55"/>
      <c r="DGL1" s="55"/>
      <c r="DGM1" s="55"/>
      <c r="DGN1" s="55"/>
      <c r="DGO1" s="55"/>
      <c r="DGP1" s="55"/>
      <c r="DGQ1" s="55"/>
      <c r="DGR1" s="55"/>
      <c r="DGS1" s="55"/>
      <c r="DGT1" s="55"/>
      <c r="DGU1" s="55"/>
      <c r="DGV1" s="55"/>
      <c r="DGW1" s="55"/>
      <c r="DGX1" s="55"/>
      <c r="DGY1" s="55"/>
      <c r="DGZ1" s="55"/>
      <c r="DHA1" s="55"/>
      <c r="DHB1" s="55"/>
      <c r="DHC1" s="55"/>
      <c r="DHD1" s="55"/>
      <c r="DHE1" s="55"/>
      <c r="DHF1" s="55"/>
      <c r="DHG1" s="55"/>
      <c r="DHH1" s="55"/>
      <c r="DHI1" s="55"/>
      <c r="DHJ1" s="55"/>
      <c r="DHK1" s="55"/>
      <c r="DHL1" s="55"/>
      <c r="DHM1" s="55"/>
      <c r="DHN1" s="55"/>
      <c r="DHO1" s="55"/>
      <c r="DHP1" s="55"/>
      <c r="DHQ1" s="55"/>
      <c r="DHR1" s="55"/>
      <c r="DHS1" s="55"/>
      <c r="DHT1" s="55"/>
      <c r="DHU1" s="55"/>
      <c r="DHV1" s="55"/>
      <c r="DHW1" s="55"/>
      <c r="DHX1" s="55"/>
      <c r="DHY1" s="55"/>
      <c r="DHZ1" s="55"/>
      <c r="DIA1" s="55"/>
      <c r="DIB1" s="55"/>
      <c r="DIC1" s="55"/>
      <c r="DID1" s="55"/>
      <c r="DIE1" s="55"/>
      <c r="DIF1" s="55"/>
      <c r="DIG1" s="55"/>
      <c r="DIH1" s="55"/>
      <c r="DII1" s="55"/>
      <c r="DIJ1" s="55"/>
      <c r="DIK1" s="55"/>
      <c r="DIL1" s="55"/>
      <c r="DIM1" s="55"/>
      <c r="DIN1" s="55"/>
      <c r="DIO1" s="55"/>
      <c r="DIP1" s="55"/>
      <c r="DIQ1" s="55"/>
      <c r="DIR1" s="55"/>
      <c r="DIS1" s="55"/>
      <c r="DIT1" s="55"/>
      <c r="DIU1" s="55"/>
      <c r="DIV1" s="55"/>
      <c r="DIW1" s="55"/>
      <c r="DIX1" s="55"/>
      <c r="DIY1" s="55"/>
      <c r="DIZ1" s="55"/>
      <c r="DJA1" s="55"/>
      <c r="DJB1" s="55"/>
      <c r="DJC1" s="55"/>
      <c r="DJD1" s="55"/>
      <c r="DJE1" s="55"/>
      <c r="DJF1" s="55"/>
      <c r="DJG1" s="55"/>
      <c r="DJH1" s="55"/>
      <c r="DJI1" s="55"/>
      <c r="DJJ1" s="55"/>
      <c r="DJK1" s="55"/>
      <c r="DJL1" s="55"/>
      <c r="DJM1" s="55"/>
      <c r="DJN1" s="55"/>
      <c r="DJO1" s="55"/>
      <c r="DJP1" s="55"/>
      <c r="DJQ1" s="55"/>
      <c r="DJR1" s="55"/>
      <c r="DJS1" s="55"/>
      <c r="DJT1" s="55"/>
      <c r="DJU1" s="55"/>
      <c r="DJV1" s="55"/>
      <c r="DJW1" s="55"/>
      <c r="DJX1" s="55"/>
      <c r="DJY1" s="55"/>
      <c r="DJZ1" s="55"/>
      <c r="DKA1" s="55"/>
      <c r="DKB1" s="55"/>
      <c r="DKC1" s="55"/>
      <c r="DKD1" s="55"/>
      <c r="DKE1" s="55"/>
      <c r="DKF1" s="55"/>
      <c r="DKG1" s="55"/>
      <c r="DKH1" s="55"/>
      <c r="DKI1" s="55"/>
      <c r="DKJ1" s="55"/>
      <c r="DKK1" s="55"/>
      <c r="DKL1" s="55"/>
      <c r="DKM1" s="55"/>
      <c r="DKN1" s="55"/>
      <c r="DKO1" s="55"/>
      <c r="DKP1" s="55"/>
      <c r="DKQ1" s="55"/>
      <c r="DKR1" s="55"/>
      <c r="DKS1" s="55"/>
      <c r="DKT1" s="55"/>
      <c r="DKU1" s="55"/>
      <c r="DKV1" s="55"/>
      <c r="DKW1" s="55"/>
      <c r="DKX1" s="55"/>
      <c r="DKY1" s="55"/>
      <c r="DKZ1" s="55"/>
      <c r="DLA1" s="55"/>
      <c r="DLB1" s="55"/>
      <c r="DLC1" s="55"/>
      <c r="DLD1" s="55"/>
      <c r="DLE1" s="55"/>
      <c r="DLF1" s="55"/>
      <c r="DLG1" s="55"/>
      <c r="DLH1" s="55"/>
      <c r="DLI1" s="55"/>
      <c r="DLJ1" s="55"/>
      <c r="DLK1" s="55"/>
      <c r="DLL1" s="55"/>
      <c r="DLM1" s="55"/>
      <c r="DLN1" s="55"/>
      <c r="DLO1" s="55"/>
      <c r="DLP1" s="55"/>
      <c r="DLQ1" s="55"/>
      <c r="DLR1" s="55"/>
      <c r="DLS1" s="55"/>
      <c r="DLT1" s="55"/>
      <c r="DLU1" s="55"/>
      <c r="DLV1" s="55"/>
      <c r="DLW1" s="55"/>
      <c r="DLX1" s="55"/>
      <c r="DLY1" s="55"/>
      <c r="DLZ1" s="55"/>
      <c r="DMA1" s="55"/>
      <c r="DMB1" s="55"/>
      <c r="DMC1" s="55"/>
      <c r="DMD1" s="55"/>
      <c r="DME1" s="55"/>
      <c r="DMF1" s="55"/>
      <c r="DMG1" s="55"/>
      <c r="DMH1" s="55"/>
      <c r="DMI1" s="55"/>
      <c r="DMJ1" s="55"/>
      <c r="DMK1" s="55"/>
      <c r="DML1" s="55"/>
      <c r="DMM1" s="55"/>
      <c r="DMN1" s="55"/>
      <c r="DMO1" s="55"/>
      <c r="DMP1" s="55"/>
      <c r="DMQ1" s="55"/>
      <c r="DMR1" s="55"/>
      <c r="DMS1" s="55"/>
      <c r="DMT1" s="55"/>
      <c r="DMU1" s="55"/>
      <c r="DMV1" s="55"/>
      <c r="DMW1" s="55"/>
      <c r="DMX1" s="55"/>
      <c r="DMY1" s="55"/>
      <c r="DMZ1" s="55"/>
      <c r="DNA1" s="55"/>
      <c r="DNB1" s="55"/>
      <c r="DNC1" s="55"/>
      <c r="DND1" s="55"/>
      <c r="DNE1" s="55"/>
      <c r="DNF1" s="55"/>
      <c r="DNG1" s="55"/>
      <c r="DNH1" s="55"/>
      <c r="DNI1" s="55"/>
      <c r="DNJ1" s="55"/>
      <c r="DNK1" s="55"/>
      <c r="DNL1" s="55"/>
      <c r="DNM1" s="55"/>
      <c r="DNN1" s="55"/>
      <c r="DNO1" s="55"/>
      <c r="DNP1" s="55"/>
      <c r="DNQ1" s="55"/>
      <c r="DNR1" s="55"/>
      <c r="DNS1" s="55"/>
      <c r="DNT1" s="55"/>
      <c r="DNU1" s="55"/>
      <c r="DNV1" s="55"/>
      <c r="DNW1" s="55"/>
      <c r="DNX1" s="55"/>
      <c r="DNY1" s="55"/>
      <c r="DNZ1" s="55"/>
      <c r="DOA1" s="55"/>
      <c r="DOB1" s="55"/>
      <c r="DOC1" s="55"/>
      <c r="DOD1" s="55"/>
      <c r="DOE1" s="55"/>
      <c r="DOF1" s="55"/>
      <c r="DOG1" s="55"/>
      <c r="DOH1" s="55"/>
      <c r="DOI1" s="55"/>
      <c r="DOJ1" s="55"/>
      <c r="DOK1" s="55"/>
      <c r="DOL1" s="55"/>
      <c r="DOM1" s="55"/>
      <c r="DON1" s="55"/>
      <c r="DOO1" s="55"/>
      <c r="DOP1" s="55"/>
      <c r="DOQ1" s="55"/>
      <c r="DOR1" s="55"/>
      <c r="DOS1" s="55"/>
      <c r="DOT1" s="55"/>
      <c r="DOU1" s="55"/>
      <c r="DOV1" s="55"/>
      <c r="DOW1" s="55"/>
      <c r="DOX1" s="55"/>
      <c r="DOY1" s="55"/>
      <c r="DOZ1" s="55"/>
      <c r="DPA1" s="55"/>
      <c r="DPB1" s="55"/>
      <c r="DPC1" s="55"/>
      <c r="DPD1" s="55"/>
      <c r="DPE1" s="55"/>
      <c r="DPF1" s="55"/>
      <c r="DPG1" s="55"/>
      <c r="DPH1" s="55"/>
      <c r="DPI1" s="55"/>
      <c r="DPJ1" s="55"/>
      <c r="DPK1" s="55"/>
      <c r="DPL1" s="55"/>
      <c r="DPM1" s="55"/>
      <c r="DPN1" s="55"/>
      <c r="DPO1" s="55"/>
      <c r="DPP1" s="55"/>
      <c r="DPQ1" s="55"/>
      <c r="DPR1" s="55"/>
      <c r="DPS1" s="55"/>
      <c r="DPT1" s="55"/>
      <c r="DPU1" s="55"/>
      <c r="DPV1" s="55"/>
      <c r="DPW1" s="55"/>
      <c r="DPX1" s="55"/>
      <c r="DPY1" s="55"/>
      <c r="DPZ1" s="55"/>
      <c r="DQA1" s="55"/>
      <c r="DQB1" s="55"/>
      <c r="DQC1" s="55"/>
      <c r="DQD1" s="55"/>
      <c r="DQE1" s="55"/>
      <c r="DQF1" s="55"/>
      <c r="DQG1" s="55"/>
      <c r="DQH1" s="55"/>
      <c r="DQI1" s="55"/>
      <c r="DQJ1" s="55"/>
      <c r="DQK1" s="55"/>
      <c r="DQL1" s="55"/>
      <c r="DQM1" s="55"/>
      <c r="DQN1" s="55"/>
      <c r="DQO1" s="55"/>
      <c r="DQP1" s="55"/>
      <c r="DQQ1" s="55"/>
      <c r="DQR1" s="55"/>
      <c r="DQS1" s="55"/>
      <c r="DQT1" s="55"/>
      <c r="DQU1" s="55"/>
      <c r="DQV1" s="55"/>
      <c r="DQW1" s="55"/>
      <c r="DQX1" s="55"/>
      <c r="DQY1" s="55"/>
      <c r="DQZ1" s="55"/>
      <c r="DRA1" s="55"/>
      <c r="DRB1" s="55"/>
      <c r="DRC1" s="55"/>
      <c r="DRD1" s="55"/>
      <c r="DRE1" s="55"/>
      <c r="DRF1" s="55"/>
      <c r="DRG1" s="55"/>
      <c r="DRH1" s="55"/>
      <c r="DRI1" s="55"/>
      <c r="DRJ1" s="55"/>
      <c r="DRK1" s="55"/>
      <c r="DRL1" s="55"/>
      <c r="DRM1" s="55"/>
      <c r="DRN1" s="55"/>
      <c r="DRO1" s="55"/>
      <c r="DRP1" s="55"/>
      <c r="DRQ1" s="55"/>
      <c r="DRR1" s="55"/>
      <c r="DRS1" s="55"/>
      <c r="DRT1" s="55"/>
      <c r="DRU1" s="55"/>
      <c r="DRV1" s="55"/>
      <c r="DRW1" s="55"/>
      <c r="DRX1" s="55"/>
      <c r="DRY1" s="55"/>
      <c r="DRZ1" s="55"/>
      <c r="DSA1" s="55"/>
      <c r="DSB1" s="55"/>
      <c r="DSC1" s="55"/>
      <c r="DSD1" s="55"/>
      <c r="DSE1" s="55"/>
      <c r="DSF1" s="55"/>
      <c r="DSG1" s="55"/>
      <c r="DSH1" s="55"/>
      <c r="DSI1" s="55"/>
      <c r="DSJ1" s="55"/>
      <c r="DSK1" s="55"/>
      <c r="DSL1" s="55"/>
      <c r="DSM1" s="55"/>
      <c r="DSN1" s="55"/>
      <c r="DSO1" s="55"/>
      <c r="DSP1" s="55"/>
      <c r="DSQ1" s="55"/>
      <c r="DSR1" s="55"/>
      <c r="DSS1" s="55"/>
      <c r="DST1" s="55"/>
      <c r="DSU1" s="55"/>
      <c r="DSV1" s="55"/>
      <c r="DSW1" s="55"/>
      <c r="DSX1" s="55"/>
      <c r="DSY1" s="55"/>
      <c r="DSZ1" s="55"/>
      <c r="DTA1" s="55"/>
      <c r="DTB1" s="55"/>
      <c r="DTC1" s="55"/>
      <c r="DTD1" s="55"/>
      <c r="DTE1" s="55"/>
      <c r="DTF1" s="55"/>
      <c r="DTG1" s="55"/>
      <c r="DTH1" s="55"/>
      <c r="DTI1" s="55"/>
      <c r="DTJ1" s="55"/>
      <c r="DTK1" s="55"/>
      <c r="DTL1" s="55"/>
      <c r="DTM1" s="55"/>
      <c r="DTN1" s="55"/>
      <c r="DTO1" s="55"/>
      <c r="DTP1" s="55"/>
      <c r="DTQ1" s="55"/>
      <c r="DTR1" s="55"/>
      <c r="DTS1" s="55"/>
      <c r="DTT1" s="55"/>
      <c r="DTU1" s="55"/>
      <c r="DTV1" s="55"/>
      <c r="DTW1" s="55"/>
      <c r="DTX1" s="55"/>
      <c r="DTY1" s="55"/>
      <c r="DTZ1" s="55"/>
      <c r="DUA1" s="55"/>
      <c r="DUB1" s="55"/>
      <c r="DUC1" s="55"/>
      <c r="DUD1" s="55"/>
      <c r="DUE1" s="55"/>
      <c r="DUF1" s="55"/>
      <c r="DUG1" s="55"/>
      <c r="DUH1" s="55"/>
      <c r="DUI1" s="55"/>
      <c r="DUJ1" s="55"/>
      <c r="DUK1" s="55"/>
      <c r="DUL1" s="55"/>
      <c r="DUM1" s="55"/>
      <c r="DUN1" s="55"/>
      <c r="DUO1" s="55"/>
      <c r="DUP1" s="55"/>
      <c r="DUQ1" s="55"/>
      <c r="DUR1" s="55"/>
      <c r="DUS1" s="55"/>
      <c r="DUT1" s="55"/>
      <c r="DUU1" s="55"/>
      <c r="DUV1" s="55"/>
      <c r="DUW1" s="55"/>
      <c r="DUX1" s="55"/>
      <c r="DUY1" s="55"/>
      <c r="DUZ1" s="55"/>
      <c r="DVA1" s="55"/>
      <c r="DVB1" s="55"/>
      <c r="DVC1" s="55"/>
      <c r="DVD1" s="55"/>
      <c r="DVE1" s="55"/>
      <c r="DVF1" s="55"/>
      <c r="DVG1" s="55"/>
      <c r="DVH1" s="55"/>
      <c r="DVI1" s="55"/>
      <c r="DVJ1" s="55"/>
      <c r="DVK1" s="55"/>
      <c r="DVL1" s="55"/>
      <c r="DVM1" s="55"/>
      <c r="DVN1" s="55"/>
      <c r="DVO1" s="55"/>
      <c r="DVP1" s="55"/>
      <c r="DVQ1" s="55"/>
      <c r="DVR1" s="55"/>
      <c r="DVS1" s="55"/>
      <c r="DVT1" s="55"/>
      <c r="DVU1" s="55"/>
      <c r="DVV1" s="55"/>
      <c r="DVW1" s="55"/>
      <c r="DVX1" s="55"/>
      <c r="DVY1" s="55"/>
      <c r="DVZ1" s="55"/>
      <c r="DWA1" s="55"/>
      <c r="DWB1" s="55"/>
      <c r="DWC1" s="55"/>
      <c r="DWD1" s="55"/>
      <c r="DWE1" s="55"/>
      <c r="DWF1" s="55"/>
      <c r="DWG1" s="55"/>
      <c r="DWH1" s="55"/>
      <c r="DWI1" s="55"/>
      <c r="DWJ1" s="55"/>
      <c r="DWK1" s="55"/>
      <c r="DWL1" s="55"/>
      <c r="DWM1" s="55"/>
      <c r="DWN1" s="55"/>
      <c r="DWO1" s="55"/>
      <c r="DWP1" s="55"/>
      <c r="DWQ1" s="55"/>
      <c r="DWR1" s="55"/>
      <c r="DWS1" s="55"/>
      <c r="DWT1" s="55"/>
      <c r="DWU1" s="55"/>
      <c r="DWV1" s="55"/>
      <c r="DWW1" s="55"/>
      <c r="DWX1" s="55"/>
      <c r="DWY1" s="55"/>
      <c r="DWZ1" s="55"/>
      <c r="DXA1" s="55"/>
      <c r="DXB1" s="55"/>
      <c r="DXC1" s="55"/>
      <c r="DXD1" s="55"/>
      <c r="DXE1" s="55"/>
      <c r="DXF1" s="55"/>
      <c r="DXG1" s="55"/>
      <c r="DXH1" s="55"/>
      <c r="DXI1" s="55"/>
      <c r="DXJ1" s="55"/>
      <c r="DXK1" s="55"/>
      <c r="DXL1" s="55"/>
      <c r="DXM1" s="55"/>
      <c r="DXN1" s="55"/>
      <c r="DXO1" s="55"/>
      <c r="DXP1" s="55"/>
      <c r="DXQ1" s="55"/>
      <c r="DXR1" s="55"/>
      <c r="DXS1" s="55"/>
      <c r="DXT1" s="55"/>
      <c r="DXU1" s="55"/>
      <c r="DXV1" s="55"/>
      <c r="DXW1" s="55"/>
      <c r="DXX1" s="55"/>
      <c r="DXY1" s="55"/>
      <c r="DXZ1" s="55"/>
      <c r="DYA1" s="55"/>
      <c r="DYB1" s="55"/>
      <c r="DYC1" s="55"/>
      <c r="DYD1" s="55"/>
      <c r="DYE1" s="55"/>
      <c r="DYF1" s="55"/>
      <c r="DYG1" s="55"/>
      <c r="DYH1" s="55"/>
      <c r="DYI1" s="55"/>
      <c r="DYJ1" s="55"/>
      <c r="DYK1" s="55"/>
      <c r="DYL1" s="55"/>
      <c r="DYM1" s="55"/>
      <c r="DYN1" s="55"/>
      <c r="DYO1" s="55"/>
      <c r="DYP1" s="55"/>
      <c r="DYQ1" s="55"/>
      <c r="DYR1" s="55"/>
      <c r="DYS1" s="55"/>
      <c r="DYT1" s="55"/>
      <c r="DYU1" s="55"/>
      <c r="DYV1" s="55"/>
      <c r="DYW1" s="55"/>
      <c r="DYX1" s="55"/>
      <c r="DYY1" s="55"/>
      <c r="DYZ1" s="55"/>
      <c r="DZA1" s="55"/>
      <c r="DZB1" s="55"/>
      <c r="DZC1" s="55"/>
      <c r="DZD1" s="55"/>
      <c r="DZE1" s="55"/>
      <c r="DZF1" s="55"/>
      <c r="DZG1" s="55"/>
      <c r="DZH1" s="55"/>
      <c r="DZI1" s="55"/>
      <c r="DZJ1" s="55"/>
      <c r="DZK1" s="55"/>
      <c r="DZL1" s="55"/>
      <c r="DZM1" s="55"/>
      <c r="DZN1" s="55"/>
      <c r="DZO1" s="55"/>
      <c r="DZP1" s="55"/>
      <c r="DZQ1" s="55"/>
      <c r="DZR1" s="55"/>
      <c r="DZS1" s="55"/>
      <c r="DZT1" s="55"/>
      <c r="DZU1" s="55"/>
      <c r="DZV1" s="55"/>
      <c r="DZW1" s="55"/>
      <c r="DZX1" s="55"/>
      <c r="DZY1" s="55"/>
      <c r="DZZ1" s="55"/>
      <c r="EAA1" s="55"/>
      <c r="EAB1" s="55"/>
      <c r="EAC1" s="55"/>
      <c r="EAD1" s="55"/>
      <c r="EAE1" s="55"/>
      <c r="EAF1" s="55"/>
      <c r="EAG1" s="55"/>
      <c r="EAH1" s="55"/>
      <c r="EAI1" s="55"/>
      <c r="EAJ1" s="55"/>
      <c r="EAK1" s="55"/>
      <c r="EAL1" s="55"/>
      <c r="EAM1" s="55"/>
      <c r="EAN1" s="55"/>
      <c r="EAO1" s="55"/>
      <c r="EAP1" s="55"/>
      <c r="EAQ1" s="55"/>
      <c r="EAR1" s="55"/>
      <c r="EAS1" s="55"/>
      <c r="EAT1" s="55"/>
      <c r="EAU1" s="55"/>
      <c r="EAV1" s="55"/>
      <c r="EAW1" s="55"/>
      <c r="EAX1" s="55"/>
      <c r="EAY1" s="55"/>
      <c r="EAZ1" s="55"/>
      <c r="EBA1" s="55"/>
      <c r="EBB1" s="55"/>
      <c r="EBC1" s="55"/>
      <c r="EBD1" s="55"/>
      <c r="EBE1" s="55"/>
      <c r="EBF1" s="55"/>
      <c r="EBG1" s="55"/>
      <c r="EBH1" s="55"/>
      <c r="EBI1" s="55"/>
      <c r="EBJ1" s="55"/>
      <c r="EBK1" s="55"/>
      <c r="EBL1" s="55"/>
      <c r="EBM1" s="55"/>
      <c r="EBN1" s="55"/>
      <c r="EBO1" s="55"/>
      <c r="EBP1" s="55"/>
      <c r="EBQ1" s="55"/>
      <c r="EBR1" s="55"/>
      <c r="EBS1" s="55"/>
      <c r="EBT1" s="55"/>
      <c r="EBU1" s="55"/>
      <c r="EBV1" s="55"/>
      <c r="EBW1" s="55"/>
      <c r="EBX1" s="55"/>
      <c r="EBY1" s="55"/>
      <c r="EBZ1" s="55"/>
      <c r="ECA1" s="55"/>
      <c r="ECB1" s="55"/>
      <c r="ECC1" s="55"/>
      <c r="ECD1" s="55"/>
      <c r="ECE1" s="55"/>
      <c r="ECF1" s="55"/>
      <c r="ECG1" s="55"/>
      <c r="ECH1" s="55"/>
      <c r="ECI1" s="55"/>
      <c r="ECJ1" s="55"/>
      <c r="ECK1" s="55"/>
      <c r="ECL1" s="55"/>
      <c r="ECM1" s="55"/>
      <c r="ECN1" s="55"/>
      <c r="ECO1" s="55"/>
      <c r="ECP1" s="55"/>
      <c r="ECQ1" s="55"/>
      <c r="ECR1" s="55"/>
      <c r="ECS1" s="55"/>
      <c r="ECT1" s="55"/>
      <c r="ECU1" s="55"/>
      <c r="ECV1" s="55"/>
      <c r="ECW1" s="55"/>
      <c r="ECX1" s="55"/>
      <c r="ECY1" s="55"/>
      <c r="ECZ1" s="55"/>
      <c r="EDA1" s="55"/>
      <c r="EDB1" s="55"/>
      <c r="EDC1" s="55"/>
      <c r="EDD1" s="55"/>
      <c r="EDE1" s="55"/>
      <c r="EDF1" s="55"/>
      <c r="EDG1" s="55"/>
      <c r="EDH1" s="55"/>
      <c r="EDI1" s="55"/>
      <c r="EDJ1" s="55"/>
      <c r="EDK1" s="55"/>
      <c r="EDL1" s="55"/>
      <c r="EDM1" s="55"/>
      <c r="EDN1" s="55"/>
      <c r="EDO1" s="55"/>
      <c r="EDP1" s="55"/>
      <c r="EDQ1" s="55"/>
      <c r="EDR1" s="55"/>
      <c r="EDS1" s="55"/>
      <c r="EDT1" s="55"/>
      <c r="EDU1" s="55"/>
      <c r="EDV1" s="55"/>
      <c r="EDW1" s="55"/>
      <c r="EDX1" s="55"/>
      <c r="EDY1" s="55"/>
      <c r="EDZ1" s="55"/>
      <c r="EEA1" s="55"/>
      <c r="EEB1" s="55"/>
      <c r="EEC1" s="55"/>
      <c r="EED1" s="55"/>
      <c r="EEE1" s="55"/>
      <c r="EEF1" s="55"/>
      <c r="EEG1" s="55"/>
      <c r="EEH1" s="55"/>
      <c r="EEI1" s="55"/>
      <c r="EEJ1" s="55"/>
      <c r="EEK1" s="55"/>
      <c r="EEL1" s="55"/>
      <c r="EEM1" s="55"/>
      <c r="EEN1" s="55"/>
      <c r="EEO1" s="55"/>
      <c r="EEP1" s="55"/>
      <c r="EEQ1" s="55"/>
      <c r="EER1" s="55"/>
      <c r="EES1" s="55"/>
      <c r="EET1" s="55"/>
      <c r="EEU1" s="55"/>
      <c r="EEV1" s="55"/>
      <c r="EEW1" s="55"/>
      <c r="EEX1" s="55"/>
      <c r="EEY1" s="55"/>
      <c r="EEZ1" s="55"/>
      <c r="EFA1" s="55"/>
      <c r="EFB1" s="55"/>
      <c r="EFC1" s="55"/>
      <c r="EFD1" s="55"/>
      <c r="EFE1" s="55"/>
      <c r="EFF1" s="55"/>
      <c r="EFG1" s="55"/>
      <c r="EFH1" s="55"/>
      <c r="EFI1" s="55"/>
      <c r="EFJ1" s="55"/>
      <c r="EFK1" s="55"/>
      <c r="EFL1" s="55"/>
      <c r="EFM1" s="55"/>
      <c r="EFN1" s="55"/>
      <c r="EFO1" s="55"/>
      <c r="EFP1" s="55"/>
      <c r="EFQ1" s="55"/>
      <c r="EFR1" s="55"/>
      <c r="EFS1" s="55"/>
      <c r="EFT1" s="55"/>
      <c r="EFU1" s="55"/>
      <c r="EFV1" s="55"/>
      <c r="EFW1" s="55"/>
      <c r="EFX1" s="55"/>
      <c r="EFY1" s="55"/>
      <c r="EFZ1" s="55"/>
      <c r="EGA1" s="55"/>
      <c r="EGB1" s="55"/>
      <c r="EGC1" s="55"/>
      <c r="EGD1" s="55"/>
      <c r="EGE1" s="55"/>
      <c r="EGF1" s="55"/>
      <c r="EGG1" s="55"/>
      <c r="EGH1" s="55"/>
      <c r="EGI1" s="55"/>
      <c r="EGJ1" s="55"/>
      <c r="EGK1" s="55"/>
      <c r="EGL1" s="55"/>
      <c r="EGM1" s="55"/>
      <c r="EGN1" s="55"/>
      <c r="EGO1" s="55"/>
      <c r="EGP1" s="55"/>
      <c r="EGQ1" s="55"/>
      <c r="EGR1" s="55"/>
      <c r="EGS1" s="55"/>
      <c r="EGT1" s="55"/>
      <c r="EGU1" s="55"/>
      <c r="EGV1" s="55"/>
      <c r="EGW1" s="55"/>
      <c r="EGX1" s="55"/>
      <c r="EGY1" s="55"/>
      <c r="EGZ1" s="55"/>
      <c r="EHA1" s="55"/>
      <c r="EHB1" s="55"/>
      <c r="EHC1" s="55"/>
      <c r="EHD1" s="55"/>
      <c r="EHE1" s="55"/>
      <c r="EHF1" s="55"/>
      <c r="EHG1" s="55"/>
      <c r="EHH1" s="55"/>
      <c r="EHI1" s="55"/>
      <c r="EHJ1" s="55"/>
      <c r="EHK1" s="55"/>
      <c r="EHL1" s="55"/>
      <c r="EHM1" s="55"/>
      <c r="EHN1" s="55"/>
      <c r="EHO1" s="55"/>
      <c r="EHP1" s="55"/>
      <c r="EHQ1" s="55"/>
      <c r="EHR1" s="55"/>
      <c r="EHS1" s="55"/>
      <c r="EHT1" s="55"/>
      <c r="EHU1" s="55"/>
      <c r="EHV1" s="55"/>
      <c r="EHW1" s="55"/>
      <c r="EHX1" s="55"/>
      <c r="EHY1" s="55"/>
      <c r="EHZ1" s="55"/>
      <c r="EIA1" s="55"/>
      <c r="EIB1" s="55"/>
      <c r="EIC1" s="55"/>
      <c r="EID1" s="55"/>
      <c r="EIE1" s="55"/>
      <c r="EIF1" s="55"/>
      <c r="EIG1" s="55"/>
      <c r="EIH1" s="55"/>
      <c r="EII1" s="55"/>
      <c r="EIJ1" s="55"/>
      <c r="EIK1" s="55"/>
      <c r="EIL1" s="55"/>
      <c r="EIM1" s="55"/>
      <c r="EIN1" s="55"/>
      <c r="EIO1" s="55"/>
      <c r="EIP1" s="55"/>
      <c r="EIQ1" s="55"/>
      <c r="EIR1" s="55"/>
      <c r="EIS1" s="55"/>
      <c r="EIT1" s="55"/>
      <c r="EIU1" s="55"/>
      <c r="EIV1" s="55"/>
      <c r="EIW1" s="55"/>
      <c r="EIX1" s="55"/>
      <c r="EIY1" s="55"/>
      <c r="EIZ1" s="55"/>
      <c r="EJA1" s="55"/>
      <c r="EJB1" s="55"/>
      <c r="EJC1" s="55"/>
      <c r="EJD1" s="55"/>
      <c r="EJE1" s="55"/>
      <c r="EJF1" s="55"/>
      <c r="EJG1" s="55"/>
      <c r="EJH1" s="55"/>
      <c r="EJI1" s="55"/>
      <c r="EJJ1" s="55"/>
      <c r="EJK1" s="55"/>
      <c r="EJL1" s="55"/>
      <c r="EJM1" s="55"/>
      <c r="EJN1" s="55"/>
      <c r="EJO1" s="55"/>
      <c r="EJP1" s="55"/>
      <c r="EJQ1" s="55"/>
      <c r="EJR1" s="55"/>
      <c r="EJS1" s="55"/>
      <c r="EJT1" s="55"/>
      <c r="EJU1" s="55"/>
      <c r="EJV1" s="55"/>
      <c r="EJW1" s="55"/>
      <c r="EJX1" s="55"/>
      <c r="EJY1" s="55"/>
      <c r="EJZ1" s="55"/>
      <c r="EKA1" s="55"/>
      <c r="EKB1" s="55"/>
      <c r="EKC1" s="55"/>
      <c r="EKD1" s="55"/>
      <c r="EKE1" s="55"/>
      <c r="EKF1" s="55"/>
      <c r="EKG1" s="55"/>
      <c r="EKH1" s="55"/>
      <c r="EKI1" s="55"/>
      <c r="EKJ1" s="55"/>
      <c r="EKK1" s="55"/>
      <c r="EKL1" s="55"/>
      <c r="EKM1" s="55"/>
      <c r="EKN1" s="55"/>
      <c r="EKO1" s="55"/>
      <c r="EKP1" s="55"/>
      <c r="EKQ1" s="55"/>
      <c r="EKR1" s="55"/>
      <c r="EKS1" s="55"/>
      <c r="EKT1" s="55"/>
      <c r="EKU1" s="55"/>
      <c r="EKV1" s="55"/>
      <c r="EKW1" s="55"/>
      <c r="EKX1" s="55"/>
      <c r="EKY1" s="55"/>
      <c r="EKZ1" s="55"/>
      <c r="ELA1" s="55"/>
      <c r="ELB1" s="55"/>
      <c r="ELC1" s="55"/>
      <c r="ELD1" s="55"/>
      <c r="ELE1" s="55"/>
      <c r="ELF1" s="55"/>
      <c r="ELG1" s="55"/>
      <c r="ELH1" s="55"/>
      <c r="ELI1" s="55"/>
      <c r="ELJ1" s="55"/>
      <c r="ELK1" s="55"/>
      <c r="ELL1" s="55"/>
      <c r="ELM1" s="55"/>
      <c r="ELN1" s="55"/>
      <c r="ELO1" s="55"/>
      <c r="ELP1" s="55"/>
      <c r="ELQ1" s="55"/>
      <c r="ELR1" s="55"/>
      <c r="ELS1" s="55"/>
      <c r="ELT1" s="55"/>
      <c r="ELU1" s="55"/>
      <c r="ELV1" s="55"/>
      <c r="ELW1" s="55"/>
      <c r="ELX1" s="55"/>
      <c r="ELY1" s="55"/>
      <c r="ELZ1" s="55"/>
      <c r="EMA1" s="55"/>
      <c r="EMB1" s="55"/>
      <c r="EMC1" s="55"/>
      <c r="EMD1" s="55"/>
      <c r="EME1" s="55"/>
      <c r="EMF1" s="55"/>
      <c r="EMG1" s="55"/>
      <c r="EMH1" s="55"/>
      <c r="EMI1" s="55"/>
      <c r="EMJ1" s="55"/>
      <c r="EMK1" s="55"/>
      <c r="EML1" s="55"/>
      <c r="EMM1" s="55"/>
      <c r="EMN1" s="55"/>
      <c r="EMO1" s="55"/>
      <c r="EMP1" s="55"/>
      <c r="EMQ1" s="55"/>
      <c r="EMR1" s="55"/>
      <c r="EMS1" s="55"/>
      <c r="EMT1" s="55"/>
      <c r="EMU1" s="55"/>
      <c r="EMV1" s="55"/>
      <c r="EMW1" s="55"/>
      <c r="EMX1" s="55"/>
      <c r="EMY1" s="55"/>
      <c r="EMZ1" s="55"/>
      <c r="ENA1" s="55"/>
      <c r="ENB1" s="55"/>
      <c r="ENC1" s="55"/>
      <c r="END1" s="55"/>
      <c r="ENE1" s="55"/>
      <c r="ENF1" s="55"/>
      <c r="ENG1" s="55"/>
      <c r="ENH1" s="55"/>
      <c r="ENI1" s="55"/>
      <c r="ENJ1" s="55"/>
      <c r="ENK1" s="55"/>
      <c r="ENL1" s="55"/>
      <c r="ENM1" s="55"/>
      <c r="ENN1" s="55"/>
      <c r="ENO1" s="55"/>
      <c r="ENP1" s="55"/>
      <c r="ENQ1" s="55"/>
      <c r="ENR1" s="55"/>
      <c r="ENS1" s="55"/>
      <c r="ENT1" s="55"/>
      <c r="ENU1" s="55"/>
      <c r="ENV1" s="55"/>
      <c r="ENW1" s="55"/>
      <c r="ENX1" s="55"/>
      <c r="ENY1" s="55"/>
      <c r="ENZ1" s="55"/>
      <c r="EOA1" s="55"/>
      <c r="EOB1" s="55"/>
      <c r="EOC1" s="55"/>
      <c r="EOD1" s="55"/>
      <c r="EOE1" s="55"/>
      <c r="EOF1" s="55"/>
      <c r="EOG1" s="55"/>
      <c r="EOH1" s="55"/>
      <c r="EOI1" s="55"/>
      <c r="EOJ1" s="55"/>
      <c r="EOK1" s="55"/>
      <c r="EOL1" s="55"/>
      <c r="EOM1" s="55"/>
      <c r="EON1" s="55"/>
      <c r="EOO1" s="55"/>
      <c r="EOP1" s="55"/>
      <c r="EOQ1" s="55"/>
      <c r="EOR1" s="55"/>
      <c r="EOS1" s="55"/>
      <c r="EOT1" s="55"/>
      <c r="EOU1" s="55"/>
      <c r="EOV1" s="55"/>
      <c r="EOW1" s="55"/>
      <c r="EOX1" s="55"/>
      <c r="EOY1" s="55"/>
      <c r="EOZ1" s="55"/>
      <c r="EPA1" s="55"/>
      <c r="EPB1" s="55"/>
      <c r="EPC1" s="55"/>
      <c r="EPD1" s="55"/>
      <c r="EPE1" s="55"/>
      <c r="EPF1" s="55"/>
      <c r="EPG1" s="55"/>
      <c r="EPH1" s="55"/>
      <c r="EPI1" s="55"/>
      <c r="EPJ1" s="55"/>
      <c r="EPK1" s="55"/>
      <c r="EPL1" s="55"/>
      <c r="EPM1" s="55"/>
      <c r="EPN1" s="55"/>
      <c r="EPO1" s="55"/>
      <c r="EPP1" s="55"/>
      <c r="EPQ1" s="55"/>
      <c r="EPR1" s="55"/>
      <c r="EPS1" s="55"/>
      <c r="EPT1" s="55"/>
      <c r="EPU1" s="55"/>
      <c r="EPV1" s="55"/>
      <c r="EPW1" s="55"/>
      <c r="EPX1" s="55"/>
      <c r="EPY1" s="55"/>
      <c r="EPZ1" s="55"/>
      <c r="EQA1" s="55"/>
      <c r="EQB1" s="55"/>
      <c r="EQC1" s="55"/>
      <c r="EQD1" s="55"/>
      <c r="EQE1" s="55"/>
      <c r="EQF1" s="55"/>
      <c r="EQG1" s="55"/>
      <c r="EQH1" s="55"/>
      <c r="EQI1" s="55"/>
      <c r="EQJ1" s="55"/>
      <c r="EQK1" s="55"/>
      <c r="EQL1" s="55"/>
      <c r="EQM1" s="55"/>
      <c r="EQN1" s="55"/>
      <c r="EQO1" s="55"/>
      <c r="EQP1" s="55"/>
      <c r="EQQ1" s="55"/>
      <c r="EQR1" s="55"/>
      <c r="EQS1" s="55"/>
      <c r="EQT1" s="55"/>
      <c r="EQU1" s="55"/>
      <c r="EQV1" s="55"/>
      <c r="EQW1" s="55"/>
      <c r="EQX1" s="55"/>
      <c r="EQY1" s="55"/>
      <c r="EQZ1" s="55"/>
      <c r="ERA1" s="55"/>
      <c r="ERB1" s="55"/>
      <c r="ERC1" s="55"/>
      <c r="ERD1" s="55"/>
      <c r="ERE1" s="55"/>
      <c r="ERF1" s="55"/>
      <c r="ERG1" s="55"/>
      <c r="ERH1" s="55"/>
      <c r="ERI1" s="55"/>
      <c r="ERJ1" s="55"/>
      <c r="ERK1" s="55"/>
      <c r="ERL1" s="55"/>
      <c r="ERM1" s="55"/>
      <c r="ERN1" s="55"/>
      <c r="ERO1" s="55"/>
      <c r="ERP1" s="55"/>
      <c r="ERQ1" s="55"/>
      <c r="ERR1" s="55"/>
      <c r="ERS1" s="55"/>
      <c r="ERT1" s="55"/>
      <c r="ERU1" s="55"/>
      <c r="ERV1" s="55"/>
      <c r="ERW1" s="55"/>
      <c r="ERX1" s="55"/>
      <c r="ERY1" s="55"/>
      <c r="ERZ1" s="55"/>
      <c r="ESA1" s="55"/>
      <c r="ESB1" s="55"/>
      <c r="ESC1" s="55"/>
      <c r="ESD1" s="55"/>
      <c r="ESE1" s="55"/>
      <c r="ESF1" s="55"/>
      <c r="ESG1" s="55"/>
      <c r="ESH1" s="55"/>
      <c r="ESI1" s="55"/>
      <c r="ESJ1" s="55"/>
      <c r="ESK1" s="55"/>
      <c r="ESL1" s="55"/>
      <c r="ESM1" s="55"/>
      <c r="ESN1" s="55"/>
      <c r="ESO1" s="55"/>
      <c r="ESP1" s="55"/>
      <c r="ESQ1" s="55"/>
      <c r="ESR1" s="55"/>
      <c r="ESS1" s="55"/>
      <c r="EST1" s="55"/>
      <c r="ESU1" s="55"/>
      <c r="ESV1" s="55"/>
      <c r="ESW1" s="55"/>
      <c r="ESX1" s="55"/>
      <c r="ESY1" s="55"/>
      <c r="ESZ1" s="55"/>
      <c r="ETA1" s="55"/>
      <c r="ETB1" s="55"/>
      <c r="ETC1" s="55"/>
      <c r="ETD1" s="55"/>
      <c r="ETE1" s="55"/>
      <c r="ETF1" s="55"/>
      <c r="ETG1" s="55"/>
      <c r="ETH1" s="55"/>
      <c r="ETI1" s="55"/>
      <c r="ETJ1" s="55"/>
      <c r="ETK1" s="55"/>
      <c r="ETL1" s="55"/>
      <c r="ETM1" s="55"/>
      <c r="ETN1" s="55"/>
      <c r="ETO1" s="55"/>
      <c r="ETP1" s="55"/>
      <c r="ETQ1" s="55"/>
      <c r="ETR1" s="55"/>
      <c r="ETS1" s="55"/>
      <c r="ETT1" s="55"/>
      <c r="ETU1" s="55"/>
      <c r="ETV1" s="55"/>
      <c r="ETW1" s="55"/>
      <c r="ETX1" s="55"/>
      <c r="ETY1" s="55"/>
      <c r="ETZ1" s="55"/>
      <c r="EUA1" s="55"/>
      <c r="EUB1" s="55"/>
      <c r="EUC1" s="55"/>
      <c r="EUD1" s="55"/>
      <c r="EUE1" s="55"/>
      <c r="EUF1" s="55"/>
      <c r="EUG1" s="55"/>
      <c r="EUH1" s="55"/>
      <c r="EUI1" s="55"/>
      <c r="EUJ1" s="55"/>
      <c r="EUK1" s="55"/>
      <c r="EUL1" s="55"/>
      <c r="EUM1" s="55"/>
      <c r="EUN1" s="55"/>
      <c r="EUO1" s="55"/>
      <c r="EUP1" s="55"/>
      <c r="EUQ1" s="55"/>
      <c r="EUR1" s="55"/>
      <c r="EUS1" s="55"/>
      <c r="EUT1" s="55"/>
      <c r="EUU1" s="55"/>
      <c r="EUV1" s="55"/>
      <c r="EUW1" s="55"/>
      <c r="EUX1" s="55"/>
      <c r="EUY1" s="55"/>
      <c r="EUZ1" s="55"/>
      <c r="EVA1" s="55"/>
      <c r="EVB1" s="55"/>
      <c r="EVC1" s="55"/>
      <c r="EVD1" s="55"/>
      <c r="EVE1" s="55"/>
      <c r="EVF1" s="55"/>
      <c r="EVG1" s="55"/>
      <c r="EVH1" s="55"/>
      <c r="EVI1" s="55"/>
      <c r="EVJ1" s="55"/>
      <c r="EVK1" s="55"/>
      <c r="EVL1" s="55"/>
      <c r="EVM1" s="55"/>
      <c r="EVN1" s="55"/>
      <c r="EVO1" s="55"/>
      <c r="EVP1" s="55"/>
      <c r="EVQ1" s="55"/>
      <c r="EVR1" s="55"/>
      <c r="EVS1" s="55"/>
      <c r="EVT1" s="55"/>
      <c r="EVU1" s="55"/>
      <c r="EVV1" s="55"/>
      <c r="EVW1" s="55"/>
      <c r="EVX1" s="55"/>
      <c r="EVY1" s="55"/>
      <c r="EVZ1" s="55"/>
      <c r="EWA1" s="55"/>
      <c r="EWB1" s="55"/>
      <c r="EWC1" s="55"/>
      <c r="EWD1" s="55"/>
      <c r="EWE1" s="55"/>
      <c r="EWF1" s="55"/>
      <c r="EWG1" s="55"/>
      <c r="EWH1" s="55"/>
      <c r="EWI1" s="55"/>
      <c r="EWJ1" s="55"/>
      <c r="EWK1" s="55"/>
      <c r="EWL1" s="55"/>
      <c r="EWM1" s="55"/>
      <c r="EWN1" s="55"/>
      <c r="EWO1" s="55"/>
      <c r="EWP1" s="55"/>
      <c r="EWQ1" s="55"/>
      <c r="EWR1" s="55"/>
      <c r="EWS1" s="55"/>
      <c r="EWT1" s="55"/>
      <c r="EWU1" s="55"/>
      <c r="EWV1" s="55"/>
      <c r="EWW1" s="55"/>
      <c r="EWX1" s="55"/>
      <c r="EWY1" s="55"/>
      <c r="EWZ1" s="55"/>
      <c r="EXA1" s="55"/>
      <c r="EXB1" s="55"/>
      <c r="EXC1" s="55"/>
      <c r="EXD1" s="55"/>
      <c r="EXE1" s="55"/>
      <c r="EXF1" s="55"/>
      <c r="EXG1" s="55"/>
      <c r="EXH1" s="55"/>
      <c r="EXI1" s="55"/>
      <c r="EXJ1" s="55"/>
      <c r="EXK1" s="55"/>
      <c r="EXL1" s="55"/>
      <c r="EXM1" s="55"/>
      <c r="EXN1" s="55"/>
      <c r="EXO1" s="55"/>
      <c r="EXP1" s="55"/>
      <c r="EXQ1" s="55"/>
      <c r="EXR1" s="55"/>
      <c r="EXS1" s="55"/>
      <c r="EXT1" s="55"/>
      <c r="EXU1" s="55"/>
      <c r="EXV1" s="55"/>
      <c r="EXW1" s="55"/>
      <c r="EXX1" s="55"/>
      <c r="EXY1" s="55"/>
      <c r="EXZ1" s="55"/>
      <c r="EYA1" s="55"/>
      <c r="EYB1" s="55"/>
      <c r="EYC1" s="55"/>
      <c r="EYD1" s="55"/>
      <c r="EYE1" s="55"/>
      <c r="EYF1" s="55"/>
      <c r="EYG1" s="55"/>
      <c r="EYH1" s="55"/>
      <c r="EYI1" s="55"/>
      <c r="EYJ1" s="55"/>
      <c r="EYK1" s="55"/>
      <c r="EYL1" s="55"/>
      <c r="EYM1" s="55"/>
      <c r="EYN1" s="55"/>
      <c r="EYO1" s="55"/>
      <c r="EYP1" s="55"/>
      <c r="EYQ1" s="55"/>
      <c r="EYR1" s="55"/>
      <c r="EYS1" s="55"/>
      <c r="EYT1" s="55"/>
      <c r="EYU1" s="55"/>
      <c r="EYV1" s="55"/>
      <c r="EYW1" s="55"/>
      <c r="EYX1" s="55"/>
      <c r="EYY1" s="55"/>
      <c r="EYZ1" s="55"/>
      <c r="EZA1" s="55"/>
      <c r="EZB1" s="55"/>
      <c r="EZC1" s="55"/>
      <c r="EZD1" s="55"/>
      <c r="EZE1" s="55"/>
      <c r="EZF1" s="55"/>
      <c r="EZG1" s="55"/>
      <c r="EZH1" s="55"/>
      <c r="EZI1" s="55"/>
      <c r="EZJ1" s="55"/>
      <c r="EZK1" s="55"/>
      <c r="EZL1" s="55"/>
      <c r="EZM1" s="55"/>
      <c r="EZN1" s="55"/>
      <c r="EZO1" s="55"/>
      <c r="EZP1" s="55"/>
      <c r="EZQ1" s="55"/>
      <c r="EZR1" s="55"/>
      <c r="EZS1" s="55"/>
      <c r="EZT1" s="55"/>
      <c r="EZU1" s="55"/>
      <c r="EZV1" s="55"/>
      <c r="EZW1" s="55"/>
      <c r="EZX1" s="55"/>
      <c r="EZY1" s="55"/>
      <c r="EZZ1" s="55"/>
      <c r="FAA1" s="55"/>
      <c r="FAB1" s="55"/>
      <c r="FAC1" s="55"/>
      <c r="FAD1" s="55"/>
      <c r="FAE1" s="55"/>
      <c r="FAF1" s="55"/>
      <c r="FAG1" s="55"/>
      <c r="FAH1" s="55"/>
      <c r="FAI1" s="55"/>
      <c r="FAJ1" s="55"/>
      <c r="FAK1" s="55"/>
      <c r="FAL1" s="55"/>
      <c r="FAM1" s="55"/>
      <c r="FAN1" s="55"/>
      <c r="FAO1" s="55"/>
      <c r="FAP1" s="55"/>
      <c r="FAQ1" s="55"/>
      <c r="FAR1" s="55"/>
      <c r="FAS1" s="55"/>
      <c r="FAT1" s="55"/>
      <c r="FAU1" s="55"/>
      <c r="FAV1" s="55"/>
      <c r="FAW1" s="55"/>
      <c r="FAX1" s="55"/>
      <c r="FAY1" s="55"/>
      <c r="FAZ1" s="55"/>
      <c r="FBA1" s="55"/>
      <c r="FBB1" s="55"/>
      <c r="FBC1" s="55"/>
      <c r="FBD1" s="55"/>
      <c r="FBE1" s="55"/>
      <c r="FBF1" s="55"/>
      <c r="FBG1" s="55"/>
      <c r="FBH1" s="55"/>
      <c r="FBI1" s="55"/>
      <c r="FBJ1" s="55"/>
      <c r="FBK1" s="55"/>
      <c r="FBL1" s="55"/>
      <c r="FBM1" s="55"/>
      <c r="FBN1" s="55"/>
      <c r="FBO1" s="55"/>
      <c r="FBP1" s="55"/>
      <c r="FBQ1" s="55"/>
      <c r="FBR1" s="55"/>
      <c r="FBS1" s="55"/>
      <c r="FBT1" s="55"/>
      <c r="FBU1" s="55"/>
      <c r="FBV1" s="55"/>
      <c r="FBW1" s="55"/>
      <c r="FBX1" s="55"/>
      <c r="FBY1" s="55"/>
      <c r="FBZ1" s="55"/>
      <c r="FCA1" s="55"/>
      <c r="FCB1" s="55"/>
      <c r="FCC1" s="55"/>
      <c r="FCD1" s="55"/>
      <c r="FCE1" s="55"/>
      <c r="FCF1" s="55"/>
      <c r="FCG1" s="55"/>
      <c r="FCH1" s="55"/>
      <c r="FCI1" s="55"/>
      <c r="FCJ1" s="55"/>
      <c r="FCK1" s="55"/>
      <c r="FCL1" s="55"/>
      <c r="FCM1" s="55"/>
      <c r="FCN1" s="55"/>
      <c r="FCO1" s="55"/>
      <c r="FCP1" s="55"/>
      <c r="FCQ1" s="55"/>
      <c r="FCR1" s="55"/>
      <c r="FCS1" s="55"/>
      <c r="FCT1" s="55"/>
      <c r="FCU1" s="55"/>
      <c r="FCV1" s="55"/>
      <c r="FCW1" s="55"/>
      <c r="FCX1" s="55"/>
      <c r="FCY1" s="55"/>
      <c r="FCZ1" s="55"/>
      <c r="FDA1" s="55"/>
      <c r="FDB1" s="55"/>
      <c r="FDC1" s="55"/>
      <c r="FDD1" s="55"/>
      <c r="FDE1" s="55"/>
      <c r="FDF1" s="55"/>
      <c r="FDG1" s="55"/>
      <c r="FDH1" s="55"/>
      <c r="FDI1" s="55"/>
      <c r="FDJ1" s="55"/>
      <c r="FDK1" s="55"/>
      <c r="FDL1" s="55"/>
      <c r="FDM1" s="55"/>
      <c r="FDN1" s="55"/>
      <c r="FDO1" s="55"/>
      <c r="FDP1" s="55"/>
      <c r="FDQ1" s="55"/>
      <c r="FDR1" s="55"/>
      <c r="FDS1" s="55"/>
      <c r="FDT1" s="55"/>
      <c r="FDU1" s="55"/>
      <c r="FDV1" s="55"/>
      <c r="FDW1" s="55"/>
      <c r="FDX1" s="55"/>
      <c r="FDY1" s="55"/>
      <c r="FDZ1" s="55"/>
      <c r="FEA1" s="55"/>
      <c r="FEB1" s="55"/>
      <c r="FEC1" s="55"/>
      <c r="FED1" s="55"/>
      <c r="FEE1" s="55"/>
      <c r="FEF1" s="55"/>
      <c r="FEG1" s="55"/>
      <c r="FEH1" s="55"/>
      <c r="FEI1" s="55"/>
      <c r="FEJ1" s="55"/>
      <c r="FEK1" s="55"/>
      <c r="FEL1" s="55"/>
      <c r="FEM1" s="55"/>
      <c r="FEN1" s="55"/>
      <c r="FEO1" s="55"/>
      <c r="FEP1" s="55"/>
      <c r="FEQ1" s="55"/>
      <c r="FER1" s="55"/>
      <c r="FES1" s="55"/>
      <c r="FET1" s="55"/>
      <c r="FEU1" s="55"/>
      <c r="FEV1" s="55"/>
      <c r="FEW1" s="55"/>
      <c r="FEX1" s="55"/>
      <c r="FEY1" s="55"/>
      <c r="FEZ1" s="55"/>
      <c r="FFA1" s="55"/>
      <c r="FFB1" s="55"/>
      <c r="FFC1" s="55"/>
      <c r="FFD1" s="55"/>
      <c r="FFE1" s="55"/>
      <c r="FFF1" s="55"/>
      <c r="FFG1" s="55"/>
      <c r="FFH1" s="55"/>
      <c r="FFI1" s="55"/>
      <c r="FFJ1" s="55"/>
      <c r="FFK1" s="55"/>
      <c r="FFL1" s="55"/>
      <c r="FFM1" s="55"/>
      <c r="FFN1" s="55"/>
      <c r="FFO1" s="55"/>
      <c r="FFP1" s="55"/>
      <c r="FFQ1" s="55"/>
      <c r="FFR1" s="55"/>
      <c r="FFS1" s="55"/>
      <c r="FFT1" s="55"/>
      <c r="FFU1" s="55"/>
      <c r="FFV1" s="55"/>
      <c r="FFW1" s="55"/>
      <c r="FFX1" s="55"/>
      <c r="FFY1" s="55"/>
      <c r="FFZ1" s="55"/>
      <c r="FGA1" s="55"/>
      <c r="FGB1" s="55"/>
      <c r="FGC1" s="55"/>
      <c r="FGD1" s="55"/>
      <c r="FGE1" s="55"/>
      <c r="FGF1" s="55"/>
      <c r="FGG1" s="55"/>
      <c r="FGH1" s="55"/>
      <c r="FGI1" s="55"/>
      <c r="FGJ1" s="55"/>
      <c r="FGK1" s="55"/>
      <c r="FGL1" s="55"/>
      <c r="FGM1" s="55"/>
      <c r="FGN1" s="55"/>
      <c r="FGO1" s="55"/>
      <c r="FGP1" s="55"/>
      <c r="FGQ1" s="55"/>
      <c r="FGR1" s="55"/>
      <c r="FGS1" s="55"/>
      <c r="FGT1" s="55"/>
      <c r="FGU1" s="55"/>
      <c r="FGV1" s="55"/>
      <c r="FGW1" s="55"/>
      <c r="FGX1" s="55"/>
      <c r="FGY1" s="55"/>
      <c r="FGZ1" s="55"/>
      <c r="FHA1" s="55"/>
      <c r="FHB1" s="55"/>
      <c r="FHC1" s="55"/>
      <c r="FHD1" s="55"/>
      <c r="FHE1" s="55"/>
      <c r="FHF1" s="55"/>
      <c r="FHG1" s="55"/>
      <c r="FHH1" s="55"/>
      <c r="FHI1" s="55"/>
      <c r="FHJ1" s="55"/>
      <c r="FHK1" s="55"/>
      <c r="FHL1" s="55"/>
      <c r="FHM1" s="55"/>
      <c r="FHN1" s="55"/>
      <c r="FHO1" s="55"/>
      <c r="FHP1" s="55"/>
      <c r="FHQ1" s="55"/>
      <c r="FHR1" s="55"/>
      <c r="FHS1" s="55"/>
      <c r="FHT1" s="55"/>
      <c r="FHU1" s="55"/>
      <c r="FHV1" s="55"/>
      <c r="FHW1" s="55"/>
      <c r="FHX1" s="55"/>
      <c r="FHY1" s="55"/>
      <c r="FHZ1" s="55"/>
      <c r="FIA1" s="55"/>
      <c r="FIB1" s="55"/>
      <c r="FIC1" s="55"/>
      <c r="FID1" s="55"/>
      <c r="FIE1" s="55"/>
      <c r="FIF1" s="55"/>
      <c r="FIG1" s="55"/>
      <c r="FIH1" s="55"/>
      <c r="FII1" s="55"/>
      <c r="FIJ1" s="55"/>
      <c r="FIK1" s="55"/>
      <c r="FIL1" s="55"/>
      <c r="FIM1" s="55"/>
      <c r="FIN1" s="55"/>
      <c r="FIO1" s="55"/>
      <c r="FIP1" s="55"/>
      <c r="FIQ1" s="55"/>
      <c r="FIR1" s="55"/>
      <c r="FIS1" s="55"/>
      <c r="FIT1" s="55"/>
      <c r="FIU1" s="55"/>
      <c r="FIV1" s="55"/>
      <c r="FIW1" s="55"/>
      <c r="FIX1" s="55"/>
      <c r="FIY1" s="55"/>
      <c r="FIZ1" s="55"/>
      <c r="FJA1" s="55"/>
      <c r="FJB1" s="55"/>
      <c r="FJC1" s="55"/>
      <c r="FJD1" s="55"/>
      <c r="FJE1" s="55"/>
      <c r="FJF1" s="55"/>
      <c r="FJG1" s="55"/>
      <c r="FJH1" s="55"/>
      <c r="FJI1" s="55"/>
      <c r="FJJ1" s="55"/>
      <c r="FJK1" s="55"/>
      <c r="FJL1" s="55"/>
      <c r="FJM1" s="55"/>
      <c r="FJN1" s="55"/>
      <c r="FJO1" s="55"/>
      <c r="FJP1" s="55"/>
      <c r="FJQ1" s="55"/>
      <c r="FJR1" s="55"/>
      <c r="FJS1" s="55"/>
      <c r="FJT1" s="55"/>
      <c r="FJU1" s="55"/>
      <c r="FJV1" s="55"/>
      <c r="FJW1" s="55"/>
      <c r="FJX1" s="55"/>
      <c r="FJY1" s="55"/>
      <c r="FJZ1" s="55"/>
      <c r="FKA1" s="55"/>
      <c r="FKB1" s="55"/>
      <c r="FKC1" s="55"/>
      <c r="FKD1" s="55"/>
      <c r="FKE1" s="55"/>
      <c r="FKF1" s="55"/>
      <c r="FKG1" s="55"/>
      <c r="FKH1" s="55"/>
      <c r="FKI1" s="55"/>
      <c r="FKJ1" s="55"/>
      <c r="FKK1" s="55"/>
      <c r="FKL1" s="55"/>
      <c r="FKM1" s="55"/>
      <c r="FKN1" s="55"/>
      <c r="FKO1" s="55"/>
      <c r="FKP1" s="55"/>
      <c r="FKQ1" s="55"/>
      <c r="FKR1" s="55"/>
      <c r="FKS1" s="55"/>
      <c r="FKT1" s="55"/>
      <c r="FKU1" s="55"/>
      <c r="FKV1" s="55"/>
      <c r="FKW1" s="55"/>
      <c r="FKX1" s="55"/>
      <c r="FKY1" s="55"/>
      <c r="FKZ1" s="55"/>
      <c r="FLA1" s="55"/>
      <c r="FLB1" s="55"/>
      <c r="FLC1" s="55"/>
      <c r="FLD1" s="55"/>
      <c r="FLE1" s="55"/>
      <c r="FLF1" s="55"/>
      <c r="FLG1" s="55"/>
      <c r="FLH1" s="55"/>
      <c r="FLI1" s="55"/>
      <c r="FLJ1" s="55"/>
      <c r="FLK1" s="55"/>
      <c r="FLL1" s="55"/>
      <c r="FLM1" s="55"/>
      <c r="FLN1" s="55"/>
      <c r="FLO1" s="55"/>
      <c r="FLP1" s="55"/>
      <c r="FLQ1" s="55"/>
      <c r="FLR1" s="55"/>
      <c r="FLS1" s="55"/>
      <c r="FLT1" s="55"/>
      <c r="FLU1" s="55"/>
      <c r="FLV1" s="55"/>
      <c r="FLW1" s="55"/>
      <c r="FLX1" s="55"/>
      <c r="FLY1" s="55"/>
      <c r="FLZ1" s="55"/>
      <c r="FMA1" s="55"/>
      <c r="FMB1" s="55"/>
      <c r="FMC1" s="55"/>
      <c r="FMD1" s="55"/>
      <c r="FME1" s="55"/>
      <c r="FMF1" s="55"/>
      <c r="FMG1" s="55"/>
      <c r="FMH1" s="55"/>
      <c r="FMI1" s="55"/>
      <c r="FMJ1" s="55"/>
      <c r="FMK1" s="55"/>
      <c r="FML1" s="55"/>
      <c r="FMM1" s="55"/>
      <c r="FMN1" s="55"/>
      <c r="FMO1" s="55"/>
      <c r="FMP1" s="55"/>
      <c r="FMQ1" s="55"/>
      <c r="FMR1" s="55"/>
      <c r="FMS1" s="55"/>
      <c r="FMT1" s="55"/>
      <c r="FMU1" s="55"/>
      <c r="FMV1" s="55"/>
      <c r="FMW1" s="55"/>
      <c r="FMX1" s="55"/>
      <c r="FMY1" s="55"/>
      <c r="FMZ1" s="55"/>
      <c r="FNA1" s="55"/>
      <c r="FNB1" s="55"/>
      <c r="FNC1" s="55"/>
      <c r="FND1" s="55"/>
      <c r="FNE1" s="55"/>
      <c r="FNF1" s="55"/>
      <c r="FNG1" s="55"/>
      <c r="FNH1" s="55"/>
      <c r="FNI1" s="55"/>
      <c r="FNJ1" s="55"/>
      <c r="FNK1" s="55"/>
      <c r="FNL1" s="55"/>
      <c r="FNM1" s="55"/>
      <c r="FNN1" s="55"/>
      <c r="FNO1" s="55"/>
      <c r="FNP1" s="55"/>
      <c r="FNQ1" s="55"/>
      <c r="FNR1" s="55"/>
      <c r="FNS1" s="55"/>
      <c r="FNT1" s="55"/>
      <c r="FNU1" s="55"/>
      <c r="FNV1" s="55"/>
      <c r="FNW1" s="55"/>
      <c r="FNX1" s="55"/>
      <c r="FNY1" s="55"/>
      <c r="FNZ1" s="55"/>
      <c r="FOA1" s="55"/>
      <c r="FOB1" s="55"/>
      <c r="FOC1" s="55"/>
      <c r="FOD1" s="55"/>
      <c r="FOE1" s="55"/>
      <c r="FOF1" s="55"/>
      <c r="FOG1" s="55"/>
      <c r="FOH1" s="55"/>
      <c r="FOI1" s="55"/>
      <c r="FOJ1" s="55"/>
      <c r="FOK1" s="55"/>
      <c r="FOL1" s="55"/>
      <c r="FOM1" s="55"/>
      <c r="FON1" s="55"/>
      <c r="FOO1" s="55"/>
      <c r="FOP1" s="55"/>
      <c r="FOQ1" s="55"/>
      <c r="FOR1" s="55"/>
      <c r="FOS1" s="55"/>
      <c r="FOT1" s="55"/>
      <c r="FOU1" s="55"/>
      <c r="FOV1" s="55"/>
      <c r="FOW1" s="55"/>
      <c r="FOX1" s="55"/>
      <c r="FOY1" s="55"/>
      <c r="FOZ1" s="55"/>
      <c r="FPA1" s="55"/>
      <c r="FPB1" s="55"/>
      <c r="FPC1" s="55"/>
      <c r="FPD1" s="55"/>
      <c r="FPE1" s="55"/>
      <c r="FPF1" s="55"/>
      <c r="FPG1" s="55"/>
      <c r="FPH1" s="55"/>
      <c r="FPI1" s="55"/>
      <c r="FPJ1" s="55"/>
      <c r="FPK1" s="55"/>
      <c r="FPL1" s="55"/>
      <c r="FPM1" s="55"/>
      <c r="FPN1" s="55"/>
      <c r="FPO1" s="55"/>
      <c r="FPP1" s="55"/>
      <c r="FPQ1" s="55"/>
      <c r="FPR1" s="55"/>
      <c r="FPS1" s="55"/>
      <c r="FPT1" s="55"/>
      <c r="FPU1" s="55"/>
      <c r="FPV1" s="55"/>
      <c r="FPW1" s="55"/>
      <c r="FPX1" s="55"/>
      <c r="FPY1" s="55"/>
      <c r="FPZ1" s="55"/>
      <c r="FQA1" s="55"/>
      <c r="FQB1" s="55"/>
      <c r="FQC1" s="55"/>
      <c r="FQD1" s="55"/>
      <c r="FQE1" s="55"/>
      <c r="FQF1" s="55"/>
      <c r="FQG1" s="55"/>
      <c r="FQH1" s="55"/>
      <c r="FQI1" s="55"/>
      <c r="FQJ1" s="55"/>
      <c r="FQK1" s="55"/>
      <c r="FQL1" s="55"/>
      <c r="FQM1" s="55"/>
      <c r="FQN1" s="55"/>
      <c r="FQO1" s="55"/>
      <c r="FQP1" s="55"/>
      <c r="FQQ1" s="55"/>
      <c r="FQR1" s="55"/>
      <c r="FQS1" s="55"/>
      <c r="FQT1" s="55"/>
      <c r="FQU1" s="55"/>
      <c r="FQV1" s="55"/>
      <c r="FQW1" s="55"/>
      <c r="FQX1" s="55"/>
      <c r="FQY1" s="55"/>
      <c r="FQZ1" s="55"/>
      <c r="FRA1" s="55"/>
      <c r="FRB1" s="55"/>
      <c r="FRC1" s="55"/>
      <c r="FRD1" s="55"/>
      <c r="FRE1" s="55"/>
      <c r="FRF1" s="55"/>
      <c r="FRG1" s="55"/>
      <c r="FRH1" s="55"/>
      <c r="FRI1" s="55"/>
      <c r="FRJ1" s="55"/>
      <c r="FRK1" s="55"/>
      <c r="FRL1" s="55"/>
      <c r="FRM1" s="55"/>
      <c r="FRN1" s="55"/>
      <c r="FRO1" s="55"/>
      <c r="FRP1" s="55"/>
      <c r="FRQ1" s="55"/>
      <c r="FRR1" s="55"/>
      <c r="FRS1" s="55"/>
      <c r="FRT1" s="55"/>
      <c r="FRU1" s="55"/>
      <c r="FRV1" s="55"/>
      <c r="FRW1" s="55"/>
      <c r="FRX1" s="55"/>
      <c r="FRY1" s="55"/>
      <c r="FRZ1" s="55"/>
      <c r="FSA1" s="55"/>
      <c r="FSB1" s="55"/>
      <c r="FSC1" s="55"/>
      <c r="FSD1" s="55"/>
      <c r="FSE1" s="55"/>
      <c r="FSF1" s="55"/>
      <c r="FSG1" s="55"/>
      <c r="FSH1" s="55"/>
      <c r="FSI1" s="55"/>
      <c r="FSJ1" s="55"/>
      <c r="FSK1" s="55"/>
      <c r="FSL1" s="55"/>
      <c r="FSM1" s="55"/>
      <c r="FSN1" s="55"/>
      <c r="FSO1" s="55"/>
      <c r="FSP1" s="55"/>
      <c r="FSQ1" s="55"/>
      <c r="FSR1" s="55"/>
      <c r="FSS1" s="55"/>
      <c r="FST1" s="55"/>
      <c r="FSU1" s="55"/>
      <c r="FSV1" s="55"/>
      <c r="FSW1" s="55"/>
      <c r="FSX1" s="55"/>
      <c r="FSY1" s="55"/>
      <c r="FSZ1" s="55"/>
      <c r="FTA1" s="55"/>
      <c r="FTB1" s="55"/>
      <c r="FTC1" s="55"/>
      <c r="FTD1" s="55"/>
      <c r="FTE1" s="55"/>
      <c r="FTF1" s="55"/>
      <c r="FTG1" s="55"/>
      <c r="FTH1" s="55"/>
      <c r="FTI1" s="55"/>
      <c r="FTJ1" s="55"/>
      <c r="FTK1" s="55"/>
      <c r="FTL1" s="55"/>
      <c r="FTM1" s="55"/>
      <c r="FTN1" s="55"/>
      <c r="FTO1" s="55"/>
      <c r="FTP1" s="55"/>
      <c r="FTQ1" s="55"/>
      <c r="FTR1" s="55"/>
      <c r="FTS1" s="55"/>
      <c r="FTT1" s="55"/>
      <c r="FTU1" s="55"/>
      <c r="FTV1" s="55"/>
      <c r="FTW1" s="55"/>
      <c r="FTX1" s="55"/>
      <c r="FTY1" s="55"/>
      <c r="FTZ1" s="55"/>
      <c r="FUA1" s="55"/>
      <c r="FUB1" s="55"/>
      <c r="FUC1" s="55"/>
      <c r="FUD1" s="55"/>
      <c r="FUE1" s="55"/>
      <c r="FUF1" s="55"/>
      <c r="FUG1" s="55"/>
      <c r="FUH1" s="55"/>
      <c r="FUI1" s="55"/>
      <c r="FUJ1" s="55"/>
      <c r="FUK1" s="55"/>
      <c r="FUL1" s="55"/>
      <c r="FUM1" s="55"/>
      <c r="FUN1" s="55"/>
      <c r="FUO1" s="55"/>
      <c r="FUP1" s="55"/>
      <c r="FUQ1" s="55"/>
      <c r="FUR1" s="55"/>
      <c r="FUS1" s="55"/>
      <c r="FUT1" s="55"/>
      <c r="FUU1" s="55"/>
      <c r="FUV1" s="55"/>
      <c r="FUW1" s="55"/>
      <c r="FUX1" s="55"/>
      <c r="FUY1" s="55"/>
      <c r="FUZ1" s="55"/>
      <c r="FVA1" s="55"/>
      <c r="FVB1" s="55"/>
      <c r="FVC1" s="55"/>
      <c r="FVD1" s="55"/>
      <c r="FVE1" s="55"/>
      <c r="FVF1" s="55"/>
      <c r="FVG1" s="55"/>
      <c r="FVH1" s="55"/>
      <c r="FVI1" s="55"/>
      <c r="FVJ1" s="55"/>
      <c r="FVK1" s="55"/>
      <c r="FVL1" s="55"/>
      <c r="FVM1" s="55"/>
      <c r="FVN1" s="55"/>
      <c r="FVO1" s="55"/>
      <c r="FVP1" s="55"/>
      <c r="FVQ1" s="55"/>
      <c r="FVR1" s="55"/>
      <c r="FVS1" s="55"/>
      <c r="FVT1" s="55"/>
      <c r="FVU1" s="55"/>
      <c r="FVV1" s="55"/>
      <c r="FVW1" s="55"/>
      <c r="FVX1" s="55"/>
      <c r="FVY1" s="55"/>
      <c r="FVZ1" s="55"/>
      <c r="FWA1" s="55"/>
      <c r="FWB1" s="55"/>
      <c r="FWC1" s="55"/>
      <c r="FWD1" s="55"/>
      <c r="FWE1" s="55"/>
      <c r="FWF1" s="55"/>
      <c r="FWG1" s="55"/>
      <c r="FWH1" s="55"/>
      <c r="FWI1" s="55"/>
      <c r="FWJ1" s="55"/>
      <c r="FWK1" s="55"/>
      <c r="FWL1" s="55"/>
      <c r="FWM1" s="55"/>
      <c r="FWN1" s="55"/>
      <c r="FWO1" s="55"/>
      <c r="FWP1" s="55"/>
      <c r="FWQ1" s="55"/>
      <c r="FWR1" s="55"/>
      <c r="FWS1" s="55"/>
      <c r="FWT1" s="55"/>
      <c r="FWU1" s="55"/>
      <c r="FWV1" s="55"/>
      <c r="FWW1" s="55"/>
      <c r="FWX1" s="55"/>
      <c r="FWY1" s="55"/>
      <c r="FWZ1" s="55"/>
      <c r="FXA1" s="55"/>
      <c r="FXB1" s="55"/>
      <c r="FXC1" s="55"/>
      <c r="FXD1" s="55"/>
      <c r="FXE1" s="55"/>
      <c r="FXF1" s="55"/>
      <c r="FXG1" s="55"/>
      <c r="FXH1" s="55"/>
      <c r="FXI1" s="55"/>
      <c r="FXJ1" s="55"/>
      <c r="FXK1" s="55"/>
      <c r="FXL1" s="55"/>
      <c r="FXM1" s="55"/>
      <c r="FXN1" s="55"/>
      <c r="FXO1" s="55"/>
      <c r="FXP1" s="55"/>
      <c r="FXQ1" s="55"/>
      <c r="FXR1" s="55"/>
      <c r="FXS1" s="55"/>
      <c r="FXT1" s="55"/>
      <c r="FXU1" s="55"/>
      <c r="FXV1" s="55"/>
      <c r="FXW1" s="55"/>
      <c r="FXX1" s="55"/>
      <c r="FXY1" s="55"/>
      <c r="FXZ1" s="55"/>
      <c r="FYA1" s="55"/>
      <c r="FYB1" s="55"/>
      <c r="FYC1" s="55"/>
      <c r="FYD1" s="55"/>
      <c r="FYE1" s="55"/>
      <c r="FYF1" s="55"/>
      <c r="FYG1" s="55"/>
      <c r="FYH1" s="55"/>
      <c r="FYI1" s="55"/>
      <c r="FYJ1" s="55"/>
      <c r="FYK1" s="55"/>
      <c r="FYL1" s="55"/>
      <c r="FYM1" s="55"/>
      <c r="FYN1" s="55"/>
      <c r="FYO1" s="55"/>
      <c r="FYP1" s="55"/>
      <c r="FYQ1" s="55"/>
      <c r="FYR1" s="55"/>
      <c r="FYS1" s="55"/>
      <c r="FYT1" s="55"/>
      <c r="FYU1" s="55"/>
      <c r="FYV1" s="55"/>
      <c r="FYW1" s="55"/>
      <c r="FYX1" s="55"/>
      <c r="FYY1" s="55"/>
      <c r="FYZ1" s="55"/>
      <c r="FZA1" s="55"/>
      <c r="FZB1" s="55"/>
      <c r="FZC1" s="55"/>
      <c r="FZD1" s="55"/>
      <c r="FZE1" s="55"/>
      <c r="FZF1" s="55"/>
      <c r="FZG1" s="55"/>
      <c r="FZH1" s="55"/>
      <c r="FZI1" s="55"/>
      <c r="FZJ1" s="55"/>
      <c r="FZK1" s="55"/>
      <c r="FZL1" s="55"/>
      <c r="FZM1" s="55"/>
      <c r="FZN1" s="55"/>
      <c r="FZO1" s="55"/>
      <c r="FZP1" s="55"/>
      <c r="FZQ1" s="55"/>
      <c r="FZR1" s="55"/>
      <c r="FZS1" s="55"/>
      <c r="FZT1" s="55"/>
      <c r="FZU1" s="55"/>
      <c r="FZV1" s="55"/>
      <c r="FZW1" s="55"/>
      <c r="FZX1" s="55"/>
      <c r="FZY1" s="55"/>
      <c r="FZZ1" s="55"/>
      <c r="GAA1" s="55"/>
      <c r="GAB1" s="55"/>
      <c r="GAC1" s="55"/>
      <c r="GAD1" s="55"/>
      <c r="GAE1" s="55"/>
      <c r="GAF1" s="55"/>
      <c r="GAG1" s="55"/>
      <c r="GAH1" s="55"/>
      <c r="GAI1" s="55"/>
      <c r="GAJ1" s="55"/>
      <c r="GAK1" s="55"/>
      <c r="GAL1" s="55"/>
      <c r="GAM1" s="55"/>
      <c r="GAN1" s="55"/>
      <c r="GAO1" s="55"/>
      <c r="GAP1" s="55"/>
      <c r="GAQ1" s="55"/>
      <c r="GAR1" s="55"/>
      <c r="GAS1" s="55"/>
      <c r="GAT1" s="55"/>
      <c r="GAU1" s="55"/>
      <c r="GAV1" s="55"/>
      <c r="GAW1" s="55"/>
      <c r="GAX1" s="55"/>
      <c r="GAY1" s="55"/>
      <c r="GAZ1" s="55"/>
      <c r="GBA1" s="55"/>
      <c r="GBB1" s="55"/>
      <c r="GBC1" s="55"/>
      <c r="GBD1" s="55"/>
      <c r="GBE1" s="55"/>
      <c r="GBF1" s="55"/>
      <c r="GBG1" s="55"/>
      <c r="GBH1" s="55"/>
      <c r="GBI1" s="55"/>
      <c r="GBJ1" s="55"/>
      <c r="GBK1" s="55"/>
      <c r="GBL1" s="55"/>
      <c r="GBM1" s="55"/>
      <c r="GBN1" s="55"/>
      <c r="GBO1" s="55"/>
      <c r="GBP1" s="55"/>
      <c r="GBQ1" s="55"/>
      <c r="GBR1" s="55"/>
      <c r="GBS1" s="55"/>
      <c r="GBT1" s="55"/>
      <c r="GBU1" s="55"/>
      <c r="GBV1" s="55"/>
      <c r="GBW1" s="55"/>
      <c r="GBX1" s="55"/>
      <c r="GBY1" s="55"/>
      <c r="GBZ1" s="55"/>
      <c r="GCA1" s="55"/>
      <c r="GCB1" s="55"/>
      <c r="GCC1" s="55"/>
      <c r="GCD1" s="55"/>
      <c r="GCE1" s="55"/>
      <c r="GCF1" s="55"/>
      <c r="GCG1" s="55"/>
      <c r="GCH1" s="55"/>
      <c r="GCI1" s="55"/>
      <c r="GCJ1" s="55"/>
      <c r="GCK1" s="55"/>
      <c r="GCL1" s="55"/>
      <c r="GCM1" s="55"/>
      <c r="GCN1" s="55"/>
      <c r="GCO1" s="55"/>
      <c r="GCP1" s="55"/>
      <c r="GCQ1" s="55"/>
      <c r="GCR1" s="55"/>
      <c r="GCS1" s="55"/>
      <c r="GCT1" s="55"/>
      <c r="GCU1" s="55"/>
      <c r="GCV1" s="55"/>
      <c r="GCW1" s="55"/>
      <c r="GCX1" s="55"/>
      <c r="GCY1" s="55"/>
      <c r="GCZ1" s="55"/>
      <c r="GDA1" s="55"/>
      <c r="GDB1" s="55"/>
      <c r="GDC1" s="55"/>
      <c r="GDD1" s="55"/>
      <c r="GDE1" s="55"/>
      <c r="GDF1" s="55"/>
      <c r="GDG1" s="55"/>
      <c r="GDH1" s="55"/>
      <c r="GDI1" s="55"/>
      <c r="GDJ1" s="55"/>
      <c r="GDK1" s="55"/>
      <c r="GDL1" s="55"/>
      <c r="GDM1" s="55"/>
      <c r="GDN1" s="55"/>
      <c r="GDO1" s="55"/>
      <c r="GDP1" s="55"/>
      <c r="GDQ1" s="55"/>
      <c r="GDR1" s="55"/>
      <c r="GDS1" s="55"/>
      <c r="GDT1" s="55"/>
      <c r="GDU1" s="55"/>
      <c r="GDV1" s="55"/>
      <c r="GDW1" s="55"/>
      <c r="GDX1" s="55"/>
      <c r="GDY1" s="55"/>
      <c r="GDZ1" s="55"/>
      <c r="GEA1" s="55"/>
      <c r="GEB1" s="55"/>
      <c r="GEC1" s="55"/>
      <c r="GED1" s="55"/>
      <c r="GEE1" s="55"/>
      <c r="GEF1" s="55"/>
      <c r="GEG1" s="55"/>
      <c r="GEH1" s="55"/>
      <c r="GEI1" s="55"/>
      <c r="GEJ1" s="55"/>
      <c r="GEK1" s="55"/>
      <c r="GEL1" s="55"/>
      <c r="GEM1" s="55"/>
      <c r="GEN1" s="55"/>
      <c r="GEO1" s="55"/>
      <c r="GEP1" s="55"/>
      <c r="GEQ1" s="55"/>
      <c r="GER1" s="55"/>
      <c r="GES1" s="55"/>
      <c r="GET1" s="55"/>
      <c r="GEU1" s="55"/>
      <c r="GEV1" s="55"/>
      <c r="GEW1" s="55"/>
      <c r="GEX1" s="55"/>
      <c r="GEY1" s="55"/>
      <c r="GEZ1" s="55"/>
      <c r="GFA1" s="55"/>
      <c r="GFB1" s="55"/>
      <c r="GFC1" s="55"/>
      <c r="GFD1" s="55"/>
      <c r="GFE1" s="55"/>
      <c r="GFF1" s="55"/>
      <c r="GFG1" s="55"/>
      <c r="GFH1" s="55"/>
      <c r="GFI1" s="55"/>
      <c r="GFJ1" s="55"/>
      <c r="GFK1" s="55"/>
      <c r="GFL1" s="55"/>
      <c r="GFM1" s="55"/>
      <c r="GFN1" s="55"/>
      <c r="GFO1" s="55"/>
      <c r="GFP1" s="55"/>
      <c r="GFQ1" s="55"/>
      <c r="GFR1" s="55"/>
      <c r="GFS1" s="55"/>
      <c r="GFT1" s="55"/>
      <c r="GFU1" s="55"/>
      <c r="GFV1" s="55"/>
      <c r="GFW1" s="55"/>
      <c r="GFX1" s="55"/>
      <c r="GFY1" s="55"/>
      <c r="GFZ1" s="55"/>
      <c r="GGA1" s="55"/>
      <c r="GGB1" s="55"/>
      <c r="GGC1" s="55"/>
      <c r="GGD1" s="55"/>
      <c r="GGE1" s="55"/>
      <c r="GGF1" s="55"/>
      <c r="GGG1" s="55"/>
      <c r="GGH1" s="55"/>
      <c r="GGI1" s="55"/>
      <c r="GGJ1" s="55"/>
      <c r="GGK1" s="55"/>
      <c r="GGL1" s="55"/>
      <c r="GGM1" s="55"/>
      <c r="GGN1" s="55"/>
      <c r="GGO1" s="55"/>
      <c r="GGP1" s="55"/>
      <c r="GGQ1" s="55"/>
      <c r="GGR1" s="55"/>
      <c r="GGS1" s="55"/>
      <c r="GGT1" s="55"/>
      <c r="GGU1" s="55"/>
      <c r="GGV1" s="55"/>
      <c r="GGW1" s="55"/>
      <c r="GGX1" s="55"/>
      <c r="GGY1" s="55"/>
      <c r="GGZ1" s="55"/>
      <c r="GHA1" s="55"/>
      <c r="GHB1" s="55"/>
      <c r="GHC1" s="55"/>
      <c r="GHD1" s="55"/>
      <c r="GHE1" s="55"/>
      <c r="GHF1" s="55"/>
      <c r="GHG1" s="55"/>
      <c r="GHH1" s="55"/>
      <c r="GHI1" s="55"/>
      <c r="GHJ1" s="55"/>
      <c r="GHK1" s="55"/>
      <c r="GHL1" s="55"/>
      <c r="GHM1" s="55"/>
      <c r="GHN1" s="55"/>
      <c r="GHO1" s="55"/>
      <c r="GHP1" s="55"/>
      <c r="GHQ1" s="55"/>
      <c r="GHR1" s="55"/>
      <c r="GHS1" s="55"/>
      <c r="GHT1" s="55"/>
      <c r="GHU1" s="55"/>
      <c r="GHV1" s="55"/>
      <c r="GHW1" s="55"/>
      <c r="GHX1" s="55"/>
      <c r="GHY1" s="55"/>
      <c r="GHZ1" s="55"/>
      <c r="GIA1" s="55"/>
      <c r="GIB1" s="55"/>
      <c r="GIC1" s="55"/>
      <c r="GID1" s="55"/>
      <c r="GIE1" s="55"/>
      <c r="GIF1" s="55"/>
      <c r="GIG1" s="55"/>
      <c r="GIH1" s="55"/>
      <c r="GII1" s="55"/>
      <c r="GIJ1" s="55"/>
      <c r="GIK1" s="55"/>
      <c r="GIL1" s="55"/>
      <c r="GIM1" s="55"/>
      <c r="GIN1" s="55"/>
      <c r="GIO1" s="55"/>
      <c r="GIP1" s="55"/>
      <c r="GIQ1" s="55"/>
      <c r="GIR1" s="55"/>
      <c r="GIS1" s="55"/>
      <c r="GIT1" s="55"/>
      <c r="GIU1" s="55"/>
      <c r="GIV1" s="55"/>
      <c r="GIW1" s="55"/>
      <c r="GIX1" s="55"/>
      <c r="GIY1" s="55"/>
      <c r="GIZ1" s="55"/>
      <c r="GJA1" s="55"/>
      <c r="GJB1" s="55"/>
      <c r="GJC1" s="55"/>
      <c r="GJD1" s="55"/>
      <c r="GJE1" s="55"/>
      <c r="GJF1" s="55"/>
      <c r="GJG1" s="55"/>
      <c r="GJH1" s="55"/>
      <c r="GJI1" s="55"/>
      <c r="GJJ1" s="55"/>
      <c r="GJK1" s="55"/>
      <c r="GJL1" s="55"/>
      <c r="GJM1" s="55"/>
      <c r="GJN1" s="55"/>
      <c r="GJO1" s="55"/>
      <c r="GJP1" s="55"/>
      <c r="GJQ1" s="55"/>
      <c r="GJR1" s="55"/>
      <c r="GJS1" s="55"/>
      <c r="GJT1" s="55"/>
      <c r="GJU1" s="55"/>
      <c r="GJV1" s="55"/>
      <c r="GJW1" s="55"/>
      <c r="GJX1" s="55"/>
      <c r="GJY1" s="55"/>
      <c r="GJZ1" s="55"/>
      <c r="GKA1" s="55"/>
      <c r="GKB1" s="55"/>
      <c r="GKC1" s="55"/>
      <c r="GKD1" s="55"/>
      <c r="GKE1" s="55"/>
      <c r="GKF1" s="55"/>
      <c r="GKG1" s="55"/>
      <c r="GKH1" s="55"/>
      <c r="GKI1" s="55"/>
      <c r="GKJ1" s="55"/>
      <c r="GKK1" s="55"/>
      <c r="GKL1" s="55"/>
      <c r="GKM1" s="55"/>
      <c r="GKN1" s="55"/>
      <c r="GKO1" s="55"/>
      <c r="GKP1" s="55"/>
      <c r="GKQ1" s="55"/>
      <c r="GKR1" s="55"/>
      <c r="GKS1" s="55"/>
      <c r="GKT1" s="55"/>
      <c r="GKU1" s="55"/>
      <c r="GKV1" s="55"/>
      <c r="GKW1" s="55"/>
      <c r="GKX1" s="55"/>
      <c r="GKY1" s="55"/>
      <c r="GKZ1" s="55"/>
      <c r="GLA1" s="55"/>
      <c r="GLB1" s="55"/>
      <c r="GLC1" s="55"/>
      <c r="GLD1" s="55"/>
      <c r="GLE1" s="55"/>
      <c r="GLF1" s="55"/>
      <c r="GLG1" s="55"/>
      <c r="GLH1" s="55"/>
      <c r="GLI1" s="55"/>
      <c r="GLJ1" s="55"/>
      <c r="GLK1" s="55"/>
      <c r="GLL1" s="55"/>
      <c r="GLM1" s="55"/>
      <c r="GLN1" s="55"/>
      <c r="GLO1" s="55"/>
      <c r="GLP1" s="55"/>
      <c r="GLQ1" s="55"/>
      <c r="GLR1" s="55"/>
      <c r="GLS1" s="55"/>
      <c r="GLT1" s="55"/>
      <c r="GLU1" s="55"/>
      <c r="GLV1" s="55"/>
      <c r="GLW1" s="55"/>
      <c r="GLX1" s="55"/>
      <c r="GLY1" s="55"/>
      <c r="GLZ1" s="55"/>
      <c r="GMA1" s="55"/>
      <c r="GMB1" s="55"/>
      <c r="GMC1" s="55"/>
      <c r="GMD1" s="55"/>
      <c r="GME1" s="55"/>
      <c r="GMF1" s="55"/>
      <c r="GMG1" s="55"/>
      <c r="GMH1" s="55"/>
      <c r="GMI1" s="55"/>
      <c r="GMJ1" s="55"/>
      <c r="GMK1" s="55"/>
      <c r="GML1" s="55"/>
      <c r="GMM1" s="55"/>
      <c r="GMN1" s="55"/>
      <c r="GMO1" s="55"/>
      <c r="GMP1" s="55"/>
      <c r="GMQ1" s="55"/>
      <c r="GMR1" s="55"/>
      <c r="GMS1" s="55"/>
      <c r="GMT1" s="55"/>
      <c r="GMU1" s="55"/>
      <c r="GMV1" s="55"/>
      <c r="GMW1" s="55"/>
      <c r="GMX1" s="55"/>
      <c r="GMY1" s="55"/>
      <c r="GMZ1" s="55"/>
      <c r="GNA1" s="55"/>
      <c r="GNB1" s="55"/>
      <c r="GNC1" s="55"/>
      <c r="GND1" s="55"/>
      <c r="GNE1" s="55"/>
      <c r="GNF1" s="55"/>
      <c r="GNG1" s="55"/>
      <c r="GNH1" s="55"/>
      <c r="GNI1" s="55"/>
      <c r="GNJ1" s="55"/>
      <c r="GNK1" s="55"/>
      <c r="GNL1" s="55"/>
      <c r="GNM1" s="55"/>
      <c r="GNN1" s="55"/>
      <c r="GNO1" s="55"/>
      <c r="GNP1" s="55"/>
      <c r="GNQ1" s="55"/>
      <c r="GNR1" s="55"/>
      <c r="GNS1" s="55"/>
      <c r="GNT1" s="55"/>
      <c r="GNU1" s="55"/>
      <c r="GNV1" s="55"/>
      <c r="GNW1" s="55"/>
      <c r="GNX1" s="55"/>
      <c r="GNY1" s="55"/>
      <c r="GNZ1" s="55"/>
      <c r="GOA1" s="55"/>
      <c r="GOB1" s="55"/>
      <c r="GOC1" s="55"/>
      <c r="GOD1" s="55"/>
      <c r="GOE1" s="55"/>
      <c r="GOF1" s="55"/>
      <c r="GOG1" s="55"/>
      <c r="GOH1" s="55"/>
      <c r="GOI1" s="55"/>
      <c r="GOJ1" s="55"/>
      <c r="GOK1" s="55"/>
      <c r="GOL1" s="55"/>
      <c r="GOM1" s="55"/>
      <c r="GON1" s="55"/>
      <c r="GOO1" s="55"/>
      <c r="GOP1" s="55"/>
      <c r="GOQ1" s="55"/>
      <c r="GOR1" s="55"/>
      <c r="GOS1" s="55"/>
      <c r="GOT1" s="55"/>
      <c r="GOU1" s="55"/>
      <c r="GOV1" s="55"/>
      <c r="GOW1" s="55"/>
      <c r="GOX1" s="55"/>
      <c r="GOY1" s="55"/>
      <c r="GOZ1" s="55"/>
      <c r="GPA1" s="55"/>
      <c r="GPB1" s="55"/>
      <c r="GPC1" s="55"/>
      <c r="GPD1" s="55"/>
      <c r="GPE1" s="55"/>
      <c r="GPF1" s="55"/>
      <c r="GPG1" s="55"/>
      <c r="GPH1" s="55"/>
      <c r="GPI1" s="55"/>
      <c r="GPJ1" s="55"/>
      <c r="GPK1" s="55"/>
      <c r="GPL1" s="55"/>
      <c r="GPM1" s="55"/>
      <c r="GPN1" s="55"/>
      <c r="GPO1" s="55"/>
      <c r="GPP1" s="55"/>
      <c r="GPQ1" s="55"/>
      <c r="GPR1" s="55"/>
      <c r="GPS1" s="55"/>
      <c r="GPT1" s="55"/>
      <c r="GPU1" s="55"/>
      <c r="GPV1" s="55"/>
      <c r="GPW1" s="55"/>
      <c r="GPX1" s="55"/>
      <c r="GPY1" s="55"/>
      <c r="GPZ1" s="55"/>
      <c r="GQA1" s="55"/>
      <c r="GQB1" s="55"/>
      <c r="GQC1" s="55"/>
      <c r="GQD1" s="55"/>
      <c r="GQE1" s="55"/>
      <c r="GQF1" s="55"/>
      <c r="GQG1" s="55"/>
      <c r="GQH1" s="55"/>
      <c r="GQI1" s="55"/>
      <c r="GQJ1" s="55"/>
      <c r="GQK1" s="55"/>
      <c r="GQL1" s="55"/>
      <c r="GQM1" s="55"/>
      <c r="GQN1" s="55"/>
      <c r="GQO1" s="55"/>
      <c r="GQP1" s="55"/>
      <c r="GQQ1" s="55"/>
      <c r="GQR1" s="55"/>
      <c r="GQS1" s="55"/>
      <c r="GQT1" s="55"/>
      <c r="GQU1" s="55"/>
      <c r="GQV1" s="55"/>
      <c r="GQW1" s="55"/>
      <c r="GQX1" s="55"/>
      <c r="GQY1" s="55"/>
      <c r="GQZ1" s="55"/>
      <c r="GRA1" s="55"/>
      <c r="GRB1" s="55"/>
      <c r="GRC1" s="55"/>
      <c r="GRD1" s="55"/>
      <c r="GRE1" s="55"/>
      <c r="GRF1" s="55"/>
      <c r="GRG1" s="55"/>
      <c r="GRH1" s="55"/>
      <c r="GRI1" s="55"/>
      <c r="GRJ1" s="55"/>
      <c r="GRK1" s="55"/>
      <c r="GRL1" s="55"/>
      <c r="GRM1" s="55"/>
      <c r="GRN1" s="55"/>
      <c r="GRO1" s="55"/>
      <c r="GRP1" s="55"/>
      <c r="GRQ1" s="55"/>
      <c r="GRR1" s="55"/>
      <c r="GRS1" s="55"/>
      <c r="GRT1" s="55"/>
      <c r="GRU1" s="55"/>
      <c r="GRV1" s="55"/>
      <c r="GRW1" s="55"/>
      <c r="GRX1" s="55"/>
      <c r="GRY1" s="55"/>
      <c r="GRZ1" s="55"/>
      <c r="GSA1" s="55"/>
      <c r="GSB1" s="55"/>
      <c r="GSC1" s="55"/>
      <c r="GSD1" s="55"/>
      <c r="GSE1" s="55"/>
      <c r="GSF1" s="55"/>
      <c r="GSG1" s="55"/>
      <c r="GSH1" s="55"/>
      <c r="GSI1" s="55"/>
      <c r="GSJ1" s="55"/>
      <c r="GSK1" s="55"/>
      <c r="GSL1" s="55"/>
      <c r="GSM1" s="55"/>
      <c r="GSN1" s="55"/>
      <c r="GSO1" s="55"/>
      <c r="GSP1" s="55"/>
      <c r="GSQ1" s="55"/>
      <c r="GSR1" s="55"/>
      <c r="GSS1" s="55"/>
      <c r="GST1" s="55"/>
      <c r="GSU1" s="55"/>
      <c r="GSV1" s="55"/>
      <c r="GSW1" s="55"/>
      <c r="GSX1" s="55"/>
      <c r="GSY1" s="55"/>
      <c r="GSZ1" s="55"/>
      <c r="GTA1" s="55"/>
      <c r="GTB1" s="55"/>
      <c r="GTC1" s="55"/>
      <c r="GTD1" s="55"/>
      <c r="GTE1" s="55"/>
      <c r="GTF1" s="55"/>
      <c r="GTG1" s="55"/>
      <c r="GTH1" s="55"/>
      <c r="GTI1" s="55"/>
      <c r="GTJ1" s="55"/>
      <c r="GTK1" s="55"/>
      <c r="GTL1" s="55"/>
      <c r="GTM1" s="55"/>
      <c r="GTN1" s="55"/>
      <c r="GTO1" s="55"/>
      <c r="GTP1" s="55"/>
      <c r="GTQ1" s="55"/>
      <c r="GTR1" s="55"/>
      <c r="GTS1" s="55"/>
      <c r="GTT1" s="55"/>
      <c r="GTU1" s="55"/>
      <c r="GTV1" s="55"/>
      <c r="GTW1" s="55"/>
      <c r="GTX1" s="55"/>
      <c r="GTY1" s="55"/>
      <c r="GTZ1" s="55"/>
      <c r="GUA1" s="55"/>
      <c r="GUB1" s="55"/>
      <c r="GUC1" s="55"/>
      <c r="GUD1" s="55"/>
      <c r="GUE1" s="55"/>
      <c r="GUF1" s="55"/>
      <c r="GUG1" s="55"/>
      <c r="GUH1" s="55"/>
      <c r="GUI1" s="55"/>
      <c r="GUJ1" s="55"/>
      <c r="GUK1" s="55"/>
      <c r="GUL1" s="55"/>
      <c r="GUM1" s="55"/>
      <c r="GUN1" s="55"/>
      <c r="GUO1" s="55"/>
      <c r="GUP1" s="55"/>
      <c r="GUQ1" s="55"/>
      <c r="GUR1" s="55"/>
      <c r="GUS1" s="55"/>
      <c r="GUT1" s="55"/>
      <c r="GUU1" s="55"/>
      <c r="GUV1" s="55"/>
      <c r="GUW1" s="55"/>
      <c r="GUX1" s="55"/>
      <c r="GUY1" s="55"/>
      <c r="GUZ1" s="55"/>
      <c r="GVA1" s="55"/>
      <c r="GVB1" s="55"/>
      <c r="GVC1" s="55"/>
      <c r="GVD1" s="55"/>
      <c r="GVE1" s="55"/>
      <c r="GVF1" s="55"/>
      <c r="GVG1" s="55"/>
      <c r="GVH1" s="55"/>
      <c r="GVI1" s="55"/>
      <c r="GVJ1" s="55"/>
      <c r="GVK1" s="55"/>
      <c r="GVL1" s="55"/>
      <c r="GVM1" s="55"/>
      <c r="GVN1" s="55"/>
      <c r="GVO1" s="55"/>
      <c r="GVP1" s="55"/>
      <c r="GVQ1" s="55"/>
      <c r="GVR1" s="55"/>
      <c r="GVS1" s="55"/>
      <c r="GVT1" s="55"/>
      <c r="GVU1" s="55"/>
      <c r="GVV1" s="55"/>
      <c r="GVW1" s="55"/>
      <c r="GVX1" s="55"/>
      <c r="GVY1" s="55"/>
      <c r="GVZ1" s="55"/>
      <c r="GWA1" s="55"/>
      <c r="GWB1" s="55"/>
      <c r="GWC1" s="55"/>
      <c r="GWD1" s="55"/>
      <c r="GWE1" s="55"/>
      <c r="GWF1" s="55"/>
      <c r="GWG1" s="55"/>
      <c r="GWH1" s="55"/>
      <c r="GWI1" s="55"/>
      <c r="GWJ1" s="55"/>
      <c r="GWK1" s="55"/>
      <c r="GWL1" s="55"/>
      <c r="GWM1" s="55"/>
      <c r="GWN1" s="55"/>
      <c r="GWO1" s="55"/>
      <c r="GWP1" s="55"/>
      <c r="GWQ1" s="55"/>
      <c r="GWR1" s="55"/>
      <c r="GWS1" s="55"/>
      <c r="GWT1" s="55"/>
      <c r="GWU1" s="55"/>
      <c r="GWV1" s="55"/>
      <c r="GWW1" s="55"/>
      <c r="GWX1" s="55"/>
      <c r="GWY1" s="55"/>
      <c r="GWZ1" s="55"/>
      <c r="GXA1" s="55"/>
      <c r="GXB1" s="55"/>
      <c r="GXC1" s="55"/>
      <c r="GXD1" s="55"/>
      <c r="GXE1" s="55"/>
      <c r="GXF1" s="55"/>
      <c r="GXG1" s="55"/>
      <c r="GXH1" s="55"/>
      <c r="GXI1" s="55"/>
      <c r="GXJ1" s="55"/>
      <c r="GXK1" s="55"/>
      <c r="GXL1" s="55"/>
      <c r="GXM1" s="55"/>
      <c r="GXN1" s="55"/>
      <c r="GXO1" s="55"/>
      <c r="GXP1" s="55"/>
      <c r="GXQ1" s="55"/>
      <c r="GXR1" s="55"/>
      <c r="GXS1" s="55"/>
      <c r="GXT1" s="55"/>
      <c r="GXU1" s="55"/>
      <c r="GXV1" s="55"/>
      <c r="GXW1" s="55"/>
      <c r="GXX1" s="55"/>
      <c r="GXY1" s="55"/>
      <c r="GXZ1" s="55"/>
      <c r="GYA1" s="55"/>
      <c r="GYB1" s="55"/>
      <c r="GYC1" s="55"/>
      <c r="GYD1" s="55"/>
      <c r="GYE1" s="55"/>
      <c r="GYF1" s="55"/>
      <c r="GYG1" s="55"/>
      <c r="GYH1" s="55"/>
      <c r="GYI1" s="55"/>
      <c r="GYJ1" s="55"/>
      <c r="GYK1" s="55"/>
      <c r="GYL1" s="55"/>
      <c r="GYM1" s="55"/>
      <c r="GYN1" s="55"/>
      <c r="GYO1" s="55"/>
      <c r="GYP1" s="55"/>
      <c r="GYQ1" s="55"/>
      <c r="GYR1" s="55"/>
      <c r="GYS1" s="55"/>
      <c r="GYT1" s="55"/>
      <c r="GYU1" s="55"/>
      <c r="GYV1" s="55"/>
      <c r="GYW1" s="55"/>
      <c r="GYX1" s="55"/>
      <c r="GYY1" s="55"/>
      <c r="GYZ1" s="55"/>
      <c r="GZA1" s="55"/>
      <c r="GZB1" s="55"/>
      <c r="GZC1" s="55"/>
      <c r="GZD1" s="55"/>
      <c r="GZE1" s="55"/>
      <c r="GZF1" s="55"/>
      <c r="GZG1" s="55"/>
      <c r="GZH1" s="55"/>
      <c r="GZI1" s="55"/>
      <c r="GZJ1" s="55"/>
      <c r="GZK1" s="55"/>
      <c r="GZL1" s="55"/>
      <c r="GZM1" s="55"/>
      <c r="GZN1" s="55"/>
      <c r="GZO1" s="55"/>
      <c r="GZP1" s="55"/>
      <c r="GZQ1" s="55"/>
      <c r="GZR1" s="55"/>
      <c r="GZS1" s="55"/>
      <c r="GZT1" s="55"/>
      <c r="GZU1" s="55"/>
      <c r="GZV1" s="55"/>
      <c r="GZW1" s="55"/>
      <c r="GZX1" s="55"/>
      <c r="GZY1" s="55"/>
      <c r="GZZ1" s="55"/>
      <c r="HAA1" s="55"/>
      <c r="HAB1" s="55"/>
      <c r="HAC1" s="55"/>
      <c r="HAD1" s="55"/>
      <c r="HAE1" s="55"/>
      <c r="HAF1" s="55"/>
      <c r="HAG1" s="55"/>
      <c r="HAH1" s="55"/>
      <c r="HAI1" s="55"/>
      <c r="HAJ1" s="55"/>
      <c r="HAK1" s="55"/>
      <c r="HAL1" s="55"/>
      <c r="HAM1" s="55"/>
      <c r="HAN1" s="55"/>
      <c r="HAO1" s="55"/>
      <c r="HAP1" s="55"/>
      <c r="HAQ1" s="55"/>
      <c r="HAR1" s="55"/>
      <c r="HAS1" s="55"/>
      <c r="HAT1" s="55"/>
      <c r="HAU1" s="55"/>
      <c r="HAV1" s="55"/>
      <c r="HAW1" s="55"/>
      <c r="HAX1" s="55"/>
      <c r="HAY1" s="55"/>
      <c r="HAZ1" s="55"/>
      <c r="HBA1" s="55"/>
      <c r="HBB1" s="55"/>
      <c r="HBC1" s="55"/>
      <c r="HBD1" s="55"/>
      <c r="HBE1" s="55"/>
      <c r="HBF1" s="55"/>
      <c r="HBG1" s="55"/>
      <c r="HBH1" s="55"/>
      <c r="HBI1" s="55"/>
      <c r="HBJ1" s="55"/>
      <c r="HBK1" s="55"/>
      <c r="HBL1" s="55"/>
      <c r="HBM1" s="55"/>
      <c r="HBN1" s="55"/>
      <c r="HBO1" s="55"/>
      <c r="HBP1" s="55"/>
      <c r="HBQ1" s="55"/>
      <c r="HBR1" s="55"/>
      <c r="HBS1" s="55"/>
      <c r="HBT1" s="55"/>
      <c r="HBU1" s="55"/>
      <c r="HBV1" s="55"/>
      <c r="HBW1" s="55"/>
      <c r="HBX1" s="55"/>
      <c r="HBY1" s="55"/>
      <c r="HBZ1" s="55"/>
      <c r="HCA1" s="55"/>
      <c r="HCB1" s="55"/>
      <c r="HCC1" s="55"/>
      <c r="HCD1" s="55"/>
      <c r="HCE1" s="55"/>
      <c r="HCF1" s="55"/>
      <c r="HCG1" s="55"/>
      <c r="HCH1" s="55"/>
      <c r="HCI1" s="55"/>
      <c r="HCJ1" s="55"/>
      <c r="HCK1" s="55"/>
      <c r="HCL1" s="55"/>
      <c r="HCM1" s="55"/>
      <c r="HCN1" s="55"/>
      <c r="HCO1" s="55"/>
      <c r="HCP1" s="55"/>
      <c r="HCQ1" s="55"/>
      <c r="HCR1" s="55"/>
      <c r="HCS1" s="55"/>
      <c r="HCT1" s="55"/>
      <c r="HCU1" s="55"/>
      <c r="HCV1" s="55"/>
      <c r="HCW1" s="55"/>
      <c r="HCX1" s="55"/>
      <c r="HCY1" s="55"/>
      <c r="HCZ1" s="55"/>
      <c r="HDA1" s="55"/>
      <c r="HDB1" s="55"/>
      <c r="HDC1" s="55"/>
      <c r="HDD1" s="55"/>
      <c r="HDE1" s="55"/>
      <c r="HDF1" s="55"/>
      <c r="HDG1" s="55"/>
      <c r="HDH1" s="55"/>
      <c r="HDI1" s="55"/>
      <c r="HDJ1" s="55"/>
      <c r="HDK1" s="55"/>
      <c r="HDL1" s="55"/>
      <c r="HDM1" s="55"/>
      <c r="HDN1" s="55"/>
      <c r="HDO1" s="55"/>
      <c r="HDP1" s="55"/>
      <c r="HDQ1" s="55"/>
      <c r="HDR1" s="55"/>
      <c r="HDS1" s="55"/>
      <c r="HDT1" s="55"/>
      <c r="HDU1" s="55"/>
      <c r="HDV1" s="55"/>
      <c r="HDW1" s="55"/>
      <c r="HDX1" s="55"/>
      <c r="HDY1" s="55"/>
      <c r="HDZ1" s="55"/>
      <c r="HEA1" s="55"/>
      <c r="HEB1" s="55"/>
      <c r="HEC1" s="55"/>
      <c r="HED1" s="55"/>
      <c r="HEE1" s="55"/>
      <c r="HEF1" s="55"/>
      <c r="HEG1" s="55"/>
      <c r="HEH1" s="55"/>
      <c r="HEI1" s="55"/>
      <c r="HEJ1" s="55"/>
      <c r="HEK1" s="55"/>
      <c r="HEL1" s="55"/>
      <c r="HEM1" s="55"/>
      <c r="HEN1" s="55"/>
      <c r="HEO1" s="55"/>
      <c r="HEP1" s="55"/>
      <c r="HEQ1" s="55"/>
      <c r="HER1" s="55"/>
      <c r="HES1" s="55"/>
      <c r="HET1" s="55"/>
      <c r="HEU1" s="55"/>
      <c r="HEV1" s="55"/>
      <c r="HEW1" s="55"/>
      <c r="HEX1" s="55"/>
      <c r="HEY1" s="55"/>
      <c r="HEZ1" s="55"/>
      <c r="HFA1" s="55"/>
      <c r="HFB1" s="55"/>
      <c r="HFC1" s="55"/>
      <c r="HFD1" s="55"/>
      <c r="HFE1" s="55"/>
      <c r="HFF1" s="55"/>
      <c r="HFG1" s="55"/>
      <c r="HFH1" s="55"/>
      <c r="HFI1" s="55"/>
      <c r="HFJ1" s="55"/>
      <c r="HFK1" s="55"/>
      <c r="HFL1" s="55"/>
      <c r="HFM1" s="55"/>
      <c r="HFN1" s="55"/>
      <c r="HFO1" s="55"/>
      <c r="HFP1" s="55"/>
      <c r="HFQ1" s="55"/>
      <c r="HFR1" s="55"/>
      <c r="HFS1" s="55"/>
      <c r="HFT1" s="55"/>
      <c r="HFU1" s="55"/>
      <c r="HFV1" s="55"/>
      <c r="HFW1" s="55"/>
      <c r="HFX1" s="55"/>
      <c r="HFY1" s="55"/>
      <c r="HFZ1" s="55"/>
      <c r="HGA1" s="55"/>
      <c r="HGB1" s="55"/>
      <c r="HGC1" s="55"/>
      <c r="HGD1" s="55"/>
      <c r="HGE1" s="55"/>
      <c r="HGF1" s="55"/>
      <c r="HGG1" s="55"/>
      <c r="HGH1" s="55"/>
      <c r="HGI1" s="55"/>
      <c r="HGJ1" s="55"/>
      <c r="HGK1" s="55"/>
      <c r="HGL1" s="55"/>
      <c r="HGM1" s="55"/>
      <c r="HGN1" s="55"/>
      <c r="HGO1" s="55"/>
      <c r="HGP1" s="55"/>
      <c r="HGQ1" s="55"/>
      <c r="HGR1" s="55"/>
      <c r="HGS1" s="55"/>
      <c r="HGT1" s="55"/>
      <c r="HGU1" s="55"/>
      <c r="HGV1" s="55"/>
      <c r="HGW1" s="55"/>
      <c r="HGX1" s="55"/>
      <c r="HGY1" s="55"/>
      <c r="HGZ1" s="55"/>
      <c r="HHA1" s="55"/>
      <c r="HHB1" s="55"/>
      <c r="HHC1" s="55"/>
      <c r="HHD1" s="55"/>
      <c r="HHE1" s="55"/>
      <c r="HHF1" s="55"/>
      <c r="HHG1" s="55"/>
      <c r="HHH1" s="55"/>
      <c r="HHI1" s="55"/>
      <c r="HHJ1" s="55"/>
      <c r="HHK1" s="55"/>
      <c r="HHL1" s="55"/>
      <c r="HHM1" s="55"/>
      <c r="HHN1" s="55"/>
      <c r="HHO1" s="55"/>
      <c r="HHP1" s="55"/>
      <c r="HHQ1" s="55"/>
      <c r="HHR1" s="55"/>
      <c r="HHS1" s="55"/>
      <c r="HHT1" s="55"/>
      <c r="HHU1" s="55"/>
      <c r="HHV1" s="55"/>
      <c r="HHW1" s="55"/>
      <c r="HHX1" s="55"/>
      <c r="HHY1" s="55"/>
      <c r="HHZ1" s="55"/>
      <c r="HIA1" s="55"/>
      <c r="HIB1" s="55"/>
      <c r="HIC1" s="55"/>
      <c r="HID1" s="55"/>
      <c r="HIE1" s="55"/>
      <c r="HIF1" s="55"/>
      <c r="HIG1" s="55"/>
      <c r="HIH1" s="55"/>
      <c r="HII1" s="55"/>
      <c r="HIJ1" s="55"/>
      <c r="HIK1" s="55"/>
      <c r="HIL1" s="55"/>
      <c r="HIM1" s="55"/>
      <c r="HIN1" s="55"/>
      <c r="HIO1" s="55"/>
      <c r="HIP1" s="55"/>
      <c r="HIQ1" s="55"/>
      <c r="HIR1" s="55"/>
      <c r="HIS1" s="55"/>
      <c r="HIT1" s="55"/>
      <c r="HIU1" s="55"/>
      <c r="HIV1" s="55"/>
      <c r="HIW1" s="55"/>
      <c r="HIX1" s="55"/>
      <c r="HIY1" s="55"/>
      <c r="HIZ1" s="55"/>
      <c r="HJA1" s="55"/>
      <c r="HJB1" s="55"/>
      <c r="HJC1" s="55"/>
      <c r="HJD1" s="55"/>
      <c r="HJE1" s="55"/>
      <c r="HJF1" s="55"/>
      <c r="HJG1" s="55"/>
      <c r="HJH1" s="55"/>
      <c r="HJI1" s="55"/>
      <c r="HJJ1" s="55"/>
      <c r="HJK1" s="55"/>
      <c r="HJL1" s="55"/>
      <c r="HJM1" s="55"/>
      <c r="HJN1" s="55"/>
      <c r="HJO1" s="55"/>
      <c r="HJP1" s="55"/>
      <c r="HJQ1" s="55"/>
      <c r="HJR1" s="55"/>
      <c r="HJS1" s="55"/>
      <c r="HJT1" s="55"/>
      <c r="HJU1" s="55"/>
      <c r="HJV1" s="55"/>
      <c r="HJW1" s="55"/>
      <c r="HJX1" s="55"/>
      <c r="HJY1" s="55"/>
      <c r="HJZ1" s="55"/>
      <c r="HKA1" s="55"/>
      <c r="HKB1" s="55"/>
      <c r="HKC1" s="55"/>
      <c r="HKD1" s="55"/>
      <c r="HKE1" s="55"/>
      <c r="HKF1" s="55"/>
      <c r="HKG1" s="55"/>
      <c r="HKH1" s="55"/>
      <c r="HKI1" s="55"/>
      <c r="HKJ1" s="55"/>
      <c r="HKK1" s="55"/>
      <c r="HKL1" s="55"/>
      <c r="HKM1" s="55"/>
      <c r="HKN1" s="55"/>
      <c r="HKO1" s="55"/>
      <c r="HKP1" s="55"/>
      <c r="HKQ1" s="55"/>
      <c r="HKR1" s="55"/>
      <c r="HKS1" s="55"/>
      <c r="HKT1" s="55"/>
      <c r="HKU1" s="55"/>
      <c r="HKV1" s="55"/>
      <c r="HKW1" s="55"/>
      <c r="HKX1" s="55"/>
      <c r="HKY1" s="55"/>
      <c r="HKZ1" s="55"/>
      <c r="HLA1" s="55"/>
      <c r="HLB1" s="55"/>
      <c r="HLC1" s="55"/>
      <c r="HLD1" s="55"/>
      <c r="HLE1" s="55"/>
      <c r="HLF1" s="55"/>
      <c r="HLG1" s="55"/>
      <c r="HLH1" s="55"/>
      <c r="HLI1" s="55"/>
      <c r="HLJ1" s="55"/>
      <c r="HLK1" s="55"/>
      <c r="HLL1" s="55"/>
      <c r="HLM1" s="55"/>
      <c r="HLN1" s="55"/>
      <c r="HLO1" s="55"/>
      <c r="HLP1" s="55"/>
      <c r="HLQ1" s="55"/>
      <c r="HLR1" s="55"/>
      <c r="HLS1" s="55"/>
      <c r="HLT1" s="55"/>
      <c r="HLU1" s="55"/>
      <c r="HLV1" s="55"/>
      <c r="HLW1" s="55"/>
      <c r="HLX1" s="55"/>
      <c r="HLY1" s="55"/>
      <c r="HLZ1" s="55"/>
      <c r="HMA1" s="55"/>
      <c r="HMB1" s="55"/>
      <c r="HMC1" s="55"/>
      <c r="HMD1" s="55"/>
      <c r="HME1" s="55"/>
      <c r="HMF1" s="55"/>
      <c r="HMG1" s="55"/>
      <c r="HMH1" s="55"/>
      <c r="HMI1" s="55"/>
      <c r="HMJ1" s="55"/>
      <c r="HMK1" s="55"/>
      <c r="HML1" s="55"/>
      <c r="HMM1" s="55"/>
      <c r="HMN1" s="55"/>
      <c r="HMO1" s="55"/>
      <c r="HMP1" s="55"/>
      <c r="HMQ1" s="55"/>
      <c r="HMR1" s="55"/>
      <c r="HMS1" s="55"/>
      <c r="HMT1" s="55"/>
      <c r="HMU1" s="55"/>
      <c r="HMV1" s="55"/>
      <c r="HMW1" s="55"/>
      <c r="HMX1" s="55"/>
      <c r="HMY1" s="55"/>
      <c r="HMZ1" s="55"/>
      <c r="HNA1" s="55"/>
      <c r="HNB1" s="55"/>
      <c r="HNC1" s="55"/>
      <c r="HND1" s="55"/>
      <c r="HNE1" s="55"/>
      <c r="HNF1" s="55"/>
      <c r="HNG1" s="55"/>
      <c r="HNH1" s="55"/>
      <c r="HNI1" s="55"/>
      <c r="HNJ1" s="55"/>
      <c r="HNK1" s="55"/>
      <c r="HNL1" s="55"/>
      <c r="HNM1" s="55"/>
      <c r="HNN1" s="55"/>
      <c r="HNO1" s="55"/>
      <c r="HNP1" s="55"/>
      <c r="HNQ1" s="55"/>
      <c r="HNR1" s="55"/>
      <c r="HNS1" s="55"/>
      <c r="HNT1" s="55"/>
      <c r="HNU1" s="55"/>
      <c r="HNV1" s="55"/>
      <c r="HNW1" s="55"/>
      <c r="HNX1" s="55"/>
      <c r="HNY1" s="55"/>
      <c r="HNZ1" s="55"/>
      <c r="HOA1" s="55"/>
      <c r="HOB1" s="55"/>
      <c r="HOC1" s="55"/>
      <c r="HOD1" s="55"/>
      <c r="HOE1" s="55"/>
      <c r="HOF1" s="55"/>
      <c r="HOG1" s="55"/>
      <c r="HOH1" s="55"/>
      <c r="HOI1" s="55"/>
      <c r="HOJ1" s="55"/>
      <c r="HOK1" s="55"/>
      <c r="HOL1" s="55"/>
      <c r="HOM1" s="55"/>
      <c r="HON1" s="55"/>
      <c r="HOO1" s="55"/>
      <c r="HOP1" s="55"/>
      <c r="HOQ1" s="55"/>
      <c r="HOR1" s="55"/>
      <c r="HOS1" s="55"/>
      <c r="HOT1" s="55"/>
      <c r="HOU1" s="55"/>
      <c r="HOV1" s="55"/>
      <c r="HOW1" s="55"/>
      <c r="HOX1" s="55"/>
      <c r="HOY1" s="55"/>
      <c r="HOZ1" s="55"/>
      <c r="HPA1" s="55"/>
      <c r="HPB1" s="55"/>
      <c r="HPC1" s="55"/>
      <c r="HPD1" s="55"/>
      <c r="HPE1" s="55"/>
      <c r="HPF1" s="55"/>
      <c r="HPG1" s="55"/>
      <c r="HPH1" s="55"/>
      <c r="HPI1" s="55"/>
      <c r="HPJ1" s="55"/>
      <c r="HPK1" s="55"/>
      <c r="HPL1" s="55"/>
      <c r="HPM1" s="55"/>
      <c r="HPN1" s="55"/>
      <c r="HPO1" s="55"/>
      <c r="HPP1" s="55"/>
      <c r="HPQ1" s="55"/>
      <c r="HPR1" s="55"/>
      <c r="HPS1" s="55"/>
      <c r="HPT1" s="55"/>
      <c r="HPU1" s="55"/>
      <c r="HPV1" s="55"/>
      <c r="HPW1" s="55"/>
      <c r="HPX1" s="55"/>
      <c r="HPY1" s="55"/>
      <c r="HPZ1" s="55"/>
      <c r="HQA1" s="55"/>
      <c r="HQB1" s="55"/>
      <c r="HQC1" s="55"/>
      <c r="HQD1" s="55"/>
      <c r="HQE1" s="55"/>
      <c r="HQF1" s="55"/>
      <c r="HQG1" s="55"/>
      <c r="HQH1" s="55"/>
      <c r="HQI1" s="55"/>
      <c r="HQJ1" s="55"/>
      <c r="HQK1" s="55"/>
      <c r="HQL1" s="55"/>
      <c r="HQM1" s="55"/>
      <c r="HQN1" s="55"/>
      <c r="HQO1" s="55"/>
      <c r="HQP1" s="55"/>
      <c r="HQQ1" s="55"/>
      <c r="HQR1" s="55"/>
      <c r="HQS1" s="55"/>
      <c r="HQT1" s="55"/>
      <c r="HQU1" s="55"/>
      <c r="HQV1" s="55"/>
      <c r="HQW1" s="55"/>
      <c r="HQX1" s="55"/>
      <c r="HQY1" s="55"/>
      <c r="HQZ1" s="55"/>
      <c r="HRA1" s="55"/>
      <c r="HRB1" s="55"/>
      <c r="HRC1" s="55"/>
      <c r="HRD1" s="55"/>
      <c r="HRE1" s="55"/>
      <c r="HRF1" s="55"/>
      <c r="HRG1" s="55"/>
      <c r="HRH1" s="55"/>
      <c r="HRI1" s="55"/>
      <c r="HRJ1" s="55"/>
      <c r="HRK1" s="55"/>
      <c r="HRL1" s="55"/>
      <c r="HRM1" s="55"/>
      <c r="HRN1" s="55"/>
      <c r="HRO1" s="55"/>
      <c r="HRP1" s="55"/>
      <c r="HRQ1" s="55"/>
      <c r="HRR1" s="55"/>
      <c r="HRS1" s="55"/>
      <c r="HRT1" s="55"/>
      <c r="HRU1" s="55"/>
      <c r="HRV1" s="55"/>
      <c r="HRW1" s="55"/>
      <c r="HRX1" s="55"/>
      <c r="HRY1" s="55"/>
      <c r="HRZ1" s="55"/>
      <c r="HSA1" s="55"/>
      <c r="HSB1" s="55"/>
      <c r="HSC1" s="55"/>
      <c r="HSD1" s="55"/>
      <c r="HSE1" s="55"/>
      <c r="HSF1" s="55"/>
      <c r="HSG1" s="55"/>
      <c r="HSH1" s="55"/>
      <c r="HSI1" s="55"/>
      <c r="HSJ1" s="55"/>
      <c r="HSK1" s="55"/>
      <c r="HSL1" s="55"/>
      <c r="HSM1" s="55"/>
      <c r="HSN1" s="55"/>
      <c r="HSO1" s="55"/>
      <c r="HSP1" s="55"/>
      <c r="HSQ1" s="55"/>
      <c r="HSR1" s="55"/>
      <c r="HSS1" s="55"/>
      <c r="HST1" s="55"/>
      <c r="HSU1" s="55"/>
      <c r="HSV1" s="55"/>
      <c r="HSW1" s="55"/>
      <c r="HSX1" s="55"/>
      <c r="HSY1" s="55"/>
      <c r="HSZ1" s="55"/>
      <c r="HTA1" s="55"/>
      <c r="HTB1" s="55"/>
      <c r="HTC1" s="55"/>
      <c r="HTD1" s="55"/>
      <c r="HTE1" s="55"/>
      <c r="HTF1" s="55"/>
      <c r="HTG1" s="55"/>
      <c r="HTH1" s="55"/>
      <c r="HTI1" s="55"/>
      <c r="HTJ1" s="55"/>
      <c r="HTK1" s="55"/>
      <c r="HTL1" s="55"/>
      <c r="HTM1" s="55"/>
      <c r="HTN1" s="55"/>
      <c r="HTO1" s="55"/>
      <c r="HTP1" s="55"/>
      <c r="HTQ1" s="55"/>
      <c r="HTR1" s="55"/>
      <c r="HTS1" s="55"/>
      <c r="HTT1" s="55"/>
      <c r="HTU1" s="55"/>
      <c r="HTV1" s="55"/>
      <c r="HTW1" s="55"/>
      <c r="HTX1" s="55"/>
      <c r="HTY1" s="55"/>
      <c r="HTZ1" s="55"/>
      <c r="HUA1" s="55"/>
      <c r="HUB1" s="55"/>
      <c r="HUC1" s="55"/>
      <c r="HUD1" s="55"/>
      <c r="HUE1" s="55"/>
      <c r="HUF1" s="55"/>
      <c r="HUG1" s="55"/>
      <c r="HUH1" s="55"/>
      <c r="HUI1" s="55"/>
      <c r="HUJ1" s="55"/>
      <c r="HUK1" s="55"/>
      <c r="HUL1" s="55"/>
      <c r="HUM1" s="55"/>
      <c r="HUN1" s="55"/>
      <c r="HUO1" s="55"/>
      <c r="HUP1" s="55"/>
      <c r="HUQ1" s="55"/>
      <c r="HUR1" s="55"/>
      <c r="HUS1" s="55"/>
      <c r="HUT1" s="55"/>
      <c r="HUU1" s="55"/>
      <c r="HUV1" s="55"/>
      <c r="HUW1" s="55"/>
      <c r="HUX1" s="55"/>
      <c r="HUY1" s="55"/>
      <c r="HUZ1" s="55"/>
      <c r="HVA1" s="55"/>
      <c r="HVB1" s="55"/>
      <c r="HVC1" s="55"/>
      <c r="HVD1" s="55"/>
      <c r="HVE1" s="55"/>
      <c r="HVF1" s="55"/>
      <c r="HVG1" s="55"/>
      <c r="HVH1" s="55"/>
      <c r="HVI1" s="55"/>
      <c r="HVJ1" s="55"/>
      <c r="HVK1" s="55"/>
      <c r="HVL1" s="55"/>
      <c r="HVM1" s="55"/>
      <c r="HVN1" s="55"/>
      <c r="HVO1" s="55"/>
      <c r="HVP1" s="55"/>
      <c r="HVQ1" s="55"/>
      <c r="HVR1" s="55"/>
      <c r="HVS1" s="55"/>
      <c r="HVT1" s="55"/>
      <c r="HVU1" s="55"/>
      <c r="HVV1" s="55"/>
      <c r="HVW1" s="55"/>
      <c r="HVX1" s="55"/>
      <c r="HVY1" s="55"/>
      <c r="HVZ1" s="55"/>
      <c r="HWA1" s="55"/>
      <c r="HWB1" s="55"/>
      <c r="HWC1" s="55"/>
      <c r="HWD1" s="55"/>
      <c r="HWE1" s="55"/>
      <c r="HWF1" s="55"/>
      <c r="HWG1" s="55"/>
      <c r="HWH1" s="55"/>
      <c r="HWI1" s="55"/>
      <c r="HWJ1" s="55"/>
      <c r="HWK1" s="55"/>
      <c r="HWL1" s="55"/>
      <c r="HWM1" s="55"/>
      <c r="HWN1" s="55"/>
      <c r="HWO1" s="55"/>
      <c r="HWP1" s="55"/>
      <c r="HWQ1" s="55"/>
      <c r="HWR1" s="55"/>
      <c r="HWS1" s="55"/>
      <c r="HWT1" s="55"/>
      <c r="HWU1" s="55"/>
      <c r="HWV1" s="55"/>
      <c r="HWW1" s="55"/>
      <c r="HWX1" s="55"/>
      <c r="HWY1" s="55"/>
      <c r="HWZ1" s="55"/>
      <c r="HXA1" s="55"/>
      <c r="HXB1" s="55"/>
      <c r="HXC1" s="55"/>
      <c r="HXD1" s="55"/>
      <c r="HXE1" s="55"/>
      <c r="HXF1" s="55"/>
      <c r="HXG1" s="55"/>
      <c r="HXH1" s="55"/>
      <c r="HXI1" s="55"/>
      <c r="HXJ1" s="55"/>
      <c r="HXK1" s="55"/>
      <c r="HXL1" s="55"/>
      <c r="HXM1" s="55"/>
      <c r="HXN1" s="55"/>
      <c r="HXO1" s="55"/>
      <c r="HXP1" s="55"/>
      <c r="HXQ1" s="55"/>
      <c r="HXR1" s="55"/>
      <c r="HXS1" s="55"/>
      <c r="HXT1" s="55"/>
      <c r="HXU1" s="55"/>
      <c r="HXV1" s="55"/>
      <c r="HXW1" s="55"/>
      <c r="HXX1" s="55"/>
      <c r="HXY1" s="55"/>
      <c r="HXZ1" s="55"/>
      <c r="HYA1" s="55"/>
      <c r="HYB1" s="55"/>
      <c r="HYC1" s="55"/>
      <c r="HYD1" s="55"/>
      <c r="HYE1" s="55"/>
      <c r="HYF1" s="55"/>
      <c r="HYG1" s="55"/>
      <c r="HYH1" s="55"/>
      <c r="HYI1" s="55"/>
      <c r="HYJ1" s="55"/>
      <c r="HYK1" s="55"/>
      <c r="HYL1" s="55"/>
      <c r="HYM1" s="55"/>
      <c r="HYN1" s="55"/>
      <c r="HYO1" s="55"/>
      <c r="HYP1" s="55"/>
      <c r="HYQ1" s="55"/>
      <c r="HYR1" s="55"/>
      <c r="HYS1" s="55"/>
      <c r="HYT1" s="55"/>
      <c r="HYU1" s="55"/>
      <c r="HYV1" s="55"/>
      <c r="HYW1" s="55"/>
      <c r="HYX1" s="55"/>
      <c r="HYY1" s="55"/>
      <c r="HYZ1" s="55"/>
      <c r="HZA1" s="55"/>
      <c r="HZB1" s="55"/>
      <c r="HZC1" s="55"/>
      <c r="HZD1" s="55"/>
      <c r="HZE1" s="55"/>
      <c r="HZF1" s="55"/>
      <c r="HZG1" s="55"/>
      <c r="HZH1" s="55"/>
      <c r="HZI1" s="55"/>
      <c r="HZJ1" s="55"/>
      <c r="HZK1" s="55"/>
      <c r="HZL1" s="55"/>
      <c r="HZM1" s="55"/>
      <c r="HZN1" s="55"/>
      <c r="HZO1" s="55"/>
      <c r="HZP1" s="55"/>
      <c r="HZQ1" s="55"/>
      <c r="HZR1" s="55"/>
      <c r="HZS1" s="55"/>
      <c r="HZT1" s="55"/>
      <c r="HZU1" s="55"/>
      <c r="HZV1" s="55"/>
      <c r="HZW1" s="55"/>
      <c r="HZX1" s="55"/>
      <c r="HZY1" s="55"/>
      <c r="HZZ1" s="55"/>
      <c r="IAA1" s="55"/>
      <c r="IAB1" s="55"/>
      <c r="IAC1" s="55"/>
      <c r="IAD1" s="55"/>
      <c r="IAE1" s="55"/>
      <c r="IAF1" s="55"/>
      <c r="IAG1" s="55"/>
      <c r="IAH1" s="55"/>
      <c r="IAI1" s="55"/>
      <c r="IAJ1" s="55"/>
      <c r="IAK1" s="55"/>
      <c r="IAL1" s="55"/>
      <c r="IAM1" s="55"/>
      <c r="IAN1" s="55"/>
      <c r="IAO1" s="55"/>
      <c r="IAP1" s="55"/>
      <c r="IAQ1" s="55"/>
      <c r="IAR1" s="55"/>
      <c r="IAS1" s="55"/>
      <c r="IAT1" s="55"/>
      <c r="IAU1" s="55"/>
      <c r="IAV1" s="55"/>
      <c r="IAW1" s="55"/>
      <c r="IAX1" s="55"/>
      <c r="IAY1" s="55"/>
      <c r="IAZ1" s="55"/>
      <c r="IBA1" s="55"/>
      <c r="IBB1" s="55"/>
      <c r="IBC1" s="55"/>
      <c r="IBD1" s="55"/>
      <c r="IBE1" s="55"/>
      <c r="IBF1" s="55"/>
      <c r="IBG1" s="55"/>
      <c r="IBH1" s="55"/>
      <c r="IBI1" s="55"/>
      <c r="IBJ1" s="55"/>
      <c r="IBK1" s="55"/>
      <c r="IBL1" s="55"/>
      <c r="IBM1" s="55"/>
      <c r="IBN1" s="55"/>
      <c r="IBO1" s="55"/>
      <c r="IBP1" s="55"/>
      <c r="IBQ1" s="55"/>
      <c r="IBR1" s="55"/>
      <c r="IBS1" s="55"/>
      <c r="IBT1" s="55"/>
      <c r="IBU1" s="55"/>
      <c r="IBV1" s="55"/>
      <c r="IBW1" s="55"/>
      <c r="IBX1" s="55"/>
      <c r="IBY1" s="55"/>
      <c r="IBZ1" s="55"/>
      <c r="ICA1" s="55"/>
      <c r="ICB1" s="55"/>
      <c r="ICC1" s="55"/>
      <c r="ICD1" s="55"/>
      <c r="ICE1" s="55"/>
      <c r="ICF1" s="55"/>
      <c r="ICG1" s="55"/>
      <c r="ICH1" s="55"/>
      <c r="ICI1" s="55"/>
      <c r="ICJ1" s="55"/>
      <c r="ICK1" s="55"/>
      <c r="ICL1" s="55"/>
      <c r="ICM1" s="55"/>
      <c r="ICN1" s="55"/>
      <c r="ICO1" s="55"/>
      <c r="ICP1" s="55"/>
      <c r="ICQ1" s="55"/>
      <c r="ICR1" s="55"/>
      <c r="ICS1" s="55"/>
      <c r="ICT1" s="55"/>
      <c r="ICU1" s="55"/>
      <c r="ICV1" s="55"/>
      <c r="ICW1" s="55"/>
      <c r="ICX1" s="55"/>
      <c r="ICY1" s="55"/>
      <c r="ICZ1" s="55"/>
      <c r="IDA1" s="55"/>
      <c r="IDB1" s="55"/>
      <c r="IDC1" s="55"/>
      <c r="IDD1" s="55"/>
      <c r="IDE1" s="55"/>
      <c r="IDF1" s="55"/>
      <c r="IDG1" s="55"/>
      <c r="IDH1" s="55"/>
      <c r="IDI1" s="55"/>
      <c r="IDJ1" s="55"/>
      <c r="IDK1" s="55"/>
      <c r="IDL1" s="55"/>
      <c r="IDM1" s="55"/>
      <c r="IDN1" s="55"/>
      <c r="IDO1" s="55"/>
      <c r="IDP1" s="55"/>
      <c r="IDQ1" s="55"/>
      <c r="IDR1" s="55"/>
      <c r="IDS1" s="55"/>
      <c r="IDT1" s="55"/>
      <c r="IDU1" s="55"/>
      <c r="IDV1" s="55"/>
      <c r="IDW1" s="55"/>
      <c r="IDX1" s="55"/>
      <c r="IDY1" s="55"/>
      <c r="IDZ1" s="55"/>
      <c r="IEA1" s="55"/>
      <c r="IEB1" s="55"/>
      <c r="IEC1" s="55"/>
      <c r="IED1" s="55"/>
      <c r="IEE1" s="55"/>
      <c r="IEF1" s="55"/>
      <c r="IEG1" s="55"/>
      <c r="IEH1" s="55"/>
      <c r="IEI1" s="55"/>
      <c r="IEJ1" s="55"/>
      <c r="IEK1" s="55"/>
      <c r="IEL1" s="55"/>
      <c r="IEM1" s="55"/>
      <c r="IEN1" s="55"/>
      <c r="IEO1" s="55"/>
      <c r="IEP1" s="55"/>
      <c r="IEQ1" s="55"/>
      <c r="IER1" s="55"/>
      <c r="IES1" s="55"/>
      <c r="IET1" s="55"/>
      <c r="IEU1" s="55"/>
      <c r="IEV1" s="55"/>
      <c r="IEW1" s="55"/>
      <c r="IEX1" s="55"/>
      <c r="IEY1" s="55"/>
      <c r="IEZ1" s="55"/>
      <c r="IFA1" s="55"/>
      <c r="IFB1" s="55"/>
      <c r="IFC1" s="55"/>
      <c r="IFD1" s="55"/>
      <c r="IFE1" s="55"/>
      <c r="IFF1" s="55"/>
      <c r="IFG1" s="55"/>
      <c r="IFH1" s="55"/>
      <c r="IFI1" s="55"/>
      <c r="IFJ1" s="55"/>
      <c r="IFK1" s="55"/>
      <c r="IFL1" s="55"/>
      <c r="IFM1" s="55"/>
      <c r="IFN1" s="55"/>
      <c r="IFO1" s="55"/>
      <c r="IFP1" s="55"/>
      <c r="IFQ1" s="55"/>
      <c r="IFR1" s="55"/>
      <c r="IFS1" s="55"/>
      <c r="IFT1" s="55"/>
      <c r="IFU1" s="55"/>
      <c r="IFV1" s="55"/>
      <c r="IFW1" s="55"/>
      <c r="IFX1" s="55"/>
      <c r="IFY1" s="55"/>
      <c r="IFZ1" s="55"/>
      <c r="IGA1" s="55"/>
      <c r="IGB1" s="55"/>
      <c r="IGC1" s="55"/>
      <c r="IGD1" s="55"/>
      <c r="IGE1" s="55"/>
      <c r="IGF1" s="55"/>
      <c r="IGG1" s="55"/>
      <c r="IGH1" s="55"/>
      <c r="IGI1" s="55"/>
      <c r="IGJ1" s="55"/>
      <c r="IGK1" s="55"/>
      <c r="IGL1" s="55"/>
      <c r="IGM1" s="55"/>
      <c r="IGN1" s="55"/>
      <c r="IGO1" s="55"/>
      <c r="IGP1" s="55"/>
      <c r="IGQ1" s="55"/>
      <c r="IGR1" s="55"/>
      <c r="IGS1" s="55"/>
      <c r="IGT1" s="55"/>
      <c r="IGU1" s="55"/>
      <c r="IGV1" s="55"/>
      <c r="IGW1" s="55"/>
      <c r="IGX1" s="55"/>
      <c r="IGY1" s="55"/>
      <c r="IGZ1" s="55"/>
      <c r="IHA1" s="55"/>
      <c r="IHB1" s="55"/>
      <c r="IHC1" s="55"/>
      <c r="IHD1" s="55"/>
      <c r="IHE1" s="55"/>
      <c r="IHF1" s="55"/>
      <c r="IHG1" s="55"/>
      <c r="IHH1" s="55"/>
      <c r="IHI1" s="55"/>
      <c r="IHJ1" s="55"/>
      <c r="IHK1" s="55"/>
      <c r="IHL1" s="55"/>
      <c r="IHM1" s="55"/>
      <c r="IHN1" s="55"/>
      <c r="IHO1" s="55"/>
      <c r="IHP1" s="55"/>
      <c r="IHQ1" s="55"/>
      <c r="IHR1" s="55"/>
      <c r="IHS1" s="55"/>
      <c r="IHT1" s="55"/>
      <c r="IHU1" s="55"/>
      <c r="IHV1" s="55"/>
      <c r="IHW1" s="55"/>
      <c r="IHX1" s="55"/>
      <c r="IHY1" s="55"/>
      <c r="IHZ1" s="55"/>
      <c r="IIA1" s="55"/>
      <c r="IIB1" s="55"/>
      <c r="IIC1" s="55"/>
      <c r="IID1" s="55"/>
      <c r="IIE1" s="55"/>
      <c r="IIF1" s="55"/>
      <c r="IIG1" s="55"/>
      <c r="IIH1" s="55"/>
      <c r="III1" s="55"/>
      <c r="IIJ1" s="55"/>
      <c r="IIK1" s="55"/>
      <c r="IIL1" s="55"/>
      <c r="IIM1" s="55"/>
      <c r="IIN1" s="55"/>
      <c r="IIO1" s="55"/>
      <c r="IIP1" s="55"/>
      <c r="IIQ1" s="55"/>
      <c r="IIR1" s="55"/>
      <c r="IIS1" s="55"/>
      <c r="IIT1" s="55"/>
      <c r="IIU1" s="55"/>
      <c r="IIV1" s="55"/>
      <c r="IIW1" s="55"/>
      <c r="IIX1" s="55"/>
      <c r="IIY1" s="55"/>
      <c r="IIZ1" s="55"/>
      <c r="IJA1" s="55"/>
      <c r="IJB1" s="55"/>
      <c r="IJC1" s="55"/>
      <c r="IJD1" s="55"/>
      <c r="IJE1" s="55"/>
      <c r="IJF1" s="55"/>
      <c r="IJG1" s="55"/>
      <c r="IJH1" s="55"/>
      <c r="IJI1" s="55"/>
      <c r="IJJ1" s="55"/>
      <c r="IJK1" s="55"/>
      <c r="IJL1" s="55"/>
      <c r="IJM1" s="55"/>
      <c r="IJN1" s="55"/>
      <c r="IJO1" s="55"/>
      <c r="IJP1" s="55"/>
      <c r="IJQ1" s="55"/>
      <c r="IJR1" s="55"/>
      <c r="IJS1" s="55"/>
      <c r="IJT1" s="55"/>
      <c r="IJU1" s="55"/>
      <c r="IJV1" s="55"/>
      <c r="IJW1" s="55"/>
      <c r="IJX1" s="55"/>
      <c r="IJY1" s="55"/>
      <c r="IJZ1" s="55"/>
      <c r="IKA1" s="55"/>
      <c r="IKB1" s="55"/>
      <c r="IKC1" s="55"/>
      <c r="IKD1" s="55"/>
      <c r="IKE1" s="55"/>
      <c r="IKF1" s="55"/>
      <c r="IKG1" s="55"/>
      <c r="IKH1" s="55"/>
      <c r="IKI1" s="55"/>
      <c r="IKJ1" s="55"/>
      <c r="IKK1" s="55"/>
      <c r="IKL1" s="55"/>
      <c r="IKM1" s="55"/>
      <c r="IKN1" s="55"/>
      <c r="IKO1" s="55"/>
      <c r="IKP1" s="55"/>
      <c r="IKQ1" s="55"/>
      <c r="IKR1" s="55"/>
      <c r="IKS1" s="55"/>
      <c r="IKT1" s="55"/>
      <c r="IKU1" s="55"/>
      <c r="IKV1" s="55"/>
      <c r="IKW1" s="55"/>
      <c r="IKX1" s="55"/>
      <c r="IKY1" s="55"/>
      <c r="IKZ1" s="55"/>
      <c r="ILA1" s="55"/>
      <c r="ILB1" s="55"/>
      <c r="ILC1" s="55"/>
      <c r="ILD1" s="55"/>
      <c r="ILE1" s="55"/>
      <c r="ILF1" s="55"/>
      <c r="ILG1" s="55"/>
      <c r="ILH1" s="55"/>
      <c r="ILI1" s="55"/>
      <c r="ILJ1" s="55"/>
      <c r="ILK1" s="55"/>
      <c r="ILL1" s="55"/>
      <c r="ILM1" s="55"/>
      <c r="ILN1" s="55"/>
      <c r="ILO1" s="55"/>
      <c r="ILP1" s="55"/>
      <c r="ILQ1" s="55"/>
      <c r="ILR1" s="55"/>
      <c r="ILS1" s="55"/>
      <c r="ILT1" s="55"/>
      <c r="ILU1" s="55"/>
      <c r="ILV1" s="55"/>
      <c r="ILW1" s="55"/>
      <c r="ILX1" s="55"/>
      <c r="ILY1" s="55"/>
      <c r="ILZ1" s="55"/>
      <c r="IMA1" s="55"/>
      <c r="IMB1" s="55"/>
      <c r="IMC1" s="55"/>
      <c r="IMD1" s="55"/>
      <c r="IME1" s="55"/>
      <c r="IMF1" s="55"/>
      <c r="IMG1" s="55"/>
      <c r="IMH1" s="55"/>
      <c r="IMI1" s="55"/>
      <c r="IMJ1" s="55"/>
      <c r="IMK1" s="55"/>
      <c r="IML1" s="55"/>
      <c r="IMM1" s="55"/>
      <c r="IMN1" s="55"/>
      <c r="IMO1" s="55"/>
      <c r="IMP1" s="55"/>
      <c r="IMQ1" s="55"/>
      <c r="IMR1" s="55"/>
      <c r="IMS1" s="55"/>
      <c r="IMT1" s="55"/>
      <c r="IMU1" s="55"/>
      <c r="IMV1" s="55"/>
      <c r="IMW1" s="55"/>
      <c r="IMX1" s="55"/>
      <c r="IMY1" s="55"/>
      <c r="IMZ1" s="55"/>
      <c r="INA1" s="55"/>
      <c r="INB1" s="55"/>
      <c r="INC1" s="55"/>
      <c r="IND1" s="55"/>
      <c r="INE1" s="55"/>
      <c r="INF1" s="55"/>
      <c r="ING1" s="55"/>
      <c r="INH1" s="55"/>
      <c r="INI1" s="55"/>
      <c r="INJ1" s="55"/>
      <c r="INK1" s="55"/>
      <c r="INL1" s="55"/>
      <c r="INM1" s="55"/>
      <c r="INN1" s="55"/>
      <c r="INO1" s="55"/>
      <c r="INP1" s="55"/>
      <c r="INQ1" s="55"/>
      <c r="INR1" s="55"/>
      <c r="INS1" s="55"/>
      <c r="INT1" s="55"/>
      <c r="INU1" s="55"/>
      <c r="INV1" s="55"/>
      <c r="INW1" s="55"/>
      <c r="INX1" s="55"/>
      <c r="INY1" s="55"/>
      <c r="INZ1" s="55"/>
      <c r="IOA1" s="55"/>
      <c r="IOB1" s="55"/>
      <c r="IOC1" s="55"/>
      <c r="IOD1" s="55"/>
      <c r="IOE1" s="55"/>
      <c r="IOF1" s="55"/>
      <c r="IOG1" s="55"/>
      <c r="IOH1" s="55"/>
      <c r="IOI1" s="55"/>
      <c r="IOJ1" s="55"/>
      <c r="IOK1" s="55"/>
      <c r="IOL1" s="55"/>
      <c r="IOM1" s="55"/>
      <c r="ION1" s="55"/>
      <c r="IOO1" s="55"/>
      <c r="IOP1" s="55"/>
      <c r="IOQ1" s="55"/>
      <c r="IOR1" s="55"/>
      <c r="IOS1" s="55"/>
      <c r="IOT1" s="55"/>
      <c r="IOU1" s="55"/>
      <c r="IOV1" s="55"/>
      <c r="IOW1" s="55"/>
      <c r="IOX1" s="55"/>
      <c r="IOY1" s="55"/>
      <c r="IOZ1" s="55"/>
      <c r="IPA1" s="55"/>
      <c r="IPB1" s="55"/>
      <c r="IPC1" s="55"/>
      <c r="IPD1" s="55"/>
      <c r="IPE1" s="55"/>
      <c r="IPF1" s="55"/>
      <c r="IPG1" s="55"/>
      <c r="IPH1" s="55"/>
      <c r="IPI1" s="55"/>
      <c r="IPJ1" s="55"/>
      <c r="IPK1" s="55"/>
      <c r="IPL1" s="55"/>
      <c r="IPM1" s="55"/>
      <c r="IPN1" s="55"/>
      <c r="IPO1" s="55"/>
      <c r="IPP1" s="55"/>
      <c r="IPQ1" s="55"/>
      <c r="IPR1" s="55"/>
      <c r="IPS1" s="55"/>
      <c r="IPT1" s="55"/>
      <c r="IPU1" s="55"/>
      <c r="IPV1" s="55"/>
      <c r="IPW1" s="55"/>
      <c r="IPX1" s="55"/>
      <c r="IPY1" s="55"/>
      <c r="IPZ1" s="55"/>
      <c r="IQA1" s="55"/>
      <c r="IQB1" s="55"/>
      <c r="IQC1" s="55"/>
      <c r="IQD1" s="55"/>
      <c r="IQE1" s="55"/>
      <c r="IQF1" s="55"/>
      <c r="IQG1" s="55"/>
      <c r="IQH1" s="55"/>
      <c r="IQI1" s="55"/>
      <c r="IQJ1" s="55"/>
      <c r="IQK1" s="55"/>
      <c r="IQL1" s="55"/>
      <c r="IQM1" s="55"/>
      <c r="IQN1" s="55"/>
      <c r="IQO1" s="55"/>
      <c r="IQP1" s="55"/>
      <c r="IQQ1" s="55"/>
      <c r="IQR1" s="55"/>
      <c r="IQS1" s="55"/>
      <c r="IQT1" s="55"/>
      <c r="IQU1" s="55"/>
      <c r="IQV1" s="55"/>
      <c r="IQW1" s="55"/>
      <c r="IQX1" s="55"/>
      <c r="IQY1" s="55"/>
      <c r="IQZ1" s="55"/>
      <c r="IRA1" s="55"/>
      <c r="IRB1" s="55"/>
      <c r="IRC1" s="55"/>
      <c r="IRD1" s="55"/>
      <c r="IRE1" s="55"/>
      <c r="IRF1" s="55"/>
      <c r="IRG1" s="55"/>
      <c r="IRH1" s="55"/>
      <c r="IRI1" s="55"/>
      <c r="IRJ1" s="55"/>
      <c r="IRK1" s="55"/>
      <c r="IRL1" s="55"/>
      <c r="IRM1" s="55"/>
      <c r="IRN1" s="55"/>
      <c r="IRO1" s="55"/>
      <c r="IRP1" s="55"/>
      <c r="IRQ1" s="55"/>
      <c r="IRR1" s="55"/>
      <c r="IRS1" s="55"/>
      <c r="IRT1" s="55"/>
      <c r="IRU1" s="55"/>
      <c r="IRV1" s="55"/>
      <c r="IRW1" s="55"/>
      <c r="IRX1" s="55"/>
      <c r="IRY1" s="55"/>
      <c r="IRZ1" s="55"/>
      <c r="ISA1" s="55"/>
      <c r="ISB1" s="55"/>
      <c r="ISC1" s="55"/>
      <c r="ISD1" s="55"/>
      <c r="ISE1" s="55"/>
      <c r="ISF1" s="55"/>
      <c r="ISG1" s="55"/>
      <c r="ISH1" s="55"/>
      <c r="ISI1" s="55"/>
      <c r="ISJ1" s="55"/>
      <c r="ISK1" s="55"/>
      <c r="ISL1" s="55"/>
      <c r="ISM1" s="55"/>
      <c r="ISN1" s="55"/>
      <c r="ISO1" s="55"/>
      <c r="ISP1" s="55"/>
      <c r="ISQ1" s="55"/>
      <c r="ISR1" s="55"/>
      <c r="ISS1" s="55"/>
      <c r="IST1" s="55"/>
      <c r="ISU1" s="55"/>
      <c r="ISV1" s="55"/>
      <c r="ISW1" s="55"/>
      <c r="ISX1" s="55"/>
      <c r="ISY1" s="55"/>
      <c r="ISZ1" s="55"/>
      <c r="ITA1" s="55"/>
      <c r="ITB1" s="55"/>
      <c r="ITC1" s="55"/>
      <c r="ITD1" s="55"/>
      <c r="ITE1" s="55"/>
      <c r="ITF1" s="55"/>
      <c r="ITG1" s="55"/>
      <c r="ITH1" s="55"/>
      <c r="ITI1" s="55"/>
      <c r="ITJ1" s="55"/>
      <c r="ITK1" s="55"/>
      <c r="ITL1" s="55"/>
      <c r="ITM1" s="55"/>
      <c r="ITN1" s="55"/>
      <c r="ITO1" s="55"/>
      <c r="ITP1" s="55"/>
      <c r="ITQ1" s="55"/>
      <c r="ITR1" s="55"/>
      <c r="ITS1" s="55"/>
      <c r="ITT1" s="55"/>
      <c r="ITU1" s="55"/>
      <c r="ITV1" s="55"/>
      <c r="ITW1" s="55"/>
      <c r="ITX1" s="55"/>
      <c r="ITY1" s="55"/>
      <c r="ITZ1" s="55"/>
      <c r="IUA1" s="55"/>
      <c r="IUB1" s="55"/>
      <c r="IUC1" s="55"/>
      <c r="IUD1" s="55"/>
      <c r="IUE1" s="55"/>
      <c r="IUF1" s="55"/>
      <c r="IUG1" s="55"/>
      <c r="IUH1" s="55"/>
      <c r="IUI1" s="55"/>
      <c r="IUJ1" s="55"/>
      <c r="IUK1" s="55"/>
      <c r="IUL1" s="55"/>
      <c r="IUM1" s="55"/>
      <c r="IUN1" s="55"/>
      <c r="IUO1" s="55"/>
      <c r="IUP1" s="55"/>
      <c r="IUQ1" s="55"/>
      <c r="IUR1" s="55"/>
      <c r="IUS1" s="55"/>
      <c r="IUT1" s="55"/>
      <c r="IUU1" s="55"/>
      <c r="IUV1" s="55"/>
      <c r="IUW1" s="55"/>
      <c r="IUX1" s="55"/>
      <c r="IUY1" s="55"/>
      <c r="IUZ1" s="55"/>
      <c r="IVA1" s="55"/>
      <c r="IVB1" s="55"/>
      <c r="IVC1" s="55"/>
      <c r="IVD1" s="55"/>
      <c r="IVE1" s="55"/>
      <c r="IVF1" s="55"/>
      <c r="IVG1" s="55"/>
      <c r="IVH1" s="55"/>
      <c r="IVI1" s="55"/>
      <c r="IVJ1" s="55"/>
      <c r="IVK1" s="55"/>
      <c r="IVL1" s="55"/>
      <c r="IVM1" s="55"/>
      <c r="IVN1" s="55"/>
      <c r="IVO1" s="55"/>
      <c r="IVP1" s="55"/>
      <c r="IVQ1" s="55"/>
      <c r="IVR1" s="55"/>
      <c r="IVS1" s="55"/>
      <c r="IVT1" s="55"/>
      <c r="IVU1" s="55"/>
      <c r="IVV1" s="55"/>
      <c r="IVW1" s="55"/>
      <c r="IVX1" s="55"/>
      <c r="IVY1" s="55"/>
      <c r="IVZ1" s="55"/>
      <c r="IWA1" s="55"/>
      <c r="IWB1" s="55"/>
      <c r="IWC1" s="55"/>
      <c r="IWD1" s="55"/>
      <c r="IWE1" s="55"/>
      <c r="IWF1" s="55"/>
      <c r="IWG1" s="55"/>
      <c r="IWH1" s="55"/>
      <c r="IWI1" s="55"/>
      <c r="IWJ1" s="55"/>
      <c r="IWK1" s="55"/>
      <c r="IWL1" s="55"/>
      <c r="IWM1" s="55"/>
      <c r="IWN1" s="55"/>
      <c r="IWO1" s="55"/>
      <c r="IWP1" s="55"/>
      <c r="IWQ1" s="55"/>
      <c r="IWR1" s="55"/>
      <c r="IWS1" s="55"/>
      <c r="IWT1" s="55"/>
      <c r="IWU1" s="55"/>
      <c r="IWV1" s="55"/>
      <c r="IWW1" s="55"/>
      <c r="IWX1" s="55"/>
      <c r="IWY1" s="55"/>
      <c r="IWZ1" s="55"/>
      <c r="IXA1" s="55"/>
      <c r="IXB1" s="55"/>
      <c r="IXC1" s="55"/>
      <c r="IXD1" s="55"/>
      <c r="IXE1" s="55"/>
      <c r="IXF1" s="55"/>
      <c r="IXG1" s="55"/>
      <c r="IXH1" s="55"/>
      <c r="IXI1" s="55"/>
      <c r="IXJ1" s="55"/>
      <c r="IXK1" s="55"/>
      <c r="IXL1" s="55"/>
      <c r="IXM1" s="55"/>
      <c r="IXN1" s="55"/>
      <c r="IXO1" s="55"/>
      <c r="IXP1" s="55"/>
      <c r="IXQ1" s="55"/>
      <c r="IXR1" s="55"/>
      <c r="IXS1" s="55"/>
      <c r="IXT1" s="55"/>
      <c r="IXU1" s="55"/>
      <c r="IXV1" s="55"/>
      <c r="IXW1" s="55"/>
      <c r="IXX1" s="55"/>
      <c r="IXY1" s="55"/>
      <c r="IXZ1" s="55"/>
      <c r="IYA1" s="55"/>
      <c r="IYB1" s="55"/>
      <c r="IYC1" s="55"/>
      <c r="IYD1" s="55"/>
      <c r="IYE1" s="55"/>
      <c r="IYF1" s="55"/>
      <c r="IYG1" s="55"/>
      <c r="IYH1" s="55"/>
      <c r="IYI1" s="55"/>
      <c r="IYJ1" s="55"/>
      <c r="IYK1" s="55"/>
      <c r="IYL1" s="55"/>
      <c r="IYM1" s="55"/>
      <c r="IYN1" s="55"/>
      <c r="IYO1" s="55"/>
      <c r="IYP1" s="55"/>
      <c r="IYQ1" s="55"/>
      <c r="IYR1" s="55"/>
      <c r="IYS1" s="55"/>
      <c r="IYT1" s="55"/>
      <c r="IYU1" s="55"/>
      <c r="IYV1" s="55"/>
      <c r="IYW1" s="55"/>
      <c r="IYX1" s="55"/>
      <c r="IYY1" s="55"/>
      <c r="IYZ1" s="55"/>
      <c r="IZA1" s="55"/>
      <c r="IZB1" s="55"/>
      <c r="IZC1" s="55"/>
      <c r="IZD1" s="55"/>
      <c r="IZE1" s="55"/>
      <c r="IZF1" s="55"/>
      <c r="IZG1" s="55"/>
      <c r="IZH1" s="55"/>
      <c r="IZI1" s="55"/>
      <c r="IZJ1" s="55"/>
      <c r="IZK1" s="55"/>
      <c r="IZL1" s="55"/>
      <c r="IZM1" s="55"/>
      <c r="IZN1" s="55"/>
      <c r="IZO1" s="55"/>
      <c r="IZP1" s="55"/>
      <c r="IZQ1" s="55"/>
      <c r="IZR1" s="55"/>
      <c r="IZS1" s="55"/>
      <c r="IZT1" s="55"/>
      <c r="IZU1" s="55"/>
      <c r="IZV1" s="55"/>
      <c r="IZW1" s="55"/>
      <c r="IZX1" s="55"/>
      <c r="IZY1" s="55"/>
      <c r="IZZ1" s="55"/>
      <c r="JAA1" s="55"/>
      <c r="JAB1" s="55"/>
      <c r="JAC1" s="55"/>
      <c r="JAD1" s="55"/>
      <c r="JAE1" s="55"/>
      <c r="JAF1" s="55"/>
      <c r="JAG1" s="55"/>
      <c r="JAH1" s="55"/>
      <c r="JAI1" s="55"/>
      <c r="JAJ1" s="55"/>
      <c r="JAK1" s="55"/>
      <c r="JAL1" s="55"/>
      <c r="JAM1" s="55"/>
      <c r="JAN1" s="55"/>
      <c r="JAO1" s="55"/>
      <c r="JAP1" s="55"/>
      <c r="JAQ1" s="55"/>
      <c r="JAR1" s="55"/>
      <c r="JAS1" s="55"/>
      <c r="JAT1" s="55"/>
      <c r="JAU1" s="55"/>
      <c r="JAV1" s="55"/>
      <c r="JAW1" s="55"/>
      <c r="JAX1" s="55"/>
      <c r="JAY1" s="55"/>
      <c r="JAZ1" s="55"/>
      <c r="JBA1" s="55"/>
      <c r="JBB1" s="55"/>
      <c r="JBC1" s="55"/>
      <c r="JBD1" s="55"/>
      <c r="JBE1" s="55"/>
      <c r="JBF1" s="55"/>
      <c r="JBG1" s="55"/>
      <c r="JBH1" s="55"/>
      <c r="JBI1" s="55"/>
      <c r="JBJ1" s="55"/>
      <c r="JBK1" s="55"/>
      <c r="JBL1" s="55"/>
      <c r="JBM1" s="55"/>
      <c r="JBN1" s="55"/>
      <c r="JBO1" s="55"/>
      <c r="JBP1" s="55"/>
      <c r="JBQ1" s="55"/>
      <c r="JBR1" s="55"/>
      <c r="JBS1" s="55"/>
      <c r="JBT1" s="55"/>
      <c r="JBU1" s="55"/>
      <c r="JBV1" s="55"/>
      <c r="JBW1" s="55"/>
      <c r="JBX1" s="55"/>
      <c r="JBY1" s="55"/>
      <c r="JBZ1" s="55"/>
      <c r="JCA1" s="55"/>
      <c r="JCB1" s="55"/>
      <c r="JCC1" s="55"/>
      <c r="JCD1" s="55"/>
      <c r="JCE1" s="55"/>
      <c r="JCF1" s="55"/>
      <c r="JCG1" s="55"/>
      <c r="JCH1" s="55"/>
      <c r="JCI1" s="55"/>
      <c r="JCJ1" s="55"/>
      <c r="JCK1" s="55"/>
      <c r="JCL1" s="55"/>
      <c r="JCM1" s="55"/>
      <c r="JCN1" s="55"/>
      <c r="JCO1" s="55"/>
      <c r="JCP1" s="55"/>
      <c r="JCQ1" s="55"/>
      <c r="JCR1" s="55"/>
      <c r="JCS1" s="55"/>
      <c r="JCT1" s="55"/>
      <c r="JCU1" s="55"/>
      <c r="JCV1" s="55"/>
      <c r="JCW1" s="55"/>
      <c r="JCX1" s="55"/>
      <c r="JCY1" s="55"/>
      <c r="JCZ1" s="55"/>
      <c r="JDA1" s="55"/>
      <c r="JDB1" s="55"/>
      <c r="JDC1" s="55"/>
      <c r="JDD1" s="55"/>
      <c r="JDE1" s="55"/>
      <c r="JDF1" s="55"/>
      <c r="JDG1" s="55"/>
      <c r="JDH1" s="55"/>
      <c r="JDI1" s="55"/>
      <c r="JDJ1" s="55"/>
      <c r="JDK1" s="55"/>
      <c r="JDL1" s="55"/>
      <c r="JDM1" s="55"/>
      <c r="JDN1" s="55"/>
      <c r="JDO1" s="55"/>
      <c r="JDP1" s="55"/>
      <c r="JDQ1" s="55"/>
      <c r="JDR1" s="55"/>
      <c r="JDS1" s="55"/>
      <c r="JDT1" s="55"/>
      <c r="JDU1" s="55"/>
      <c r="JDV1" s="55"/>
      <c r="JDW1" s="55"/>
      <c r="JDX1" s="55"/>
      <c r="JDY1" s="55"/>
      <c r="JDZ1" s="55"/>
      <c r="JEA1" s="55"/>
      <c r="JEB1" s="55"/>
      <c r="JEC1" s="55"/>
      <c r="JED1" s="55"/>
      <c r="JEE1" s="55"/>
      <c r="JEF1" s="55"/>
      <c r="JEG1" s="55"/>
      <c r="JEH1" s="55"/>
      <c r="JEI1" s="55"/>
      <c r="JEJ1" s="55"/>
      <c r="JEK1" s="55"/>
      <c r="JEL1" s="55"/>
      <c r="JEM1" s="55"/>
      <c r="JEN1" s="55"/>
      <c r="JEO1" s="55"/>
      <c r="JEP1" s="55"/>
      <c r="JEQ1" s="55"/>
      <c r="JER1" s="55"/>
      <c r="JES1" s="55"/>
      <c r="JET1" s="55"/>
      <c r="JEU1" s="55"/>
      <c r="JEV1" s="55"/>
      <c r="JEW1" s="55"/>
      <c r="JEX1" s="55"/>
      <c r="JEY1" s="55"/>
      <c r="JEZ1" s="55"/>
      <c r="JFA1" s="55"/>
      <c r="JFB1" s="55"/>
      <c r="JFC1" s="55"/>
      <c r="JFD1" s="55"/>
      <c r="JFE1" s="55"/>
      <c r="JFF1" s="55"/>
      <c r="JFG1" s="55"/>
      <c r="JFH1" s="55"/>
      <c r="JFI1" s="55"/>
      <c r="JFJ1" s="55"/>
      <c r="JFK1" s="55"/>
      <c r="JFL1" s="55"/>
      <c r="JFM1" s="55"/>
      <c r="JFN1" s="55"/>
      <c r="JFO1" s="55"/>
      <c r="JFP1" s="55"/>
      <c r="JFQ1" s="55"/>
      <c r="JFR1" s="55"/>
      <c r="JFS1" s="55"/>
      <c r="JFT1" s="55"/>
      <c r="JFU1" s="55"/>
      <c r="JFV1" s="55"/>
      <c r="JFW1" s="55"/>
      <c r="JFX1" s="55"/>
      <c r="JFY1" s="55"/>
      <c r="JFZ1" s="55"/>
      <c r="JGA1" s="55"/>
      <c r="JGB1" s="55"/>
      <c r="JGC1" s="55"/>
      <c r="JGD1" s="55"/>
      <c r="JGE1" s="55"/>
      <c r="JGF1" s="55"/>
      <c r="JGG1" s="55"/>
      <c r="JGH1" s="55"/>
      <c r="JGI1" s="55"/>
      <c r="JGJ1" s="55"/>
      <c r="JGK1" s="55"/>
      <c r="JGL1" s="55"/>
      <c r="JGM1" s="55"/>
      <c r="JGN1" s="55"/>
      <c r="JGO1" s="55"/>
      <c r="JGP1" s="55"/>
      <c r="JGQ1" s="55"/>
      <c r="JGR1" s="55"/>
      <c r="JGS1" s="55"/>
      <c r="JGT1" s="55"/>
      <c r="JGU1" s="55"/>
      <c r="JGV1" s="55"/>
      <c r="JGW1" s="55"/>
      <c r="JGX1" s="55"/>
      <c r="JGY1" s="55"/>
      <c r="JGZ1" s="55"/>
      <c r="JHA1" s="55"/>
      <c r="JHB1" s="55"/>
      <c r="JHC1" s="55"/>
      <c r="JHD1" s="55"/>
      <c r="JHE1" s="55"/>
      <c r="JHF1" s="55"/>
      <c r="JHG1" s="55"/>
      <c r="JHH1" s="55"/>
      <c r="JHI1" s="55"/>
      <c r="JHJ1" s="55"/>
      <c r="JHK1" s="55"/>
      <c r="JHL1" s="55"/>
      <c r="JHM1" s="55"/>
      <c r="JHN1" s="55"/>
      <c r="JHO1" s="55"/>
      <c r="JHP1" s="55"/>
      <c r="JHQ1" s="55"/>
      <c r="JHR1" s="55"/>
      <c r="JHS1" s="55"/>
      <c r="JHT1" s="55"/>
      <c r="JHU1" s="55"/>
      <c r="JHV1" s="55"/>
      <c r="JHW1" s="55"/>
      <c r="JHX1" s="55"/>
      <c r="JHY1" s="55"/>
      <c r="JHZ1" s="55"/>
      <c r="JIA1" s="55"/>
      <c r="JIB1" s="55"/>
      <c r="JIC1" s="55"/>
      <c r="JID1" s="55"/>
      <c r="JIE1" s="55"/>
      <c r="JIF1" s="55"/>
      <c r="JIG1" s="55"/>
      <c r="JIH1" s="55"/>
      <c r="JII1" s="55"/>
      <c r="JIJ1" s="55"/>
      <c r="JIK1" s="55"/>
      <c r="JIL1" s="55"/>
      <c r="JIM1" s="55"/>
      <c r="JIN1" s="55"/>
      <c r="JIO1" s="55"/>
      <c r="JIP1" s="55"/>
      <c r="JIQ1" s="55"/>
      <c r="JIR1" s="55"/>
      <c r="JIS1" s="55"/>
      <c r="JIT1" s="55"/>
      <c r="JIU1" s="55"/>
      <c r="JIV1" s="55"/>
      <c r="JIW1" s="55"/>
      <c r="JIX1" s="55"/>
      <c r="JIY1" s="55"/>
      <c r="JIZ1" s="55"/>
      <c r="JJA1" s="55"/>
      <c r="JJB1" s="55"/>
      <c r="JJC1" s="55"/>
      <c r="JJD1" s="55"/>
      <c r="JJE1" s="55"/>
      <c r="JJF1" s="55"/>
      <c r="JJG1" s="55"/>
      <c r="JJH1" s="55"/>
      <c r="JJI1" s="55"/>
      <c r="JJJ1" s="55"/>
      <c r="JJK1" s="55"/>
      <c r="JJL1" s="55"/>
      <c r="JJM1" s="55"/>
      <c r="JJN1" s="55"/>
      <c r="JJO1" s="55"/>
      <c r="JJP1" s="55"/>
      <c r="JJQ1" s="55"/>
      <c r="JJR1" s="55"/>
      <c r="JJS1" s="55"/>
      <c r="JJT1" s="55"/>
      <c r="JJU1" s="55"/>
      <c r="JJV1" s="55"/>
      <c r="JJW1" s="55"/>
      <c r="JJX1" s="55"/>
      <c r="JJY1" s="55"/>
      <c r="JJZ1" s="55"/>
      <c r="JKA1" s="55"/>
      <c r="JKB1" s="55"/>
      <c r="JKC1" s="55"/>
      <c r="JKD1" s="55"/>
      <c r="JKE1" s="55"/>
      <c r="JKF1" s="55"/>
      <c r="JKG1" s="55"/>
      <c r="JKH1" s="55"/>
      <c r="JKI1" s="55"/>
      <c r="JKJ1" s="55"/>
      <c r="JKK1" s="55"/>
      <c r="JKL1" s="55"/>
      <c r="JKM1" s="55"/>
      <c r="JKN1" s="55"/>
      <c r="JKO1" s="55"/>
      <c r="JKP1" s="55"/>
      <c r="JKQ1" s="55"/>
      <c r="JKR1" s="55"/>
      <c r="JKS1" s="55"/>
      <c r="JKT1" s="55"/>
      <c r="JKU1" s="55"/>
      <c r="JKV1" s="55"/>
      <c r="JKW1" s="55"/>
      <c r="JKX1" s="55"/>
      <c r="JKY1" s="55"/>
      <c r="JKZ1" s="55"/>
      <c r="JLA1" s="55"/>
      <c r="JLB1" s="55"/>
      <c r="JLC1" s="55"/>
      <c r="JLD1" s="55"/>
      <c r="JLE1" s="55"/>
      <c r="JLF1" s="55"/>
      <c r="JLG1" s="55"/>
      <c r="JLH1" s="55"/>
      <c r="JLI1" s="55"/>
      <c r="JLJ1" s="55"/>
      <c r="JLK1" s="55"/>
      <c r="JLL1" s="55"/>
      <c r="JLM1" s="55"/>
      <c r="JLN1" s="55"/>
      <c r="JLO1" s="55"/>
      <c r="JLP1" s="55"/>
      <c r="JLQ1" s="55"/>
      <c r="JLR1" s="55"/>
      <c r="JLS1" s="55"/>
      <c r="JLT1" s="55"/>
      <c r="JLU1" s="55"/>
      <c r="JLV1" s="55"/>
      <c r="JLW1" s="55"/>
      <c r="JLX1" s="55"/>
      <c r="JLY1" s="55"/>
      <c r="JLZ1" s="55"/>
      <c r="JMA1" s="55"/>
      <c r="JMB1" s="55"/>
      <c r="JMC1" s="55"/>
      <c r="JMD1" s="55"/>
      <c r="JME1" s="55"/>
      <c r="JMF1" s="55"/>
      <c r="JMG1" s="55"/>
      <c r="JMH1" s="55"/>
      <c r="JMI1" s="55"/>
      <c r="JMJ1" s="55"/>
      <c r="JMK1" s="55"/>
      <c r="JML1" s="55"/>
      <c r="JMM1" s="55"/>
      <c r="JMN1" s="55"/>
      <c r="JMO1" s="55"/>
      <c r="JMP1" s="55"/>
      <c r="JMQ1" s="55"/>
      <c r="JMR1" s="55"/>
      <c r="JMS1" s="55"/>
      <c r="JMT1" s="55"/>
      <c r="JMU1" s="55"/>
      <c r="JMV1" s="55"/>
      <c r="JMW1" s="55"/>
      <c r="JMX1" s="55"/>
      <c r="JMY1" s="55"/>
      <c r="JMZ1" s="55"/>
      <c r="JNA1" s="55"/>
      <c r="JNB1" s="55"/>
      <c r="JNC1" s="55"/>
      <c r="JND1" s="55"/>
      <c r="JNE1" s="55"/>
      <c r="JNF1" s="55"/>
      <c r="JNG1" s="55"/>
      <c r="JNH1" s="55"/>
      <c r="JNI1" s="55"/>
      <c r="JNJ1" s="55"/>
      <c r="JNK1" s="55"/>
      <c r="JNL1" s="55"/>
      <c r="JNM1" s="55"/>
      <c r="JNN1" s="55"/>
      <c r="JNO1" s="55"/>
      <c r="JNP1" s="55"/>
      <c r="JNQ1" s="55"/>
      <c r="JNR1" s="55"/>
      <c r="JNS1" s="55"/>
      <c r="JNT1" s="55"/>
      <c r="JNU1" s="55"/>
      <c r="JNV1" s="55"/>
      <c r="JNW1" s="55"/>
      <c r="JNX1" s="55"/>
      <c r="JNY1" s="55"/>
      <c r="JNZ1" s="55"/>
      <c r="JOA1" s="55"/>
      <c r="JOB1" s="55"/>
      <c r="JOC1" s="55"/>
      <c r="JOD1" s="55"/>
      <c r="JOE1" s="55"/>
      <c r="JOF1" s="55"/>
      <c r="JOG1" s="55"/>
      <c r="JOH1" s="55"/>
      <c r="JOI1" s="55"/>
      <c r="JOJ1" s="55"/>
      <c r="JOK1" s="55"/>
      <c r="JOL1" s="55"/>
      <c r="JOM1" s="55"/>
      <c r="JON1" s="55"/>
      <c r="JOO1" s="55"/>
      <c r="JOP1" s="55"/>
      <c r="JOQ1" s="55"/>
      <c r="JOR1" s="55"/>
      <c r="JOS1" s="55"/>
      <c r="JOT1" s="55"/>
      <c r="JOU1" s="55"/>
      <c r="JOV1" s="55"/>
      <c r="JOW1" s="55"/>
      <c r="JOX1" s="55"/>
      <c r="JOY1" s="55"/>
      <c r="JOZ1" s="55"/>
      <c r="JPA1" s="55"/>
      <c r="JPB1" s="55"/>
      <c r="JPC1" s="55"/>
      <c r="JPD1" s="55"/>
      <c r="JPE1" s="55"/>
      <c r="JPF1" s="55"/>
      <c r="JPG1" s="55"/>
      <c r="JPH1" s="55"/>
      <c r="JPI1" s="55"/>
      <c r="JPJ1" s="55"/>
      <c r="JPK1" s="55"/>
      <c r="JPL1" s="55"/>
      <c r="JPM1" s="55"/>
      <c r="JPN1" s="55"/>
      <c r="JPO1" s="55"/>
      <c r="JPP1" s="55"/>
      <c r="JPQ1" s="55"/>
      <c r="JPR1" s="55"/>
      <c r="JPS1" s="55"/>
      <c r="JPT1" s="55"/>
      <c r="JPU1" s="55"/>
      <c r="JPV1" s="55"/>
      <c r="JPW1" s="55"/>
      <c r="JPX1" s="55"/>
      <c r="JPY1" s="55"/>
      <c r="JPZ1" s="55"/>
      <c r="JQA1" s="55"/>
      <c r="JQB1" s="55"/>
      <c r="JQC1" s="55"/>
      <c r="JQD1" s="55"/>
      <c r="JQE1" s="55"/>
      <c r="JQF1" s="55"/>
      <c r="JQG1" s="55"/>
      <c r="JQH1" s="55"/>
      <c r="JQI1" s="55"/>
      <c r="JQJ1" s="55"/>
      <c r="JQK1" s="55"/>
      <c r="JQL1" s="55"/>
      <c r="JQM1" s="55"/>
      <c r="JQN1" s="55"/>
      <c r="JQO1" s="55"/>
      <c r="JQP1" s="55"/>
      <c r="JQQ1" s="55"/>
      <c r="JQR1" s="55"/>
      <c r="JQS1" s="55"/>
      <c r="JQT1" s="55"/>
      <c r="JQU1" s="55"/>
      <c r="JQV1" s="55"/>
      <c r="JQW1" s="55"/>
      <c r="JQX1" s="55"/>
      <c r="JQY1" s="55"/>
      <c r="JQZ1" s="55"/>
      <c r="JRA1" s="55"/>
      <c r="JRB1" s="55"/>
      <c r="JRC1" s="55"/>
      <c r="JRD1" s="55"/>
      <c r="JRE1" s="55"/>
      <c r="JRF1" s="55"/>
      <c r="JRG1" s="55"/>
      <c r="JRH1" s="55"/>
      <c r="JRI1" s="55"/>
      <c r="JRJ1" s="55"/>
      <c r="JRK1" s="55"/>
      <c r="JRL1" s="55"/>
      <c r="JRM1" s="55"/>
      <c r="JRN1" s="55"/>
      <c r="JRO1" s="55"/>
      <c r="JRP1" s="55"/>
      <c r="JRQ1" s="55"/>
      <c r="JRR1" s="55"/>
      <c r="JRS1" s="55"/>
      <c r="JRT1" s="55"/>
      <c r="JRU1" s="55"/>
      <c r="JRV1" s="55"/>
      <c r="JRW1" s="55"/>
      <c r="JRX1" s="55"/>
      <c r="JRY1" s="55"/>
      <c r="JRZ1" s="55"/>
      <c r="JSA1" s="55"/>
      <c r="JSB1" s="55"/>
      <c r="JSC1" s="55"/>
      <c r="JSD1" s="55"/>
      <c r="JSE1" s="55"/>
      <c r="JSF1" s="55"/>
      <c r="JSG1" s="55"/>
      <c r="JSH1" s="55"/>
      <c r="JSI1" s="55"/>
      <c r="JSJ1" s="55"/>
      <c r="JSK1" s="55"/>
      <c r="JSL1" s="55"/>
      <c r="JSM1" s="55"/>
      <c r="JSN1" s="55"/>
      <c r="JSO1" s="55"/>
      <c r="JSP1" s="55"/>
      <c r="JSQ1" s="55"/>
      <c r="JSR1" s="55"/>
      <c r="JSS1" s="55"/>
      <c r="JST1" s="55"/>
      <c r="JSU1" s="55"/>
      <c r="JSV1" s="55"/>
      <c r="JSW1" s="55"/>
      <c r="JSX1" s="55"/>
      <c r="JSY1" s="55"/>
      <c r="JSZ1" s="55"/>
      <c r="JTA1" s="55"/>
      <c r="JTB1" s="55"/>
      <c r="JTC1" s="55"/>
      <c r="JTD1" s="55"/>
      <c r="JTE1" s="55"/>
      <c r="JTF1" s="55"/>
      <c r="JTG1" s="55"/>
      <c r="JTH1" s="55"/>
      <c r="JTI1" s="55"/>
      <c r="JTJ1" s="55"/>
      <c r="JTK1" s="55"/>
      <c r="JTL1" s="55"/>
      <c r="JTM1" s="55"/>
      <c r="JTN1" s="55"/>
      <c r="JTO1" s="55"/>
      <c r="JTP1" s="55"/>
      <c r="JTQ1" s="55"/>
      <c r="JTR1" s="55"/>
      <c r="JTS1" s="55"/>
      <c r="JTT1" s="55"/>
      <c r="JTU1" s="55"/>
      <c r="JTV1" s="55"/>
      <c r="JTW1" s="55"/>
      <c r="JTX1" s="55"/>
      <c r="JTY1" s="55"/>
      <c r="JTZ1" s="55"/>
      <c r="JUA1" s="55"/>
      <c r="JUB1" s="55"/>
      <c r="JUC1" s="55"/>
      <c r="JUD1" s="55"/>
      <c r="JUE1" s="55"/>
      <c r="JUF1" s="55"/>
      <c r="JUG1" s="55"/>
      <c r="JUH1" s="55"/>
      <c r="JUI1" s="55"/>
      <c r="JUJ1" s="55"/>
      <c r="JUK1" s="55"/>
      <c r="JUL1" s="55"/>
      <c r="JUM1" s="55"/>
      <c r="JUN1" s="55"/>
      <c r="JUO1" s="55"/>
      <c r="JUP1" s="55"/>
      <c r="JUQ1" s="55"/>
      <c r="JUR1" s="55"/>
      <c r="JUS1" s="55"/>
      <c r="JUT1" s="55"/>
      <c r="JUU1" s="55"/>
      <c r="JUV1" s="55"/>
      <c r="JUW1" s="55"/>
      <c r="JUX1" s="55"/>
      <c r="JUY1" s="55"/>
      <c r="JUZ1" s="55"/>
      <c r="JVA1" s="55"/>
      <c r="JVB1" s="55"/>
      <c r="JVC1" s="55"/>
      <c r="JVD1" s="55"/>
      <c r="JVE1" s="55"/>
      <c r="JVF1" s="55"/>
      <c r="JVG1" s="55"/>
      <c r="JVH1" s="55"/>
      <c r="JVI1" s="55"/>
      <c r="JVJ1" s="55"/>
      <c r="JVK1" s="55"/>
      <c r="JVL1" s="55"/>
      <c r="JVM1" s="55"/>
      <c r="JVN1" s="55"/>
      <c r="JVO1" s="55"/>
      <c r="JVP1" s="55"/>
      <c r="JVQ1" s="55"/>
      <c r="JVR1" s="55"/>
      <c r="JVS1" s="55"/>
      <c r="JVT1" s="55"/>
      <c r="JVU1" s="55"/>
      <c r="JVV1" s="55"/>
      <c r="JVW1" s="55"/>
      <c r="JVX1" s="55"/>
      <c r="JVY1" s="55"/>
      <c r="JVZ1" s="55"/>
      <c r="JWA1" s="55"/>
      <c r="JWB1" s="55"/>
      <c r="JWC1" s="55"/>
      <c r="JWD1" s="55"/>
      <c r="JWE1" s="55"/>
      <c r="JWF1" s="55"/>
      <c r="JWG1" s="55"/>
      <c r="JWH1" s="55"/>
      <c r="JWI1" s="55"/>
      <c r="JWJ1" s="55"/>
      <c r="JWK1" s="55"/>
      <c r="JWL1" s="55"/>
      <c r="JWM1" s="55"/>
      <c r="JWN1" s="55"/>
      <c r="JWO1" s="55"/>
      <c r="JWP1" s="55"/>
      <c r="JWQ1" s="55"/>
      <c r="JWR1" s="55"/>
      <c r="JWS1" s="55"/>
      <c r="JWT1" s="55"/>
      <c r="JWU1" s="55"/>
      <c r="JWV1" s="55"/>
      <c r="JWW1" s="55"/>
      <c r="JWX1" s="55"/>
      <c r="JWY1" s="55"/>
      <c r="JWZ1" s="55"/>
      <c r="JXA1" s="55"/>
      <c r="JXB1" s="55"/>
      <c r="JXC1" s="55"/>
      <c r="JXD1" s="55"/>
      <c r="JXE1" s="55"/>
      <c r="JXF1" s="55"/>
      <c r="JXG1" s="55"/>
      <c r="JXH1" s="55"/>
      <c r="JXI1" s="55"/>
      <c r="JXJ1" s="55"/>
      <c r="JXK1" s="55"/>
      <c r="JXL1" s="55"/>
      <c r="JXM1" s="55"/>
      <c r="JXN1" s="55"/>
      <c r="JXO1" s="55"/>
      <c r="JXP1" s="55"/>
      <c r="JXQ1" s="55"/>
      <c r="JXR1" s="55"/>
      <c r="JXS1" s="55"/>
      <c r="JXT1" s="55"/>
      <c r="JXU1" s="55"/>
      <c r="JXV1" s="55"/>
      <c r="JXW1" s="55"/>
      <c r="JXX1" s="55"/>
      <c r="JXY1" s="55"/>
      <c r="JXZ1" s="55"/>
      <c r="JYA1" s="55"/>
      <c r="JYB1" s="55"/>
      <c r="JYC1" s="55"/>
      <c r="JYD1" s="55"/>
      <c r="JYE1" s="55"/>
      <c r="JYF1" s="55"/>
      <c r="JYG1" s="55"/>
      <c r="JYH1" s="55"/>
      <c r="JYI1" s="55"/>
      <c r="JYJ1" s="55"/>
      <c r="JYK1" s="55"/>
      <c r="JYL1" s="55"/>
      <c r="JYM1" s="55"/>
      <c r="JYN1" s="55"/>
      <c r="JYO1" s="55"/>
      <c r="JYP1" s="55"/>
      <c r="JYQ1" s="55"/>
      <c r="JYR1" s="55"/>
      <c r="JYS1" s="55"/>
      <c r="JYT1" s="55"/>
      <c r="JYU1" s="55"/>
      <c r="JYV1" s="55"/>
      <c r="JYW1" s="55"/>
      <c r="JYX1" s="55"/>
      <c r="JYY1" s="55"/>
      <c r="JYZ1" s="55"/>
      <c r="JZA1" s="55"/>
      <c r="JZB1" s="55"/>
      <c r="JZC1" s="55"/>
      <c r="JZD1" s="55"/>
      <c r="JZE1" s="55"/>
      <c r="JZF1" s="55"/>
      <c r="JZG1" s="55"/>
      <c r="JZH1" s="55"/>
      <c r="JZI1" s="55"/>
      <c r="JZJ1" s="55"/>
      <c r="JZK1" s="55"/>
      <c r="JZL1" s="55"/>
      <c r="JZM1" s="55"/>
      <c r="JZN1" s="55"/>
      <c r="JZO1" s="55"/>
      <c r="JZP1" s="55"/>
      <c r="JZQ1" s="55"/>
      <c r="JZR1" s="55"/>
      <c r="JZS1" s="55"/>
      <c r="JZT1" s="55"/>
      <c r="JZU1" s="55"/>
      <c r="JZV1" s="55"/>
      <c r="JZW1" s="55"/>
      <c r="JZX1" s="55"/>
      <c r="JZY1" s="55"/>
      <c r="JZZ1" s="55"/>
      <c r="KAA1" s="55"/>
      <c r="KAB1" s="55"/>
      <c r="KAC1" s="55"/>
      <c r="KAD1" s="55"/>
      <c r="KAE1" s="55"/>
      <c r="KAF1" s="55"/>
      <c r="KAG1" s="55"/>
      <c r="KAH1" s="55"/>
      <c r="KAI1" s="55"/>
      <c r="KAJ1" s="55"/>
      <c r="KAK1" s="55"/>
      <c r="KAL1" s="55"/>
      <c r="KAM1" s="55"/>
      <c r="KAN1" s="55"/>
      <c r="KAO1" s="55"/>
      <c r="KAP1" s="55"/>
      <c r="KAQ1" s="55"/>
      <c r="KAR1" s="55"/>
      <c r="KAS1" s="55"/>
      <c r="KAT1" s="55"/>
      <c r="KAU1" s="55"/>
      <c r="KAV1" s="55"/>
      <c r="KAW1" s="55"/>
      <c r="KAX1" s="55"/>
      <c r="KAY1" s="55"/>
      <c r="KAZ1" s="55"/>
      <c r="KBA1" s="55"/>
      <c r="KBB1" s="55"/>
      <c r="KBC1" s="55"/>
      <c r="KBD1" s="55"/>
      <c r="KBE1" s="55"/>
      <c r="KBF1" s="55"/>
      <c r="KBG1" s="55"/>
      <c r="KBH1" s="55"/>
      <c r="KBI1" s="55"/>
      <c r="KBJ1" s="55"/>
      <c r="KBK1" s="55"/>
      <c r="KBL1" s="55"/>
      <c r="KBM1" s="55"/>
      <c r="KBN1" s="55"/>
      <c r="KBO1" s="55"/>
      <c r="KBP1" s="55"/>
      <c r="KBQ1" s="55"/>
      <c r="KBR1" s="55"/>
      <c r="KBS1" s="55"/>
      <c r="KBT1" s="55"/>
      <c r="KBU1" s="55"/>
      <c r="KBV1" s="55"/>
      <c r="KBW1" s="55"/>
      <c r="KBX1" s="55"/>
      <c r="KBY1" s="55"/>
      <c r="KBZ1" s="55"/>
      <c r="KCA1" s="55"/>
      <c r="KCB1" s="55"/>
      <c r="KCC1" s="55"/>
      <c r="KCD1" s="55"/>
      <c r="KCE1" s="55"/>
      <c r="KCF1" s="55"/>
      <c r="KCG1" s="55"/>
      <c r="KCH1" s="55"/>
      <c r="KCI1" s="55"/>
      <c r="KCJ1" s="55"/>
      <c r="KCK1" s="55"/>
      <c r="KCL1" s="55"/>
      <c r="KCM1" s="55"/>
      <c r="KCN1" s="55"/>
      <c r="KCO1" s="55"/>
      <c r="KCP1" s="55"/>
      <c r="KCQ1" s="55"/>
      <c r="KCR1" s="55"/>
      <c r="KCS1" s="55"/>
      <c r="KCT1" s="55"/>
      <c r="KCU1" s="55"/>
      <c r="KCV1" s="55"/>
      <c r="KCW1" s="55"/>
      <c r="KCX1" s="55"/>
      <c r="KCY1" s="55"/>
      <c r="KCZ1" s="55"/>
      <c r="KDA1" s="55"/>
      <c r="KDB1" s="55"/>
      <c r="KDC1" s="55"/>
      <c r="KDD1" s="55"/>
      <c r="KDE1" s="55"/>
      <c r="KDF1" s="55"/>
      <c r="KDG1" s="55"/>
      <c r="KDH1" s="55"/>
      <c r="KDI1" s="55"/>
      <c r="KDJ1" s="55"/>
      <c r="KDK1" s="55"/>
      <c r="KDL1" s="55"/>
      <c r="KDM1" s="55"/>
      <c r="KDN1" s="55"/>
      <c r="KDO1" s="55"/>
      <c r="KDP1" s="55"/>
      <c r="KDQ1" s="55"/>
      <c r="KDR1" s="55"/>
      <c r="KDS1" s="55"/>
      <c r="KDT1" s="55"/>
      <c r="KDU1" s="55"/>
      <c r="KDV1" s="55"/>
      <c r="KDW1" s="55"/>
      <c r="KDX1" s="55"/>
      <c r="KDY1" s="55"/>
      <c r="KDZ1" s="55"/>
      <c r="KEA1" s="55"/>
      <c r="KEB1" s="55"/>
      <c r="KEC1" s="55"/>
      <c r="KED1" s="55"/>
      <c r="KEE1" s="55"/>
      <c r="KEF1" s="55"/>
      <c r="KEG1" s="55"/>
      <c r="KEH1" s="55"/>
      <c r="KEI1" s="55"/>
      <c r="KEJ1" s="55"/>
      <c r="KEK1" s="55"/>
      <c r="KEL1" s="55"/>
      <c r="KEM1" s="55"/>
      <c r="KEN1" s="55"/>
      <c r="KEO1" s="55"/>
      <c r="KEP1" s="55"/>
      <c r="KEQ1" s="55"/>
      <c r="KER1" s="55"/>
      <c r="KES1" s="55"/>
      <c r="KET1" s="55"/>
      <c r="KEU1" s="55"/>
      <c r="KEV1" s="55"/>
      <c r="KEW1" s="55"/>
      <c r="KEX1" s="55"/>
      <c r="KEY1" s="55"/>
      <c r="KEZ1" s="55"/>
      <c r="KFA1" s="55"/>
      <c r="KFB1" s="55"/>
      <c r="KFC1" s="55"/>
      <c r="KFD1" s="55"/>
      <c r="KFE1" s="55"/>
      <c r="KFF1" s="55"/>
      <c r="KFG1" s="55"/>
      <c r="KFH1" s="55"/>
      <c r="KFI1" s="55"/>
      <c r="KFJ1" s="55"/>
      <c r="KFK1" s="55"/>
      <c r="KFL1" s="55"/>
      <c r="KFM1" s="55"/>
      <c r="KFN1" s="55"/>
      <c r="KFO1" s="55"/>
      <c r="KFP1" s="55"/>
      <c r="KFQ1" s="55"/>
      <c r="KFR1" s="55"/>
      <c r="KFS1" s="55"/>
      <c r="KFT1" s="55"/>
      <c r="KFU1" s="55"/>
      <c r="KFV1" s="55"/>
      <c r="KFW1" s="55"/>
      <c r="KFX1" s="55"/>
      <c r="KFY1" s="55"/>
      <c r="KFZ1" s="55"/>
      <c r="KGA1" s="55"/>
      <c r="KGB1" s="55"/>
      <c r="KGC1" s="55"/>
      <c r="KGD1" s="55"/>
      <c r="KGE1" s="55"/>
      <c r="KGF1" s="55"/>
      <c r="KGG1" s="55"/>
      <c r="KGH1" s="55"/>
      <c r="KGI1" s="55"/>
      <c r="KGJ1" s="55"/>
      <c r="KGK1" s="55"/>
      <c r="KGL1" s="55"/>
      <c r="KGM1" s="55"/>
      <c r="KGN1" s="55"/>
      <c r="KGO1" s="55"/>
      <c r="KGP1" s="55"/>
      <c r="KGQ1" s="55"/>
      <c r="KGR1" s="55"/>
      <c r="KGS1" s="55"/>
      <c r="KGT1" s="55"/>
      <c r="KGU1" s="55"/>
      <c r="KGV1" s="55"/>
      <c r="KGW1" s="55"/>
      <c r="KGX1" s="55"/>
      <c r="KGY1" s="55"/>
      <c r="KGZ1" s="55"/>
      <c r="KHA1" s="55"/>
      <c r="KHB1" s="55"/>
      <c r="KHC1" s="55"/>
      <c r="KHD1" s="55"/>
      <c r="KHE1" s="55"/>
      <c r="KHF1" s="55"/>
      <c r="KHG1" s="55"/>
      <c r="KHH1" s="55"/>
      <c r="KHI1" s="55"/>
      <c r="KHJ1" s="55"/>
      <c r="KHK1" s="55"/>
      <c r="KHL1" s="55"/>
      <c r="KHM1" s="55"/>
      <c r="KHN1" s="55"/>
      <c r="KHO1" s="55"/>
      <c r="KHP1" s="55"/>
      <c r="KHQ1" s="55"/>
      <c r="KHR1" s="55"/>
      <c r="KHS1" s="55"/>
      <c r="KHT1" s="55"/>
      <c r="KHU1" s="55"/>
      <c r="KHV1" s="55"/>
      <c r="KHW1" s="55"/>
      <c r="KHX1" s="55"/>
      <c r="KHY1" s="55"/>
      <c r="KHZ1" s="55"/>
      <c r="KIA1" s="55"/>
      <c r="KIB1" s="55"/>
      <c r="KIC1" s="55"/>
      <c r="KID1" s="55"/>
      <c r="KIE1" s="55"/>
      <c r="KIF1" s="55"/>
      <c r="KIG1" s="55"/>
      <c r="KIH1" s="55"/>
      <c r="KII1" s="55"/>
      <c r="KIJ1" s="55"/>
      <c r="KIK1" s="55"/>
      <c r="KIL1" s="55"/>
      <c r="KIM1" s="55"/>
      <c r="KIN1" s="55"/>
      <c r="KIO1" s="55"/>
      <c r="KIP1" s="55"/>
      <c r="KIQ1" s="55"/>
      <c r="KIR1" s="55"/>
      <c r="KIS1" s="55"/>
      <c r="KIT1" s="55"/>
      <c r="KIU1" s="55"/>
      <c r="KIV1" s="55"/>
      <c r="KIW1" s="55"/>
      <c r="KIX1" s="55"/>
      <c r="KIY1" s="55"/>
      <c r="KIZ1" s="55"/>
      <c r="KJA1" s="55"/>
      <c r="KJB1" s="55"/>
      <c r="KJC1" s="55"/>
      <c r="KJD1" s="55"/>
      <c r="KJE1" s="55"/>
      <c r="KJF1" s="55"/>
      <c r="KJG1" s="55"/>
      <c r="KJH1" s="55"/>
      <c r="KJI1" s="55"/>
      <c r="KJJ1" s="55"/>
      <c r="KJK1" s="55"/>
      <c r="KJL1" s="55"/>
      <c r="KJM1" s="55"/>
      <c r="KJN1" s="55"/>
      <c r="KJO1" s="55"/>
      <c r="KJP1" s="55"/>
      <c r="KJQ1" s="55"/>
      <c r="KJR1" s="55"/>
      <c r="KJS1" s="55"/>
      <c r="KJT1" s="55"/>
      <c r="KJU1" s="55"/>
      <c r="KJV1" s="55"/>
      <c r="KJW1" s="55"/>
      <c r="KJX1" s="55"/>
      <c r="KJY1" s="55"/>
      <c r="KJZ1" s="55"/>
      <c r="KKA1" s="55"/>
      <c r="KKB1" s="55"/>
      <c r="KKC1" s="55"/>
      <c r="KKD1" s="55"/>
      <c r="KKE1" s="55"/>
      <c r="KKF1" s="55"/>
      <c r="KKG1" s="55"/>
      <c r="KKH1" s="55"/>
      <c r="KKI1" s="55"/>
      <c r="KKJ1" s="55"/>
      <c r="KKK1" s="55"/>
      <c r="KKL1" s="55"/>
      <c r="KKM1" s="55"/>
      <c r="KKN1" s="55"/>
      <c r="KKO1" s="55"/>
      <c r="KKP1" s="55"/>
      <c r="KKQ1" s="55"/>
      <c r="KKR1" s="55"/>
      <c r="KKS1" s="55"/>
      <c r="KKT1" s="55"/>
      <c r="KKU1" s="55"/>
      <c r="KKV1" s="55"/>
      <c r="KKW1" s="55"/>
      <c r="KKX1" s="55"/>
      <c r="KKY1" s="55"/>
      <c r="KKZ1" s="55"/>
      <c r="KLA1" s="55"/>
      <c r="KLB1" s="55"/>
      <c r="KLC1" s="55"/>
      <c r="KLD1" s="55"/>
      <c r="KLE1" s="55"/>
      <c r="KLF1" s="55"/>
      <c r="KLG1" s="55"/>
      <c r="KLH1" s="55"/>
      <c r="KLI1" s="55"/>
      <c r="KLJ1" s="55"/>
      <c r="KLK1" s="55"/>
      <c r="KLL1" s="55"/>
      <c r="KLM1" s="55"/>
      <c r="KLN1" s="55"/>
      <c r="KLO1" s="55"/>
      <c r="KLP1" s="55"/>
      <c r="KLQ1" s="55"/>
      <c r="KLR1" s="55"/>
      <c r="KLS1" s="55"/>
      <c r="KLT1" s="55"/>
      <c r="KLU1" s="55"/>
      <c r="KLV1" s="55"/>
      <c r="KLW1" s="55"/>
      <c r="KLX1" s="55"/>
      <c r="KLY1" s="55"/>
      <c r="KLZ1" s="55"/>
      <c r="KMA1" s="55"/>
      <c r="KMB1" s="55"/>
      <c r="KMC1" s="55"/>
      <c r="KMD1" s="55"/>
      <c r="KME1" s="55"/>
      <c r="KMF1" s="55"/>
      <c r="KMG1" s="55"/>
      <c r="KMH1" s="55"/>
      <c r="KMI1" s="55"/>
      <c r="KMJ1" s="55"/>
      <c r="KMK1" s="55"/>
      <c r="KML1" s="55"/>
      <c r="KMM1" s="55"/>
      <c r="KMN1" s="55"/>
      <c r="KMO1" s="55"/>
      <c r="KMP1" s="55"/>
      <c r="KMQ1" s="55"/>
      <c r="KMR1" s="55"/>
      <c r="KMS1" s="55"/>
      <c r="KMT1" s="55"/>
      <c r="KMU1" s="55"/>
      <c r="KMV1" s="55"/>
      <c r="KMW1" s="55"/>
      <c r="KMX1" s="55"/>
      <c r="KMY1" s="55"/>
      <c r="KMZ1" s="55"/>
      <c r="KNA1" s="55"/>
      <c r="KNB1" s="55"/>
      <c r="KNC1" s="55"/>
      <c r="KND1" s="55"/>
      <c r="KNE1" s="55"/>
      <c r="KNF1" s="55"/>
      <c r="KNG1" s="55"/>
      <c r="KNH1" s="55"/>
      <c r="KNI1" s="55"/>
      <c r="KNJ1" s="55"/>
      <c r="KNK1" s="55"/>
      <c r="KNL1" s="55"/>
      <c r="KNM1" s="55"/>
      <c r="KNN1" s="55"/>
      <c r="KNO1" s="55"/>
      <c r="KNP1" s="55"/>
      <c r="KNQ1" s="55"/>
      <c r="KNR1" s="55"/>
      <c r="KNS1" s="55"/>
      <c r="KNT1" s="55"/>
      <c r="KNU1" s="55"/>
      <c r="KNV1" s="55"/>
      <c r="KNW1" s="55"/>
      <c r="KNX1" s="55"/>
      <c r="KNY1" s="55"/>
      <c r="KNZ1" s="55"/>
      <c r="KOA1" s="55"/>
      <c r="KOB1" s="55"/>
      <c r="KOC1" s="55"/>
      <c r="KOD1" s="55"/>
      <c r="KOE1" s="55"/>
      <c r="KOF1" s="55"/>
      <c r="KOG1" s="55"/>
      <c r="KOH1" s="55"/>
      <c r="KOI1" s="55"/>
      <c r="KOJ1" s="55"/>
      <c r="KOK1" s="55"/>
      <c r="KOL1" s="55"/>
      <c r="KOM1" s="55"/>
      <c r="KON1" s="55"/>
      <c r="KOO1" s="55"/>
      <c r="KOP1" s="55"/>
      <c r="KOQ1" s="55"/>
      <c r="KOR1" s="55"/>
      <c r="KOS1" s="55"/>
      <c r="KOT1" s="55"/>
      <c r="KOU1" s="55"/>
      <c r="KOV1" s="55"/>
      <c r="KOW1" s="55"/>
      <c r="KOX1" s="55"/>
      <c r="KOY1" s="55"/>
      <c r="KOZ1" s="55"/>
      <c r="KPA1" s="55"/>
      <c r="KPB1" s="55"/>
      <c r="KPC1" s="55"/>
      <c r="KPD1" s="55"/>
      <c r="KPE1" s="55"/>
      <c r="KPF1" s="55"/>
      <c r="KPG1" s="55"/>
      <c r="KPH1" s="55"/>
      <c r="KPI1" s="55"/>
      <c r="KPJ1" s="55"/>
      <c r="KPK1" s="55"/>
      <c r="KPL1" s="55"/>
      <c r="KPM1" s="55"/>
      <c r="KPN1" s="55"/>
      <c r="KPO1" s="55"/>
      <c r="KPP1" s="55"/>
      <c r="KPQ1" s="55"/>
      <c r="KPR1" s="55"/>
      <c r="KPS1" s="55"/>
      <c r="KPT1" s="55"/>
      <c r="KPU1" s="55"/>
      <c r="KPV1" s="55"/>
      <c r="KPW1" s="55"/>
      <c r="KPX1" s="55"/>
      <c r="KPY1" s="55"/>
      <c r="KPZ1" s="55"/>
      <c r="KQA1" s="55"/>
      <c r="KQB1" s="55"/>
      <c r="KQC1" s="55"/>
      <c r="KQD1" s="55"/>
      <c r="KQE1" s="55"/>
      <c r="KQF1" s="55"/>
      <c r="KQG1" s="55"/>
      <c r="KQH1" s="55"/>
      <c r="KQI1" s="55"/>
      <c r="KQJ1" s="55"/>
      <c r="KQK1" s="55"/>
      <c r="KQL1" s="55"/>
      <c r="KQM1" s="55"/>
      <c r="KQN1" s="55"/>
      <c r="KQO1" s="55"/>
      <c r="KQP1" s="55"/>
      <c r="KQQ1" s="55"/>
      <c r="KQR1" s="55"/>
      <c r="KQS1" s="55"/>
      <c r="KQT1" s="55"/>
      <c r="KQU1" s="55"/>
      <c r="KQV1" s="55"/>
      <c r="KQW1" s="55"/>
      <c r="KQX1" s="55"/>
      <c r="KQY1" s="55"/>
      <c r="KQZ1" s="55"/>
      <c r="KRA1" s="55"/>
      <c r="KRB1" s="55"/>
      <c r="KRC1" s="55"/>
      <c r="KRD1" s="55"/>
      <c r="KRE1" s="55"/>
      <c r="KRF1" s="55"/>
      <c r="KRG1" s="55"/>
      <c r="KRH1" s="55"/>
      <c r="KRI1" s="55"/>
      <c r="KRJ1" s="55"/>
      <c r="KRK1" s="55"/>
      <c r="KRL1" s="55"/>
      <c r="KRM1" s="55"/>
      <c r="KRN1" s="55"/>
      <c r="KRO1" s="55"/>
      <c r="KRP1" s="55"/>
      <c r="KRQ1" s="55"/>
      <c r="KRR1" s="55"/>
      <c r="KRS1" s="55"/>
      <c r="KRT1" s="55"/>
      <c r="KRU1" s="55"/>
      <c r="KRV1" s="55"/>
      <c r="KRW1" s="55"/>
      <c r="KRX1" s="55"/>
      <c r="KRY1" s="55"/>
      <c r="KRZ1" s="55"/>
      <c r="KSA1" s="55"/>
      <c r="KSB1" s="55"/>
      <c r="KSC1" s="55"/>
      <c r="KSD1" s="55"/>
      <c r="KSE1" s="55"/>
      <c r="KSF1" s="55"/>
      <c r="KSG1" s="55"/>
      <c r="KSH1" s="55"/>
      <c r="KSI1" s="55"/>
      <c r="KSJ1" s="55"/>
      <c r="KSK1" s="55"/>
      <c r="KSL1" s="55"/>
      <c r="KSM1" s="55"/>
      <c r="KSN1" s="55"/>
      <c r="KSO1" s="55"/>
      <c r="KSP1" s="55"/>
      <c r="KSQ1" s="55"/>
      <c r="KSR1" s="55"/>
      <c r="KSS1" s="55"/>
      <c r="KST1" s="55"/>
      <c r="KSU1" s="55"/>
      <c r="KSV1" s="55"/>
      <c r="KSW1" s="55"/>
      <c r="KSX1" s="55"/>
      <c r="KSY1" s="55"/>
      <c r="KSZ1" s="55"/>
      <c r="KTA1" s="55"/>
      <c r="KTB1" s="55"/>
      <c r="KTC1" s="55"/>
      <c r="KTD1" s="55"/>
      <c r="KTE1" s="55"/>
      <c r="KTF1" s="55"/>
      <c r="KTG1" s="55"/>
      <c r="KTH1" s="55"/>
      <c r="KTI1" s="55"/>
      <c r="KTJ1" s="55"/>
      <c r="KTK1" s="55"/>
      <c r="KTL1" s="55"/>
      <c r="KTM1" s="55"/>
      <c r="KTN1" s="55"/>
      <c r="KTO1" s="55"/>
      <c r="KTP1" s="55"/>
      <c r="KTQ1" s="55"/>
      <c r="KTR1" s="55"/>
      <c r="KTS1" s="55"/>
      <c r="KTT1" s="55"/>
      <c r="KTU1" s="55"/>
      <c r="KTV1" s="55"/>
      <c r="KTW1" s="55"/>
      <c r="KTX1" s="55"/>
      <c r="KTY1" s="55"/>
      <c r="KTZ1" s="55"/>
      <c r="KUA1" s="55"/>
      <c r="KUB1" s="55"/>
      <c r="KUC1" s="55"/>
      <c r="KUD1" s="55"/>
      <c r="KUE1" s="55"/>
      <c r="KUF1" s="55"/>
      <c r="KUG1" s="55"/>
      <c r="KUH1" s="55"/>
      <c r="KUI1" s="55"/>
      <c r="KUJ1" s="55"/>
      <c r="KUK1" s="55"/>
      <c r="KUL1" s="55"/>
      <c r="KUM1" s="55"/>
      <c r="KUN1" s="55"/>
      <c r="KUO1" s="55"/>
      <c r="KUP1" s="55"/>
      <c r="KUQ1" s="55"/>
      <c r="KUR1" s="55"/>
      <c r="KUS1" s="55"/>
      <c r="KUT1" s="55"/>
      <c r="KUU1" s="55"/>
      <c r="KUV1" s="55"/>
      <c r="KUW1" s="55"/>
      <c r="KUX1" s="55"/>
      <c r="KUY1" s="55"/>
      <c r="KUZ1" s="55"/>
      <c r="KVA1" s="55"/>
      <c r="KVB1" s="55"/>
      <c r="KVC1" s="55"/>
      <c r="KVD1" s="55"/>
      <c r="KVE1" s="55"/>
      <c r="KVF1" s="55"/>
      <c r="KVG1" s="55"/>
      <c r="KVH1" s="55"/>
      <c r="KVI1" s="55"/>
      <c r="KVJ1" s="55"/>
      <c r="KVK1" s="55"/>
      <c r="KVL1" s="55"/>
      <c r="KVM1" s="55"/>
      <c r="KVN1" s="55"/>
      <c r="KVO1" s="55"/>
      <c r="KVP1" s="55"/>
      <c r="KVQ1" s="55"/>
      <c r="KVR1" s="55"/>
      <c r="KVS1" s="55"/>
      <c r="KVT1" s="55"/>
      <c r="KVU1" s="55"/>
      <c r="KVV1" s="55"/>
      <c r="KVW1" s="55"/>
      <c r="KVX1" s="55"/>
      <c r="KVY1" s="55"/>
      <c r="KVZ1" s="55"/>
      <c r="KWA1" s="55"/>
      <c r="KWB1" s="55"/>
      <c r="KWC1" s="55"/>
      <c r="KWD1" s="55"/>
      <c r="KWE1" s="55"/>
      <c r="KWF1" s="55"/>
      <c r="KWG1" s="55"/>
      <c r="KWH1" s="55"/>
      <c r="KWI1" s="55"/>
      <c r="KWJ1" s="55"/>
      <c r="KWK1" s="55"/>
      <c r="KWL1" s="55"/>
      <c r="KWM1" s="55"/>
      <c r="KWN1" s="55"/>
      <c r="KWO1" s="55"/>
      <c r="KWP1" s="55"/>
      <c r="KWQ1" s="55"/>
      <c r="KWR1" s="55"/>
      <c r="KWS1" s="55"/>
      <c r="KWT1" s="55"/>
      <c r="KWU1" s="55"/>
      <c r="KWV1" s="55"/>
      <c r="KWW1" s="55"/>
      <c r="KWX1" s="55"/>
      <c r="KWY1" s="55"/>
      <c r="KWZ1" s="55"/>
      <c r="KXA1" s="55"/>
      <c r="KXB1" s="55"/>
      <c r="KXC1" s="55"/>
      <c r="KXD1" s="55"/>
      <c r="KXE1" s="55"/>
      <c r="KXF1" s="55"/>
      <c r="KXG1" s="55"/>
      <c r="KXH1" s="55"/>
      <c r="KXI1" s="55"/>
      <c r="KXJ1" s="55"/>
      <c r="KXK1" s="55"/>
      <c r="KXL1" s="55"/>
      <c r="KXM1" s="55"/>
      <c r="KXN1" s="55"/>
      <c r="KXO1" s="55"/>
      <c r="KXP1" s="55"/>
      <c r="KXQ1" s="55"/>
      <c r="KXR1" s="55"/>
      <c r="KXS1" s="55"/>
      <c r="KXT1" s="55"/>
      <c r="KXU1" s="55"/>
      <c r="KXV1" s="55"/>
      <c r="KXW1" s="55"/>
      <c r="KXX1" s="55"/>
      <c r="KXY1" s="55"/>
      <c r="KXZ1" s="55"/>
      <c r="KYA1" s="55"/>
      <c r="KYB1" s="55"/>
      <c r="KYC1" s="55"/>
      <c r="KYD1" s="55"/>
      <c r="KYE1" s="55"/>
      <c r="KYF1" s="55"/>
      <c r="KYG1" s="55"/>
      <c r="KYH1" s="55"/>
      <c r="KYI1" s="55"/>
      <c r="KYJ1" s="55"/>
      <c r="KYK1" s="55"/>
      <c r="KYL1" s="55"/>
      <c r="KYM1" s="55"/>
      <c r="KYN1" s="55"/>
      <c r="KYO1" s="55"/>
      <c r="KYP1" s="55"/>
      <c r="KYQ1" s="55"/>
      <c r="KYR1" s="55"/>
      <c r="KYS1" s="55"/>
      <c r="KYT1" s="55"/>
      <c r="KYU1" s="55"/>
      <c r="KYV1" s="55"/>
      <c r="KYW1" s="55"/>
      <c r="KYX1" s="55"/>
      <c r="KYY1" s="55"/>
      <c r="KYZ1" s="55"/>
      <c r="KZA1" s="55"/>
      <c r="KZB1" s="55"/>
      <c r="KZC1" s="55"/>
      <c r="KZD1" s="55"/>
      <c r="KZE1" s="55"/>
      <c r="KZF1" s="55"/>
      <c r="KZG1" s="55"/>
      <c r="KZH1" s="55"/>
      <c r="KZI1" s="55"/>
      <c r="KZJ1" s="55"/>
      <c r="KZK1" s="55"/>
      <c r="KZL1" s="55"/>
      <c r="KZM1" s="55"/>
      <c r="KZN1" s="55"/>
      <c r="KZO1" s="55"/>
      <c r="KZP1" s="55"/>
      <c r="KZQ1" s="55"/>
      <c r="KZR1" s="55"/>
      <c r="KZS1" s="55"/>
      <c r="KZT1" s="55"/>
      <c r="KZU1" s="55"/>
      <c r="KZV1" s="55"/>
      <c r="KZW1" s="55"/>
      <c r="KZX1" s="55"/>
      <c r="KZY1" s="55"/>
      <c r="KZZ1" s="55"/>
      <c r="LAA1" s="55"/>
      <c r="LAB1" s="55"/>
      <c r="LAC1" s="55"/>
      <c r="LAD1" s="55"/>
      <c r="LAE1" s="55"/>
      <c r="LAF1" s="55"/>
      <c r="LAG1" s="55"/>
      <c r="LAH1" s="55"/>
      <c r="LAI1" s="55"/>
      <c r="LAJ1" s="55"/>
      <c r="LAK1" s="55"/>
      <c r="LAL1" s="55"/>
      <c r="LAM1" s="55"/>
      <c r="LAN1" s="55"/>
      <c r="LAO1" s="55"/>
      <c r="LAP1" s="55"/>
      <c r="LAQ1" s="55"/>
      <c r="LAR1" s="55"/>
      <c r="LAS1" s="55"/>
      <c r="LAT1" s="55"/>
      <c r="LAU1" s="55"/>
      <c r="LAV1" s="55"/>
      <c r="LAW1" s="55"/>
      <c r="LAX1" s="55"/>
      <c r="LAY1" s="55"/>
      <c r="LAZ1" s="55"/>
      <c r="LBA1" s="55"/>
      <c r="LBB1" s="55"/>
      <c r="LBC1" s="55"/>
      <c r="LBD1" s="55"/>
      <c r="LBE1" s="55"/>
      <c r="LBF1" s="55"/>
      <c r="LBG1" s="55"/>
      <c r="LBH1" s="55"/>
      <c r="LBI1" s="55"/>
      <c r="LBJ1" s="55"/>
      <c r="LBK1" s="55"/>
      <c r="LBL1" s="55"/>
      <c r="LBM1" s="55"/>
      <c r="LBN1" s="55"/>
      <c r="LBO1" s="55"/>
      <c r="LBP1" s="55"/>
      <c r="LBQ1" s="55"/>
      <c r="LBR1" s="55"/>
      <c r="LBS1" s="55"/>
      <c r="LBT1" s="55"/>
      <c r="LBU1" s="55"/>
      <c r="LBV1" s="55"/>
      <c r="LBW1" s="55"/>
      <c r="LBX1" s="55"/>
      <c r="LBY1" s="55"/>
      <c r="LBZ1" s="55"/>
      <c r="LCA1" s="55"/>
      <c r="LCB1" s="55"/>
      <c r="LCC1" s="55"/>
      <c r="LCD1" s="55"/>
      <c r="LCE1" s="55"/>
      <c r="LCF1" s="55"/>
      <c r="LCG1" s="55"/>
      <c r="LCH1" s="55"/>
      <c r="LCI1" s="55"/>
      <c r="LCJ1" s="55"/>
      <c r="LCK1" s="55"/>
      <c r="LCL1" s="55"/>
      <c r="LCM1" s="55"/>
      <c r="LCN1" s="55"/>
      <c r="LCO1" s="55"/>
      <c r="LCP1" s="55"/>
      <c r="LCQ1" s="55"/>
      <c r="LCR1" s="55"/>
      <c r="LCS1" s="55"/>
      <c r="LCT1" s="55"/>
      <c r="LCU1" s="55"/>
      <c r="LCV1" s="55"/>
      <c r="LCW1" s="55"/>
      <c r="LCX1" s="55"/>
      <c r="LCY1" s="55"/>
      <c r="LCZ1" s="55"/>
      <c r="LDA1" s="55"/>
      <c r="LDB1" s="55"/>
      <c r="LDC1" s="55"/>
      <c r="LDD1" s="55"/>
      <c r="LDE1" s="55"/>
      <c r="LDF1" s="55"/>
      <c r="LDG1" s="55"/>
      <c r="LDH1" s="55"/>
      <c r="LDI1" s="55"/>
      <c r="LDJ1" s="55"/>
      <c r="LDK1" s="55"/>
      <c r="LDL1" s="55"/>
      <c r="LDM1" s="55"/>
      <c r="LDN1" s="55"/>
      <c r="LDO1" s="55"/>
      <c r="LDP1" s="55"/>
      <c r="LDQ1" s="55"/>
      <c r="LDR1" s="55"/>
      <c r="LDS1" s="55"/>
      <c r="LDT1" s="55"/>
      <c r="LDU1" s="55"/>
      <c r="LDV1" s="55"/>
      <c r="LDW1" s="55"/>
      <c r="LDX1" s="55"/>
      <c r="LDY1" s="55"/>
      <c r="LDZ1" s="55"/>
      <c r="LEA1" s="55"/>
      <c r="LEB1" s="55"/>
      <c r="LEC1" s="55"/>
      <c r="LED1" s="55"/>
      <c r="LEE1" s="55"/>
      <c r="LEF1" s="55"/>
      <c r="LEG1" s="55"/>
      <c r="LEH1" s="55"/>
      <c r="LEI1" s="55"/>
      <c r="LEJ1" s="55"/>
      <c r="LEK1" s="55"/>
      <c r="LEL1" s="55"/>
      <c r="LEM1" s="55"/>
      <c r="LEN1" s="55"/>
      <c r="LEO1" s="55"/>
      <c r="LEP1" s="55"/>
      <c r="LEQ1" s="55"/>
      <c r="LER1" s="55"/>
      <c r="LES1" s="55"/>
      <c r="LET1" s="55"/>
      <c r="LEU1" s="55"/>
      <c r="LEV1" s="55"/>
      <c r="LEW1" s="55"/>
      <c r="LEX1" s="55"/>
      <c r="LEY1" s="55"/>
      <c r="LEZ1" s="55"/>
      <c r="LFA1" s="55"/>
      <c r="LFB1" s="55"/>
      <c r="LFC1" s="55"/>
      <c r="LFD1" s="55"/>
      <c r="LFE1" s="55"/>
      <c r="LFF1" s="55"/>
      <c r="LFG1" s="55"/>
      <c r="LFH1" s="55"/>
      <c r="LFI1" s="55"/>
      <c r="LFJ1" s="55"/>
      <c r="LFK1" s="55"/>
      <c r="LFL1" s="55"/>
      <c r="LFM1" s="55"/>
      <c r="LFN1" s="55"/>
      <c r="LFO1" s="55"/>
      <c r="LFP1" s="55"/>
      <c r="LFQ1" s="55"/>
      <c r="LFR1" s="55"/>
      <c r="LFS1" s="55"/>
      <c r="LFT1" s="55"/>
      <c r="LFU1" s="55"/>
      <c r="LFV1" s="55"/>
      <c r="LFW1" s="55"/>
      <c r="LFX1" s="55"/>
      <c r="LFY1" s="55"/>
      <c r="LFZ1" s="55"/>
      <c r="LGA1" s="55"/>
      <c r="LGB1" s="55"/>
      <c r="LGC1" s="55"/>
      <c r="LGD1" s="55"/>
      <c r="LGE1" s="55"/>
      <c r="LGF1" s="55"/>
      <c r="LGG1" s="55"/>
      <c r="LGH1" s="55"/>
      <c r="LGI1" s="55"/>
      <c r="LGJ1" s="55"/>
      <c r="LGK1" s="55"/>
      <c r="LGL1" s="55"/>
      <c r="LGM1" s="55"/>
      <c r="LGN1" s="55"/>
      <c r="LGO1" s="55"/>
      <c r="LGP1" s="55"/>
      <c r="LGQ1" s="55"/>
      <c r="LGR1" s="55"/>
      <c r="LGS1" s="55"/>
      <c r="LGT1" s="55"/>
      <c r="LGU1" s="55"/>
      <c r="LGV1" s="55"/>
      <c r="LGW1" s="55"/>
      <c r="LGX1" s="55"/>
      <c r="LGY1" s="55"/>
      <c r="LGZ1" s="55"/>
      <c r="LHA1" s="55"/>
      <c r="LHB1" s="55"/>
      <c r="LHC1" s="55"/>
      <c r="LHD1" s="55"/>
      <c r="LHE1" s="55"/>
      <c r="LHF1" s="55"/>
      <c r="LHG1" s="55"/>
      <c r="LHH1" s="55"/>
      <c r="LHI1" s="55"/>
      <c r="LHJ1" s="55"/>
      <c r="LHK1" s="55"/>
      <c r="LHL1" s="55"/>
      <c r="LHM1" s="55"/>
      <c r="LHN1" s="55"/>
      <c r="LHO1" s="55"/>
      <c r="LHP1" s="55"/>
      <c r="LHQ1" s="55"/>
      <c r="LHR1" s="55"/>
      <c r="LHS1" s="55"/>
      <c r="LHT1" s="55"/>
      <c r="LHU1" s="55"/>
      <c r="LHV1" s="55"/>
      <c r="LHW1" s="55"/>
      <c r="LHX1" s="55"/>
      <c r="LHY1" s="55"/>
      <c r="LHZ1" s="55"/>
      <c r="LIA1" s="55"/>
      <c r="LIB1" s="55"/>
      <c r="LIC1" s="55"/>
      <c r="LID1" s="55"/>
      <c r="LIE1" s="55"/>
      <c r="LIF1" s="55"/>
      <c r="LIG1" s="55"/>
      <c r="LIH1" s="55"/>
      <c r="LII1" s="55"/>
      <c r="LIJ1" s="55"/>
      <c r="LIK1" s="55"/>
      <c r="LIL1" s="55"/>
      <c r="LIM1" s="55"/>
      <c r="LIN1" s="55"/>
      <c r="LIO1" s="55"/>
      <c r="LIP1" s="55"/>
      <c r="LIQ1" s="55"/>
      <c r="LIR1" s="55"/>
      <c r="LIS1" s="55"/>
      <c r="LIT1" s="55"/>
      <c r="LIU1" s="55"/>
      <c r="LIV1" s="55"/>
      <c r="LIW1" s="55"/>
      <c r="LIX1" s="55"/>
      <c r="LIY1" s="55"/>
      <c r="LIZ1" s="55"/>
      <c r="LJA1" s="55"/>
      <c r="LJB1" s="55"/>
      <c r="LJC1" s="55"/>
      <c r="LJD1" s="55"/>
      <c r="LJE1" s="55"/>
      <c r="LJF1" s="55"/>
      <c r="LJG1" s="55"/>
      <c r="LJH1" s="55"/>
      <c r="LJI1" s="55"/>
      <c r="LJJ1" s="55"/>
      <c r="LJK1" s="55"/>
      <c r="LJL1" s="55"/>
      <c r="LJM1" s="55"/>
      <c r="LJN1" s="55"/>
      <c r="LJO1" s="55"/>
      <c r="LJP1" s="55"/>
      <c r="LJQ1" s="55"/>
      <c r="LJR1" s="55"/>
      <c r="LJS1" s="55"/>
      <c r="LJT1" s="55"/>
      <c r="LJU1" s="55"/>
      <c r="LJV1" s="55"/>
      <c r="LJW1" s="55"/>
      <c r="LJX1" s="55"/>
      <c r="LJY1" s="55"/>
      <c r="LJZ1" s="55"/>
      <c r="LKA1" s="55"/>
      <c r="LKB1" s="55"/>
      <c r="LKC1" s="55"/>
      <c r="LKD1" s="55"/>
      <c r="LKE1" s="55"/>
      <c r="LKF1" s="55"/>
      <c r="LKG1" s="55"/>
      <c r="LKH1" s="55"/>
      <c r="LKI1" s="55"/>
      <c r="LKJ1" s="55"/>
      <c r="LKK1" s="55"/>
      <c r="LKL1" s="55"/>
      <c r="LKM1" s="55"/>
      <c r="LKN1" s="55"/>
      <c r="LKO1" s="55"/>
      <c r="LKP1" s="55"/>
      <c r="LKQ1" s="55"/>
      <c r="LKR1" s="55"/>
      <c r="LKS1" s="55"/>
      <c r="LKT1" s="55"/>
      <c r="LKU1" s="55"/>
      <c r="LKV1" s="55"/>
      <c r="LKW1" s="55"/>
      <c r="LKX1" s="55"/>
      <c r="LKY1" s="55"/>
      <c r="LKZ1" s="55"/>
      <c r="LLA1" s="55"/>
      <c r="LLB1" s="55"/>
      <c r="LLC1" s="55"/>
      <c r="LLD1" s="55"/>
      <c r="LLE1" s="55"/>
      <c r="LLF1" s="55"/>
      <c r="LLG1" s="55"/>
      <c r="LLH1" s="55"/>
      <c r="LLI1" s="55"/>
      <c r="LLJ1" s="55"/>
      <c r="LLK1" s="55"/>
      <c r="LLL1" s="55"/>
      <c r="LLM1" s="55"/>
      <c r="LLN1" s="55"/>
      <c r="LLO1" s="55"/>
      <c r="LLP1" s="55"/>
      <c r="LLQ1" s="55"/>
      <c r="LLR1" s="55"/>
      <c r="LLS1" s="55"/>
      <c r="LLT1" s="55"/>
      <c r="LLU1" s="55"/>
      <c r="LLV1" s="55"/>
      <c r="LLW1" s="55"/>
      <c r="LLX1" s="55"/>
      <c r="LLY1" s="55"/>
      <c r="LLZ1" s="55"/>
      <c r="LMA1" s="55"/>
      <c r="LMB1" s="55"/>
      <c r="LMC1" s="55"/>
      <c r="LMD1" s="55"/>
      <c r="LME1" s="55"/>
      <c r="LMF1" s="55"/>
      <c r="LMG1" s="55"/>
      <c r="LMH1" s="55"/>
      <c r="LMI1" s="55"/>
      <c r="LMJ1" s="55"/>
      <c r="LMK1" s="55"/>
      <c r="LML1" s="55"/>
      <c r="LMM1" s="55"/>
      <c r="LMN1" s="55"/>
      <c r="LMO1" s="55"/>
      <c r="LMP1" s="55"/>
      <c r="LMQ1" s="55"/>
      <c r="LMR1" s="55"/>
      <c r="LMS1" s="55"/>
      <c r="LMT1" s="55"/>
      <c r="LMU1" s="55"/>
      <c r="LMV1" s="55"/>
      <c r="LMW1" s="55"/>
      <c r="LMX1" s="55"/>
      <c r="LMY1" s="55"/>
      <c r="LMZ1" s="55"/>
      <c r="LNA1" s="55"/>
      <c r="LNB1" s="55"/>
      <c r="LNC1" s="55"/>
      <c r="LND1" s="55"/>
      <c r="LNE1" s="55"/>
      <c r="LNF1" s="55"/>
      <c r="LNG1" s="55"/>
      <c r="LNH1" s="55"/>
      <c r="LNI1" s="55"/>
      <c r="LNJ1" s="55"/>
      <c r="LNK1" s="55"/>
      <c r="LNL1" s="55"/>
      <c r="LNM1" s="55"/>
      <c r="LNN1" s="55"/>
      <c r="LNO1" s="55"/>
      <c r="LNP1" s="55"/>
      <c r="LNQ1" s="55"/>
      <c r="LNR1" s="55"/>
      <c r="LNS1" s="55"/>
      <c r="LNT1" s="55"/>
      <c r="LNU1" s="55"/>
      <c r="LNV1" s="55"/>
      <c r="LNW1" s="55"/>
      <c r="LNX1" s="55"/>
      <c r="LNY1" s="55"/>
      <c r="LNZ1" s="55"/>
      <c r="LOA1" s="55"/>
      <c r="LOB1" s="55"/>
      <c r="LOC1" s="55"/>
      <c r="LOD1" s="55"/>
      <c r="LOE1" s="55"/>
      <c r="LOF1" s="55"/>
      <c r="LOG1" s="55"/>
      <c r="LOH1" s="55"/>
      <c r="LOI1" s="55"/>
      <c r="LOJ1" s="55"/>
      <c r="LOK1" s="55"/>
      <c r="LOL1" s="55"/>
      <c r="LOM1" s="55"/>
      <c r="LON1" s="55"/>
      <c r="LOO1" s="55"/>
      <c r="LOP1" s="55"/>
      <c r="LOQ1" s="55"/>
      <c r="LOR1" s="55"/>
      <c r="LOS1" s="55"/>
      <c r="LOT1" s="55"/>
      <c r="LOU1" s="55"/>
      <c r="LOV1" s="55"/>
      <c r="LOW1" s="55"/>
      <c r="LOX1" s="55"/>
      <c r="LOY1" s="55"/>
      <c r="LOZ1" s="55"/>
      <c r="LPA1" s="55"/>
      <c r="LPB1" s="55"/>
      <c r="LPC1" s="55"/>
      <c r="LPD1" s="55"/>
      <c r="LPE1" s="55"/>
      <c r="LPF1" s="55"/>
      <c r="LPG1" s="55"/>
      <c r="LPH1" s="55"/>
      <c r="LPI1" s="55"/>
      <c r="LPJ1" s="55"/>
      <c r="LPK1" s="55"/>
      <c r="LPL1" s="55"/>
      <c r="LPM1" s="55"/>
      <c r="LPN1" s="55"/>
      <c r="LPO1" s="55"/>
      <c r="LPP1" s="55"/>
      <c r="LPQ1" s="55"/>
      <c r="LPR1" s="55"/>
      <c r="LPS1" s="55"/>
      <c r="LPT1" s="55"/>
      <c r="LPU1" s="55"/>
      <c r="LPV1" s="55"/>
      <c r="LPW1" s="55"/>
      <c r="LPX1" s="55"/>
      <c r="LPY1" s="55"/>
      <c r="LPZ1" s="55"/>
      <c r="LQA1" s="55"/>
      <c r="LQB1" s="55"/>
      <c r="LQC1" s="55"/>
      <c r="LQD1" s="55"/>
      <c r="LQE1" s="55"/>
      <c r="LQF1" s="55"/>
      <c r="LQG1" s="55"/>
      <c r="LQH1" s="55"/>
      <c r="LQI1" s="55"/>
      <c r="LQJ1" s="55"/>
      <c r="LQK1" s="55"/>
      <c r="LQL1" s="55"/>
      <c r="LQM1" s="55"/>
      <c r="LQN1" s="55"/>
      <c r="LQO1" s="55"/>
      <c r="LQP1" s="55"/>
      <c r="LQQ1" s="55"/>
      <c r="LQR1" s="55"/>
      <c r="LQS1" s="55"/>
      <c r="LQT1" s="55"/>
      <c r="LQU1" s="55"/>
      <c r="LQV1" s="55"/>
      <c r="LQW1" s="55"/>
      <c r="LQX1" s="55"/>
      <c r="LQY1" s="55"/>
      <c r="LQZ1" s="55"/>
      <c r="LRA1" s="55"/>
      <c r="LRB1" s="55"/>
      <c r="LRC1" s="55"/>
      <c r="LRD1" s="55"/>
      <c r="LRE1" s="55"/>
      <c r="LRF1" s="55"/>
      <c r="LRG1" s="55"/>
      <c r="LRH1" s="55"/>
      <c r="LRI1" s="55"/>
      <c r="LRJ1" s="55"/>
      <c r="LRK1" s="55"/>
      <c r="LRL1" s="55"/>
      <c r="LRM1" s="55"/>
      <c r="LRN1" s="55"/>
      <c r="LRO1" s="55"/>
      <c r="LRP1" s="55"/>
      <c r="LRQ1" s="55"/>
      <c r="LRR1" s="55"/>
      <c r="LRS1" s="55"/>
      <c r="LRT1" s="55"/>
      <c r="LRU1" s="55"/>
      <c r="LRV1" s="55"/>
      <c r="LRW1" s="55"/>
      <c r="LRX1" s="55"/>
      <c r="LRY1" s="55"/>
      <c r="LRZ1" s="55"/>
      <c r="LSA1" s="55"/>
      <c r="LSB1" s="55"/>
      <c r="LSC1" s="55"/>
      <c r="LSD1" s="55"/>
      <c r="LSE1" s="55"/>
      <c r="LSF1" s="55"/>
      <c r="LSG1" s="55"/>
      <c r="LSH1" s="55"/>
      <c r="LSI1" s="55"/>
      <c r="LSJ1" s="55"/>
      <c r="LSK1" s="55"/>
      <c r="LSL1" s="55"/>
      <c r="LSM1" s="55"/>
      <c r="LSN1" s="55"/>
      <c r="LSO1" s="55"/>
      <c r="LSP1" s="55"/>
      <c r="LSQ1" s="55"/>
      <c r="LSR1" s="55"/>
      <c r="LSS1" s="55"/>
      <c r="LST1" s="55"/>
      <c r="LSU1" s="55"/>
      <c r="LSV1" s="55"/>
      <c r="LSW1" s="55"/>
      <c r="LSX1" s="55"/>
      <c r="LSY1" s="55"/>
      <c r="LSZ1" s="55"/>
      <c r="LTA1" s="55"/>
      <c r="LTB1" s="55"/>
      <c r="LTC1" s="55"/>
      <c r="LTD1" s="55"/>
      <c r="LTE1" s="55"/>
      <c r="LTF1" s="55"/>
      <c r="LTG1" s="55"/>
      <c r="LTH1" s="55"/>
      <c r="LTI1" s="55"/>
      <c r="LTJ1" s="55"/>
      <c r="LTK1" s="55"/>
      <c r="LTL1" s="55"/>
      <c r="LTM1" s="55"/>
      <c r="LTN1" s="55"/>
      <c r="LTO1" s="55"/>
      <c r="LTP1" s="55"/>
      <c r="LTQ1" s="55"/>
      <c r="LTR1" s="55"/>
      <c r="LTS1" s="55"/>
      <c r="LTT1" s="55"/>
      <c r="LTU1" s="55"/>
      <c r="LTV1" s="55"/>
      <c r="LTW1" s="55"/>
      <c r="LTX1" s="55"/>
      <c r="LTY1" s="55"/>
      <c r="LTZ1" s="55"/>
      <c r="LUA1" s="55"/>
      <c r="LUB1" s="55"/>
      <c r="LUC1" s="55"/>
      <c r="LUD1" s="55"/>
      <c r="LUE1" s="55"/>
      <c r="LUF1" s="55"/>
      <c r="LUG1" s="55"/>
      <c r="LUH1" s="55"/>
      <c r="LUI1" s="55"/>
      <c r="LUJ1" s="55"/>
      <c r="LUK1" s="55"/>
      <c r="LUL1" s="55"/>
      <c r="LUM1" s="55"/>
      <c r="LUN1" s="55"/>
      <c r="LUO1" s="55"/>
      <c r="LUP1" s="55"/>
      <c r="LUQ1" s="55"/>
      <c r="LUR1" s="55"/>
      <c r="LUS1" s="55"/>
      <c r="LUT1" s="55"/>
      <c r="LUU1" s="55"/>
      <c r="LUV1" s="55"/>
      <c r="LUW1" s="55"/>
      <c r="LUX1" s="55"/>
      <c r="LUY1" s="55"/>
      <c r="LUZ1" s="55"/>
      <c r="LVA1" s="55"/>
      <c r="LVB1" s="55"/>
      <c r="LVC1" s="55"/>
      <c r="LVD1" s="55"/>
      <c r="LVE1" s="55"/>
      <c r="LVF1" s="55"/>
      <c r="LVG1" s="55"/>
      <c r="LVH1" s="55"/>
      <c r="LVI1" s="55"/>
      <c r="LVJ1" s="55"/>
      <c r="LVK1" s="55"/>
      <c r="LVL1" s="55"/>
      <c r="LVM1" s="55"/>
      <c r="LVN1" s="55"/>
      <c r="LVO1" s="55"/>
      <c r="LVP1" s="55"/>
      <c r="LVQ1" s="55"/>
      <c r="LVR1" s="55"/>
      <c r="LVS1" s="55"/>
      <c r="LVT1" s="55"/>
      <c r="LVU1" s="55"/>
      <c r="LVV1" s="55"/>
      <c r="LVW1" s="55"/>
      <c r="LVX1" s="55"/>
      <c r="LVY1" s="55"/>
      <c r="LVZ1" s="55"/>
      <c r="LWA1" s="55"/>
      <c r="LWB1" s="55"/>
      <c r="LWC1" s="55"/>
      <c r="LWD1" s="55"/>
      <c r="LWE1" s="55"/>
      <c r="LWF1" s="55"/>
      <c r="LWG1" s="55"/>
      <c r="LWH1" s="55"/>
      <c r="LWI1" s="55"/>
      <c r="LWJ1" s="55"/>
      <c r="LWK1" s="55"/>
      <c r="LWL1" s="55"/>
      <c r="LWM1" s="55"/>
      <c r="LWN1" s="55"/>
      <c r="LWO1" s="55"/>
      <c r="LWP1" s="55"/>
      <c r="LWQ1" s="55"/>
      <c r="LWR1" s="55"/>
      <c r="LWS1" s="55"/>
      <c r="LWT1" s="55"/>
      <c r="LWU1" s="55"/>
      <c r="LWV1" s="55"/>
      <c r="LWW1" s="55"/>
      <c r="LWX1" s="55"/>
      <c r="LWY1" s="55"/>
      <c r="LWZ1" s="55"/>
      <c r="LXA1" s="55"/>
      <c r="LXB1" s="55"/>
      <c r="LXC1" s="55"/>
      <c r="LXD1" s="55"/>
      <c r="LXE1" s="55"/>
      <c r="LXF1" s="55"/>
      <c r="LXG1" s="55"/>
      <c r="LXH1" s="55"/>
      <c r="LXI1" s="55"/>
      <c r="LXJ1" s="55"/>
      <c r="LXK1" s="55"/>
      <c r="LXL1" s="55"/>
      <c r="LXM1" s="55"/>
      <c r="LXN1" s="55"/>
      <c r="LXO1" s="55"/>
      <c r="LXP1" s="55"/>
      <c r="LXQ1" s="55"/>
      <c r="LXR1" s="55"/>
      <c r="LXS1" s="55"/>
      <c r="LXT1" s="55"/>
      <c r="LXU1" s="55"/>
      <c r="LXV1" s="55"/>
      <c r="LXW1" s="55"/>
      <c r="LXX1" s="55"/>
      <c r="LXY1" s="55"/>
      <c r="LXZ1" s="55"/>
      <c r="LYA1" s="55"/>
      <c r="LYB1" s="55"/>
      <c r="LYC1" s="55"/>
      <c r="LYD1" s="55"/>
      <c r="LYE1" s="55"/>
      <c r="LYF1" s="55"/>
      <c r="LYG1" s="55"/>
      <c r="LYH1" s="55"/>
      <c r="LYI1" s="55"/>
      <c r="LYJ1" s="55"/>
      <c r="LYK1" s="55"/>
      <c r="LYL1" s="55"/>
      <c r="LYM1" s="55"/>
      <c r="LYN1" s="55"/>
      <c r="LYO1" s="55"/>
      <c r="LYP1" s="55"/>
      <c r="LYQ1" s="55"/>
      <c r="LYR1" s="55"/>
      <c r="LYS1" s="55"/>
      <c r="LYT1" s="55"/>
      <c r="LYU1" s="55"/>
      <c r="LYV1" s="55"/>
      <c r="LYW1" s="55"/>
      <c r="LYX1" s="55"/>
      <c r="LYY1" s="55"/>
      <c r="LYZ1" s="55"/>
      <c r="LZA1" s="55"/>
      <c r="LZB1" s="55"/>
      <c r="LZC1" s="55"/>
      <c r="LZD1" s="55"/>
      <c r="LZE1" s="55"/>
      <c r="LZF1" s="55"/>
      <c r="LZG1" s="55"/>
      <c r="LZH1" s="55"/>
      <c r="LZI1" s="55"/>
      <c r="LZJ1" s="55"/>
      <c r="LZK1" s="55"/>
      <c r="LZL1" s="55"/>
      <c r="LZM1" s="55"/>
      <c r="LZN1" s="55"/>
      <c r="LZO1" s="55"/>
      <c r="LZP1" s="55"/>
      <c r="LZQ1" s="55"/>
      <c r="LZR1" s="55"/>
      <c r="LZS1" s="55"/>
      <c r="LZT1" s="55"/>
      <c r="LZU1" s="55"/>
      <c r="LZV1" s="55"/>
      <c r="LZW1" s="55"/>
      <c r="LZX1" s="55"/>
      <c r="LZY1" s="55"/>
      <c r="LZZ1" s="55"/>
      <c r="MAA1" s="55"/>
      <c r="MAB1" s="55"/>
      <c r="MAC1" s="55"/>
      <c r="MAD1" s="55"/>
      <c r="MAE1" s="55"/>
      <c r="MAF1" s="55"/>
      <c r="MAG1" s="55"/>
      <c r="MAH1" s="55"/>
      <c r="MAI1" s="55"/>
      <c r="MAJ1" s="55"/>
      <c r="MAK1" s="55"/>
      <c r="MAL1" s="55"/>
      <c r="MAM1" s="55"/>
      <c r="MAN1" s="55"/>
      <c r="MAO1" s="55"/>
      <c r="MAP1" s="55"/>
      <c r="MAQ1" s="55"/>
      <c r="MAR1" s="55"/>
      <c r="MAS1" s="55"/>
      <c r="MAT1" s="55"/>
      <c r="MAU1" s="55"/>
      <c r="MAV1" s="55"/>
      <c r="MAW1" s="55"/>
      <c r="MAX1" s="55"/>
      <c r="MAY1" s="55"/>
      <c r="MAZ1" s="55"/>
      <c r="MBA1" s="55"/>
      <c r="MBB1" s="55"/>
      <c r="MBC1" s="55"/>
      <c r="MBD1" s="55"/>
      <c r="MBE1" s="55"/>
      <c r="MBF1" s="55"/>
      <c r="MBG1" s="55"/>
      <c r="MBH1" s="55"/>
      <c r="MBI1" s="55"/>
      <c r="MBJ1" s="55"/>
      <c r="MBK1" s="55"/>
      <c r="MBL1" s="55"/>
      <c r="MBM1" s="55"/>
      <c r="MBN1" s="55"/>
      <c r="MBO1" s="55"/>
      <c r="MBP1" s="55"/>
      <c r="MBQ1" s="55"/>
      <c r="MBR1" s="55"/>
      <c r="MBS1" s="55"/>
      <c r="MBT1" s="55"/>
      <c r="MBU1" s="55"/>
      <c r="MBV1" s="55"/>
      <c r="MBW1" s="55"/>
      <c r="MBX1" s="55"/>
      <c r="MBY1" s="55"/>
      <c r="MBZ1" s="55"/>
      <c r="MCA1" s="55"/>
      <c r="MCB1" s="55"/>
      <c r="MCC1" s="55"/>
      <c r="MCD1" s="55"/>
      <c r="MCE1" s="55"/>
      <c r="MCF1" s="55"/>
      <c r="MCG1" s="55"/>
      <c r="MCH1" s="55"/>
      <c r="MCI1" s="55"/>
      <c r="MCJ1" s="55"/>
      <c r="MCK1" s="55"/>
      <c r="MCL1" s="55"/>
      <c r="MCM1" s="55"/>
      <c r="MCN1" s="55"/>
      <c r="MCO1" s="55"/>
      <c r="MCP1" s="55"/>
      <c r="MCQ1" s="55"/>
      <c r="MCR1" s="55"/>
      <c r="MCS1" s="55"/>
      <c r="MCT1" s="55"/>
      <c r="MCU1" s="55"/>
      <c r="MCV1" s="55"/>
      <c r="MCW1" s="55"/>
      <c r="MCX1" s="55"/>
      <c r="MCY1" s="55"/>
      <c r="MCZ1" s="55"/>
      <c r="MDA1" s="55"/>
      <c r="MDB1" s="55"/>
      <c r="MDC1" s="55"/>
      <c r="MDD1" s="55"/>
      <c r="MDE1" s="55"/>
      <c r="MDF1" s="55"/>
      <c r="MDG1" s="55"/>
      <c r="MDH1" s="55"/>
      <c r="MDI1" s="55"/>
      <c r="MDJ1" s="55"/>
      <c r="MDK1" s="55"/>
      <c r="MDL1" s="55"/>
      <c r="MDM1" s="55"/>
      <c r="MDN1" s="55"/>
      <c r="MDO1" s="55"/>
      <c r="MDP1" s="55"/>
      <c r="MDQ1" s="55"/>
      <c r="MDR1" s="55"/>
      <c r="MDS1" s="55"/>
      <c r="MDT1" s="55"/>
      <c r="MDU1" s="55"/>
      <c r="MDV1" s="55"/>
      <c r="MDW1" s="55"/>
      <c r="MDX1" s="55"/>
      <c r="MDY1" s="55"/>
      <c r="MDZ1" s="55"/>
      <c r="MEA1" s="55"/>
      <c r="MEB1" s="55"/>
      <c r="MEC1" s="55"/>
      <c r="MED1" s="55"/>
      <c r="MEE1" s="55"/>
      <c r="MEF1" s="55"/>
      <c r="MEG1" s="55"/>
      <c r="MEH1" s="55"/>
      <c r="MEI1" s="55"/>
      <c r="MEJ1" s="55"/>
      <c r="MEK1" s="55"/>
      <c r="MEL1" s="55"/>
      <c r="MEM1" s="55"/>
      <c r="MEN1" s="55"/>
      <c r="MEO1" s="55"/>
      <c r="MEP1" s="55"/>
      <c r="MEQ1" s="55"/>
      <c r="MER1" s="55"/>
      <c r="MES1" s="55"/>
      <c r="MET1" s="55"/>
      <c r="MEU1" s="55"/>
      <c r="MEV1" s="55"/>
      <c r="MEW1" s="55"/>
      <c r="MEX1" s="55"/>
      <c r="MEY1" s="55"/>
      <c r="MEZ1" s="55"/>
      <c r="MFA1" s="55"/>
      <c r="MFB1" s="55"/>
      <c r="MFC1" s="55"/>
      <c r="MFD1" s="55"/>
      <c r="MFE1" s="55"/>
      <c r="MFF1" s="55"/>
      <c r="MFG1" s="55"/>
      <c r="MFH1" s="55"/>
      <c r="MFI1" s="55"/>
      <c r="MFJ1" s="55"/>
      <c r="MFK1" s="55"/>
      <c r="MFL1" s="55"/>
      <c r="MFM1" s="55"/>
      <c r="MFN1" s="55"/>
      <c r="MFO1" s="55"/>
      <c r="MFP1" s="55"/>
      <c r="MFQ1" s="55"/>
      <c r="MFR1" s="55"/>
      <c r="MFS1" s="55"/>
      <c r="MFT1" s="55"/>
      <c r="MFU1" s="55"/>
      <c r="MFV1" s="55"/>
      <c r="MFW1" s="55"/>
      <c r="MFX1" s="55"/>
      <c r="MFY1" s="55"/>
      <c r="MFZ1" s="55"/>
      <c r="MGA1" s="55"/>
      <c r="MGB1" s="55"/>
      <c r="MGC1" s="55"/>
      <c r="MGD1" s="55"/>
      <c r="MGE1" s="55"/>
      <c r="MGF1" s="55"/>
      <c r="MGG1" s="55"/>
      <c r="MGH1" s="55"/>
      <c r="MGI1" s="55"/>
      <c r="MGJ1" s="55"/>
      <c r="MGK1" s="55"/>
      <c r="MGL1" s="55"/>
      <c r="MGM1" s="55"/>
      <c r="MGN1" s="55"/>
      <c r="MGO1" s="55"/>
      <c r="MGP1" s="55"/>
      <c r="MGQ1" s="55"/>
      <c r="MGR1" s="55"/>
      <c r="MGS1" s="55"/>
      <c r="MGT1" s="55"/>
      <c r="MGU1" s="55"/>
      <c r="MGV1" s="55"/>
      <c r="MGW1" s="55"/>
      <c r="MGX1" s="55"/>
      <c r="MGY1" s="55"/>
      <c r="MGZ1" s="55"/>
      <c r="MHA1" s="55"/>
      <c r="MHB1" s="55"/>
      <c r="MHC1" s="55"/>
      <c r="MHD1" s="55"/>
      <c r="MHE1" s="55"/>
      <c r="MHF1" s="55"/>
      <c r="MHG1" s="55"/>
      <c r="MHH1" s="55"/>
      <c r="MHI1" s="55"/>
      <c r="MHJ1" s="55"/>
      <c r="MHK1" s="55"/>
      <c r="MHL1" s="55"/>
      <c r="MHM1" s="55"/>
      <c r="MHN1" s="55"/>
      <c r="MHO1" s="55"/>
      <c r="MHP1" s="55"/>
      <c r="MHQ1" s="55"/>
      <c r="MHR1" s="55"/>
      <c r="MHS1" s="55"/>
      <c r="MHT1" s="55"/>
      <c r="MHU1" s="55"/>
      <c r="MHV1" s="55"/>
      <c r="MHW1" s="55"/>
      <c r="MHX1" s="55"/>
      <c r="MHY1" s="55"/>
      <c r="MHZ1" s="55"/>
      <c r="MIA1" s="55"/>
      <c r="MIB1" s="55"/>
      <c r="MIC1" s="55"/>
      <c r="MID1" s="55"/>
      <c r="MIE1" s="55"/>
      <c r="MIF1" s="55"/>
      <c r="MIG1" s="55"/>
      <c r="MIH1" s="55"/>
      <c r="MII1" s="55"/>
      <c r="MIJ1" s="55"/>
      <c r="MIK1" s="55"/>
      <c r="MIL1" s="55"/>
      <c r="MIM1" s="55"/>
      <c r="MIN1" s="55"/>
      <c r="MIO1" s="55"/>
      <c r="MIP1" s="55"/>
      <c r="MIQ1" s="55"/>
      <c r="MIR1" s="55"/>
      <c r="MIS1" s="55"/>
      <c r="MIT1" s="55"/>
      <c r="MIU1" s="55"/>
      <c r="MIV1" s="55"/>
      <c r="MIW1" s="55"/>
      <c r="MIX1" s="55"/>
      <c r="MIY1" s="55"/>
      <c r="MIZ1" s="55"/>
      <c r="MJA1" s="55"/>
      <c r="MJB1" s="55"/>
      <c r="MJC1" s="55"/>
      <c r="MJD1" s="55"/>
      <c r="MJE1" s="55"/>
      <c r="MJF1" s="55"/>
      <c r="MJG1" s="55"/>
      <c r="MJH1" s="55"/>
      <c r="MJI1" s="55"/>
      <c r="MJJ1" s="55"/>
      <c r="MJK1" s="55"/>
      <c r="MJL1" s="55"/>
      <c r="MJM1" s="55"/>
      <c r="MJN1" s="55"/>
      <c r="MJO1" s="55"/>
      <c r="MJP1" s="55"/>
      <c r="MJQ1" s="55"/>
      <c r="MJR1" s="55"/>
      <c r="MJS1" s="55"/>
      <c r="MJT1" s="55"/>
      <c r="MJU1" s="55"/>
      <c r="MJV1" s="55"/>
      <c r="MJW1" s="55"/>
      <c r="MJX1" s="55"/>
      <c r="MJY1" s="55"/>
      <c r="MJZ1" s="55"/>
      <c r="MKA1" s="55"/>
      <c r="MKB1" s="55"/>
      <c r="MKC1" s="55"/>
      <c r="MKD1" s="55"/>
      <c r="MKE1" s="55"/>
      <c r="MKF1" s="55"/>
      <c r="MKG1" s="55"/>
      <c r="MKH1" s="55"/>
      <c r="MKI1" s="55"/>
      <c r="MKJ1" s="55"/>
      <c r="MKK1" s="55"/>
      <c r="MKL1" s="55"/>
      <c r="MKM1" s="55"/>
      <c r="MKN1" s="55"/>
      <c r="MKO1" s="55"/>
      <c r="MKP1" s="55"/>
      <c r="MKQ1" s="55"/>
      <c r="MKR1" s="55"/>
      <c r="MKS1" s="55"/>
      <c r="MKT1" s="55"/>
      <c r="MKU1" s="55"/>
      <c r="MKV1" s="55"/>
      <c r="MKW1" s="55"/>
      <c r="MKX1" s="55"/>
      <c r="MKY1" s="55"/>
      <c r="MKZ1" s="55"/>
      <c r="MLA1" s="55"/>
      <c r="MLB1" s="55"/>
      <c r="MLC1" s="55"/>
      <c r="MLD1" s="55"/>
      <c r="MLE1" s="55"/>
      <c r="MLF1" s="55"/>
      <c r="MLG1" s="55"/>
      <c r="MLH1" s="55"/>
      <c r="MLI1" s="55"/>
      <c r="MLJ1" s="55"/>
      <c r="MLK1" s="55"/>
      <c r="MLL1" s="55"/>
      <c r="MLM1" s="55"/>
      <c r="MLN1" s="55"/>
      <c r="MLO1" s="55"/>
      <c r="MLP1" s="55"/>
      <c r="MLQ1" s="55"/>
      <c r="MLR1" s="55"/>
      <c r="MLS1" s="55"/>
      <c r="MLT1" s="55"/>
      <c r="MLU1" s="55"/>
      <c r="MLV1" s="55"/>
      <c r="MLW1" s="55"/>
      <c r="MLX1" s="55"/>
      <c r="MLY1" s="55"/>
      <c r="MLZ1" s="55"/>
      <c r="MMA1" s="55"/>
      <c r="MMB1" s="55"/>
      <c r="MMC1" s="55"/>
      <c r="MMD1" s="55"/>
      <c r="MME1" s="55"/>
      <c r="MMF1" s="55"/>
      <c r="MMG1" s="55"/>
      <c r="MMH1" s="55"/>
      <c r="MMI1" s="55"/>
      <c r="MMJ1" s="55"/>
      <c r="MMK1" s="55"/>
      <c r="MML1" s="55"/>
      <c r="MMM1" s="55"/>
      <c r="MMN1" s="55"/>
      <c r="MMO1" s="55"/>
      <c r="MMP1" s="55"/>
      <c r="MMQ1" s="55"/>
      <c r="MMR1" s="55"/>
      <c r="MMS1" s="55"/>
      <c r="MMT1" s="55"/>
      <c r="MMU1" s="55"/>
      <c r="MMV1" s="55"/>
      <c r="MMW1" s="55"/>
      <c r="MMX1" s="55"/>
      <c r="MMY1" s="55"/>
      <c r="MMZ1" s="55"/>
      <c r="MNA1" s="55"/>
      <c r="MNB1" s="55"/>
      <c r="MNC1" s="55"/>
      <c r="MND1" s="55"/>
      <c r="MNE1" s="55"/>
      <c r="MNF1" s="55"/>
      <c r="MNG1" s="55"/>
      <c r="MNH1" s="55"/>
      <c r="MNI1" s="55"/>
      <c r="MNJ1" s="55"/>
      <c r="MNK1" s="55"/>
      <c r="MNL1" s="55"/>
      <c r="MNM1" s="55"/>
      <c r="MNN1" s="55"/>
      <c r="MNO1" s="55"/>
      <c r="MNP1" s="55"/>
      <c r="MNQ1" s="55"/>
      <c r="MNR1" s="55"/>
      <c r="MNS1" s="55"/>
      <c r="MNT1" s="55"/>
      <c r="MNU1" s="55"/>
      <c r="MNV1" s="55"/>
      <c r="MNW1" s="55"/>
      <c r="MNX1" s="55"/>
      <c r="MNY1" s="55"/>
      <c r="MNZ1" s="55"/>
      <c r="MOA1" s="55"/>
      <c r="MOB1" s="55"/>
      <c r="MOC1" s="55"/>
      <c r="MOD1" s="55"/>
      <c r="MOE1" s="55"/>
      <c r="MOF1" s="55"/>
      <c r="MOG1" s="55"/>
      <c r="MOH1" s="55"/>
      <c r="MOI1" s="55"/>
      <c r="MOJ1" s="55"/>
      <c r="MOK1" s="55"/>
      <c r="MOL1" s="55"/>
      <c r="MOM1" s="55"/>
      <c r="MON1" s="55"/>
      <c r="MOO1" s="55"/>
      <c r="MOP1" s="55"/>
      <c r="MOQ1" s="55"/>
      <c r="MOR1" s="55"/>
      <c r="MOS1" s="55"/>
      <c r="MOT1" s="55"/>
      <c r="MOU1" s="55"/>
      <c r="MOV1" s="55"/>
      <c r="MOW1" s="55"/>
      <c r="MOX1" s="55"/>
      <c r="MOY1" s="55"/>
      <c r="MOZ1" s="55"/>
      <c r="MPA1" s="55"/>
      <c r="MPB1" s="55"/>
      <c r="MPC1" s="55"/>
      <c r="MPD1" s="55"/>
      <c r="MPE1" s="55"/>
      <c r="MPF1" s="55"/>
      <c r="MPG1" s="55"/>
      <c r="MPH1" s="55"/>
      <c r="MPI1" s="55"/>
      <c r="MPJ1" s="55"/>
      <c r="MPK1" s="55"/>
      <c r="MPL1" s="55"/>
      <c r="MPM1" s="55"/>
      <c r="MPN1" s="55"/>
      <c r="MPO1" s="55"/>
      <c r="MPP1" s="55"/>
      <c r="MPQ1" s="55"/>
      <c r="MPR1" s="55"/>
      <c r="MPS1" s="55"/>
      <c r="MPT1" s="55"/>
      <c r="MPU1" s="55"/>
      <c r="MPV1" s="55"/>
      <c r="MPW1" s="55"/>
      <c r="MPX1" s="55"/>
      <c r="MPY1" s="55"/>
      <c r="MPZ1" s="55"/>
      <c r="MQA1" s="55"/>
      <c r="MQB1" s="55"/>
      <c r="MQC1" s="55"/>
      <c r="MQD1" s="55"/>
      <c r="MQE1" s="55"/>
      <c r="MQF1" s="55"/>
      <c r="MQG1" s="55"/>
      <c r="MQH1" s="55"/>
      <c r="MQI1" s="55"/>
      <c r="MQJ1" s="55"/>
      <c r="MQK1" s="55"/>
      <c r="MQL1" s="55"/>
      <c r="MQM1" s="55"/>
      <c r="MQN1" s="55"/>
      <c r="MQO1" s="55"/>
      <c r="MQP1" s="55"/>
      <c r="MQQ1" s="55"/>
      <c r="MQR1" s="55"/>
      <c r="MQS1" s="55"/>
      <c r="MQT1" s="55"/>
      <c r="MQU1" s="55"/>
      <c r="MQV1" s="55"/>
      <c r="MQW1" s="55"/>
      <c r="MQX1" s="55"/>
      <c r="MQY1" s="55"/>
      <c r="MQZ1" s="55"/>
      <c r="MRA1" s="55"/>
      <c r="MRB1" s="55"/>
      <c r="MRC1" s="55"/>
      <c r="MRD1" s="55"/>
      <c r="MRE1" s="55"/>
      <c r="MRF1" s="55"/>
      <c r="MRG1" s="55"/>
      <c r="MRH1" s="55"/>
      <c r="MRI1" s="55"/>
      <c r="MRJ1" s="55"/>
      <c r="MRK1" s="55"/>
      <c r="MRL1" s="55"/>
      <c r="MRM1" s="55"/>
      <c r="MRN1" s="55"/>
      <c r="MRO1" s="55"/>
      <c r="MRP1" s="55"/>
      <c r="MRQ1" s="55"/>
      <c r="MRR1" s="55"/>
      <c r="MRS1" s="55"/>
      <c r="MRT1" s="55"/>
      <c r="MRU1" s="55"/>
      <c r="MRV1" s="55"/>
      <c r="MRW1" s="55"/>
      <c r="MRX1" s="55"/>
      <c r="MRY1" s="55"/>
      <c r="MRZ1" s="55"/>
      <c r="MSA1" s="55"/>
      <c r="MSB1" s="55"/>
      <c r="MSC1" s="55"/>
      <c r="MSD1" s="55"/>
      <c r="MSE1" s="55"/>
      <c r="MSF1" s="55"/>
      <c r="MSG1" s="55"/>
      <c r="MSH1" s="55"/>
      <c r="MSI1" s="55"/>
      <c r="MSJ1" s="55"/>
      <c r="MSK1" s="55"/>
      <c r="MSL1" s="55"/>
      <c r="MSM1" s="55"/>
      <c r="MSN1" s="55"/>
      <c r="MSO1" s="55"/>
      <c r="MSP1" s="55"/>
      <c r="MSQ1" s="55"/>
      <c r="MSR1" s="55"/>
      <c r="MSS1" s="55"/>
      <c r="MST1" s="55"/>
      <c r="MSU1" s="55"/>
      <c r="MSV1" s="55"/>
      <c r="MSW1" s="55"/>
      <c r="MSX1" s="55"/>
      <c r="MSY1" s="55"/>
      <c r="MSZ1" s="55"/>
      <c r="MTA1" s="55"/>
      <c r="MTB1" s="55"/>
      <c r="MTC1" s="55"/>
      <c r="MTD1" s="55"/>
      <c r="MTE1" s="55"/>
      <c r="MTF1" s="55"/>
      <c r="MTG1" s="55"/>
      <c r="MTH1" s="55"/>
      <c r="MTI1" s="55"/>
      <c r="MTJ1" s="55"/>
      <c r="MTK1" s="55"/>
      <c r="MTL1" s="55"/>
      <c r="MTM1" s="55"/>
      <c r="MTN1" s="55"/>
      <c r="MTO1" s="55"/>
      <c r="MTP1" s="55"/>
      <c r="MTQ1" s="55"/>
      <c r="MTR1" s="55"/>
      <c r="MTS1" s="55"/>
      <c r="MTT1" s="55"/>
      <c r="MTU1" s="55"/>
      <c r="MTV1" s="55"/>
      <c r="MTW1" s="55"/>
      <c r="MTX1" s="55"/>
      <c r="MTY1" s="55"/>
      <c r="MTZ1" s="55"/>
      <c r="MUA1" s="55"/>
      <c r="MUB1" s="55"/>
      <c r="MUC1" s="55"/>
      <c r="MUD1" s="55"/>
      <c r="MUE1" s="55"/>
      <c r="MUF1" s="55"/>
      <c r="MUG1" s="55"/>
      <c r="MUH1" s="55"/>
      <c r="MUI1" s="55"/>
      <c r="MUJ1" s="55"/>
      <c r="MUK1" s="55"/>
      <c r="MUL1" s="55"/>
      <c r="MUM1" s="55"/>
      <c r="MUN1" s="55"/>
      <c r="MUO1" s="55"/>
      <c r="MUP1" s="55"/>
      <c r="MUQ1" s="55"/>
      <c r="MUR1" s="55"/>
      <c r="MUS1" s="55"/>
      <c r="MUT1" s="55"/>
      <c r="MUU1" s="55"/>
      <c r="MUV1" s="55"/>
      <c r="MUW1" s="55"/>
      <c r="MUX1" s="55"/>
      <c r="MUY1" s="55"/>
      <c r="MUZ1" s="55"/>
      <c r="MVA1" s="55"/>
      <c r="MVB1" s="55"/>
      <c r="MVC1" s="55"/>
      <c r="MVD1" s="55"/>
      <c r="MVE1" s="55"/>
      <c r="MVF1" s="55"/>
      <c r="MVG1" s="55"/>
      <c r="MVH1" s="55"/>
      <c r="MVI1" s="55"/>
      <c r="MVJ1" s="55"/>
      <c r="MVK1" s="55"/>
      <c r="MVL1" s="55"/>
      <c r="MVM1" s="55"/>
      <c r="MVN1" s="55"/>
      <c r="MVO1" s="55"/>
      <c r="MVP1" s="55"/>
      <c r="MVQ1" s="55"/>
      <c r="MVR1" s="55"/>
      <c r="MVS1" s="55"/>
      <c r="MVT1" s="55"/>
      <c r="MVU1" s="55"/>
      <c r="MVV1" s="55"/>
      <c r="MVW1" s="55"/>
      <c r="MVX1" s="55"/>
      <c r="MVY1" s="55"/>
      <c r="MVZ1" s="55"/>
      <c r="MWA1" s="55"/>
      <c r="MWB1" s="55"/>
      <c r="MWC1" s="55"/>
      <c r="MWD1" s="55"/>
      <c r="MWE1" s="55"/>
      <c r="MWF1" s="55"/>
      <c r="MWG1" s="55"/>
      <c r="MWH1" s="55"/>
      <c r="MWI1" s="55"/>
      <c r="MWJ1" s="55"/>
      <c r="MWK1" s="55"/>
      <c r="MWL1" s="55"/>
      <c r="MWM1" s="55"/>
      <c r="MWN1" s="55"/>
      <c r="MWO1" s="55"/>
      <c r="MWP1" s="55"/>
      <c r="MWQ1" s="55"/>
      <c r="MWR1" s="55"/>
      <c r="MWS1" s="55"/>
      <c r="MWT1" s="55"/>
      <c r="MWU1" s="55"/>
      <c r="MWV1" s="55"/>
      <c r="MWW1" s="55"/>
      <c r="MWX1" s="55"/>
      <c r="MWY1" s="55"/>
      <c r="MWZ1" s="55"/>
      <c r="MXA1" s="55"/>
      <c r="MXB1" s="55"/>
      <c r="MXC1" s="55"/>
      <c r="MXD1" s="55"/>
      <c r="MXE1" s="55"/>
      <c r="MXF1" s="55"/>
      <c r="MXG1" s="55"/>
      <c r="MXH1" s="55"/>
      <c r="MXI1" s="55"/>
      <c r="MXJ1" s="55"/>
      <c r="MXK1" s="55"/>
      <c r="MXL1" s="55"/>
      <c r="MXM1" s="55"/>
      <c r="MXN1" s="55"/>
      <c r="MXO1" s="55"/>
      <c r="MXP1" s="55"/>
      <c r="MXQ1" s="55"/>
      <c r="MXR1" s="55"/>
      <c r="MXS1" s="55"/>
      <c r="MXT1" s="55"/>
      <c r="MXU1" s="55"/>
      <c r="MXV1" s="55"/>
      <c r="MXW1" s="55"/>
      <c r="MXX1" s="55"/>
      <c r="MXY1" s="55"/>
      <c r="MXZ1" s="55"/>
      <c r="MYA1" s="55"/>
      <c r="MYB1" s="55"/>
      <c r="MYC1" s="55"/>
      <c r="MYD1" s="55"/>
      <c r="MYE1" s="55"/>
      <c r="MYF1" s="55"/>
      <c r="MYG1" s="55"/>
      <c r="MYH1" s="55"/>
      <c r="MYI1" s="55"/>
      <c r="MYJ1" s="55"/>
      <c r="MYK1" s="55"/>
      <c r="MYL1" s="55"/>
      <c r="MYM1" s="55"/>
      <c r="MYN1" s="55"/>
      <c r="MYO1" s="55"/>
      <c r="MYP1" s="55"/>
      <c r="MYQ1" s="55"/>
      <c r="MYR1" s="55"/>
      <c r="MYS1" s="55"/>
      <c r="MYT1" s="55"/>
      <c r="MYU1" s="55"/>
      <c r="MYV1" s="55"/>
      <c r="MYW1" s="55"/>
      <c r="MYX1" s="55"/>
      <c r="MYY1" s="55"/>
      <c r="MYZ1" s="55"/>
      <c r="MZA1" s="55"/>
      <c r="MZB1" s="55"/>
      <c r="MZC1" s="55"/>
      <c r="MZD1" s="55"/>
      <c r="MZE1" s="55"/>
      <c r="MZF1" s="55"/>
      <c r="MZG1" s="55"/>
      <c r="MZH1" s="55"/>
      <c r="MZI1" s="55"/>
      <c r="MZJ1" s="55"/>
      <c r="MZK1" s="55"/>
      <c r="MZL1" s="55"/>
      <c r="MZM1" s="55"/>
      <c r="MZN1" s="55"/>
      <c r="MZO1" s="55"/>
      <c r="MZP1" s="55"/>
      <c r="MZQ1" s="55"/>
      <c r="MZR1" s="55"/>
      <c r="MZS1" s="55"/>
      <c r="MZT1" s="55"/>
      <c r="MZU1" s="55"/>
      <c r="MZV1" s="55"/>
      <c r="MZW1" s="55"/>
      <c r="MZX1" s="55"/>
      <c r="MZY1" s="55"/>
      <c r="MZZ1" s="55"/>
      <c r="NAA1" s="55"/>
      <c r="NAB1" s="55"/>
      <c r="NAC1" s="55"/>
      <c r="NAD1" s="55"/>
      <c r="NAE1" s="55"/>
      <c r="NAF1" s="55"/>
      <c r="NAG1" s="55"/>
      <c r="NAH1" s="55"/>
      <c r="NAI1" s="55"/>
      <c r="NAJ1" s="55"/>
      <c r="NAK1" s="55"/>
      <c r="NAL1" s="55"/>
      <c r="NAM1" s="55"/>
      <c r="NAN1" s="55"/>
      <c r="NAO1" s="55"/>
      <c r="NAP1" s="55"/>
      <c r="NAQ1" s="55"/>
      <c r="NAR1" s="55"/>
      <c r="NAS1" s="55"/>
      <c r="NAT1" s="55"/>
      <c r="NAU1" s="55"/>
      <c r="NAV1" s="55"/>
      <c r="NAW1" s="55"/>
      <c r="NAX1" s="55"/>
      <c r="NAY1" s="55"/>
      <c r="NAZ1" s="55"/>
      <c r="NBA1" s="55"/>
      <c r="NBB1" s="55"/>
      <c r="NBC1" s="55"/>
      <c r="NBD1" s="55"/>
      <c r="NBE1" s="55"/>
      <c r="NBF1" s="55"/>
      <c r="NBG1" s="55"/>
      <c r="NBH1" s="55"/>
      <c r="NBI1" s="55"/>
      <c r="NBJ1" s="55"/>
      <c r="NBK1" s="55"/>
      <c r="NBL1" s="55"/>
      <c r="NBM1" s="55"/>
      <c r="NBN1" s="55"/>
      <c r="NBO1" s="55"/>
      <c r="NBP1" s="55"/>
      <c r="NBQ1" s="55"/>
      <c r="NBR1" s="55"/>
      <c r="NBS1" s="55"/>
      <c r="NBT1" s="55"/>
      <c r="NBU1" s="55"/>
      <c r="NBV1" s="55"/>
      <c r="NBW1" s="55"/>
      <c r="NBX1" s="55"/>
      <c r="NBY1" s="55"/>
      <c r="NBZ1" s="55"/>
      <c r="NCA1" s="55"/>
      <c r="NCB1" s="55"/>
      <c r="NCC1" s="55"/>
      <c r="NCD1" s="55"/>
      <c r="NCE1" s="55"/>
      <c r="NCF1" s="55"/>
      <c r="NCG1" s="55"/>
      <c r="NCH1" s="55"/>
      <c r="NCI1" s="55"/>
      <c r="NCJ1" s="55"/>
      <c r="NCK1" s="55"/>
      <c r="NCL1" s="55"/>
      <c r="NCM1" s="55"/>
      <c r="NCN1" s="55"/>
      <c r="NCO1" s="55"/>
      <c r="NCP1" s="55"/>
      <c r="NCQ1" s="55"/>
      <c r="NCR1" s="55"/>
      <c r="NCS1" s="55"/>
      <c r="NCT1" s="55"/>
      <c r="NCU1" s="55"/>
      <c r="NCV1" s="55"/>
      <c r="NCW1" s="55"/>
      <c r="NCX1" s="55"/>
      <c r="NCY1" s="55"/>
      <c r="NCZ1" s="55"/>
      <c r="NDA1" s="55"/>
      <c r="NDB1" s="55"/>
      <c r="NDC1" s="55"/>
      <c r="NDD1" s="55"/>
      <c r="NDE1" s="55"/>
      <c r="NDF1" s="55"/>
      <c r="NDG1" s="55"/>
      <c r="NDH1" s="55"/>
      <c r="NDI1" s="55"/>
      <c r="NDJ1" s="55"/>
      <c r="NDK1" s="55"/>
      <c r="NDL1" s="55"/>
      <c r="NDM1" s="55"/>
      <c r="NDN1" s="55"/>
      <c r="NDO1" s="55"/>
      <c r="NDP1" s="55"/>
      <c r="NDQ1" s="55"/>
      <c r="NDR1" s="55"/>
      <c r="NDS1" s="55"/>
      <c r="NDT1" s="55"/>
      <c r="NDU1" s="55"/>
      <c r="NDV1" s="55"/>
      <c r="NDW1" s="55"/>
      <c r="NDX1" s="55"/>
      <c r="NDY1" s="55"/>
      <c r="NDZ1" s="55"/>
      <c r="NEA1" s="55"/>
      <c r="NEB1" s="55"/>
      <c r="NEC1" s="55"/>
      <c r="NED1" s="55"/>
      <c r="NEE1" s="55"/>
      <c r="NEF1" s="55"/>
      <c r="NEG1" s="55"/>
      <c r="NEH1" s="55"/>
      <c r="NEI1" s="55"/>
      <c r="NEJ1" s="55"/>
      <c r="NEK1" s="55"/>
      <c r="NEL1" s="55"/>
      <c r="NEM1" s="55"/>
      <c r="NEN1" s="55"/>
      <c r="NEO1" s="55"/>
      <c r="NEP1" s="55"/>
      <c r="NEQ1" s="55"/>
      <c r="NER1" s="55"/>
      <c r="NES1" s="55"/>
      <c r="NET1" s="55"/>
      <c r="NEU1" s="55"/>
      <c r="NEV1" s="55"/>
      <c r="NEW1" s="55"/>
      <c r="NEX1" s="55"/>
      <c r="NEY1" s="55"/>
      <c r="NEZ1" s="55"/>
      <c r="NFA1" s="55"/>
      <c r="NFB1" s="55"/>
      <c r="NFC1" s="55"/>
      <c r="NFD1" s="55"/>
      <c r="NFE1" s="55"/>
      <c r="NFF1" s="55"/>
      <c r="NFG1" s="55"/>
      <c r="NFH1" s="55"/>
      <c r="NFI1" s="55"/>
      <c r="NFJ1" s="55"/>
      <c r="NFK1" s="55"/>
      <c r="NFL1" s="55"/>
      <c r="NFM1" s="55"/>
      <c r="NFN1" s="55"/>
      <c r="NFO1" s="55"/>
      <c r="NFP1" s="55"/>
      <c r="NFQ1" s="55"/>
      <c r="NFR1" s="55"/>
      <c r="NFS1" s="55"/>
      <c r="NFT1" s="55"/>
      <c r="NFU1" s="55"/>
      <c r="NFV1" s="55"/>
      <c r="NFW1" s="55"/>
      <c r="NFX1" s="55"/>
      <c r="NFY1" s="55"/>
      <c r="NFZ1" s="55"/>
      <c r="NGA1" s="55"/>
      <c r="NGB1" s="55"/>
      <c r="NGC1" s="55"/>
      <c r="NGD1" s="55"/>
      <c r="NGE1" s="55"/>
      <c r="NGF1" s="55"/>
      <c r="NGG1" s="55"/>
      <c r="NGH1" s="55"/>
      <c r="NGI1" s="55"/>
      <c r="NGJ1" s="55"/>
      <c r="NGK1" s="55"/>
      <c r="NGL1" s="55"/>
      <c r="NGM1" s="55"/>
      <c r="NGN1" s="55"/>
      <c r="NGO1" s="55"/>
      <c r="NGP1" s="55"/>
      <c r="NGQ1" s="55"/>
      <c r="NGR1" s="55"/>
      <c r="NGS1" s="55"/>
      <c r="NGT1" s="55"/>
      <c r="NGU1" s="55"/>
      <c r="NGV1" s="55"/>
      <c r="NGW1" s="55"/>
      <c r="NGX1" s="55"/>
      <c r="NGY1" s="55"/>
      <c r="NGZ1" s="55"/>
      <c r="NHA1" s="55"/>
      <c r="NHB1" s="55"/>
      <c r="NHC1" s="55"/>
      <c r="NHD1" s="55"/>
      <c r="NHE1" s="55"/>
      <c r="NHF1" s="55"/>
      <c r="NHG1" s="55"/>
      <c r="NHH1" s="55"/>
      <c r="NHI1" s="55"/>
      <c r="NHJ1" s="55"/>
      <c r="NHK1" s="55"/>
      <c r="NHL1" s="55"/>
      <c r="NHM1" s="55"/>
      <c r="NHN1" s="55"/>
      <c r="NHO1" s="55"/>
      <c r="NHP1" s="55"/>
      <c r="NHQ1" s="55"/>
      <c r="NHR1" s="55"/>
      <c r="NHS1" s="55"/>
      <c r="NHT1" s="55"/>
      <c r="NHU1" s="55"/>
      <c r="NHV1" s="55"/>
      <c r="NHW1" s="55"/>
      <c r="NHX1" s="55"/>
      <c r="NHY1" s="55"/>
      <c r="NHZ1" s="55"/>
      <c r="NIA1" s="55"/>
      <c r="NIB1" s="55"/>
      <c r="NIC1" s="55"/>
      <c r="NID1" s="55"/>
      <c r="NIE1" s="55"/>
      <c r="NIF1" s="55"/>
      <c r="NIG1" s="55"/>
      <c r="NIH1" s="55"/>
      <c r="NII1" s="55"/>
      <c r="NIJ1" s="55"/>
      <c r="NIK1" s="55"/>
      <c r="NIL1" s="55"/>
      <c r="NIM1" s="55"/>
      <c r="NIN1" s="55"/>
      <c r="NIO1" s="55"/>
      <c r="NIP1" s="55"/>
      <c r="NIQ1" s="55"/>
      <c r="NIR1" s="55"/>
      <c r="NIS1" s="55"/>
      <c r="NIT1" s="55"/>
      <c r="NIU1" s="55"/>
      <c r="NIV1" s="55"/>
      <c r="NIW1" s="55"/>
      <c r="NIX1" s="55"/>
      <c r="NIY1" s="55"/>
      <c r="NIZ1" s="55"/>
      <c r="NJA1" s="55"/>
      <c r="NJB1" s="55"/>
      <c r="NJC1" s="55"/>
      <c r="NJD1" s="55"/>
      <c r="NJE1" s="55"/>
      <c r="NJF1" s="55"/>
      <c r="NJG1" s="55"/>
      <c r="NJH1" s="55"/>
      <c r="NJI1" s="55"/>
      <c r="NJJ1" s="55"/>
      <c r="NJK1" s="55"/>
      <c r="NJL1" s="55"/>
      <c r="NJM1" s="55"/>
      <c r="NJN1" s="55"/>
      <c r="NJO1" s="55"/>
      <c r="NJP1" s="55"/>
      <c r="NJQ1" s="55"/>
      <c r="NJR1" s="55"/>
      <c r="NJS1" s="55"/>
      <c r="NJT1" s="55"/>
      <c r="NJU1" s="55"/>
      <c r="NJV1" s="55"/>
      <c r="NJW1" s="55"/>
      <c r="NJX1" s="55"/>
      <c r="NJY1" s="55"/>
      <c r="NJZ1" s="55"/>
      <c r="NKA1" s="55"/>
      <c r="NKB1" s="55"/>
      <c r="NKC1" s="55"/>
      <c r="NKD1" s="55"/>
      <c r="NKE1" s="55"/>
      <c r="NKF1" s="55"/>
      <c r="NKG1" s="55"/>
      <c r="NKH1" s="55"/>
      <c r="NKI1" s="55"/>
      <c r="NKJ1" s="55"/>
      <c r="NKK1" s="55"/>
      <c r="NKL1" s="55"/>
      <c r="NKM1" s="55"/>
      <c r="NKN1" s="55"/>
      <c r="NKO1" s="55"/>
      <c r="NKP1" s="55"/>
      <c r="NKQ1" s="55"/>
      <c r="NKR1" s="55"/>
      <c r="NKS1" s="55"/>
      <c r="NKT1" s="55"/>
      <c r="NKU1" s="55"/>
      <c r="NKV1" s="55"/>
      <c r="NKW1" s="55"/>
      <c r="NKX1" s="55"/>
      <c r="NKY1" s="55"/>
      <c r="NKZ1" s="55"/>
      <c r="NLA1" s="55"/>
      <c r="NLB1" s="55"/>
      <c r="NLC1" s="55"/>
      <c r="NLD1" s="55"/>
      <c r="NLE1" s="55"/>
      <c r="NLF1" s="55"/>
      <c r="NLG1" s="55"/>
      <c r="NLH1" s="55"/>
      <c r="NLI1" s="55"/>
      <c r="NLJ1" s="55"/>
      <c r="NLK1" s="55"/>
      <c r="NLL1" s="55"/>
      <c r="NLM1" s="55"/>
      <c r="NLN1" s="55"/>
      <c r="NLO1" s="55"/>
      <c r="NLP1" s="55"/>
      <c r="NLQ1" s="55"/>
      <c r="NLR1" s="55"/>
      <c r="NLS1" s="55"/>
      <c r="NLT1" s="55"/>
      <c r="NLU1" s="55"/>
      <c r="NLV1" s="55"/>
      <c r="NLW1" s="55"/>
      <c r="NLX1" s="55"/>
      <c r="NLY1" s="55"/>
      <c r="NLZ1" s="55"/>
      <c r="NMA1" s="55"/>
      <c r="NMB1" s="55"/>
      <c r="NMC1" s="55"/>
      <c r="NMD1" s="55"/>
      <c r="NME1" s="55"/>
      <c r="NMF1" s="55"/>
      <c r="NMG1" s="55"/>
      <c r="NMH1" s="55"/>
      <c r="NMI1" s="55"/>
      <c r="NMJ1" s="55"/>
      <c r="NMK1" s="55"/>
      <c r="NML1" s="55"/>
      <c r="NMM1" s="55"/>
      <c r="NMN1" s="55"/>
      <c r="NMO1" s="55"/>
      <c r="NMP1" s="55"/>
      <c r="NMQ1" s="55"/>
      <c r="NMR1" s="55"/>
      <c r="NMS1" s="55"/>
      <c r="NMT1" s="55"/>
      <c r="NMU1" s="55"/>
      <c r="NMV1" s="55"/>
      <c r="NMW1" s="55"/>
      <c r="NMX1" s="55"/>
      <c r="NMY1" s="55"/>
      <c r="NMZ1" s="55"/>
      <c r="NNA1" s="55"/>
      <c r="NNB1" s="55"/>
      <c r="NNC1" s="55"/>
      <c r="NND1" s="55"/>
      <c r="NNE1" s="55"/>
      <c r="NNF1" s="55"/>
      <c r="NNG1" s="55"/>
      <c r="NNH1" s="55"/>
      <c r="NNI1" s="55"/>
      <c r="NNJ1" s="55"/>
      <c r="NNK1" s="55"/>
      <c r="NNL1" s="55"/>
      <c r="NNM1" s="55"/>
      <c r="NNN1" s="55"/>
      <c r="NNO1" s="55"/>
      <c r="NNP1" s="55"/>
      <c r="NNQ1" s="55"/>
      <c r="NNR1" s="55"/>
      <c r="NNS1" s="55"/>
      <c r="NNT1" s="55"/>
      <c r="NNU1" s="55"/>
      <c r="NNV1" s="55"/>
      <c r="NNW1" s="55"/>
      <c r="NNX1" s="55"/>
      <c r="NNY1" s="55"/>
      <c r="NNZ1" s="55"/>
      <c r="NOA1" s="55"/>
      <c r="NOB1" s="55"/>
      <c r="NOC1" s="55"/>
      <c r="NOD1" s="55"/>
      <c r="NOE1" s="55"/>
      <c r="NOF1" s="55"/>
      <c r="NOG1" s="55"/>
      <c r="NOH1" s="55"/>
      <c r="NOI1" s="55"/>
      <c r="NOJ1" s="55"/>
      <c r="NOK1" s="55"/>
      <c r="NOL1" s="55"/>
      <c r="NOM1" s="55"/>
      <c r="NON1" s="55"/>
      <c r="NOO1" s="55"/>
      <c r="NOP1" s="55"/>
      <c r="NOQ1" s="55"/>
      <c r="NOR1" s="55"/>
      <c r="NOS1" s="55"/>
      <c r="NOT1" s="55"/>
      <c r="NOU1" s="55"/>
      <c r="NOV1" s="55"/>
      <c r="NOW1" s="55"/>
      <c r="NOX1" s="55"/>
      <c r="NOY1" s="55"/>
      <c r="NOZ1" s="55"/>
      <c r="NPA1" s="55"/>
      <c r="NPB1" s="55"/>
      <c r="NPC1" s="55"/>
      <c r="NPD1" s="55"/>
      <c r="NPE1" s="55"/>
      <c r="NPF1" s="55"/>
      <c r="NPG1" s="55"/>
      <c r="NPH1" s="55"/>
      <c r="NPI1" s="55"/>
      <c r="NPJ1" s="55"/>
      <c r="NPK1" s="55"/>
      <c r="NPL1" s="55"/>
      <c r="NPM1" s="55"/>
      <c r="NPN1" s="55"/>
      <c r="NPO1" s="55"/>
      <c r="NPP1" s="55"/>
      <c r="NPQ1" s="55"/>
      <c r="NPR1" s="55"/>
      <c r="NPS1" s="55"/>
      <c r="NPT1" s="55"/>
      <c r="NPU1" s="55"/>
      <c r="NPV1" s="55"/>
      <c r="NPW1" s="55"/>
      <c r="NPX1" s="55"/>
      <c r="NPY1" s="55"/>
      <c r="NPZ1" s="55"/>
      <c r="NQA1" s="55"/>
      <c r="NQB1" s="55"/>
      <c r="NQC1" s="55"/>
      <c r="NQD1" s="55"/>
      <c r="NQE1" s="55"/>
      <c r="NQF1" s="55"/>
      <c r="NQG1" s="55"/>
      <c r="NQH1" s="55"/>
      <c r="NQI1" s="55"/>
      <c r="NQJ1" s="55"/>
      <c r="NQK1" s="55"/>
      <c r="NQL1" s="55"/>
      <c r="NQM1" s="55"/>
      <c r="NQN1" s="55"/>
      <c r="NQO1" s="55"/>
      <c r="NQP1" s="55"/>
      <c r="NQQ1" s="55"/>
      <c r="NQR1" s="55"/>
      <c r="NQS1" s="55"/>
      <c r="NQT1" s="55"/>
      <c r="NQU1" s="55"/>
      <c r="NQV1" s="55"/>
      <c r="NQW1" s="55"/>
      <c r="NQX1" s="55"/>
      <c r="NQY1" s="55"/>
      <c r="NQZ1" s="55"/>
      <c r="NRA1" s="55"/>
      <c r="NRB1" s="55"/>
      <c r="NRC1" s="55"/>
      <c r="NRD1" s="55"/>
      <c r="NRE1" s="55"/>
      <c r="NRF1" s="55"/>
      <c r="NRG1" s="55"/>
      <c r="NRH1" s="55"/>
      <c r="NRI1" s="55"/>
      <c r="NRJ1" s="55"/>
      <c r="NRK1" s="55"/>
      <c r="NRL1" s="55"/>
      <c r="NRM1" s="55"/>
      <c r="NRN1" s="55"/>
      <c r="NRO1" s="55"/>
      <c r="NRP1" s="55"/>
      <c r="NRQ1" s="55"/>
      <c r="NRR1" s="55"/>
      <c r="NRS1" s="55"/>
      <c r="NRT1" s="55"/>
      <c r="NRU1" s="55"/>
      <c r="NRV1" s="55"/>
      <c r="NRW1" s="55"/>
      <c r="NRX1" s="55"/>
      <c r="NRY1" s="55"/>
      <c r="NRZ1" s="55"/>
      <c r="NSA1" s="55"/>
      <c r="NSB1" s="55"/>
      <c r="NSC1" s="55"/>
      <c r="NSD1" s="55"/>
      <c r="NSE1" s="55"/>
      <c r="NSF1" s="55"/>
      <c r="NSG1" s="55"/>
      <c r="NSH1" s="55"/>
      <c r="NSI1" s="55"/>
      <c r="NSJ1" s="55"/>
      <c r="NSK1" s="55"/>
      <c r="NSL1" s="55"/>
      <c r="NSM1" s="55"/>
      <c r="NSN1" s="55"/>
      <c r="NSO1" s="55"/>
      <c r="NSP1" s="55"/>
      <c r="NSQ1" s="55"/>
      <c r="NSR1" s="55"/>
      <c r="NSS1" s="55"/>
      <c r="NST1" s="55"/>
      <c r="NSU1" s="55"/>
      <c r="NSV1" s="55"/>
      <c r="NSW1" s="55"/>
      <c r="NSX1" s="55"/>
      <c r="NSY1" s="55"/>
      <c r="NSZ1" s="55"/>
      <c r="NTA1" s="55"/>
      <c r="NTB1" s="55"/>
      <c r="NTC1" s="55"/>
      <c r="NTD1" s="55"/>
      <c r="NTE1" s="55"/>
      <c r="NTF1" s="55"/>
      <c r="NTG1" s="55"/>
      <c r="NTH1" s="55"/>
      <c r="NTI1" s="55"/>
      <c r="NTJ1" s="55"/>
      <c r="NTK1" s="55"/>
      <c r="NTL1" s="55"/>
      <c r="NTM1" s="55"/>
      <c r="NTN1" s="55"/>
      <c r="NTO1" s="55"/>
      <c r="NTP1" s="55"/>
      <c r="NTQ1" s="55"/>
      <c r="NTR1" s="55"/>
      <c r="NTS1" s="55"/>
      <c r="NTT1" s="55"/>
      <c r="NTU1" s="55"/>
      <c r="NTV1" s="55"/>
      <c r="NTW1" s="55"/>
      <c r="NTX1" s="55"/>
      <c r="NTY1" s="55"/>
      <c r="NTZ1" s="55"/>
      <c r="NUA1" s="55"/>
      <c r="NUB1" s="55"/>
      <c r="NUC1" s="55"/>
      <c r="NUD1" s="55"/>
      <c r="NUE1" s="55"/>
      <c r="NUF1" s="55"/>
      <c r="NUG1" s="55"/>
      <c r="NUH1" s="55"/>
      <c r="NUI1" s="55"/>
      <c r="NUJ1" s="55"/>
      <c r="NUK1" s="55"/>
      <c r="NUL1" s="55"/>
      <c r="NUM1" s="55"/>
      <c r="NUN1" s="55"/>
      <c r="NUO1" s="55"/>
      <c r="NUP1" s="55"/>
      <c r="NUQ1" s="55"/>
      <c r="NUR1" s="55"/>
      <c r="NUS1" s="55"/>
      <c r="NUT1" s="55"/>
      <c r="NUU1" s="55"/>
      <c r="NUV1" s="55"/>
      <c r="NUW1" s="55"/>
      <c r="NUX1" s="55"/>
      <c r="NUY1" s="55"/>
      <c r="NUZ1" s="55"/>
      <c r="NVA1" s="55"/>
      <c r="NVB1" s="55"/>
      <c r="NVC1" s="55"/>
      <c r="NVD1" s="55"/>
      <c r="NVE1" s="55"/>
      <c r="NVF1" s="55"/>
      <c r="NVG1" s="55"/>
      <c r="NVH1" s="55"/>
      <c r="NVI1" s="55"/>
      <c r="NVJ1" s="55"/>
      <c r="NVK1" s="55"/>
      <c r="NVL1" s="55"/>
      <c r="NVM1" s="55"/>
      <c r="NVN1" s="55"/>
      <c r="NVO1" s="55"/>
      <c r="NVP1" s="55"/>
      <c r="NVQ1" s="55"/>
      <c r="NVR1" s="55"/>
      <c r="NVS1" s="55"/>
      <c r="NVT1" s="55"/>
      <c r="NVU1" s="55"/>
      <c r="NVV1" s="55"/>
      <c r="NVW1" s="55"/>
      <c r="NVX1" s="55"/>
      <c r="NVY1" s="55"/>
      <c r="NVZ1" s="55"/>
      <c r="NWA1" s="55"/>
      <c r="NWB1" s="55"/>
      <c r="NWC1" s="55"/>
      <c r="NWD1" s="55"/>
      <c r="NWE1" s="55"/>
      <c r="NWF1" s="55"/>
      <c r="NWG1" s="55"/>
      <c r="NWH1" s="55"/>
      <c r="NWI1" s="55"/>
      <c r="NWJ1" s="55"/>
      <c r="NWK1" s="55"/>
      <c r="NWL1" s="55"/>
      <c r="NWM1" s="55"/>
      <c r="NWN1" s="55"/>
      <c r="NWO1" s="55"/>
      <c r="NWP1" s="55"/>
      <c r="NWQ1" s="55"/>
      <c r="NWR1" s="55"/>
      <c r="NWS1" s="55"/>
      <c r="NWT1" s="55"/>
      <c r="NWU1" s="55"/>
      <c r="NWV1" s="55"/>
      <c r="NWW1" s="55"/>
      <c r="NWX1" s="55"/>
      <c r="NWY1" s="55"/>
      <c r="NWZ1" s="55"/>
      <c r="NXA1" s="55"/>
      <c r="NXB1" s="55"/>
      <c r="NXC1" s="55"/>
      <c r="NXD1" s="55"/>
      <c r="NXE1" s="55"/>
      <c r="NXF1" s="55"/>
      <c r="NXG1" s="55"/>
      <c r="NXH1" s="55"/>
      <c r="NXI1" s="55"/>
      <c r="NXJ1" s="55"/>
      <c r="NXK1" s="55"/>
      <c r="NXL1" s="55"/>
      <c r="NXM1" s="55"/>
      <c r="NXN1" s="55"/>
      <c r="NXO1" s="55"/>
      <c r="NXP1" s="55"/>
      <c r="NXQ1" s="55"/>
      <c r="NXR1" s="55"/>
      <c r="NXS1" s="55"/>
      <c r="NXT1" s="55"/>
      <c r="NXU1" s="55"/>
      <c r="NXV1" s="55"/>
      <c r="NXW1" s="55"/>
      <c r="NXX1" s="55"/>
      <c r="NXY1" s="55"/>
      <c r="NXZ1" s="55"/>
      <c r="NYA1" s="55"/>
      <c r="NYB1" s="55"/>
      <c r="NYC1" s="55"/>
      <c r="NYD1" s="55"/>
      <c r="NYE1" s="55"/>
      <c r="NYF1" s="55"/>
      <c r="NYG1" s="55"/>
      <c r="NYH1" s="55"/>
      <c r="NYI1" s="55"/>
      <c r="NYJ1" s="55"/>
      <c r="NYK1" s="55"/>
      <c r="NYL1" s="55"/>
      <c r="NYM1" s="55"/>
      <c r="NYN1" s="55"/>
      <c r="NYO1" s="55"/>
      <c r="NYP1" s="55"/>
      <c r="NYQ1" s="55"/>
      <c r="NYR1" s="55"/>
      <c r="NYS1" s="55"/>
      <c r="NYT1" s="55"/>
      <c r="NYU1" s="55"/>
      <c r="NYV1" s="55"/>
      <c r="NYW1" s="55"/>
      <c r="NYX1" s="55"/>
      <c r="NYY1" s="55"/>
      <c r="NYZ1" s="55"/>
      <c r="NZA1" s="55"/>
      <c r="NZB1" s="55"/>
      <c r="NZC1" s="55"/>
      <c r="NZD1" s="55"/>
      <c r="NZE1" s="55"/>
      <c r="NZF1" s="55"/>
      <c r="NZG1" s="55"/>
      <c r="NZH1" s="55"/>
      <c r="NZI1" s="55"/>
      <c r="NZJ1" s="55"/>
      <c r="NZK1" s="55"/>
      <c r="NZL1" s="55"/>
      <c r="NZM1" s="55"/>
      <c r="NZN1" s="55"/>
      <c r="NZO1" s="55"/>
      <c r="NZP1" s="55"/>
      <c r="NZQ1" s="55"/>
      <c r="NZR1" s="55"/>
      <c r="NZS1" s="55"/>
      <c r="NZT1" s="55"/>
      <c r="NZU1" s="55"/>
      <c r="NZV1" s="55"/>
      <c r="NZW1" s="55"/>
      <c r="NZX1" s="55"/>
      <c r="NZY1" s="55"/>
      <c r="NZZ1" s="55"/>
      <c r="OAA1" s="55"/>
      <c r="OAB1" s="55"/>
      <c r="OAC1" s="55"/>
      <c r="OAD1" s="55"/>
      <c r="OAE1" s="55"/>
      <c r="OAF1" s="55"/>
      <c r="OAG1" s="55"/>
      <c r="OAH1" s="55"/>
      <c r="OAI1" s="55"/>
      <c r="OAJ1" s="55"/>
      <c r="OAK1" s="55"/>
      <c r="OAL1" s="55"/>
      <c r="OAM1" s="55"/>
      <c r="OAN1" s="55"/>
      <c r="OAO1" s="55"/>
      <c r="OAP1" s="55"/>
      <c r="OAQ1" s="55"/>
      <c r="OAR1" s="55"/>
      <c r="OAS1" s="55"/>
      <c r="OAT1" s="55"/>
      <c r="OAU1" s="55"/>
      <c r="OAV1" s="55"/>
      <c r="OAW1" s="55"/>
      <c r="OAX1" s="55"/>
      <c r="OAY1" s="55"/>
      <c r="OAZ1" s="55"/>
      <c r="OBA1" s="55"/>
      <c r="OBB1" s="55"/>
      <c r="OBC1" s="55"/>
      <c r="OBD1" s="55"/>
      <c r="OBE1" s="55"/>
      <c r="OBF1" s="55"/>
      <c r="OBG1" s="55"/>
      <c r="OBH1" s="55"/>
      <c r="OBI1" s="55"/>
      <c r="OBJ1" s="55"/>
      <c r="OBK1" s="55"/>
      <c r="OBL1" s="55"/>
      <c r="OBM1" s="55"/>
      <c r="OBN1" s="55"/>
      <c r="OBO1" s="55"/>
      <c r="OBP1" s="55"/>
      <c r="OBQ1" s="55"/>
      <c r="OBR1" s="55"/>
      <c r="OBS1" s="55"/>
      <c r="OBT1" s="55"/>
      <c r="OBU1" s="55"/>
      <c r="OBV1" s="55"/>
      <c r="OBW1" s="55"/>
      <c r="OBX1" s="55"/>
      <c r="OBY1" s="55"/>
      <c r="OBZ1" s="55"/>
      <c r="OCA1" s="55"/>
      <c r="OCB1" s="55"/>
      <c r="OCC1" s="55"/>
      <c r="OCD1" s="55"/>
      <c r="OCE1" s="55"/>
      <c r="OCF1" s="55"/>
      <c r="OCG1" s="55"/>
      <c r="OCH1" s="55"/>
      <c r="OCI1" s="55"/>
      <c r="OCJ1" s="55"/>
      <c r="OCK1" s="55"/>
      <c r="OCL1" s="55"/>
      <c r="OCM1" s="55"/>
      <c r="OCN1" s="55"/>
      <c r="OCO1" s="55"/>
      <c r="OCP1" s="55"/>
      <c r="OCQ1" s="55"/>
      <c r="OCR1" s="55"/>
      <c r="OCS1" s="55"/>
      <c r="OCT1" s="55"/>
      <c r="OCU1" s="55"/>
      <c r="OCV1" s="55"/>
      <c r="OCW1" s="55"/>
      <c r="OCX1" s="55"/>
      <c r="OCY1" s="55"/>
      <c r="OCZ1" s="55"/>
      <c r="ODA1" s="55"/>
      <c r="ODB1" s="55"/>
      <c r="ODC1" s="55"/>
      <c r="ODD1" s="55"/>
      <c r="ODE1" s="55"/>
      <c r="ODF1" s="55"/>
      <c r="ODG1" s="55"/>
      <c r="ODH1" s="55"/>
      <c r="ODI1" s="55"/>
      <c r="ODJ1" s="55"/>
      <c r="ODK1" s="55"/>
      <c r="ODL1" s="55"/>
      <c r="ODM1" s="55"/>
      <c r="ODN1" s="55"/>
      <c r="ODO1" s="55"/>
      <c r="ODP1" s="55"/>
      <c r="ODQ1" s="55"/>
      <c r="ODR1" s="55"/>
      <c r="ODS1" s="55"/>
      <c r="ODT1" s="55"/>
      <c r="ODU1" s="55"/>
      <c r="ODV1" s="55"/>
      <c r="ODW1" s="55"/>
      <c r="ODX1" s="55"/>
      <c r="ODY1" s="55"/>
      <c r="ODZ1" s="55"/>
      <c r="OEA1" s="55"/>
      <c r="OEB1" s="55"/>
      <c r="OEC1" s="55"/>
      <c r="OED1" s="55"/>
      <c r="OEE1" s="55"/>
      <c r="OEF1" s="55"/>
      <c r="OEG1" s="55"/>
      <c r="OEH1" s="55"/>
      <c r="OEI1" s="55"/>
      <c r="OEJ1" s="55"/>
      <c r="OEK1" s="55"/>
      <c r="OEL1" s="55"/>
      <c r="OEM1" s="55"/>
      <c r="OEN1" s="55"/>
      <c r="OEO1" s="55"/>
      <c r="OEP1" s="55"/>
      <c r="OEQ1" s="55"/>
      <c r="OER1" s="55"/>
      <c r="OES1" s="55"/>
      <c r="OET1" s="55"/>
      <c r="OEU1" s="55"/>
      <c r="OEV1" s="55"/>
      <c r="OEW1" s="55"/>
      <c r="OEX1" s="55"/>
      <c r="OEY1" s="55"/>
      <c r="OEZ1" s="55"/>
      <c r="OFA1" s="55"/>
      <c r="OFB1" s="55"/>
      <c r="OFC1" s="55"/>
      <c r="OFD1" s="55"/>
      <c r="OFE1" s="55"/>
      <c r="OFF1" s="55"/>
      <c r="OFG1" s="55"/>
      <c r="OFH1" s="55"/>
      <c r="OFI1" s="55"/>
      <c r="OFJ1" s="55"/>
      <c r="OFK1" s="55"/>
      <c r="OFL1" s="55"/>
      <c r="OFM1" s="55"/>
      <c r="OFN1" s="55"/>
      <c r="OFO1" s="55"/>
      <c r="OFP1" s="55"/>
      <c r="OFQ1" s="55"/>
      <c r="OFR1" s="55"/>
      <c r="OFS1" s="55"/>
      <c r="OFT1" s="55"/>
      <c r="OFU1" s="55"/>
      <c r="OFV1" s="55"/>
      <c r="OFW1" s="55"/>
      <c r="OFX1" s="55"/>
      <c r="OFY1" s="55"/>
      <c r="OFZ1" s="55"/>
      <c r="OGA1" s="55"/>
      <c r="OGB1" s="55"/>
      <c r="OGC1" s="55"/>
      <c r="OGD1" s="55"/>
      <c r="OGE1" s="55"/>
      <c r="OGF1" s="55"/>
      <c r="OGG1" s="55"/>
      <c r="OGH1" s="55"/>
      <c r="OGI1" s="55"/>
      <c r="OGJ1" s="55"/>
      <c r="OGK1" s="55"/>
      <c r="OGL1" s="55"/>
      <c r="OGM1" s="55"/>
      <c r="OGN1" s="55"/>
      <c r="OGO1" s="55"/>
      <c r="OGP1" s="55"/>
      <c r="OGQ1" s="55"/>
      <c r="OGR1" s="55"/>
      <c r="OGS1" s="55"/>
      <c r="OGT1" s="55"/>
      <c r="OGU1" s="55"/>
      <c r="OGV1" s="55"/>
      <c r="OGW1" s="55"/>
      <c r="OGX1" s="55"/>
      <c r="OGY1" s="55"/>
      <c r="OGZ1" s="55"/>
      <c r="OHA1" s="55"/>
      <c r="OHB1" s="55"/>
      <c r="OHC1" s="55"/>
      <c r="OHD1" s="55"/>
      <c r="OHE1" s="55"/>
      <c r="OHF1" s="55"/>
      <c r="OHG1" s="55"/>
      <c r="OHH1" s="55"/>
      <c r="OHI1" s="55"/>
      <c r="OHJ1" s="55"/>
      <c r="OHK1" s="55"/>
      <c r="OHL1" s="55"/>
      <c r="OHM1" s="55"/>
      <c r="OHN1" s="55"/>
      <c r="OHO1" s="55"/>
      <c r="OHP1" s="55"/>
      <c r="OHQ1" s="55"/>
      <c r="OHR1" s="55"/>
      <c r="OHS1" s="55"/>
      <c r="OHT1" s="55"/>
      <c r="OHU1" s="55"/>
      <c r="OHV1" s="55"/>
      <c r="OHW1" s="55"/>
      <c r="OHX1" s="55"/>
      <c r="OHY1" s="55"/>
      <c r="OHZ1" s="55"/>
      <c r="OIA1" s="55"/>
      <c r="OIB1" s="55"/>
      <c r="OIC1" s="55"/>
      <c r="OID1" s="55"/>
      <c r="OIE1" s="55"/>
      <c r="OIF1" s="55"/>
      <c r="OIG1" s="55"/>
      <c r="OIH1" s="55"/>
      <c r="OII1" s="55"/>
      <c r="OIJ1" s="55"/>
      <c r="OIK1" s="55"/>
      <c r="OIL1" s="55"/>
      <c r="OIM1" s="55"/>
      <c r="OIN1" s="55"/>
      <c r="OIO1" s="55"/>
      <c r="OIP1" s="55"/>
      <c r="OIQ1" s="55"/>
      <c r="OIR1" s="55"/>
      <c r="OIS1" s="55"/>
      <c r="OIT1" s="55"/>
      <c r="OIU1" s="55"/>
      <c r="OIV1" s="55"/>
      <c r="OIW1" s="55"/>
      <c r="OIX1" s="55"/>
      <c r="OIY1" s="55"/>
      <c r="OIZ1" s="55"/>
      <c r="OJA1" s="55"/>
      <c r="OJB1" s="55"/>
      <c r="OJC1" s="55"/>
      <c r="OJD1" s="55"/>
      <c r="OJE1" s="55"/>
      <c r="OJF1" s="55"/>
      <c r="OJG1" s="55"/>
      <c r="OJH1" s="55"/>
      <c r="OJI1" s="55"/>
      <c r="OJJ1" s="55"/>
      <c r="OJK1" s="55"/>
      <c r="OJL1" s="55"/>
      <c r="OJM1" s="55"/>
      <c r="OJN1" s="55"/>
      <c r="OJO1" s="55"/>
      <c r="OJP1" s="55"/>
      <c r="OJQ1" s="55"/>
      <c r="OJR1" s="55"/>
      <c r="OJS1" s="55"/>
      <c r="OJT1" s="55"/>
      <c r="OJU1" s="55"/>
      <c r="OJV1" s="55"/>
      <c r="OJW1" s="55"/>
      <c r="OJX1" s="55"/>
      <c r="OJY1" s="55"/>
      <c r="OJZ1" s="55"/>
      <c r="OKA1" s="55"/>
      <c r="OKB1" s="55"/>
      <c r="OKC1" s="55"/>
      <c r="OKD1" s="55"/>
      <c r="OKE1" s="55"/>
      <c r="OKF1" s="55"/>
      <c r="OKG1" s="55"/>
      <c r="OKH1" s="55"/>
      <c r="OKI1" s="55"/>
      <c r="OKJ1" s="55"/>
      <c r="OKK1" s="55"/>
      <c r="OKL1" s="55"/>
      <c r="OKM1" s="55"/>
      <c r="OKN1" s="55"/>
      <c r="OKO1" s="55"/>
      <c r="OKP1" s="55"/>
      <c r="OKQ1" s="55"/>
      <c r="OKR1" s="55"/>
      <c r="OKS1" s="55"/>
      <c r="OKT1" s="55"/>
      <c r="OKU1" s="55"/>
      <c r="OKV1" s="55"/>
      <c r="OKW1" s="55"/>
      <c r="OKX1" s="55"/>
      <c r="OKY1" s="55"/>
      <c r="OKZ1" s="55"/>
      <c r="OLA1" s="55"/>
      <c r="OLB1" s="55"/>
      <c r="OLC1" s="55"/>
      <c r="OLD1" s="55"/>
      <c r="OLE1" s="55"/>
      <c r="OLF1" s="55"/>
      <c r="OLG1" s="55"/>
      <c r="OLH1" s="55"/>
      <c r="OLI1" s="55"/>
      <c r="OLJ1" s="55"/>
      <c r="OLK1" s="55"/>
      <c r="OLL1" s="55"/>
      <c r="OLM1" s="55"/>
      <c r="OLN1" s="55"/>
      <c r="OLO1" s="55"/>
      <c r="OLP1" s="55"/>
      <c r="OLQ1" s="55"/>
      <c r="OLR1" s="55"/>
      <c r="OLS1" s="55"/>
      <c r="OLT1" s="55"/>
      <c r="OLU1" s="55"/>
      <c r="OLV1" s="55"/>
      <c r="OLW1" s="55"/>
      <c r="OLX1" s="55"/>
      <c r="OLY1" s="55"/>
      <c r="OLZ1" s="55"/>
      <c r="OMA1" s="55"/>
      <c r="OMB1" s="55"/>
      <c r="OMC1" s="55"/>
      <c r="OMD1" s="55"/>
      <c r="OME1" s="55"/>
      <c r="OMF1" s="55"/>
      <c r="OMG1" s="55"/>
      <c r="OMH1" s="55"/>
      <c r="OMI1" s="55"/>
      <c r="OMJ1" s="55"/>
      <c r="OMK1" s="55"/>
      <c r="OML1" s="55"/>
      <c r="OMM1" s="55"/>
      <c r="OMN1" s="55"/>
      <c r="OMO1" s="55"/>
      <c r="OMP1" s="55"/>
      <c r="OMQ1" s="55"/>
      <c r="OMR1" s="55"/>
      <c r="OMS1" s="55"/>
      <c r="OMT1" s="55"/>
      <c r="OMU1" s="55"/>
      <c r="OMV1" s="55"/>
      <c r="OMW1" s="55"/>
      <c r="OMX1" s="55"/>
      <c r="OMY1" s="55"/>
      <c r="OMZ1" s="55"/>
      <c r="ONA1" s="55"/>
      <c r="ONB1" s="55"/>
      <c r="ONC1" s="55"/>
      <c r="OND1" s="55"/>
      <c r="ONE1" s="55"/>
      <c r="ONF1" s="55"/>
      <c r="ONG1" s="55"/>
      <c r="ONH1" s="55"/>
      <c r="ONI1" s="55"/>
      <c r="ONJ1" s="55"/>
      <c r="ONK1" s="55"/>
      <c r="ONL1" s="55"/>
      <c r="ONM1" s="55"/>
      <c r="ONN1" s="55"/>
      <c r="ONO1" s="55"/>
      <c r="ONP1" s="55"/>
      <c r="ONQ1" s="55"/>
      <c r="ONR1" s="55"/>
      <c r="ONS1" s="55"/>
      <c r="ONT1" s="55"/>
      <c r="ONU1" s="55"/>
      <c r="ONV1" s="55"/>
      <c r="ONW1" s="55"/>
      <c r="ONX1" s="55"/>
      <c r="ONY1" s="55"/>
      <c r="ONZ1" s="55"/>
      <c r="OOA1" s="55"/>
      <c r="OOB1" s="55"/>
      <c r="OOC1" s="55"/>
      <c r="OOD1" s="55"/>
      <c r="OOE1" s="55"/>
      <c r="OOF1" s="55"/>
      <c r="OOG1" s="55"/>
      <c r="OOH1" s="55"/>
      <c r="OOI1" s="55"/>
      <c r="OOJ1" s="55"/>
      <c r="OOK1" s="55"/>
      <c r="OOL1" s="55"/>
      <c r="OOM1" s="55"/>
      <c r="OON1" s="55"/>
      <c r="OOO1" s="55"/>
      <c r="OOP1" s="55"/>
      <c r="OOQ1" s="55"/>
      <c r="OOR1" s="55"/>
      <c r="OOS1" s="55"/>
      <c r="OOT1" s="55"/>
      <c r="OOU1" s="55"/>
      <c r="OOV1" s="55"/>
      <c r="OOW1" s="55"/>
      <c r="OOX1" s="55"/>
      <c r="OOY1" s="55"/>
      <c r="OOZ1" s="55"/>
      <c r="OPA1" s="55"/>
      <c r="OPB1" s="55"/>
      <c r="OPC1" s="55"/>
      <c r="OPD1" s="55"/>
      <c r="OPE1" s="55"/>
      <c r="OPF1" s="55"/>
      <c r="OPG1" s="55"/>
      <c r="OPH1" s="55"/>
      <c r="OPI1" s="55"/>
      <c r="OPJ1" s="55"/>
      <c r="OPK1" s="55"/>
      <c r="OPL1" s="55"/>
      <c r="OPM1" s="55"/>
      <c r="OPN1" s="55"/>
      <c r="OPO1" s="55"/>
      <c r="OPP1" s="55"/>
      <c r="OPQ1" s="55"/>
      <c r="OPR1" s="55"/>
      <c r="OPS1" s="55"/>
      <c r="OPT1" s="55"/>
      <c r="OPU1" s="55"/>
      <c r="OPV1" s="55"/>
      <c r="OPW1" s="55"/>
      <c r="OPX1" s="55"/>
      <c r="OPY1" s="55"/>
      <c r="OPZ1" s="55"/>
      <c r="OQA1" s="55"/>
      <c r="OQB1" s="55"/>
      <c r="OQC1" s="55"/>
      <c r="OQD1" s="55"/>
      <c r="OQE1" s="55"/>
      <c r="OQF1" s="55"/>
      <c r="OQG1" s="55"/>
      <c r="OQH1" s="55"/>
      <c r="OQI1" s="55"/>
      <c r="OQJ1" s="55"/>
      <c r="OQK1" s="55"/>
      <c r="OQL1" s="55"/>
      <c r="OQM1" s="55"/>
      <c r="OQN1" s="55"/>
      <c r="OQO1" s="55"/>
      <c r="OQP1" s="55"/>
      <c r="OQQ1" s="55"/>
      <c r="OQR1" s="55"/>
      <c r="OQS1" s="55"/>
      <c r="OQT1" s="55"/>
      <c r="OQU1" s="55"/>
      <c r="OQV1" s="55"/>
      <c r="OQW1" s="55"/>
      <c r="OQX1" s="55"/>
      <c r="OQY1" s="55"/>
      <c r="OQZ1" s="55"/>
      <c r="ORA1" s="55"/>
      <c r="ORB1" s="55"/>
      <c r="ORC1" s="55"/>
      <c r="ORD1" s="55"/>
      <c r="ORE1" s="55"/>
      <c r="ORF1" s="55"/>
      <c r="ORG1" s="55"/>
      <c r="ORH1" s="55"/>
      <c r="ORI1" s="55"/>
      <c r="ORJ1" s="55"/>
      <c r="ORK1" s="55"/>
      <c r="ORL1" s="55"/>
      <c r="ORM1" s="55"/>
      <c r="ORN1" s="55"/>
      <c r="ORO1" s="55"/>
      <c r="ORP1" s="55"/>
      <c r="ORQ1" s="55"/>
      <c r="ORR1" s="55"/>
      <c r="ORS1" s="55"/>
      <c r="ORT1" s="55"/>
      <c r="ORU1" s="55"/>
      <c r="ORV1" s="55"/>
      <c r="ORW1" s="55"/>
      <c r="ORX1" s="55"/>
      <c r="ORY1" s="55"/>
      <c r="ORZ1" s="55"/>
      <c r="OSA1" s="55"/>
      <c r="OSB1" s="55"/>
      <c r="OSC1" s="55"/>
      <c r="OSD1" s="55"/>
      <c r="OSE1" s="55"/>
      <c r="OSF1" s="55"/>
      <c r="OSG1" s="55"/>
      <c r="OSH1" s="55"/>
      <c r="OSI1" s="55"/>
      <c r="OSJ1" s="55"/>
      <c r="OSK1" s="55"/>
      <c r="OSL1" s="55"/>
      <c r="OSM1" s="55"/>
      <c r="OSN1" s="55"/>
      <c r="OSO1" s="55"/>
      <c r="OSP1" s="55"/>
      <c r="OSQ1" s="55"/>
      <c r="OSR1" s="55"/>
      <c r="OSS1" s="55"/>
      <c r="OST1" s="55"/>
      <c r="OSU1" s="55"/>
      <c r="OSV1" s="55"/>
      <c r="OSW1" s="55"/>
      <c r="OSX1" s="55"/>
      <c r="OSY1" s="55"/>
      <c r="OSZ1" s="55"/>
      <c r="OTA1" s="55"/>
      <c r="OTB1" s="55"/>
      <c r="OTC1" s="55"/>
      <c r="OTD1" s="55"/>
      <c r="OTE1" s="55"/>
      <c r="OTF1" s="55"/>
      <c r="OTG1" s="55"/>
      <c r="OTH1" s="55"/>
      <c r="OTI1" s="55"/>
      <c r="OTJ1" s="55"/>
      <c r="OTK1" s="55"/>
      <c r="OTL1" s="55"/>
      <c r="OTM1" s="55"/>
      <c r="OTN1" s="55"/>
      <c r="OTO1" s="55"/>
      <c r="OTP1" s="55"/>
      <c r="OTQ1" s="55"/>
      <c r="OTR1" s="55"/>
      <c r="OTS1" s="55"/>
      <c r="OTT1" s="55"/>
      <c r="OTU1" s="55"/>
      <c r="OTV1" s="55"/>
      <c r="OTW1" s="55"/>
      <c r="OTX1" s="55"/>
      <c r="OTY1" s="55"/>
      <c r="OTZ1" s="55"/>
      <c r="OUA1" s="55"/>
      <c r="OUB1" s="55"/>
      <c r="OUC1" s="55"/>
      <c r="OUD1" s="55"/>
      <c r="OUE1" s="55"/>
      <c r="OUF1" s="55"/>
      <c r="OUG1" s="55"/>
      <c r="OUH1" s="55"/>
      <c r="OUI1" s="55"/>
      <c r="OUJ1" s="55"/>
      <c r="OUK1" s="55"/>
      <c r="OUL1" s="55"/>
      <c r="OUM1" s="55"/>
      <c r="OUN1" s="55"/>
      <c r="OUO1" s="55"/>
      <c r="OUP1" s="55"/>
      <c r="OUQ1" s="55"/>
      <c r="OUR1" s="55"/>
      <c r="OUS1" s="55"/>
      <c r="OUT1" s="55"/>
      <c r="OUU1" s="55"/>
      <c r="OUV1" s="55"/>
      <c r="OUW1" s="55"/>
      <c r="OUX1" s="55"/>
      <c r="OUY1" s="55"/>
      <c r="OUZ1" s="55"/>
      <c r="OVA1" s="55"/>
      <c r="OVB1" s="55"/>
      <c r="OVC1" s="55"/>
      <c r="OVD1" s="55"/>
      <c r="OVE1" s="55"/>
      <c r="OVF1" s="55"/>
      <c r="OVG1" s="55"/>
      <c r="OVH1" s="55"/>
      <c r="OVI1" s="55"/>
      <c r="OVJ1" s="55"/>
      <c r="OVK1" s="55"/>
      <c r="OVL1" s="55"/>
      <c r="OVM1" s="55"/>
      <c r="OVN1" s="55"/>
      <c r="OVO1" s="55"/>
      <c r="OVP1" s="55"/>
      <c r="OVQ1" s="55"/>
      <c r="OVR1" s="55"/>
      <c r="OVS1" s="55"/>
      <c r="OVT1" s="55"/>
      <c r="OVU1" s="55"/>
      <c r="OVV1" s="55"/>
      <c r="OVW1" s="55"/>
      <c r="OVX1" s="55"/>
      <c r="OVY1" s="55"/>
      <c r="OVZ1" s="55"/>
      <c r="OWA1" s="55"/>
      <c r="OWB1" s="55"/>
      <c r="OWC1" s="55"/>
      <c r="OWD1" s="55"/>
      <c r="OWE1" s="55"/>
      <c r="OWF1" s="55"/>
      <c r="OWG1" s="55"/>
      <c r="OWH1" s="55"/>
      <c r="OWI1" s="55"/>
      <c r="OWJ1" s="55"/>
      <c r="OWK1" s="55"/>
      <c r="OWL1" s="55"/>
      <c r="OWM1" s="55"/>
      <c r="OWN1" s="55"/>
      <c r="OWO1" s="55"/>
      <c r="OWP1" s="55"/>
      <c r="OWQ1" s="55"/>
      <c r="OWR1" s="55"/>
      <c r="OWS1" s="55"/>
      <c r="OWT1" s="55"/>
      <c r="OWU1" s="55"/>
      <c r="OWV1" s="55"/>
      <c r="OWW1" s="55"/>
      <c r="OWX1" s="55"/>
      <c r="OWY1" s="55"/>
      <c r="OWZ1" s="55"/>
      <c r="OXA1" s="55"/>
      <c r="OXB1" s="55"/>
      <c r="OXC1" s="55"/>
      <c r="OXD1" s="55"/>
      <c r="OXE1" s="55"/>
      <c r="OXF1" s="55"/>
      <c r="OXG1" s="55"/>
      <c r="OXH1" s="55"/>
      <c r="OXI1" s="55"/>
      <c r="OXJ1" s="55"/>
      <c r="OXK1" s="55"/>
      <c r="OXL1" s="55"/>
      <c r="OXM1" s="55"/>
      <c r="OXN1" s="55"/>
      <c r="OXO1" s="55"/>
      <c r="OXP1" s="55"/>
      <c r="OXQ1" s="55"/>
      <c r="OXR1" s="55"/>
      <c r="OXS1" s="55"/>
      <c r="OXT1" s="55"/>
      <c r="OXU1" s="55"/>
      <c r="OXV1" s="55"/>
      <c r="OXW1" s="55"/>
      <c r="OXX1" s="55"/>
      <c r="OXY1" s="55"/>
      <c r="OXZ1" s="55"/>
      <c r="OYA1" s="55"/>
      <c r="OYB1" s="55"/>
      <c r="OYC1" s="55"/>
      <c r="OYD1" s="55"/>
      <c r="OYE1" s="55"/>
      <c r="OYF1" s="55"/>
      <c r="OYG1" s="55"/>
      <c r="OYH1" s="55"/>
      <c r="OYI1" s="55"/>
      <c r="OYJ1" s="55"/>
      <c r="OYK1" s="55"/>
      <c r="OYL1" s="55"/>
      <c r="OYM1" s="55"/>
      <c r="OYN1" s="55"/>
      <c r="OYO1" s="55"/>
      <c r="OYP1" s="55"/>
      <c r="OYQ1" s="55"/>
      <c r="OYR1" s="55"/>
      <c r="OYS1" s="55"/>
      <c r="OYT1" s="55"/>
      <c r="OYU1" s="55"/>
      <c r="OYV1" s="55"/>
      <c r="OYW1" s="55"/>
      <c r="OYX1" s="55"/>
      <c r="OYY1" s="55"/>
      <c r="OYZ1" s="55"/>
      <c r="OZA1" s="55"/>
      <c r="OZB1" s="55"/>
      <c r="OZC1" s="55"/>
      <c r="OZD1" s="55"/>
      <c r="OZE1" s="55"/>
      <c r="OZF1" s="55"/>
      <c r="OZG1" s="55"/>
      <c r="OZH1" s="55"/>
      <c r="OZI1" s="55"/>
      <c r="OZJ1" s="55"/>
      <c r="OZK1" s="55"/>
      <c r="OZL1" s="55"/>
      <c r="OZM1" s="55"/>
      <c r="OZN1" s="55"/>
      <c r="OZO1" s="55"/>
      <c r="OZP1" s="55"/>
      <c r="OZQ1" s="55"/>
      <c r="OZR1" s="55"/>
      <c r="OZS1" s="55"/>
      <c r="OZT1" s="55"/>
      <c r="OZU1" s="55"/>
      <c r="OZV1" s="55"/>
      <c r="OZW1" s="55"/>
      <c r="OZX1" s="55"/>
      <c r="OZY1" s="55"/>
      <c r="OZZ1" s="55"/>
      <c r="PAA1" s="55"/>
      <c r="PAB1" s="55"/>
      <c r="PAC1" s="55"/>
      <c r="PAD1" s="55"/>
      <c r="PAE1" s="55"/>
      <c r="PAF1" s="55"/>
      <c r="PAG1" s="55"/>
      <c r="PAH1" s="55"/>
      <c r="PAI1" s="55"/>
      <c r="PAJ1" s="55"/>
      <c r="PAK1" s="55"/>
      <c r="PAL1" s="55"/>
      <c r="PAM1" s="55"/>
      <c r="PAN1" s="55"/>
      <c r="PAO1" s="55"/>
      <c r="PAP1" s="55"/>
      <c r="PAQ1" s="55"/>
      <c r="PAR1" s="55"/>
      <c r="PAS1" s="55"/>
      <c r="PAT1" s="55"/>
      <c r="PAU1" s="55"/>
      <c r="PAV1" s="55"/>
      <c r="PAW1" s="55"/>
      <c r="PAX1" s="55"/>
      <c r="PAY1" s="55"/>
      <c r="PAZ1" s="55"/>
      <c r="PBA1" s="55"/>
      <c r="PBB1" s="55"/>
      <c r="PBC1" s="55"/>
      <c r="PBD1" s="55"/>
      <c r="PBE1" s="55"/>
      <c r="PBF1" s="55"/>
      <c r="PBG1" s="55"/>
      <c r="PBH1" s="55"/>
      <c r="PBI1" s="55"/>
      <c r="PBJ1" s="55"/>
      <c r="PBK1" s="55"/>
      <c r="PBL1" s="55"/>
      <c r="PBM1" s="55"/>
      <c r="PBN1" s="55"/>
      <c r="PBO1" s="55"/>
      <c r="PBP1" s="55"/>
      <c r="PBQ1" s="55"/>
      <c r="PBR1" s="55"/>
      <c r="PBS1" s="55"/>
      <c r="PBT1" s="55"/>
      <c r="PBU1" s="55"/>
      <c r="PBV1" s="55"/>
      <c r="PBW1" s="55"/>
      <c r="PBX1" s="55"/>
      <c r="PBY1" s="55"/>
      <c r="PBZ1" s="55"/>
      <c r="PCA1" s="55"/>
      <c r="PCB1" s="55"/>
      <c r="PCC1" s="55"/>
      <c r="PCD1" s="55"/>
      <c r="PCE1" s="55"/>
      <c r="PCF1" s="55"/>
      <c r="PCG1" s="55"/>
      <c r="PCH1" s="55"/>
      <c r="PCI1" s="55"/>
      <c r="PCJ1" s="55"/>
      <c r="PCK1" s="55"/>
      <c r="PCL1" s="55"/>
      <c r="PCM1" s="55"/>
      <c r="PCN1" s="55"/>
      <c r="PCO1" s="55"/>
      <c r="PCP1" s="55"/>
      <c r="PCQ1" s="55"/>
      <c r="PCR1" s="55"/>
      <c r="PCS1" s="55"/>
      <c r="PCT1" s="55"/>
      <c r="PCU1" s="55"/>
      <c r="PCV1" s="55"/>
      <c r="PCW1" s="55"/>
      <c r="PCX1" s="55"/>
      <c r="PCY1" s="55"/>
      <c r="PCZ1" s="55"/>
      <c r="PDA1" s="55"/>
      <c r="PDB1" s="55"/>
      <c r="PDC1" s="55"/>
      <c r="PDD1" s="55"/>
      <c r="PDE1" s="55"/>
      <c r="PDF1" s="55"/>
      <c r="PDG1" s="55"/>
      <c r="PDH1" s="55"/>
      <c r="PDI1" s="55"/>
      <c r="PDJ1" s="55"/>
      <c r="PDK1" s="55"/>
      <c r="PDL1" s="55"/>
      <c r="PDM1" s="55"/>
      <c r="PDN1" s="55"/>
      <c r="PDO1" s="55"/>
      <c r="PDP1" s="55"/>
      <c r="PDQ1" s="55"/>
      <c r="PDR1" s="55"/>
      <c r="PDS1" s="55"/>
      <c r="PDT1" s="55"/>
      <c r="PDU1" s="55"/>
      <c r="PDV1" s="55"/>
      <c r="PDW1" s="55"/>
      <c r="PDX1" s="55"/>
      <c r="PDY1" s="55"/>
      <c r="PDZ1" s="55"/>
      <c r="PEA1" s="55"/>
      <c r="PEB1" s="55"/>
      <c r="PEC1" s="55"/>
      <c r="PED1" s="55"/>
      <c r="PEE1" s="55"/>
      <c r="PEF1" s="55"/>
      <c r="PEG1" s="55"/>
      <c r="PEH1" s="55"/>
      <c r="PEI1" s="55"/>
      <c r="PEJ1" s="55"/>
      <c r="PEK1" s="55"/>
      <c r="PEL1" s="55"/>
      <c r="PEM1" s="55"/>
      <c r="PEN1" s="55"/>
      <c r="PEO1" s="55"/>
      <c r="PEP1" s="55"/>
      <c r="PEQ1" s="55"/>
      <c r="PER1" s="55"/>
      <c r="PES1" s="55"/>
      <c r="PET1" s="55"/>
      <c r="PEU1" s="55"/>
      <c r="PEV1" s="55"/>
      <c r="PEW1" s="55"/>
      <c r="PEX1" s="55"/>
      <c r="PEY1" s="55"/>
      <c r="PEZ1" s="55"/>
      <c r="PFA1" s="55"/>
      <c r="PFB1" s="55"/>
      <c r="PFC1" s="55"/>
      <c r="PFD1" s="55"/>
      <c r="PFE1" s="55"/>
      <c r="PFF1" s="55"/>
      <c r="PFG1" s="55"/>
      <c r="PFH1" s="55"/>
      <c r="PFI1" s="55"/>
      <c r="PFJ1" s="55"/>
      <c r="PFK1" s="55"/>
      <c r="PFL1" s="55"/>
      <c r="PFM1" s="55"/>
      <c r="PFN1" s="55"/>
      <c r="PFO1" s="55"/>
      <c r="PFP1" s="55"/>
      <c r="PFQ1" s="55"/>
      <c r="PFR1" s="55"/>
      <c r="PFS1" s="55"/>
      <c r="PFT1" s="55"/>
      <c r="PFU1" s="55"/>
      <c r="PFV1" s="55"/>
      <c r="PFW1" s="55"/>
      <c r="PFX1" s="55"/>
      <c r="PFY1" s="55"/>
      <c r="PFZ1" s="55"/>
      <c r="PGA1" s="55"/>
      <c r="PGB1" s="55"/>
      <c r="PGC1" s="55"/>
      <c r="PGD1" s="55"/>
      <c r="PGE1" s="55"/>
      <c r="PGF1" s="55"/>
      <c r="PGG1" s="55"/>
      <c r="PGH1" s="55"/>
      <c r="PGI1" s="55"/>
      <c r="PGJ1" s="55"/>
      <c r="PGK1" s="55"/>
      <c r="PGL1" s="55"/>
      <c r="PGM1" s="55"/>
      <c r="PGN1" s="55"/>
      <c r="PGO1" s="55"/>
      <c r="PGP1" s="55"/>
      <c r="PGQ1" s="55"/>
      <c r="PGR1" s="55"/>
      <c r="PGS1" s="55"/>
      <c r="PGT1" s="55"/>
      <c r="PGU1" s="55"/>
      <c r="PGV1" s="55"/>
      <c r="PGW1" s="55"/>
      <c r="PGX1" s="55"/>
      <c r="PGY1" s="55"/>
      <c r="PGZ1" s="55"/>
      <c r="PHA1" s="55"/>
      <c r="PHB1" s="55"/>
      <c r="PHC1" s="55"/>
      <c r="PHD1" s="55"/>
      <c r="PHE1" s="55"/>
      <c r="PHF1" s="55"/>
      <c r="PHG1" s="55"/>
      <c r="PHH1" s="55"/>
      <c r="PHI1" s="55"/>
      <c r="PHJ1" s="55"/>
      <c r="PHK1" s="55"/>
      <c r="PHL1" s="55"/>
      <c r="PHM1" s="55"/>
      <c r="PHN1" s="55"/>
      <c r="PHO1" s="55"/>
      <c r="PHP1" s="55"/>
      <c r="PHQ1" s="55"/>
      <c r="PHR1" s="55"/>
      <c r="PHS1" s="55"/>
      <c r="PHT1" s="55"/>
      <c r="PHU1" s="55"/>
      <c r="PHV1" s="55"/>
      <c r="PHW1" s="55"/>
      <c r="PHX1" s="55"/>
      <c r="PHY1" s="55"/>
      <c r="PHZ1" s="55"/>
      <c r="PIA1" s="55"/>
      <c r="PIB1" s="55"/>
      <c r="PIC1" s="55"/>
      <c r="PID1" s="55"/>
      <c r="PIE1" s="55"/>
      <c r="PIF1" s="55"/>
      <c r="PIG1" s="55"/>
      <c r="PIH1" s="55"/>
      <c r="PII1" s="55"/>
      <c r="PIJ1" s="55"/>
      <c r="PIK1" s="55"/>
      <c r="PIL1" s="55"/>
      <c r="PIM1" s="55"/>
      <c r="PIN1" s="55"/>
      <c r="PIO1" s="55"/>
      <c r="PIP1" s="55"/>
      <c r="PIQ1" s="55"/>
      <c r="PIR1" s="55"/>
      <c r="PIS1" s="55"/>
      <c r="PIT1" s="55"/>
      <c r="PIU1" s="55"/>
      <c r="PIV1" s="55"/>
      <c r="PIW1" s="55"/>
      <c r="PIX1" s="55"/>
      <c r="PIY1" s="55"/>
      <c r="PIZ1" s="55"/>
      <c r="PJA1" s="55"/>
      <c r="PJB1" s="55"/>
      <c r="PJC1" s="55"/>
      <c r="PJD1" s="55"/>
      <c r="PJE1" s="55"/>
      <c r="PJF1" s="55"/>
      <c r="PJG1" s="55"/>
      <c r="PJH1" s="55"/>
      <c r="PJI1" s="55"/>
      <c r="PJJ1" s="55"/>
      <c r="PJK1" s="55"/>
      <c r="PJL1" s="55"/>
      <c r="PJM1" s="55"/>
      <c r="PJN1" s="55"/>
      <c r="PJO1" s="55"/>
      <c r="PJP1" s="55"/>
      <c r="PJQ1" s="55"/>
      <c r="PJR1" s="55"/>
      <c r="PJS1" s="55"/>
      <c r="PJT1" s="55"/>
      <c r="PJU1" s="55"/>
      <c r="PJV1" s="55"/>
      <c r="PJW1" s="55"/>
      <c r="PJX1" s="55"/>
      <c r="PJY1" s="55"/>
      <c r="PJZ1" s="55"/>
      <c r="PKA1" s="55"/>
      <c r="PKB1" s="55"/>
      <c r="PKC1" s="55"/>
      <c r="PKD1" s="55"/>
      <c r="PKE1" s="55"/>
      <c r="PKF1" s="55"/>
      <c r="PKG1" s="55"/>
      <c r="PKH1" s="55"/>
      <c r="PKI1" s="55"/>
      <c r="PKJ1" s="55"/>
      <c r="PKK1" s="55"/>
      <c r="PKL1" s="55"/>
      <c r="PKM1" s="55"/>
      <c r="PKN1" s="55"/>
      <c r="PKO1" s="55"/>
      <c r="PKP1" s="55"/>
      <c r="PKQ1" s="55"/>
      <c r="PKR1" s="55"/>
      <c r="PKS1" s="55"/>
      <c r="PKT1" s="55"/>
      <c r="PKU1" s="55"/>
      <c r="PKV1" s="55"/>
      <c r="PKW1" s="55"/>
      <c r="PKX1" s="55"/>
      <c r="PKY1" s="55"/>
      <c r="PKZ1" s="55"/>
      <c r="PLA1" s="55"/>
      <c r="PLB1" s="55"/>
      <c r="PLC1" s="55"/>
      <c r="PLD1" s="55"/>
      <c r="PLE1" s="55"/>
      <c r="PLF1" s="55"/>
      <c r="PLG1" s="55"/>
      <c r="PLH1" s="55"/>
      <c r="PLI1" s="55"/>
      <c r="PLJ1" s="55"/>
      <c r="PLK1" s="55"/>
      <c r="PLL1" s="55"/>
      <c r="PLM1" s="55"/>
      <c r="PLN1" s="55"/>
      <c r="PLO1" s="55"/>
      <c r="PLP1" s="55"/>
      <c r="PLQ1" s="55"/>
      <c r="PLR1" s="55"/>
      <c r="PLS1" s="55"/>
      <c r="PLT1" s="55"/>
      <c r="PLU1" s="55"/>
      <c r="PLV1" s="55"/>
      <c r="PLW1" s="55"/>
      <c r="PLX1" s="55"/>
      <c r="PLY1" s="55"/>
      <c r="PLZ1" s="55"/>
      <c r="PMA1" s="55"/>
      <c r="PMB1" s="55"/>
      <c r="PMC1" s="55"/>
      <c r="PMD1" s="55"/>
      <c r="PME1" s="55"/>
      <c r="PMF1" s="55"/>
      <c r="PMG1" s="55"/>
      <c r="PMH1" s="55"/>
      <c r="PMI1" s="55"/>
      <c r="PMJ1" s="55"/>
      <c r="PMK1" s="55"/>
      <c r="PML1" s="55"/>
      <c r="PMM1" s="55"/>
      <c r="PMN1" s="55"/>
      <c r="PMO1" s="55"/>
      <c r="PMP1" s="55"/>
      <c r="PMQ1" s="55"/>
      <c r="PMR1" s="55"/>
      <c r="PMS1" s="55"/>
      <c r="PMT1" s="55"/>
      <c r="PMU1" s="55"/>
      <c r="PMV1" s="55"/>
      <c r="PMW1" s="55"/>
      <c r="PMX1" s="55"/>
      <c r="PMY1" s="55"/>
      <c r="PMZ1" s="55"/>
      <c r="PNA1" s="55"/>
      <c r="PNB1" s="55"/>
      <c r="PNC1" s="55"/>
      <c r="PND1" s="55"/>
      <c r="PNE1" s="55"/>
      <c r="PNF1" s="55"/>
      <c r="PNG1" s="55"/>
      <c r="PNH1" s="55"/>
      <c r="PNI1" s="55"/>
      <c r="PNJ1" s="55"/>
      <c r="PNK1" s="55"/>
      <c r="PNL1" s="55"/>
      <c r="PNM1" s="55"/>
      <c r="PNN1" s="55"/>
      <c r="PNO1" s="55"/>
      <c r="PNP1" s="55"/>
      <c r="PNQ1" s="55"/>
      <c r="PNR1" s="55"/>
      <c r="PNS1" s="55"/>
      <c r="PNT1" s="55"/>
      <c r="PNU1" s="55"/>
      <c r="PNV1" s="55"/>
      <c r="PNW1" s="55"/>
      <c r="PNX1" s="55"/>
      <c r="PNY1" s="55"/>
      <c r="PNZ1" s="55"/>
      <c r="POA1" s="55"/>
      <c r="POB1" s="55"/>
      <c r="POC1" s="55"/>
      <c r="POD1" s="55"/>
      <c r="POE1" s="55"/>
      <c r="POF1" s="55"/>
      <c r="POG1" s="55"/>
      <c r="POH1" s="55"/>
      <c r="POI1" s="55"/>
      <c r="POJ1" s="55"/>
      <c r="POK1" s="55"/>
      <c r="POL1" s="55"/>
      <c r="POM1" s="55"/>
      <c r="PON1" s="55"/>
      <c r="POO1" s="55"/>
      <c r="POP1" s="55"/>
      <c r="POQ1" s="55"/>
      <c r="POR1" s="55"/>
      <c r="POS1" s="55"/>
      <c r="POT1" s="55"/>
      <c r="POU1" s="55"/>
      <c r="POV1" s="55"/>
      <c r="POW1" s="55"/>
      <c r="POX1" s="55"/>
      <c r="POY1" s="55"/>
      <c r="POZ1" s="55"/>
      <c r="PPA1" s="55"/>
      <c r="PPB1" s="55"/>
      <c r="PPC1" s="55"/>
      <c r="PPD1" s="55"/>
      <c r="PPE1" s="55"/>
      <c r="PPF1" s="55"/>
      <c r="PPG1" s="55"/>
      <c r="PPH1" s="55"/>
      <c r="PPI1" s="55"/>
      <c r="PPJ1" s="55"/>
      <c r="PPK1" s="55"/>
      <c r="PPL1" s="55"/>
      <c r="PPM1" s="55"/>
      <c r="PPN1" s="55"/>
      <c r="PPO1" s="55"/>
      <c r="PPP1" s="55"/>
      <c r="PPQ1" s="55"/>
      <c r="PPR1" s="55"/>
      <c r="PPS1" s="55"/>
      <c r="PPT1" s="55"/>
      <c r="PPU1" s="55"/>
      <c r="PPV1" s="55"/>
      <c r="PPW1" s="55"/>
      <c r="PPX1" s="55"/>
      <c r="PPY1" s="55"/>
      <c r="PPZ1" s="55"/>
      <c r="PQA1" s="55"/>
      <c r="PQB1" s="55"/>
      <c r="PQC1" s="55"/>
      <c r="PQD1" s="55"/>
      <c r="PQE1" s="55"/>
      <c r="PQF1" s="55"/>
      <c r="PQG1" s="55"/>
      <c r="PQH1" s="55"/>
      <c r="PQI1" s="55"/>
      <c r="PQJ1" s="55"/>
      <c r="PQK1" s="55"/>
      <c r="PQL1" s="55"/>
      <c r="PQM1" s="55"/>
      <c r="PQN1" s="55"/>
      <c r="PQO1" s="55"/>
      <c r="PQP1" s="55"/>
      <c r="PQQ1" s="55"/>
      <c r="PQR1" s="55"/>
      <c r="PQS1" s="55"/>
      <c r="PQT1" s="55"/>
      <c r="PQU1" s="55"/>
      <c r="PQV1" s="55"/>
      <c r="PQW1" s="55"/>
      <c r="PQX1" s="55"/>
      <c r="PQY1" s="55"/>
      <c r="PQZ1" s="55"/>
      <c r="PRA1" s="55"/>
      <c r="PRB1" s="55"/>
      <c r="PRC1" s="55"/>
      <c r="PRD1" s="55"/>
      <c r="PRE1" s="55"/>
      <c r="PRF1" s="55"/>
      <c r="PRG1" s="55"/>
      <c r="PRH1" s="55"/>
      <c r="PRI1" s="55"/>
      <c r="PRJ1" s="55"/>
      <c r="PRK1" s="55"/>
      <c r="PRL1" s="55"/>
      <c r="PRM1" s="55"/>
      <c r="PRN1" s="55"/>
      <c r="PRO1" s="55"/>
      <c r="PRP1" s="55"/>
      <c r="PRQ1" s="55"/>
      <c r="PRR1" s="55"/>
      <c r="PRS1" s="55"/>
      <c r="PRT1" s="55"/>
      <c r="PRU1" s="55"/>
      <c r="PRV1" s="55"/>
      <c r="PRW1" s="55"/>
      <c r="PRX1" s="55"/>
      <c r="PRY1" s="55"/>
      <c r="PRZ1" s="55"/>
      <c r="PSA1" s="55"/>
      <c r="PSB1" s="55"/>
      <c r="PSC1" s="55"/>
      <c r="PSD1" s="55"/>
      <c r="PSE1" s="55"/>
      <c r="PSF1" s="55"/>
      <c r="PSG1" s="55"/>
      <c r="PSH1" s="55"/>
      <c r="PSI1" s="55"/>
      <c r="PSJ1" s="55"/>
      <c r="PSK1" s="55"/>
      <c r="PSL1" s="55"/>
      <c r="PSM1" s="55"/>
      <c r="PSN1" s="55"/>
      <c r="PSO1" s="55"/>
      <c r="PSP1" s="55"/>
      <c r="PSQ1" s="55"/>
      <c r="PSR1" s="55"/>
      <c r="PSS1" s="55"/>
      <c r="PST1" s="55"/>
      <c r="PSU1" s="55"/>
      <c r="PSV1" s="55"/>
      <c r="PSW1" s="55"/>
      <c r="PSX1" s="55"/>
      <c r="PSY1" s="55"/>
      <c r="PSZ1" s="55"/>
      <c r="PTA1" s="55"/>
      <c r="PTB1" s="55"/>
      <c r="PTC1" s="55"/>
      <c r="PTD1" s="55"/>
      <c r="PTE1" s="55"/>
      <c r="PTF1" s="55"/>
      <c r="PTG1" s="55"/>
      <c r="PTH1" s="55"/>
      <c r="PTI1" s="55"/>
      <c r="PTJ1" s="55"/>
      <c r="PTK1" s="55"/>
      <c r="PTL1" s="55"/>
      <c r="PTM1" s="55"/>
      <c r="PTN1" s="55"/>
      <c r="PTO1" s="55"/>
      <c r="PTP1" s="55"/>
      <c r="PTQ1" s="55"/>
      <c r="PTR1" s="55"/>
      <c r="PTS1" s="55"/>
      <c r="PTT1" s="55"/>
      <c r="PTU1" s="55"/>
      <c r="PTV1" s="55"/>
      <c r="PTW1" s="55"/>
      <c r="PTX1" s="55"/>
      <c r="PTY1" s="55"/>
      <c r="PTZ1" s="55"/>
      <c r="PUA1" s="55"/>
      <c r="PUB1" s="55"/>
      <c r="PUC1" s="55"/>
      <c r="PUD1" s="55"/>
      <c r="PUE1" s="55"/>
      <c r="PUF1" s="55"/>
      <c r="PUG1" s="55"/>
      <c r="PUH1" s="55"/>
      <c r="PUI1" s="55"/>
      <c r="PUJ1" s="55"/>
      <c r="PUK1" s="55"/>
      <c r="PUL1" s="55"/>
      <c r="PUM1" s="55"/>
      <c r="PUN1" s="55"/>
      <c r="PUO1" s="55"/>
      <c r="PUP1" s="55"/>
      <c r="PUQ1" s="55"/>
      <c r="PUR1" s="55"/>
      <c r="PUS1" s="55"/>
      <c r="PUT1" s="55"/>
      <c r="PUU1" s="55"/>
      <c r="PUV1" s="55"/>
      <c r="PUW1" s="55"/>
      <c r="PUX1" s="55"/>
      <c r="PUY1" s="55"/>
      <c r="PUZ1" s="55"/>
      <c r="PVA1" s="55"/>
      <c r="PVB1" s="55"/>
      <c r="PVC1" s="55"/>
      <c r="PVD1" s="55"/>
      <c r="PVE1" s="55"/>
      <c r="PVF1" s="55"/>
      <c r="PVG1" s="55"/>
      <c r="PVH1" s="55"/>
      <c r="PVI1" s="55"/>
      <c r="PVJ1" s="55"/>
      <c r="PVK1" s="55"/>
      <c r="PVL1" s="55"/>
      <c r="PVM1" s="55"/>
      <c r="PVN1" s="55"/>
      <c r="PVO1" s="55"/>
      <c r="PVP1" s="55"/>
      <c r="PVQ1" s="55"/>
      <c r="PVR1" s="55"/>
      <c r="PVS1" s="55"/>
      <c r="PVT1" s="55"/>
      <c r="PVU1" s="55"/>
      <c r="PVV1" s="55"/>
      <c r="PVW1" s="55"/>
      <c r="PVX1" s="55"/>
      <c r="PVY1" s="55"/>
      <c r="PVZ1" s="55"/>
      <c r="PWA1" s="55"/>
      <c r="PWB1" s="55"/>
      <c r="PWC1" s="55"/>
      <c r="PWD1" s="55"/>
      <c r="PWE1" s="55"/>
      <c r="PWF1" s="55"/>
      <c r="PWG1" s="55"/>
      <c r="PWH1" s="55"/>
      <c r="PWI1" s="55"/>
      <c r="PWJ1" s="55"/>
      <c r="PWK1" s="55"/>
      <c r="PWL1" s="55"/>
      <c r="PWM1" s="55"/>
      <c r="PWN1" s="55"/>
      <c r="PWO1" s="55"/>
      <c r="PWP1" s="55"/>
      <c r="PWQ1" s="55"/>
      <c r="PWR1" s="55"/>
      <c r="PWS1" s="55"/>
      <c r="PWT1" s="55"/>
      <c r="PWU1" s="55"/>
      <c r="PWV1" s="55"/>
      <c r="PWW1" s="55"/>
      <c r="PWX1" s="55"/>
      <c r="PWY1" s="55"/>
      <c r="PWZ1" s="55"/>
      <c r="PXA1" s="55"/>
      <c r="PXB1" s="55"/>
      <c r="PXC1" s="55"/>
      <c r="PXD1" s="55"/>
      <c r="PXE1" s="55"/>
      <c r="PXF1" s="55"/>
      <c r="PXG1" s="55"/>
      <c r="PXH1" s="55"/>
      <c r="PXI1" s="55"/>
      <c r="PXJ1" s="55"/>
      <c r="PXK1" s="55"/>
      <c r="PXL1" s="55"/>
      <c r="PXM1" s="55"/>
      <c r="PXN1" s="55"/>
      <c r="PXO1" s="55"/>
      <c r="PXP1" s="55"/>
      <c r="PXQ1" s="55"/>
      <c r="PXR1" s="55"/>
      <c r="PXS1" s="55"/>
      <c r="PXT1" s="55"/>
      <c r="PXU1" s="55"/>
      <c r="PXV1" s="55"/>
      <c r="PXW1" s="55"/>
      <c r="PXX1" s="55"/>
      <c r="PXY1" s="55"/>
      <c r="PXZ1" s="55"/>
      <c r="PYA1" s="55"/>
      <c r="PYB1" s="55"/>
      <c r="PYC1" s="55"/>
      <c r="PYD1" s="55"/>
      <c r="PYE1" s="55"/>
      <c r="PYF1" s="55"/>
      <c r="PYG1" s="55"/>
      <c r="PYH1" s="55"/>
      <c r="PYI1" s="55"/>
      <c r="PYJ1" s="55"/>
      <c r="PYK1" s="55"/>
      <c r="PYL1" s="55"/>
      <c r="PYM1" s="55"/>
      <c r="PYN1" s="55"/>
      <c r="PYO1" s="55"/>
      <c r="PYP1" s="55"/>
      <c r="PYQ1" s="55"/>
      <c r="PYR1" s="55"/>
      <c r="PYS1" s="55"/>
      <c r="PYT1" s="55"/>
      <c r="PYU1" s="55"/>
      <c r="PYV1" s="55"/>
      <c r="PYW1" s="55"/>
      <c r="PYX1" s="55"/>
      <c r="PYY1" s="55"/>
      <c r="PYZ1" s="55"/>
      <c r="PZA1" s="55"/>
      <c r="PZB1" s="55"/>
      <c r="PZC1" s="55"/>
      <c r="PZD1" s="55"/>
      <c r="PZE1" s="55"/>
      <c r="PZF1" s="55"/>
      <c r="PZG1" s="55"/>
      <c r="PZH1" s="55"/>
      <c r="PZI1" s="55"/>
      <c r="PZJ1" s="55"/>
      <c r="PZK1" s="55"/>
      <c r="PZL1" s="55"/>
      <c r="PZM1" s="55"/>
      <c r="PZN1" s="55"/>
      <c r="PZO1" s="55"/>
      <c r="PZP1" s="55"/>
      <c r="PZQ1" s="55"/>
      <c r="PZR1" s="55"/>
      <c r="PZS1" s="55"/>
      <c r="PZT1" s="55"/>
      <c r="PZU1" s="55"/>
      <c r="PZV1" s="55"/>
      <c r="PZW1" s="55"/>
      <c r="PZX1" s="55"/>
      <c r="PZY1" s="55"/>
      <c r="PZZ1" s="55"/>
      <c r="QAA1" s="55"/>
      <c r="QAB1" s="55"/>
      <c r="QAC1" s="55"/>
      <c r="QAD1" s="55"/>
      <c r="QAE1" s="55"/>
      <c r="QAF1" s="55"/>
      <c r="QAG1" s="55"/>
      <c r="QAH1" s="55"/>
      <c r="QAI1" s="55"/>
      <c r="QAJ1" s="55"/>
      <c r="QAK1" s="55"/>
      <c r="QAL1" s="55"/>
      <c r="QAM1" s="55"/>
      <c r="QAN1" s="55"/>
      <c r="QAO1" s="55"/>
      <c r="QAP1" s="55"/>
      <c r="QAQ1" s="55"/>
      <c r="QAR1" s="55"/>
      <c r="QAS1" s="55"/>
      <c r="QAT1" s="55"/>
      <c r="QAU1" s="55"/>
      <c r="QAV1" s="55"/>
      <c r="QAW1" s="55"/>
      <c r="QAX1" s="55"/>
      <c r="QAY1" s="55"/>
      <c r="QAZ1" s="55"/>
      <c r="QBA1" s="55"/>
      <c r="QBB1" s="55"/>
      <c r="QBC1" s="55"/>
      <c r="QBD1" s="55"/>
      <c r="QBE1" s="55"/>
      <c r="QBF1" s="55"/>
      <c r="QBG1" s="55"/>
      <c r="QBH1" s="55"/>
      <c r="QBI1" s="55"/>
      <c r="QBJ1" s="55"/>
      <c r="QBK1" s="55"/>
      <c r="QBL1" s="55"/>
      <c r="QBM1" s="55"/>
      <c r="QBN1" s="55"/>
      <c r="QBO1" s="55"/>
      <c r="QBP1" s="55"/>
      <c r="QBQ1" s="55"/>
      <c r="QBR1" s="55"/>
      <c r="QBS1" s="55"/>
      <c r="QBT1" s="55"/>
      <c r="QBU1" s="55"/>
      <c r="QBV1" s="55"/>
      <c r="QBW1" s="55"/>
      <c r="QBX1" s="55"/>
      <c r="QBY1" s="55"/>
      <c r="QBZ1" s="55"/>
      <c r="QCA1" s="55"/>
      <c r="QCB1" s="55"/>
      <c r="QCC1" s="55"/>
      <c r="QCD1" s="55"/>
      <c r="QCE1" s="55"/>
      <c r="QCF1" s="55"/>
      <c r="QCG1" s="55"/>
      <c r="QCH1" s="55"/>
      <c r="QCI1" s="55"/>
      <c r="QCJ1" s="55"/>
      <c r="QCK1" s="55"/>
      <c r="QCL1" s="55"/>
      <c r="QCM1" s="55"/>
      <c r="QCN1" s="55"/>
      <c r="QCO1" s="55"/>
      <c r="QCP1" s="55"/>
      <c r="QCQ1" s="55"/>
      <c r="QCR1" s="55"/>
      <c r="QCS1" s="55"/>
      <c r="QCT1" s="55"/>
      <c r="QCU1" s="55"/>
      <c r="QCV1" s="55"/>
      <c r="QCW1" s="55"/>
      <c r="QCX1" s="55"/>
      <c r="QCY1" s="55"/>
      <c r="QCZ1" s="55"/>
      <c r="QDA1" s="55"/>
      <c r="QDB1" s="55"/>
      <c r="QDC1" s="55"/>
      <c r="QDD1" s="55"/>
      <c r="QDE1" s="55"/>
      <c r="QDF1" s="55"/>
      <c r="QDG1" s="55"/>
      <c r="QDH1" s="55"/>
      <c r="QDI1" s="55"/>
      <c r="QDJ1" s="55"/>
      <c r="QDK1" s="55"/>
      <c r="QDL1" s="55"/>
      <c r="QDM1" s="55"/>
      <c r="QDN1" s="55"/>
      <c r="QDO1" s="55"/>
      <c r="QDP1" s="55"/>
      <c r="QDQ1" s="55"/>
      <c r="QDR1" s="55"/>
      <c r="QDS1" s="55"/>
      <c r="QDT1" s="55"/>
      <c r="QDU1" s="55"/>
      <c r="QDV1" s="55"/>
      <c r="QDW1" s="55"/>
      <c r="QDX1" s="55"/>
      <c r="QDY1" s="55"/>
      <c r="QDZ1" s="55"/>
      <c r="QEA1" s="55"/>
      <c r="QEB1" s="55"/>
      <c r="QEC1" s="55"/>
      <c r="QED1" s="55"/>
      <c r="QEE1" s="55"/>
      <c r="QEF1" s="55"/>
      <c r="QEG1" s="55"/>
      <c r="QEH1" s="55"/>
      <c r="QEI1" s="55"/>
      <c r="QEJ1" s="55"/>
      <c r="QEK1" s="55"/>
      <c r="QEL1" s="55"/>
      <c r="QEM1" s="55"/>
      <c r="QEN1" s="55"/>
      <c r="QEO1" s="55"/>
      <c r="QEP1" s="55"/>
      <c r="QEQ1" s="55"/>
      <c r="QER1" s="55"/>
      <c r="QES1" s="55"/>
      <c r="QET1" s="55"/>
      <c r="QEU1" s="55"/>
      <c r="QEV1" s="55"/>
      <c r="QEW1" s="55"/>
      <c r="QEX1" s="55"/>
      <c r="QEY1" s="55"/>
      <c r="QEZ1" s="55"/>
      <c r="QFA1" s="55"/>
      <c r="QFB1" s="55"/>
      <c r="QFC1" s="55"/>
      <c r="QFD1" s="55"/>
      <c r="QFE1" s="55"/>
      <c r="QFF1" s="55"/>
      <c r="QFG1" s="55"/>
      <c r="QFH1" s="55"/>
      <c r="QFI1" s="55"/>
      <c r="QFJ1" s="55"/>
      <c r="QFK1" s="55"/>
      <c r="QFL1" s="55"/>
      <c r="QFM1" s="55"/>
      <c r="QFN1" s="55"/>
      <c r="QFO1" s="55"/>
      <c r="QFP1" s="55"/>
      <c r="QFQ1" s="55"/>
      <c r="QFR1" s="55"/>
      <c r="QFS1" s="55"/>
      <c r="QFT1" s="55"/>
      <c r="QFU1" s="55"/>
      <c r="QFV1" s="55"/>
      <c r="QFW1" s="55"/>
      <c r="QFX1" s="55"/>
      <c r="QFY1" s="55"/>
      <c r="QFZ1" s="55"/>
      <c r="QGA1" s="55"/>
      <c r="QGB1" s="55"/>
      <c r="QGC1" s="55"/>
      <c r="QGD1" s="55"/>
      <c r="QGE1" s="55"/>
      <c r="QGF1" s="55"/>
      <c r="QGG1" s="55"/>
      <c r="QGH1" s="55"/>
      <c r="QGI1" s="55"/>
      <c r="QGJ1" s="55"/>
      <c r="QGK1" s="55"/>
      <c r="QGL1" s="55"/>
      <c r="QGM1" s="55"/>
      <c r="QGN1" s="55"/>
      <c r="QGO1" s="55"/>
      <c r="QGP1" s="55"/>
      <c r="QGQ1" s="55"/>
      <c r="QGR1" s="55"/>
      <c r="QGS1" s="55"/>
      <c r="QGT1" s="55"/>
      <c r="QGU1" s="55"/>
      <c r="QGV1" s="55"/>
      <c r="QGW1" s="55"/>
      <c r="QGX1" s="55"/>
      <c r="QGY1" s="55"/>
      <c r="QGZ1" s="55"/>
      <c r="QHA1" s="55"/>
      <c r="QHB1" s="55"/>
      <c r="QHC1" s="55"/>
      <c r="QHD1" s="55"/>
      <c r="QHE1" s="55"/>
      <c r="QHF1" s="55"/>
      <c r="QHG1" s="55"/>
      <c r="QHH1" s="55"/>
      <c r="QHI1" s="55"/>
      <c r="QHJ1" s="55"/>
      <c r="QHK1" s="55"/>
      <c r="QHL1" s="55"/>
      <c r="QHM1" s="55"/>
      <c r="QHN1" s="55"/>
      <c r="QHO1" s="55"/>
      <c r="QHP1" s="55"/>
      <c r="QHQ1" s="55"/>
      <c r="QHR1" s="55"/>
      <c r="QHS1" s="55"/>
      <c r="QHT1" s="55"/>
      <c r="QHU1" s="55"/>
      <c r="QHV1" s="55"/>
      <c r="QHW1" s="55"/>
      <c r="QHX1" s="55"/>
      <c r="QHY1" s="55"/>
      <c r="QHZ1" s="55"/>
      <c r="QIA1" s="55"/>
      <c r="QIB1" s="55"/>
      <c r="QIC1" s="55"/>
      <c r="QID1" s="55"/>
      <c r="QIE1" s="55"/>
      <c r="QIF1" s="55"/>
      <c r="QIG1" s="55"/>
      <c r="QIH1" s="55"/>
      <c r="QII1" s="55"/>
      <c r="QIJ1" s="55"/>
      <c r="QIK1" s="55"/>
      <c r="QIL1" s="55"/>
      <c r="QIM1" s="55"/>
      <c r="QIN1" s="55"/>
      <c r="QIO1" s="55"/>
      <c r="QIP1" s="55"/>
      <c r="QIQ1" s="55"/>
      <c r="QIR1" s="55"/>
      <c r="QIS1" s="55"/>
      <c r="QIT1" s="55"/>
      <c r="QIU1" s="55"/>
      <c r="QIV1" s="55"/>
      <c r="QIW1" s="55"/>
      <c r="QIX1" s="55"/>
      <c r="QIY1" s="55"/>
      <c r="QIZ1" s="55"/>
      <c r="QJA1" s="55"/>
      <c r="QJB1" s="55"/>
      <c r="QJC1" s="55"/>
      <c r="QJD1" s="55"/>
      <c r="QJE1" s="55"/>
      <c r="QJF1" s="55"/>
      <c r="QJG1" s="55"/>
      <c r="QJH1" s="55"/>
      <c r="QJI1" s="55"/>
      <c r="QJJ1" s="55"/>
      <c r="QJK1" s="55"/>
      <c r="QJL1" s="55"/>
      <c r="QJM1" s="55"/>
      <c r="QJN1" s="55"/>
      <c r="QJO1" s="55"/>
      <c r="QJP1" s="55"/>
      <c r="QJQ1" s="55"/>
      <c r="QJR1" s="55"/>
      <c r="QJS1" s="55"/>
      <c r="QJT1" s="55"/>
      <c r="QJU1" s="55"/>
      <c r="QJV1" s="55"/>
      <c r="QJW1" s="55"/>
      <c r="QJX1" s="55"/>
      <c r="QJY1" s="55"/>
      <c r="QJZ1" s="55"/>
      <c r="QKA1" s="55"/>
      <c r="QKB1" s="55"/>
      <c r="QKC1" s="55"/>
      <c r="QKD1" s="55"/>
      <c r="QKE1" s="55"/>
      <c r="QKF1" s="55"/>
      <c r="QKG1" s="55"/>
      <c r="QKH1" s="55"/>
      <c r="QKI1" s="55"/>
      <c r="QKJ1" s="55"/>
      <c r="QKK1" s="55"/>
      <c r="QKL1" s="55"/>
      <c r="QKM1" s="55"/>
      <c r="QKN1" s="55"/>
      <c r="QKO1" s="55"/>
      <c r="QKP1" s="55"/>
      <c r="QKQ1" s="55"/>
      <c r="QKR1" s="55"/>
      <c r="QKS1" s="55"/>
      <c r="QKT1" s="55"/>
      <c r="QKU1" s="55"/>
      <c r="QKV1" s="55"/>
      <c r="QKW1" s="55"/>
      <c r="QKX1" s="55"/>
      <c r="QKY1" s="55"/>
      <c r="QKZ1" s="55"/>
      <c r="QLA1" s="55"/>
      <c r="QLB1" s="55"/>
      <c r="QLC1" s="55"/>
      <c r="QLD1" s="55"/>
      <c r="QLE1" s="55"/>
      <c r="QLF1" s="55"/>
      <c r="QLG1" s="55"/>
      <c r="QLH1" s="55"/>
      <c r="QLI1" s="55"/>
      <c r="QLJ1" s="55"/>
      <c r="QLK1" s="55"/>
      <c r="QLL1" s="55"/>
      <c r="QLM1" s="55"/>
      <c r="QLN1" s="55"/>
      <c r="QLO1" s="55"/>
      <c r="QLP1" s="55"/>
      <c r="QLQ1" s="55"/>
      <c r="QLR1" s="55"/>
      <c r="QLS1" s="55"/>
      <c r="QLT1" s="55"/>
      <c r="QLU1" s="55"/>
      <c r="QLV1" s="55"/>
      <c r="QLW1" s="55"/>
      <c r="QLX1" s="55"/>
      <c r="QLY1" s="55"/>
      <c r="QLZ1" s="55"/>
      <c r="QMA1" s="55"/>
      <c r="QMB1" s="55"/>
      <c r="QMC1" s="55"/>
      <c r="QMD1" s="55"/>
      <c r="QME1" s="55"/>
      <c r="QMF1" s="55"/>
      <c r="QMG1" s="55"/>
      <c r="QMH1" s="55"/>
      <c r="QMI1" s="55"/>
      <c r="QMJ1" s="55"/>
      <c r="QMK1" s="55"/>
      <c r="QML1" s="55"/>
      <c r="QMM1" s="55"/>
      <c r="QMN1" s="55"/>
      <c r="QMO1" s="55"/>
      <c r="QMP1" s="55"/>
      <c r="QMQ1" s="55"/>
      <c r="QMR1" s="55"/>
      <c r="QMS1" s="55"/>
      <c r="QMT1" s="55"/>
      <c r="QMU1" s="55"/>
      <c r="QMV1" s="55"/>
      <c r="QMW1" s="55"/>
      <c r="QMX1" s="55"/>
      <c r="QMY1" s="55"/>
      <c r="QMZ1" s="55"/>
      <c r="QNA1" s="55"/>
      <c r="QNB1" s="55"/>
      <c r="QNC1" s="55"/>
      <c r="QND1" s="55"/>
      <c r="QNE1" s="55"/>
      <c r="QNF1" s="55"/>
      <c r="QNG1" s="55"/>
      <c r="QNH1" s="55"/>
      <c r="QNI1" s="55"/>
      <c r="QNJ1" s="55"/>
      <c r="QNK1" s="55"/>
      <c r="QNL1" s="55"/>
      <c r="QNM1" s="55"/>
      <c r="QNN1" s="55"/>
      <c r="QNO1" s="55"/>
      <c r="QNP1" s="55"/>
      <c r="QNQ1" s="55"/>
      <c r="QNR1" s="55"/>
      <c r="QNS1" s="55"/>
      <c r="QNT1" s="55"/>
      <c r="QNU1" s="55"/>
      <c r="QNV1" s="55"/>
      <c r="QNW1" s="55"/>
      <c r="QNX1" s="55"/>
      <c r="QNY1" s="55"/>
      <c r="QNZ1" s="55"/>
      <c r="QOA1" s="55"/>
      <c r="QOB1" s="55"/>
      <c r="QOC1" s="55"/>
      <c r="QOD1" s="55"/>
      <c r="QOE1" s="55"/>
      <c r="QOF1" s="55"/>
      <c r="QOG1" s="55"/>
      <c r="QOH1" s="55"/>
      <c r="QOI1" s="55"/>
      <c r="QOJ1" s="55"/>
      <c r="QOK1" s="55"/>
      <c r="QOL1" s="55"/>
      <c r="QOM1" s="55"/>
      <c r="QON1" s="55"/>
      <c r="QOO1" s="55"/>
      <c r="QOP1" s="55"/>
      <c r="QOQ1" s="55"/>
      <c r="QOR1" s="55"/>
      <c r="QOS1" s="55"/>
      <c r="QOT1" s="55"/>
      <c r="QOU1" s="55"/>
      <c r="QOV1" s="55"/>
      <c r="QOW1" s="55"/>
      <c r="QOX1" s="55"/>
      <c r="QOY1" s="55"/>
      <c r="QOZ1" s="55"/>
      <c r="QPA1" s="55"/>
      <c r="QPB1" s="55"/>
      <c r="QPC1" s="55"/>
      <c r="QPD1" s="55"/>
      <c r="QPE1" s="55"/>
      <c r="QPF1" s="55"/>
      <c r="QPG1" s="55"/>
      <c r="QPH1" s="55"/>
      <c r="QPI1" s="55"/>
      <c r="QPJ1" s="55"/>
      <c r="QPK1" s="55"/>
      <c r="QPL1" s="55"/>
      <c r="QPM1" s="55"/>
      <c r="QPN1" s="55"/>
      <c r="QPO1" s="55"/>
      <c r="QPP1" s="55"/>
      <c r="QPQ1" s="55"/>
      <c r="QPR1" s="55"/>
      <c r="QPS1" s="55"/>
      <c r="QPT1" s="55"/>
      <c r="QPU1" s="55"/>
      <c r="QPV1" s="55"/>
      <c r="QPW1" s="55"/>
      <c r="QPX1" s="55"/>
      <c r="QPY1" s="55"/>
      <c r="QPZ1" s="55"/>
      <c r="QQA1" s="55"/>
      <c r="QQB1" s="55"/>
      <c r="QQC1" s="55"/>
      <c r="QQD1" s="55"/>
      <c r="QQE1" s="55"/>
      <c r="QQF1" s="55"/>
      <c r="QQG1" s="55"/>
      <c r="QQH1" s="55"/>
      <c r="QQI1" s="55"/>
      <c r="QQJ1" s="55"/>
      <c r="QQK1" s="55"/>
      <c r="QQL1" s="55"/>
      <c r="QQM1" s="55"/>
      <c r="QQN1" s="55"/>
      <c r="QQO1" s="55"/>
      <c r="QQP1" s="55"/>
      <c r="QQQ1" s="55"/>
      <c r="QQR1" s="55"/>
      <c r="QQS1" s="55"/>
      <c r="QQT1" s="55"/>
      <c r="QQU1" s="55"/>
      <c r="QQV1" s="55"/>
      <c r="QQW1" s="55"/>
      <c r="QQX1" s="55"/>
      <c r="QQY1" s="55"/>
      <c r="QQZ1" s="55"/>
      <c r="QRA1" s="55"/>
      <c r="QRB1" s="55"/>
      <c r="QRC1" s="55"/>
      <c r="QRD1" s="55"/>
      <c r="QRE1" s="55"/>
      <c r="QRF1" s="55"/>
      <c r="QRG1" s="55"/>
      <c r="QRH1" s="55"/>
      <c r="QRI1" s="55"/>
      <c r="QRJ1" s="55"/>
      <c r="QRK1" s="55"/>
      <c r="QRL1" s="55"/>
      <c r="QRM1" s="55"/>
      <c r="QRN1" s="55"/>
      <c r="QRO1" s="55"/>
      <c r="QRP1" s="55"/>
      <c r="QRQ1" s="55"/>
      <c r="QRR1" s="55"/>
      <c r="QRS1" s="55"/>
      <c r="QRT1" s="55"/>
      <c r="QRU1" s="55"/>
      <c r="QRV1" s="55"/>
      <c r="QRW1" s="55"/>
      <c r="QRX1" s="55"/>
      <c r="QRY1" s="55"/>
      <c r="QRZ1" s="55"/>
      <c r="QSA1" s="55"/>
      <c r="QSB1" s="55"/>
      <c r="QSC1" s="55"/>
      <c r="QSD1" s="55"/>
      <c r="QSE1" s="55"/>
      <c r="QSF1" s="55"/>
      <c r="QSG1" s="55"/>
      <c r="QSH1" s="55"/>
      <c r="QSI1" s="55"/>
      <c r="QSJ1" s="55"/>
      <c r="QSK1" s="55"/>
      <c r="QSL1" s="55"/>
      <c r="QSM1" s="55"/>
      <c r="QSN1" s="55"/>
      <c r="QSO1" s="55"/>
      <c r="QSP1" s="55"/>
      <c r="QSQ1" s="55"/>
      <c r="QSR1" s="55"/>
      <c r="QSS1" s="55"/>
      <c r="QST1" s="55"/>
      <c r="QSU1" s="55"/>
      <c r="QSV1" s="55"/>
      <c r="QSW1" s="55"/>
      <c r="QSX1" s="55"/>
      <c r="QSY1" s="55"/>
      <c r="QSZ1" s="55"/>
      <c r="QTA1" s="55"/>
      <c r="QTB1" s="55"/>
      <c r="QTC1" s="55"/>
      <c r="QTD1" s="55"/>
      <c r="QTE1" s="55"/>
      <c r="QTF1" s="55"/>
      <c r="QTG1" s="55"/>
      <c r="QTH1" s="55"/>
      <c r="QTI1" s="55"/>
      <c r="QTJ1" s="55"/>
      <c r="QTK1" s="55"/>
      <c r="QTL1" s="55"/>
      <c r="QTM1" s="55"/>
      <c r="QTN1" s="55"/>
      <c r="QTO1" s="55"/>
      <c r="QTP1" s="55"/>
      <c r="QTQ1" s="55"/>
      <c r="QTR1" s="55"/>
      <c r="QTS1" s="55"/>
      <c r="QTT1" s="55"/>
      <c r="QTU1" s="55"/>
      <c r="QTV1" s="55"/>
      <c r="QTW1" s="55"/>
      <c r="QTX1" s="55"/>
      <c r="QTY1" s="55"/>
      <c r="QTZ1" s="55"/>
      <c r="QUA1" s="55"/>
      <c r="QUB1" s="55"/>
      <c r="QUC1" s="55"/>
      <c r="QUD1" s="55"/>
      <c r="QUE1" s="55"/>
      <c r="QUF1" s="55"/>
      <c r="QUG1" s="55"/>
      <c r="QUH1" s="55"/>
      <c r="QUI1" s="55"/>
      <c r="QUJ1" s="55"/>
      <c r="QUK1" s="55"/>
      <c r="QUL1" s="55"/>
      <c r="QUM1" s="55"/>
      <c r="QUN1" s="55"/>
      <c r="QUO1" s="55"/>
      <c r="QUP1" s="55"/>
      <c r="QUQ1" s="55"/>
      <c r="QUR1" s="55"/>
      <c r="QUS1" s="55"/>
      <c r="QUT1" s="55"/>
      <c r="QUU1" s="55"/>
      <c r="QUV1" s="55"/>
      <c r="QUW1" s="55"/>
      <c r="QUX1" s="55"/>
      <c r="QUY1" s="55"/>
      <c r="QUZ1" s="55"/>
      <c r="QVA1" s="55"/>
      <c r="QVB1" s="55"/>
      <c r="QVC1" s="55"/>
      <c r="QVD1" s="55"/>
      <c r="QVE1" s="55"/>
      <c r="QVF1" s="55"/>
      <c r="QVG1" s="55"/>
      <c r="QVH1" s="55"/>
      <c r="QVI1" s="55"/>
      <c r="QVJ1" s="55"/>
      <c r="QVK1" s="55"/>
      <c r="QVL1" s="55"/>
      <c r="QVM1" s="55"/>
      <c r="QVN1" s="55"/>
      <c r="QVO1" s="55"/>
      <c r="QVP1" s="55"/>
      <c r="QVQ1" s="55"/>
      <c r="QVR1" s="55"/>
      <c r="QVS1" s="55"/>
      <c r="QVT1" s="55"/>
      <c r="QVU1" s="55"/>
      <c r="QVV1" s="55"/>
      <c r="QVW1" s="55"/>
      <c r="QVX1" s="55"/>
      <c r="QVY1" s="55"/>
      <c r="QVZ1" s="55"/>
      <c r="QWA1" s="55"/>
      <c r="QWB1" s="55"/>
      <c r="QWC1" s="55"/>
      <c r="QWD1" s="55"/>
      <c r="QWE1" s="55"/>
      <c r="QWF1" s="55"/>
      <c r="QWG1" s="55"/>
      <c r="QWH1" s="55"/>
      <c r="QWI1" s="55"/>
      <c r="QWJ1" s="55"/>
      <c r="QWK1" s="55"/>
      <c r="QWL1" s="55"/>
      <c r="QWM1" s="55"/>
      <c r="QWN1" s="55"/>
      <c r="QWO1" s="55"/>
      <c r="QWP1" s="55"/>
      <c r="QWQ1" s="55"/>
      <c r="QWR1" s="55"/>
      <c r="QWS1" s="55"/>
      <c r="QWT1" s="55"/>
      <c r="QWU1" s="55"/>
      <c r="QWV1" s="55"/>
      <c r="QWW1" s="55"/>
      <c r="QWX1" s="55"/>
      <c r="QWY1" s="55"/>
      <c r="QWZ1" s="55"/>
      <c r="QXA1" s="55"/>
      <c r="QXB1" s="55"/>
      <c r="QXC1" s="55"/>
      <c r="QXD1" s="55"/>
      <c r="QXE1" s="55"/>
      <c r="QXF1" s="55"/>
      <c r="QXG1" s="55"/>
      <c r="QXH1" s="55"/>
      <c r="QXI1" s="55"/>
      <c r="QXJ1" s="55"/>
      <c r="QXK1" s="55"/>
      <c r="QXL1" s="55"/>
      <c r="QXM1" s="55"/>
      <c r="QXN1" s="55"/>
      <c r="QXO1" s="55"/>
      <c r="QXP1" s="55"/>
      <c r="QXQ1" s="55"/>
      <c r="QXR1" s="55"/>
      <c r="QXS1" s="55"/>
      <c r="QXT1" s="55"/>
      <c r="QXU1" s="55"/>
      <c r="QXV1" s="55"/>
      <c r="QXW1" s="55"/>
      <c r="QXX1" s="55"/>
      <c r="QXY1" s="55"/>
      <c r="QXZ1" s="55"/>
      <c r="QYA1" s="55"/>
      <c r="QYB1" s="55"/>
      <c r="QYC1" s="55"/>
      <c r="QYD1" s="55"/>
      <c r="QYE1" s="55"/>
      <c r="QYF1" s="55"/>
      <c r="QYG1" s="55"/>
      <c r="QYH1" s="55"/>
      <c r="QYI1" s="55"/>
      <c r="QYJ1" s="55"/>
      <c r="QYK1" s="55"/>
      <c r="QYL1" s="55"/>
      <c r="QYM1" s="55"/>
      <c r="QYN1" s="55"/>
      <c r="QYO1" s="55"/>
      <c r="QYP1" s="55"/>
      <c r="QYQ1" s="55"/>
      <c r="QYR1" s="55"/>
      <c r="QYS1" s="55"/>
      <c r="QYT1" s="55"/>
      <c r="QYU1" s="55"/>
      <c r="QYV1" s="55"/>
      <c r="QYW1" s="55"/>
      <c r="QYX1" s="55"/>
      <c r="QYY1" s="55"/>
      <c r="QYZ1" s="55"/>
      <c r="QZA1" s="55"/>
      <c r="QZB1" s="55"/>
      <c r="QZC1" s="55"/>
      <c r="QZD1" s="55"/>
      <c r="QZE1" s="55"/>
      <c r="QZF1" s="55"/>
      <c r="QZG1" s="55"/>
      <c r="QZH1" s="55"/>
      <c r="QZI1" s="55"/>
      <c r="QZJ1" s="55"/>
      <c r="QZK1" s="55"/>
      <c r="QZL1" s="55"/>
      <c r="QZM1" s="55"/>
      <c r="QZN1" s="55"/>
      <c r="QZO1" s="55"/>
      <c r="QZP1" s="55"/>
      <c r="QZQ1" s="55"/>
      <c r="QZR1" s="55"/>
      <c r="QZS1" s="55"/>
      <c r="QZT1" s="55"/>
      <c r="QZU1" s="55"/>
      <c r="QZV1" s="55"/>
      <c r="QZW1" s="55"/>
      <c r="QZX1" s="55"/>
      <c r="QZY1" s="55"/>
      <c r="QZZ1" s="55"/>
      <c r="RAA1" s="55"/>
      <c r="RAB1" s="55"/>
      <c r="RAC1" s="55"/>
      <c r="RAD1" s="55"/>
      <c r="RAE1" s="55"/>
      <c r="RAF1" s="55"/>
      <c r="RAG1" s="55"/>
      <c r="RAH1" s="55"/>
      <c r="RAI1" s="55"/>
      <c r="RAJ1" s="55"/>
      <c r="RAK1" s="55"/>
      <c r="RAL1" s="55"/>
      <c r="RAM1" s="55"/>
      <c r="RAN1" s="55"/>
      <c r="RAO1" s="55"/>
      <c r="RAP1" s="55"/>
      <c r="RAQ1" s="55"/>
      <c r="RAR1" s="55"/>
      <c r="RAS1" s="55"/>
      <c r="RAT1" s="55"/>
      <c r="RAU1" s="55"/>
      <c r="RAV1" s="55"/>
      <c r="RAW1" s="55"/>
      <c r="RAX1" s="55"/>
      <c r="RAY1" s="55"/>
      <c r="RAZ1" s="55"/>
      <c r="RBA1" s="55"/>
      <c r="RBB1" s="55"/>
      <c r="RBC1" s="55"/>
      <c r="RBD1" s="55"/>
      <c r="RBE1" s="55"/>
      <c r="RBF1" s="55"/>
      <c r="RBG1" s="55"/>
      <c r="RBH1" s="55"/>
      <c r="RBI1" s="55"/>
      <c r="RBJ1" s="55"/>
      <c r="RBK1" s="55"/>
      <c r="RBL1" s="55"/>
      <c r="RBM1" s="55"/>
      <c r="RBN1" s="55"/>
      <c r="RBO1" s="55"/>
      <c r="RBP1" s="55"/>
      <c r="RBQ1" s="55"/>
      <c r="RBR1" s="55"/>
      <c r="RBS1" s="55"/>
      <c r="RBT1" s="55"/>
      <c r="RBU1" s="55"/>
      <c r="RBV1" s="55"/>
      <c r="RBW1" s="55"/>
      <c r="RBX1" s="55"/>
      <c r="RBY1" s="55"/>
      <c r="RBZ1" s="55"/>
      <c r="RCA1" s="55"/>
      <c r="RCB1" s="55"/>
      <c r="RCC1" s="55"/>
      <c r="RCD1" s="55"/>
      <c r="RCE1" s="55"/>
      <c r="RCF1" s="55"/>
      <c r="RCG1" s="55"/>
      <c r="RCH1" s="55"/>
      <c r="RCI1" s="55"/>
      <c r="RCJ1" s="55"/>
      <c r="RCK1" s="55"/>
      <c r="RCL1" s="55"/>
      <c r="RCM1" s="55"/>
      <c r="RCN1" s="55"/>
      <c r="RCO1" s="55"/>
      <c r="RCP1" s="55"/>
      <c r="RCQ1" s="55"/>
      <c r="RCR1" s="55"/>
      <c r="RCS1" s="55"/>
      <c r="RCT1" s="55"/>
      <c r="RCU1" s="55"/>
      <c r="RCV1" s="55"/>
      <c r="RCW1" s="55"/>
      <c r="RCX1" s="55"/>
      <c r="RCY1" s="55"/>
      <c r="RCZ1" s="55"/>
      <c r="RDA1" s="55"/>
      <c r="RDB1" s="55"/>
      <c r="RDC1" s="55"/>
      <c r="RDD1" s="55"/>
      <c r="RDE1" s="55"/>
      <c r="RDF1" s="55"/>
      <c r="RDG1" s="55"/>
      <c r="RDH1" s="55"/>
      <c r="RDI1" s="55"/>
      <c r="RDJ1" s="55"/>
      <c r="RDK1" s="55"/>
      <c r="RDL1" s="55"/>
      <c r="RDM1" s="55"/>
      <c r="RDN1" s="55"/>
      <c r="RDO1" s="55"/>
      <c r="RDP1" s="55"/>
      <c r="RDQ1" s="55"/>
      <c r="RDR1" s="55"/>
      <c r="RDS1" s="55"/>
      <c r="RDT1" s="55"/>
      <c r="RDU1" s="55"/>
      <c r="RDV1" s="55"/>
      <c r="RDW1" s="55"/>
      <c r="RDX1" s="55"/>
      <c r="RDY1" s="55"/>
      <c r="RDZ1" s="55"/>
      <c r="REA1" s="55"/>
      <c r="REB1" s="55"/>
      <c r="REC1" s="55"/>
      <c r="RED1" s="55"/>
      <c r="REE1" s="55"/>
      <c r="REF1" s="55"/>
      <c r="REG1" s="55"/>
      <c r="REH1" s="55"/>
      <c r="REI1" s="55"/>
      <c r="REJ1" s="55"/>
      <c r="REK1" s="55"/>
      <c r="REL1" s="55"/>
      <c r="REM1" s="55"/>
      <c r="REN1" s="55"/>
      <c r="REO1" s="55"/>
      <c r="REP1" s="55"/>
      <c r="REQ1" s="55"/>
      <c r="RER1" s="55"/>
      <c r="RES1" s="55"/>
      <c r="RET1" s="55"/>
      <c r="REU1" s="55"/>
      <c r="REV1" s="55"/>
      <c r="REW1" s="55"/>
      <c r="REX1" s="55"/>
      <c r="REY1" s="55"/>
      <c r="REZ1" s="55"/>
      <c r="RFA1" s="55"/>
      <c r="RFB1" s="55"/>
      <c r="RFC1" s="55"/>
      <c r="RFD1" s="55"/>
      <c r="RFE1" s="55"/>
      <c r="RFF1" s="55"/>
      <c r="RFG1" s="55"/>
      <c r="RFH1" s="55"/>
      <c r="RFI1" s="55"/>
      <c r="RFJ1" s="55"/>
      <c r="RFK1" s="55"/>
      <c r="RFL1" s="55"/>
      <c r="RFM1" s="55"/>
      <c r="RFN1" s="55"/>
      <c r="RFO1" s="55"/>
      <c r="RFP1" s="55"/>
      <c r="RFQ1" s="55"/>
      <c r="RFR1" s="55"/>
      <c r="RFS1" s="55"/>
      <c r="RFT1" s="55"/>
      <c r="RFU1" s="55"/>
      <c r="RFV1" s="55"/>
      <c r="RFW1" s="55"/>
      <c r="RFX1" s="55"/>
      <c r="RFY1" s="55"/>
      <c r="RFZ1" s="55"/>
      <c r="RGA1" s="55"/>
      <c r="RGB1" s="55"/>
      <c r="RGC1" s="55"/>
      <c r="RGD1" s="55"/>
      <c r="RGE1" s="55"/>
      <c r="RGF1" s="55"/>
      <c r="RGG1" s="55"/>
      <c r="RGH1" s="55"/>
      <c r="RGI1" s="55"/>
      <c r="RGJ1" s="55"/>
      <c r="RGK1" s="55"/>
      <c r="RGL1" s="55"/>
      <c r="RGM1" s="55"/>
      <c r="RGN1" s="55"/>
      <c r="RGO1" s="55"/>
      <c r="RGP1" s="55"/>
      <c r="RGQ1" s="55"/>
      <c r="RGR1" s="55"/>
      <c r="RGS1" s="55"/>
      <c r="RGT1" s="55"/>
      <c r="RGU1" s="55"/>
      <c r="RGV1" s="55"/>
      <c r="RGW1" s="55"/>
      <c r="RGX1" s="55"/>
      <c r="RGY1" s="55"/>
      <c r="RGZ1" s="55"/>
      <c r="RHA1" s="55"/>
      <c r="RHB1" s="55"/>
      <c r="RHC1" s="55"/>
      <c r="RHD1" s="55"/>
      <c r="RHE1" s="55"/>
      <c r="RHF1" s="55"/>
      <c r="RHG1" s="55"/>
      <c r="RHH1" s="55"/>
      <c r="RHI1" s="55"/>
      <c r="RHJ1" s="55"/>
      <c r="RHK1" s="55"/>
      <c r="RHL1" s="55"/>
      <c r="RHM1" s="55"/>
      <c r="RHN1" s="55"/>
      <c r="RHO1" s="55"/>
      <c r="RHP1" s="55"/>
      <c r="RHQ1" s="55"/>
      <c r="RHR1" s="55"/>
      <c r="RHS1" s="55"/>
      <c r="RHT1" s="55"/>
      <c r="RHU1" s="55"/>
      <c r="RHV1" s="55"/>
      <c r="RHW1" s="55"/>
      <c r="RHX1" s="55"/>
      <c r="RHY1" s="55"/>
      <c r="RHZ1" s="55"/>
      <c r="RIA1" s="55"/>
      <c r="RIB1" s="55"/>
      <c r="RIC1" s="55"/>
      <c r="RID1" s="55"/>
      <c r="RIE1" s="55"/>
      <c r="RIF1" s="55"/>
      <c r="RIG1" s="55"/>
      <c r="RIH1" s="55"/>
      <c r="RII1" s="55"/>
      <c r="RIJ1" s="55"/>
      <c r="RIK1" s="55"/>
      <c r="RIL1" s="55"/>
      <c r="RIM1" s="55"/>
      <c r="RIN1" s="55"/>
      <c r="RIO1" s="55"/>
      <c r="RIP1" s="55"/>
      <c r="RIQ1" s="55"/>
      <c r="RIR1" s="55"/>
      <c r="RIS1" s="55"/>
      <c r="RIT1" s="55"/>
      <c r="RIU1" s="55"/>
      <c r="RIV1" s="55"/>
      <c r="RIW1" s="55"/>
      <c r="RIX1" s="55"/>
      <c r="RIY1" s="55"/>
      <c r="RIZ1" s="55"/>
      <c r="RJA1" s="55"/>
      <c r="RJB1" s="55"/>
      <c r="RJC1" s="55"/>
      <c r="RJD1" s="55"/>
      <c r="RJE1" s="55"/>
      <c r="RJF1" s="55"/>
      <c r="RJG1" s="55"/>
      <c r="RJH1" s="55"/>
      <c r="RJI1" s="55"/>
      <c r="RJJ1" s="55"/>
      <c r="RJK1" s="55"/>
      <c r="RJL1" s="55"/>
      <c r="RJM1" s="55"/>
      <c r="RJN1" s="55"/>
      <c r="RJO1" s="55"/>
      <c r="RJP1" s="55"/>
      <c r="RJQ1" s="55"/>
      <c r="RJR1" s="55"/>
      <c r="RJS1" s="55"/>
      <c r="RJT1" s="55"/>
      <c r="RJU1" s="55"/>
      <c r="RJV1" s="55"/>
      <c r="RJW1" s="55"/>
      <c r="RJX1" s="55"/>
      <c r="RJY1" s="55"/>
      <c r="RJZ1" s="55"/>
      <c r="RKA1" s="55"/>
      <c r="RKB1" s="55"/>
      <c r="RKC1" s="55"/>
      <c r="RKD1" s="55"/>
      <c r="RKE1" s="55"/>
      <c r="RKF1" s="55"/>
      <c r="RKG1" s="55"/>
      <c r="RKH1" s="55"/>
      <c r="RKI1" s="55"/>
      <c r="RKJ1" s="55"/>
      <c r="RKK1" s="55"/>
      <c r="RKL1" s="55"/>
      <c r="RKM1" s="55"/>
      <c r="RKN1" s="55"/>
      <c r="RKO1" s="55"/>
      <c r="RKP1" s="55"/>
      <c r="RKQ1" s="55"/>
      <c r="RKR1" s="55"/>
      <c r="RKS1" s="55"/>
      <c r="RKT1" s="55"/>
      <c r="RKU1" s="55"/>
      <c r="RKV1" s="55"/>
      <c r="RKW1" s="55"/>
      <c r="RKX1" s="55"/>
      <c r="RKY1" s="55"/>
      <c r="RKZ1" s="55"/>
      <c r="RLA1" s="55"/>
      <c r="RLB1" s="55"/>
      <c r="RLC1" s="55"/>
      <c r="RLD1" s="55"/>
      <c r="RLE1" s="55"/>
      <c r="RLF1" s="55"/>
      <c r="RLG1" s="55"/>
      <c r="RLH1" s="55"/>
      <c r="RLI1" s="55"/>
      <c r="RLJ1" s="55"/>
      <c r="RLK1" s="55"/>
      <c r="RLL1" s="55"/>
      <c r="RLM1" s="55"/>
      <c r="RLN1" s="55"/>
      <c r="RLO1" s="55"/>
      <c r="RLP1" s="55"/>
      <c r="RLQ1" s="55"/>
      <c r="RLR1" s="55"/>
      <c r="RLS1" s="55"/>
      <c r="RLT1" s="55"/>
      <c r="RLU1" s="55"/>
      <c r="RLV1" s="55"/>
      <c r="RLW1" s="55"/>
      <c r="RLX1" s="55"/>
      <c r="RLY1" s="55"/>
      <c r="RLZ1" s="55"/>
      <c r="RMA1" s="55"/>
      <c r="RMB1" s="55"/>
      <c r="RMC1" s="55"/>
      <c r="RMD1" s="55"/>
      <c r="RME1" s="55"/>
      <c r="RMF1" s="55"/>
      <c r="RMG1" s="55"/>
      <c r="RMH1" s="55"/>
      <c r="RMI1" s="55"/>
      <c r="RMJ1" s="55"/>
      <c r="RMK1" s="55"/>
      <c r="RML1" s="55"/>
      <c r="RMM1" s="55"/>
      <c r="RMN1" s="55"/>
      <c r="RMO1" s="55"/>
      <c r="RMP1" s="55"/>
      <c r="RMQ1" s="55"/>
      <c r="RMR1" s="55"/>
      <c r="RMS1" s="55"/>
      <c r="RMT1" s="55"/>
      <c r="RMU1" s="55"/>
      <c r="RMV1" s="55"/>
      <c r="RMW1" s="55"/>
      <c r="RMX1" s="55"/>
      <c r="RMY1" s="55"/>
      <c r="RMZ1" s="55"/>
      <c r="RNA1" s="55"/>
      <c r="RNB1" s="55"/>
      <c r="RNC1" s="55"/>
      <c r="RND1" s="55"/>
      <c r="RNE1" s="55"/>
      <c r="RNF1" s="55"/>
      <c r="RNG1" s="55"/>
      <c r="RNH1" s="55"/>
      <c r="RNI1" s="55"/>
      <c r="RNJ1" s="55"/>
      <c r="RNK1" s="55"/>
      <c r="RNL1" s="55"/>
      <c r="RNM1" s="55"/>
      <c r="RNN1" s="55"/>
      <c r="RNO1" s="55"/>
      <c r="RNP1" s="55"/>
      <c r="RNQ1" s="55"/>
      <c r="RNR1" s="55"/>
      <c r="RNS1" s="55"/>
      <c r="RNT1" s="55"/>
      <c r="RNU1" s="55"/>
      <c r="RNV1" s="55"/>
      <c r="RNW1" s="55"/>
      <c r="RNX1" s="55"/>
      <c r="RNY1" s="55"/>
      <c r="RNZ1" s="55"/>
      <c r="ROA1" s="55"/>
      <c r="ROB1" s="55"/>
      <c r="ROC1" s="55"/>
      <c r="ROD1" s="55"/>
      <c r="ROE1" s="55"/>
      <c r="ROF1" s="55"/>
      <c r="ROG1" s="55"/>
      <c r="ROH1" s="55"/>
      <c r="ROI1" s="55"/>
      <c r="ROJ1" s="55"/>
      <c r="ROK1" s="55"/>
      <c r="ROL1" s="55"/>
      <c r="ROM1" s="55"/>
      <c r="RON1" s="55"/>
      <c r="ROO1" s="55"/>
      <c r="ROP1" s="55"/>
      <c r="ROQ1" s="55"/>
      <c r="ROR1" s="55"/>
      <c r="ROS1" s="55"/>
      <c r="ROT1" s="55"/>
      <c r="ROU1" s="55"/>
      <c r="ROV1" s="55"/>
      <c r="ROW1" s="55"/>
      <c r="ROX1" s="55"/>
      <c r="ROY1" s="55"/>
      <c r="ROZ1" s="55"/>
      <c r="RPA1" s="55"/>
      <c r="RPB1" s="55"/>
      <c r="RPC1" s="55"/>
      <c r="RPD1" s="55"/>
      <c r="RPE1" s="55"/>
      <c r="RPF1" s="55"/>
      <c r="RPG1" s="55"/>
      <c r="RPH1" s="55"/>
      <c r="RPI1" s="55"/>
      <c r="RPJ1" s="55"/>
      <c r="RPK1" s="55"/>
      <c r="RPL1" s="55"/>
      <c r="RPM1" s="55"/>
      <c r="RPN1" s="55"/>
      <c r="RPO1" s="55"/>
      <c r="RPP1" s="55"/>
      <c r="RPQ1" s="55"/>
      <c r="RPR1" s="55"/>
      <c r="RPS1" s="55"/>
      <c r="RPT1" s="55"/>
      <c r="RPU1" s="55"/>
      <c r="RPV1" s="55"/>
      <c r="RPW1" s="55"/>
      <c r="RPX1" s="55"/>
      <c r="RPY1" s="55"/>
      <c r="RPZ1" s="55"/>
      <c r="RQA1" s="55"/>
      <c r="RQB1" s="55"/>
      <c r="RQC1" s="55"/>
      <c r="RQD1" s="55"/>
      <c r="RQE1" s="55"/>
      <c r="RQF1" s="55"/>
      <c r="RQG1" s="55"/>
      <c r="RQH1" s="55"/>
      <c r="RQI1" s="55"/>
      <c r="RQJ1" s="55"/>
      <c r="RQK1" s="55"/>
      <c r="RQL1" s="55"/>
      <c r="RQM1" s="55"/>
      <c r="RQN1" s="55"/>
      <c r="RQO1" s="55"/>
      <c r="RQP1" s="55"/>
      <c r="RQQ1" s="55"/>
      <c r="RQR1" s="55"/>
      <c r="RQS1" s="55"/>
      <c r="RQT1" s="55"/>
      <c r="RQU1" s="55"/>
      <c r="RQV1" s="55"/>
      <c r="RQW1" s="55"/>
      <c r="RQX1" s="55"/>
      <c r="RQY1" s="55"/>
      <c r="RQZ1" s="55"/>
      <c r="RRA1" s="55"/>
      <c r="RRB1" s="55"/>
      <c r="RRC1" s="55"/>
      <c r="RRD1" s="55"/>
      <c r="RRE1" s="55"/>
      <c r="RRF1" s="55"/>
      <c r="RRG1" s="55"/>
      <c r="RRH1" s="55"/>
      <c r="RRI1" s="55"/>
      <c r="RRJ1" s="55"/>
      <c r="RRK1" s="55"/>
      <c r="RRL1" s="55"/>
      <c r="RRM1" s="55"/>
      <c r="RRN1" s="55"/>
      <c r="RRO1" s="55"/>
      <c r="RRP1" s="55"/>
      <c r="RRQ1" s="55"/>
      <c r="RRR1" s="55"/>
      <c r="RRS1" s="55"/>
      <c r="RRT1" s="55"/>
      <c r="RRU1" s="55"/>
      <c r="RRV1" s="55"/>
      <c r="RRW1" s="55"/>
      <c r="RRX1" s="55"/>
      <c r="RRY1" s="55"/>
      <c r="RRZ1" s="55"/>
      <c r="RSA1" s="55"/>
      <c r="RSB1" s="55"/>
      <c r="RSC1" s="55"/>
      <c r="RSD1" s="55"/>
      <c r="RSE1" s="55"/>
      <c r="RSF1" s="55"/>
      <c r="RSG1" s="55"/>
      <c r="RSH1" s="55"/>
      <c r="RSI1" s="55"/>
      <c r="RSJ1" s="55"/>
      <c r="RSK1" s="55"/>
      <c r="RSL1" s="55"/>
      <c r="RSM1" s="55"/>
      <c r="RSN1" s="55"/>
      <c r="RSO1" s="55"/>
      <c r="RSP1" s="55"/>
      <c r="RSQ1" s="55"/>
      <c r="RSR1" s="55"/>
      <c r="RSS1" s="55"/>
      <c r="RST1" s="55"/>
      <c r="RSU1" s="55"/>
      <c r="RSV1" s="55"/>
      <c r="RSW1" s="55"/>
      <c r="RSX1" s="55"/>
      <c r="RSY1" s="55"/>
      <c r="RSZ1" s="55"/>
      <c r="RTA1" s="55"/>
      <c r="RTB1" s="55"/>
      <c r="RTC1" s="55"/>
      <c r="RTD1" s="55"/>
      <c r="RTE1" s="55"/>
      <c r="RTF1" s="55"/>
      <c r="RTG1" s="55"/>
      <c r="RTH1" s="55"/>
      <c r="RTI1" s="55"/>
      <c r="RTJ1" s="55"/>
      <c r="RTK1" s="55"/>
      <c r="RTL1" s="55"/>
      <c r="RTM1" s="55"/>
      <c r="RTN1" s="55"/>
      <c r="RTO1" s="55"/>
      <c r="RTP1" s="55"/>
      <c r="RTQ1" s="55"/>
      <c r="RTR1" s="55"/>
      <c r="RTS1" s="55"/>
      <c r="RTT1" s="55"/>
      <c r="RTU1" s="55"/>
      <c r="RTV1" s="55"/>
      <c r="RTW1" s="55"/>
      <c r="RTX1" s="55"/>
      <c r="RTY1" s="55"/>
      <c r="RTZ1" s="55"/>
      <c r="RUA1" s="55"/>
      <c r="RUB1" s="55"/>
      <c r="RUC1" s="55"/>
      <c r="RUD1" s="55"/>
      <c r="RUE1" s="55"/>
      <c r="RUF1" s="55"/>
      <c r="RUG1" s="55"/>
      <c r="RUH1" s="55"/>
      <c r="RUI1" s="55"/>
      <c r="RUJ1" s="55"/>
      <c r="RUK1" s="55"/>
      <c r="RUL1" s="55"/>
      <c r="RUM1" s="55"/>
      <c r="RUN1" s="55"/>
      <c r="RUO1" s="55"/>
      <c r="RUP1" s="55"/>
      <c r="RUQ1" s="55"/>
      <c r="RUR1" s="55"/>
      <c r="RUS1" s="55"/>
      <c r="RUT1" s="55"/>
      <c r="RUU1" s="55"/>
      <c r="RUV1" s="55"/>
      <c r="RUW1" s="55"/>
      <c r="RUX1" s="55"/>
      <c r="RUY1" s="55"/>
      <c r="RUZ1" s="55"/>
      <c r="RVA1" s="55"/>
      <c r="RVB1" s="55"/>
      <c r="RVC1" s="55"/>
      <c r="RVD1" s="55"/>
      <c r="RVE1" s="55"/>
      <c r="RVF1" s="55"/>
      <c r="RVG1" s="55"/>
      <c r="RVH1" s="55"/>
      <c r="RVI1" s="55"/>
      <c r="RVJ1" s="55"/>
      <c r="RVK1" s="55"/>
      <c r="RVL1" s="55"/>
      <c r="RVM1" s="55"/>
      <c r="RVN1" s="55"/>
      <c r="RVO1" s="55"/>
      <c r="RVP1" s="55"/>
      <c r="RVQ1" s="55"/>
      <c r="RVR1" s="55"/>
      <c r="RVS1" s="55"/>
      <c r="RVT1" s="55"/>
      <c r="RVU1" s="55"/>
      <c r="RVV1" s="55"/>
      <c r="RVW1" s="55"/>
      <c r="RVX1" s="55"/>
      <c r="RVY1" s="55"/>
      <c r="RVZ1" s="55"/>
      <c r="RWA1" s="55"/>
      <c r="RWB1" s="55"/>
      <c r="RWC1" s="55"/>
      <c r="RWD1" s="55"/>
      <c r="RWE1" s="55"/>
      <c r="RWF1" s="55"/>
      <c r="RWG1" s="55"/>
      <c r="RWH1" s="55"/>
      <c r="RWI1" s="55"/>
      <c r="RWJ1" s="55"/>
      <c r="RWK1" s="55"/>
      <c r="RWL1" s="55"/>
      <c r="RWM1" s="55"/>
      <c r="RWN1" s="55"/>
      <c r="RWO1" s="55"/>
      <c r="RWP1" s="55"/>
      <c r="RWQ1" s="55"/>
      <c r="RWR1" s="55"/>
      <c r="RWS1" s="55"/>
      <c r="RWT1" s="55"/>
      <c r="RWU1" s="55"/>
      <c r="RWV1" s="55"/>
      <c r="RWW1" s="55"/>
      <c r="RWX1" s="55"/>
      <c r="RWY1" s="55"/>
      <c r="RWZ1" s="55"/>
      <c r="RXA1" s="55"/>
      <c r="RXB1" s="55"/>
      <c r="RXC1" s="55"/>
      <c r="RXD1" s="55"/>
      <c r="RXE1" s="55"/>
      <c r="RXF1" s="55"/>
      <c r="RXG1" s="55"/>
      <c r="RXH1" s="55"/>
      <c r="RXI1" s="55"/>
      <c r="RXJ1" s="55"/>
      <c r="RXK1" s="55"/>
      <c r="RXL1" s="55"/>
      <c r="RXM1" s="55"/>
      <c r="RXN1" s="55"/>
      <c r="RXO1" s="55"/>
      <c r="RXP1" s="55"/>
      <c r="RXQ1" s="55"/>
      <c r="RXR1" s="55"/>
      <c r="RXS1" s="55"/>
      <c r="RXT1" s="55"/>
      <c r="RXU1" s="55"/>
      <c r="RXV1" s="55"/>
      <c r="RXW1" s="55"/>
      <c r="RXX1" s="55"/>
      <c r="RXY1" s="55"/>
      <c r="RXZ1" s="55"/>
      <c r="RYA1" s="55"/>
      <c r="RYB1" s="55"/>
      <c r="RYC1" s="55"/>
      <c r="RYD1" s="55"/>
      <c r="RYE1" s="55"/>
      <c r="RYF1" s="55"/>
      <c r="RYG1" s="55"/>
      <c r="RYH1" s="55"/>
      <c r="RYI1" s="55"/>
      <c r="RYJ1" s="55"/>
      <c r="RYK1" s="55"/>
      <c r="RYL1" s="55"/>
      <c r="RYM1" s="55"/>
      <c r="RYN1" s="55"/>
      <c r="RYO1" s="55"/>
      <c r="RYP1" s="55"/>
      <c r="RYQ1" s="55"/>
      <c r="RYR1" s="55"/>
      <c r="RYS1" s="55"/>
      <c r="RYT1" s="55"/>
      <c r="RYU1" s="55"/>
      <c r="RYV1" s="55"/>
      <c r="RYW1" s="55"/>
      <c r="RYX1" s="55"/>
      <c r="RYY1" s="55"/>
      <c r="RYZ1" s="55"/>
      <c r="RZA1" s="55"/>
      <c r="RZB1" s="55"/>
      <c r="RZC1" s="55"/>
      <c r="RZD1" s="55"/>
      <c r="RZE1" s="55"/>
      <c r="RZF1" s="55"/>
      <c r="RZG1" s="55"/>
      <c r="RZH1" s="55"/>
      <c r="RZI1" s="55"/>
      <c r="RZJ1" s="55"/>
      <c r="RZK1" s="55"/>
      <c r="RZL1" s="55"/>
      <c r="RZM1" s="55"/>
      <c r="RZN1" s="55"/>
      <c r="RZO1" s="55"/>
      <c r="RZP1" s="55"/>
      <c r="RZQ1" s="55"/>
      <c r="RZR1" s="55"/>
      <c r="RZS1" s="55"/>
      <c r="RZT1" s="55"/>
      <c r="RZU1" s="55"/>
      <c r="RZV1" s="55"/>
      <c r="RZW1" s="55"/>
      <c r="RZX1" s="55"/>
      <c r="RZY1" s="55"/>
      <c r="RZZ1" s="55"/>
      <c r="SAA1" s="55"/>
      <c r="SAB1" s="55"/>
      <c r="SAC1" s="55"/>
      <c r="SAD1" s="55"/>
      <c r="SAE1" s="55"/>
      <c r="SAF1" s="55"/>
      <c r="SAG1" s="55"/>
      <c r="SAH1" s="55"/>
      <c r="SAI1" s="55"/>
      <c r="SAJ1" s="55"/>
      <c r="SAK1" s="55"/>
      <c r="SAL1" s="55"/>
      <c r="SAM1" s="55"/>
      <c r="SAN1" s="55"/>
      <c r="SAO1" s="55"/>
      <c r="SAP1" s="55"/>
      <c r="SAQ1" s="55"/>
      <c r="SAR1" s="55"/>
      <c r="SAS1" s="55"/>
      <c r="SAT1" s="55"/>
      <c r="SAU1" s="55"/>
      <c r="SAV1" s="55"/>
      <c r="SAW1" s="55"/>
      <c r="SAX1" s="55"/>
      <c r="SAY1" s="55"/>
      <c r="SAZ1" s="55"/>
      <c r="SBA1" s="55"/>
      <c r="SBB1" s="55"/>
      <c r="SBC1" s="55"/>
      <c r="SBD1" s="55"/>
      <c r="SBE1" s="55"/>
      <c r="SBF1" s="55"/>
      <c r="SBG1" s="55"/>
      <c r="SBH1" s="55"/>
      <c r="SBI1" s="55"/>
      <c r="SBJ1" s="55"/>
      <c r="SBK1" s="55"/>
      <c r="SBL1" s="55"/>
      <c r="SBM1" s="55"/>
      <c r="SBN1" s="55"/>
      <c r="SBO1" s="55"/>
      <c r="SBP1" s="55"/>
      <c r="SBQ1" s="55"/>
      <c r="SBR1" s="55"/>
      <c r="SBS1" s="55"/>
      <c r="SBT1" s="55"/>
      <c r="SBU1" s="55"/>
      <c r="SBV1" s="55"/>
      <c r="SBW1" s="55"/>
      <c r="SBX1" s="55"/>
      <c r="SBY1" s="55"/>
      <c r="SBZ1" s="55"/>
      <c r="SCA1" s="55"/>
      <c r="SCB1" s="55"/>
      <c r="SCC1" s="55"/>
      <c r="SCD1" s="55"/>
      <c r="SCE1" s="55"/>
      <c r="SCF1" s="55"/>
      <c r="SCG1" s="55"/>
      <c r="SCH1" s="55"/>
      <c r="SCI1" s="55"/>
      <c r="SCJ1" s="55"/>
      <c r="SCK1" s="55"/>
      <c r="SCL1" s="55"/>
      <c r="SCM1" s="55"/>
      <c r="SCN1" s="55"/>
      <c r="SCO1" s="55"/>
      <c r="SCP1" s="55"/>
      <c r="SCQ1" s="55"/>
      <c r="SCR1" s="55"/>
      <c r="SCS1" s="55"/>
      <c r="SCT1" s="55"/>
      <c r="SCU1" s="55"/>
      <c r="SCV1" s="55"/>
      <c r="SCW1" s="55"/>
      <c r="SCX1" s="55"/>
      <c r="SCY1" s="55"/>
      <c r="SCZ1" s="55"/>
      <c r="SDA1" s="55"/>
      <c r="SDB1" s="55"/>
      <c r="SDC1" s="55"/>
      <c r="SDD1" s="55"/>
      <c r="SDE1" s="55"/>
      <c r="SDF1" s="55"/>
      <c r="SDG1" s="55"/>
      <c r="SDH1" s="55"/>
      <c r="SDI1" s="55"/>
      <c r="SDJ1" s="55"/>
      <c r="SDK1" s="55"/>
      <c r="SDL1" s="55"/>
      <c r="SDM1" s="55"/>
      <c r="SDN1" s="55"/>
      <c r="SDO1" s="55"/>
      <c r="SDP1" s="55"/>
      <c r="SDQ1" s="55"/>
      <c r="SDR1" s="55"/>
      <c r="SDS1" s="55"/>
      <c r="SDT1" s="55"/>
      <c r="SDU1" s="55"/>
      <c r="SDV1" s="55"/>
      <c r="SDW1" s="55"/>
      <c r="SDX1" s="55"/>
      <c r="SDY1" s="55"/>
      <c r="SDZ1" s="55"/>
      <c r="SEA1" s="55"/>
      <c r="SEB1" s="55"/>
      <c r="SEC1" s="55"/>
      <c r="SED1" s="55"/>
      <c r="SEE1" s="55"/>
      <c r="SEF1" s="55"/>
      <c r="SEG1" s="55"/>
      <c r="SEH1" s="55"/>
      <c r="SEI1" s="55"/>
      <c r="SEJ1" s="55"/>
      <c r="SEK1" s="55"/>
      <c r="SEL1" s="55"/>
      <c r="SEM1" s="55"/>
      <c r="SEN1" s="55"/>
      <c r="SEO1" s="55"/>
      <c r="SEP1" s="55"/>
      <c r="SEQ1" s="55"/>
      <c r="SER1" s="55"/>
      <c r="SES1" s="55"/>
      <c r="SET1" s="55"/>
      <c r="SEU1" s="55"/>
      <c r="SEV1" s="55"/>
      <c r="SEW1" s="55"/>
      <c r="SEX1" s="55"/>
      <c r="SEY1" s="55"/>
      <c r="SEZ1" s="55"/>
      <c r="SFA1" s="55"/>
      <c r="SFB1" s="55"/>
      <c r="SFC1" s="55"/>
      <c r="SFD1" s="55"/>
      <c r="SFE1" s="55"/>
      <c r="SFF1" s="55"/>
      <c r="SFG1" s="55"/>
      <c r="SFH1" s="55"/>
      <c r="SFI1" s="55"/>
      <c r="SFJ1" s="55"/>
      <c r="SFK1" s="55"/>
      <c r="SFL1" s="55"/>
      <c r="SFM1" s="55"/>
      <c r="SFN1" s="55"/>
      <c r="SFO1" s="55"/>
      <c r="SFP1" s="55"/>
      <c r="SFQ1" s="55"/>
      <c r="SFR1" s="55"/>
      <c r="SFS1" s="55"/>
      <c r="SFT1" s="55"/>
      <c r="SFU1" s="55"/>
      <c r="SFV1" s="55"/>
      <c r="SFW1" s="55"/>
      <c r="SFX1" s="55"/>
      <c r="SFY1" s="55"/>
      <c r="SFZ1" s="55"/>
      <c r="SGA1" s="55"/>
      <c r="SGB1" s="55"/>
      <c r="SGC1" s="55"/>
      <c r="SGD1" s="55"/>
      <c r="SGE1" s="55"/>
      <c r="SGF1" s="55"/>
      <c r="SGG1" s="55"/>
      <c r="SGH1" s="55"/>
      <c r="SGI1" s="55"/>
      <c r="SGJ1" s="55"/>
      <c r="SGK1" s="55"/>
      <c r="SGL1" s="55"/>
      <c r="SGM1" s="55"/>
      <c r="SGN1" s="55"/>
      <c r="SGO1" s="55"/>
      <c r="SGP1" s="55"/>
      <c r="SGQ1" s="55"/>
      <c r="SGR1" s="55"/>
      <c r="SGS1" s="55"/>
      <c r="SGT1" s="55"/>
      <c r="SGU1" s="55"/>
      <c r="SGV1" s="55"/>
      <c r="SGW1" s="55"/>
      <c r="SGX1" s="55"/>
      <c r="SGY1" s="55"/>
      <c r="SGZ1" s="55"/>
      <c r="SHA1" s="55"/>
      <c r="SHB1" s="55"/>
      <c r="SHC1" s="55"/>
      <c r="SHD1" s="55"/>
      <c r="SHE1" s="55"/>
      <c r="SHF1" s="55"/>
      <c r="SHG1" s="55"/>
      <c r="SHH1" s="55"/>
      <c r="SHI1" s="55"/>
      <c r="SHJ1" s="55"/>
      <c r="SHK1" s="55"/>
      <c r="SHL1" s="55"/>
      <c r="SHM1" s="55"/>
      <c r="SHN1" s="55"/>
      <c r="SHO1" s="55"/>
      <c r="SHP1" s="55"/>
      <c r="SHQ1" s="55"/>
      <c r="SHR1" s="55"/>
      <c r="SHS1" s="55"/>
      <c r="SHT1" s="55"/>
      <c r="SHU1" s="55"/>
      <c r="SHV1" s="55"/>
      <c r="SHW1" s="55"/>
      <c r="SHX1" s="55"/>
      <c r="SHY1" s="55"/>
      <c r="SHZ1" s="55"/>
      <c r="SIA1" s="55"/>
      <c r="SIB1" s="55"/>
      <c r="SIC1" s="55"/>
      <c r="SID1" s="55"/>
      <c r="SIE1" s="55"/>
      <c r="SIF1" s="55"/>
      <c r="SIG1" s="55"/>
      <c r="SIH1" s="55"/>
      <c r="SII1" s="55"/>
      <c r="SIJ1" s="55"/>
      <c r="SIK1" s="55"/>
      <c r="SIL1" s="55"/>
      <c r="SIM1" s="55"/>
      <c r="SIN1" s="55"/>
      <c r="SIO1" s="55"/>
      <c r="SIP1" s="55"/>
      <c r="SIQ1" s="55"/>
      <c r="SIR1" s="55"/>
      <c r="SIS1" s="55"/>
      <c r="SIT1" s="55"/>
      <c r="SIU1" s="55"/>
      <c r="SIV1" s="55"/>
      <c r="SIW1" s="55"/>
      <c r="SIX1" s="55"/>
      <c r="SIY1" s="55"/>
      <c r="SIZ1" s="55"/>
      <c r="SJA1" s="55"/>
      <c r="SJB1" s="55"/>
      <c r="SJC1" s="55"/>
      <c r="SJD1" s="55"/>
      <c r="SJE1" s="55"/>
      <c r="SJF1" s="55"/>
      <c r="SJG1" s="55"/>
      <c r="SJH1" s="55"/>
      <c r="SJI1" s="55"/>
      <c r="SJJ1" s="55"/>
      <c r="SJK1" s="55"/>
      <c r="SJL1" s="55"/>
      <c r="SJM1" s="55"/>
      <c r="SJN1" s="55"/>
      <c r="SJO1" s="55"/>
      <c r="SJP1" s="55"/>
      <c r="SJQ1" s="55"/>
      <c r="SJR1" s="55"/>
      <c r="SJS1" s="55"/>
      <c r="SJT1" s="55"/>
      <c r="SJU1" s="55"/>
      <c r="SJV1" s="55"/>
      <c r="SJW1" s="55"/>
      <c r="SJX1" s="55"/>
      <c r="SJY1" s="55"/>
      <c r="SJZ1" s="55"/>
      <c r="SKA1" s="55"/>
      <c r="SKB1" s="55"/>
      <c r="SKC1" s="55"/>
      <c r="SKD1" s="55"/>
      <c r="SKE1" s="55"/>
      <c r="SKF1" s="55"/>
      <c r="SKG1" s="55"/>
      <c r="SKH1" s="55"/>
      <c r="SKI1" s="55"/>
      <c r="SKJ1" s="55"/>
      <c r="SKK1" s="55"/>
      <c r="SKL1" s="55"/>
      <c r="SKM1" s="55"/>
      <c r="SKN1" s="55"/>
      <c r="SKO1" s="55"/>
      <c r="SKP1" s="55"/>
      <c r="SKQ1" s="55"/>
      <c r="SKR1" s="55"/>
      <c r="SKS1" s="55"/>
      <c r="SKT1" s="55"/>
      <c r="SKU1" s="55"/>
      <c r="SKV1" s="55"/>
      <c r="SKW1" s="55"/>
      <c r="SKX1" s="55"/>
      <c r="SKY1" s="55"/>
      <c r="SKZ1" s="55"/>
      <c r="SLA1" s="55"/>
      <c r="SLB1" s="55"/>
      <c r="SLC1" s="55"/>
      <c r="SLD1" s="55"/>
      <c r="SLE1" s="55"/>
      <c r="SLF1" s="55"/>
      <c r="SLG1" s="55"/>
      <c r="SLH1" s="55"/>
      <c r="SLI1" s="55"/>
      <c r="SLJ1" s="55"/>
      <c r="SLK1" s="55"/>
      <c r="SLL1" s="55"/>
      <c r="SLM1" s="55"/>
      <c r="SLN1" s="55"/>
      <c r="SLO1" s="55"/>
      <c r="SLP1" s="55"/>
      <c r="SLQ1" s="55"/>
      <c r="SLR1" s="55"/>
      <c r="SLS1" s="55"/>
      <c r="SLT1" s="55"/>
      <c r="SLU1" s="55"/>
      <c r="SLV1" s="55"/>
      <c r="SLW1" s="55"/>
      <c r="SLX1" s="55"/>
      <c r="SLY1" s="55"/>
      <c r="SLZ1" s="55"/>
      <c r="SMA1" s="55"/>
      <c r="SMB1" s="55"/>
      <c r="SMC1" s="55"/>
      <c r="SMD1" s="55"/>
      <c r="SME1" s="55"/>
      <c r="SMF1" s="55"/>
      <c r="SMG1" s="55"/>
      <c r="SMH1" s="55"/>
      <c r="SMI1" s="55"/>
      <c r="SMJ1" s="55"/>
      <c r="SMK1" s="55"/>
      <c r="SML1" s="55"/>
      <c r="SMM1" s="55"/>
      <c r="SMN1" s="55"/>
      <c r="SMO1" s="55"/>
      <c r="SMP1" s="55"/>
      <c r="SMQ1" s="55"/>
      <c r="SMR1" s="55"/>
      <c r="SMS1" s="55"/>
      <c r="SMT1" s="55"/>
      <c r="SMU1" s="55"/>
      <c r="SMV1" s="55"/>
      <c r="SMW1" s="55"/>
      <c r="SMX1" s="55"/>
      <c r="SMY1" s="55"/>
      <c r="SMZ1" s="55"/>
      <c r="SNA1" s="55"/>
      <c r="SNB1" s="55"/>
      <c r="SNC1" s="55"/>
      <c r="SND1" s="55"/>
      <c r="SNE1" s="55"/>
      <c r="SNF1" s="55"/>
      <c r="SNG1" s="55"/>
      <c r="SNH1" s="55"/>
      <c r="SNI1" s="55"/>
      <c r="SNJ1" s="55"/>
      <c r="SNK1" s="55"/>
      <c r="SNL1" s="55"/>
      <c r="SNM1" s="55"/>
      <c r="SNN1" s="55"/>
      <c r="SNO1" s="55"/>
      <c r="SNP1" s="55"/>
      <c r="SNQ1" s="55"/>
      <c r="SNR1" s="55"/>
      <c r="SNS1" s="55"/>
      <c r="SNT1" s="55"/>
      <c r="SNU1" s="55"/>
      <c r="SNV1" s="55"/>
      <c r="SNW1" s="55"/>
      <c r="SNX1" s="55"/>
      <c r="SNY1" s="55"/>
      <c r="SNZ1" s="55"/>
      <c r="SOA1" s="55"/>
      <c r="SOB1" s="55"/>
      <c r="SOC1" s="55"/>
      <c r="SOD1" s="55"/>
      <c r="SOE1" s="55"/>
      <c r="SOF1" s="55"/>
      <c r="SOG1" s="55"/>
      <c r="SOH1" s="55"/>
      <c r="SOI1" s="55"/>
      <c r="SOJ1" s="55"/>
      <c r="SOK1" s="55"/>
      <c r="SOL1" s="55"/>
      <c r="SOM1" s="55"/>
      <c r="SON1" s="55"/>
      <c r="SOO1" s="55"/>
      <c r="SOP1" s="55"/>
      <c r="SOQ1" s="55"/>
      <c r="SOR1" s="55"/>
      <c r="SOS1" s="55"/>
      <c r="SOT1" s="55"/>
      <c r="SOU1" s="55"/>
      <c r="SOV1" s="55"/>
      <c r="SOW1" s="55"/>
      <c r="SOX1" s="55"/>
      <c r="SOY1" s="55"/>
      <c r="SOZ1" s="55"/>
      <c r="SPA1" s="55"/>
      <c r="SPB1" s="55"/>
      <c r="SPC1" s="55"/>
      <c r="SPD1" s="55"/>
      <c r="SPE1" s="55"/>
      <c r="SPF1" s="55"/>
      <c r="SPG1" s="55"/>
      <c r="SPH1" s="55"/>
      <c r="SPI1" s="55"/>
      <c r="SPJ1" s="55"/>
      <c r="SPK1" s="55"/>
      <c r="SPL1" s="55"/>
      <c r="SPM1" s="55"/>
      <c r="SPN1" s="55"/>
      <c r="SPO1" s="55"/>
      <c r="SPP1" s="55"/>
      <c r="SPQ1" s="55"/>
      <c r="SPR1" s="55"/>
      <c r="SPS1" s="55"/>
      <c r="SPT1" s="55"/>
      <c r="SPU1" s="55"/>
      <c r="SPV1" s="55"/>
      <c r="SPW1" s="55"/>
      <c r="SPX1" s="55"/>
      <c r="SPY1" s="55"/>
      <c r="SPZ1" s="55"/>
      <c r="SQA1" s="55"/>
      <c r="SQB1" s="55"/>
      <c r="SQC1" s="55"/>
      <c r="SQD1" s="55"/>
      <c r="SQE1" s="55"/>
      <c r="SQF1" s="55"/>
      <c r="SQG1" s="55"/>
      <c r="SQH1" s="55"/>
      <c r="SQI1" s="55"/>
      <c r="SQJ1" s="55"/>
      <c r="SQK1" s="55"/>
      <c r="SQL1" s="55"/>
      <c r="SQM1" s="55"/>
      <c r="SQN1" s="55"/>
      <c r="SQO1" s="55"/>
      <c r="SQP1" s="55"/>
      <c r="SQQ1" s="55"/>
      <c r="SQR1" s="55"/>
      <c r="SQS1" s="55"/>
      <c r="SQT1" s="55"/>
      <c r="SQU1" s="55"/>
      <c r="SQV1" s="55"/>
      <c r="SQW1" s="55"/>
      <c r="SQX1" s="55"/>
      <c r="SQY1" s="55"/>
      <c r="SQZ1" s="55"/>
      <c r="SRA1" s="55"/>
      <c r="SRB1" s="55"/>
      <c r="SRC1" s="55"/>
      <c r="SRD1" s="55"/>
      <c r="SRE1" s="55"/>
      <c r="SRF1" s="55"/>
      <c r="SRG1" s="55"/>
      <c r="SRH1" s="55"/>
      <c r="SRI1" s="55"/>
      <c r="SRJ1" s="55"/>
      <c r="SRK1" s="55"/>
      <c r="SRL1" s="55"/>
      <c r="SRM1" s="55"/>
      <c r="SRN1" s="55"/>
      <c r="SRO1" s="55"/>
      <c r="SRP1" s="55"/>
      <c r="SRQ1" s="55"/>
      <c r="SRR1" s="55"/>
      <c r="SRS1" s="55"/>
      <c r="SRT1" s="55"/>
      <c r="SRU1" s="55"/>
      <c r="SRV1" s="55"/>
      <c r="SRW1" s="55"/>
      <c r="SRX1" s="55"/>
      <c r="SRY1" s="55"/>
      <c r="SRZ1" s="55"/>
      <c r="SSA1" s="55"/>
      <c r="SSB1" s="55"/>
      <c r="SSC1" s="55"/>
      <c r="SSD1" s="55"/>
      <c r="SSE1" s="55"/>
      <c r="SSF1" s="55"/>
      <c r="SSG1" s="55"/>
      <c r="SSH1" s="55"/>
      <c r="SSI1" s="55"/>
      <c r="SSJ1" s="55"/>
      <c r="SSK1" s="55"/>
      <c r="SSL1" s="55"/>
      <c r="SSM1" s="55"/>
      <c r="SSN1" s="55"/>
      <c r="SSO1" s="55"/>
      <c r="SSP1" s="55"/>
      <c r="SSQ1" s="55"/>
      <c r="SSR1" s="55"/>
      <c r="SSS1" s="55"/>
      <c r="SST1" s="55"/>
      <c r="SSU1" s="55"/>
      <c r="SSV1" s="55"/>
      <c r="SSW1" s="55"/>
      <c r="SSX1" s="55"/>
      <c r="SSY1" s="55"/>
      <c r="SSZ1" s="55"/>
      <c r="STA1" s="55"/>
      <c r="STB1" s="55"/>
      <c r="STC1" s="55"/>
      <c r="STD1" s="55"/>
      <c r="STE1" s="55"/>
      <c r="STF1" s="55"/>
      <c r="STG1" s="55"/>
      <c r="STH1" s="55"/>
      <c r="STI1" s="55"/>
      <c r="STJ1" s="55"/>
      <c r="STK1" s="55"/>
      <c r="STL1" s="55"/>
      <c r="STM1" s="55"/>
      <c r="STN1" s="55"/>
      <c r="STO1" s="55"/>
      <c r="STP1" s="55"/>
      <c r="STQ1" s="55"/>
      <c r="STR1" s="55"/>
      <c r="STS1" s="55"/>
      <c r="STT1" s="55"/>
      <c r="STU1" s="55"/>
      <c r="STV1" s="55"/>
      <c r="STW1" s="55"/>
      <c r="STX1" s="55"/>
      <c r="STY1" s="55"/>
      <c r="STZ1" s="55"/>
      <c r="SUA1" s="55"/>
      <c r="SUB1" s="55"/>
      <c r="SUC1" s="55"/>
      <c r="SUD1" s="55"/>
      <c r="SUE1" s="55"/>
      <c r="SUF1" s="55"/>
      <c r="SUG1" s="55"/>
      <c r="SUH1" s="55"/>
      <c r="SUI1" s="55"/>
      <c r="SUJ1" s="55"/>
      <c r="SUK1" s="55"/>
      <c r="SUL1" s="55"/>
      <c r="SUM1" s="55"/>
      <c r="SUN1" s="55"/>
      <c r="SUO1" s="55"/>
      <c r="SUP1" s="55"/>
      <c r="SUQ1" s="55"/>
      <c r="SUR1" s="55"/>
      <c r="SUS1" s="55"/>
      <c r="SUT1" s="55"/>
      <c r="SUU1" s="55"/>
      <c r="SUV1" s="55"/>
      <c r="SUW1" s="55"/>
      <c r="SUX1" s="55"/>
      <c r="SUY1" s="55"/>
      <c r="SUZ1" s="55"/>
      <c r="SVA1" s="55"/>
      <c r="SVB1" s="55"/>
      <c r="SVC1" s="55"/>
      <c r="SVD1" s="55"/>
      <c r="SVE1" s="55"/>
      <c r="SVF1" s="55"/>
      <c r="SVG1" s="55"/>
      <c r="SVH1" s="55"/>
      <c r="SVI1" s="55"/>
      <c r="SVJ1" s="55"/>
      <c r="SVK1" s="55"/>
      <c r="SVL1" s="55"/>
      <c r="SVM1" s="55"/>
      <c r="SVN1" s="55"/>
      <c r="SVO1" s="55"/>
      <c r="SVP1" s="55"/>
      <c r="SVQ1" s="55"/>
      <c r="SVR1" s="55"/>
      <c r="SVS1" s="55"/>
      <c r="SVT1" s="55"/>
      <c r="SVU1" s="55"/>
      <c r="SVV1" s="55"/>
      <c r="SVW1" s="55"/>
      <c r="SVX1" s="55"/>
      <c r="SVY1" s="55"/>
      <c r="SVZ1" s="55"/>
      <c r="SWA1" s="55"/>
      <c r="SWB1" s="55"/>
      <c r="SWC1" s="55"/>
      <c r="SWD1" s="55"/>
      <c r="SWE1" s="55"/>
      <c r="SWF1" s="55"/>
      <c r="SWG1" s="55"/>
      <c r="SWH1" s="55"/>
      <c r="SWI1" s="55"/>
      <c r="SWJ1" s="55"/>
      <c r="SWK1" s="55"/>
      <c r="SWL1" s="55"/>
      <c r="SWM1" s="55"/>
      <c r="SWN1" s="55"/>
      <c r="SWO1" s="55"/>
      <c r="SWP1" s="55"/>
      <c r="SWQ1" s="55"/>
      <c r="SWR1" s="55"/>
      <c r="SWS1" s="55"/>
      <c r="SWT1" s="55"/>
      <c r="SWU1" s="55"/>
      <c r="SWV1" s="55"/>
      <c r="SWW1" s="55"/>
      <c r="SWX1" s="55"/>
      <c r="SWY1" s="55"/>
      <c r="SWZ1" s="55"/>
      <c r="SXA1" s="55"/>
      <c r="SXB1" s="55"/>
      <c r="SXC1" s="55"/>
      <c r="SXD1" s="55"/>
      <c r="SXE1" s="55"/>
      <c r="SXF1" s="55"/>
      <c r="SXG1" s="55"/>
      <c r="SXH1" s="55"/>
      <c r="SXI1" s="55"/>
      <c r="SXJ1" s="55"/>
      <c r="SXK1" s="55"/>
      <c r="SXL1" s="55"/>
      <c r="SXM1" s="55"/>
      <c r="SXN1" s="55"/>
      <c r="SXO1" s="55"/>
      <c r="SXP1" s="55"/>
      <c r="SXQ1" s="55"/>
      <c r="SXR1" s="55"/>
      <c r="SXS1" s="55"/>
      <c r="SXT1" s="55"/>
      <c r="SXU1" s="55"/>
      <c r="SXV1" s="55"/>
      <c r="SXW1" s="55"/>
      <c r="SXX1" s="55"/>
      <c r="SXY1" s="55"/>
      <c r="SXZ1" s="55"/>
      <c r="SYA1" s="55"/>
      <c r="SYB1" s="55"/>
      <c r="SYC1" s="55"/>
      <c r="SYD1" s="55"/>
      <c r="SYE1" s="55"/>
      <c r="SYF1" s="55"/>
      <c r="SYG1" s="55"/>
      <c r="SYH1" s="55"/>
      <c r="SYI1" s="55"/>
      <c r="SYJ1" s="55"/>
      <c r="SYK1" s="55"/>
      <c r="SYL1" s="55"/>
      <c r="SYM1" s="55"/>
      <c r="SYN1" s="55"/>
      <c r="SYO1" s="55"/>
      <c r="SYP1" s="55"/>
      <c r="SYQ1" s="55"/>
      <c r="SYR1" s="55"/>
      <c r="SYS1" s="55"/>
      <c r="SYT1" s="55"/>
      <c r="SYU1" s="55"/>
      <c r="SYV1" s="55"/>
      <c r="SYW1" s="55"/>
      <c r="SYX1" s="55"/>
      <c r="SYY1" s="55"/>
      <c r="SYZ1" s="55"/>
      <c r="SZA1" s="55"/>
      <c r="SZB1" s="55"/>
      <c r="SZC1" s="55"/>
      <c r="SZD1" s="55"/>
      <c r="SZE1" s="55"/>
      <c r="SZF1" s="55"/>
      <c r="SZG1" s="55"/>
      <c r="SZH1" s="55"/>
      <c r="SZI1" s="55"/>
      <c r="SZJ1" s="55"/>
      <c r="SZK1" s="55"/>
      <c r="SZL1" s="55"/>
      <c r="SZM1" s="55"/>
      <c r="SZN1" s="55"/>
      <c r="SZO1" s="55"/>
      <c r="SZP1" s="55"/>
      <c r="SZQ1" s="55"/>
      <c r="SZR1" s="55"/>
      <c r="SZS1" s="55"/>
      <c r="SZT1" s="55"/>
      <c r="SZU1" s="55"/>
      <c r="SZV1" s="55"/>
      <c r="SZW1" s="55"/>
      <c r="SZX1" s="55"/>
      <c r="SZY1" s="55"/>
      <c r="SZZ1" s="55"/>
      <c r="TAA1" s="55"/>
      <c r="TAB1" s="55"/>
      <c r="TAC1" s="55"/>
      <c r="TAD1" s="55"/>
      <c r="TAE1" s="55"/>
      <c r="TAF1" s="55"/>
      <c r="TAG1" s="55"/>
      <c r="TAH1" s="55"/>
      <c r="TAI1" s="55"/>
      <c r="TAJ1" s="55"/>
      <c r="TAK1" s="55"/>
      <c r="TAL1" s="55"/>
      <c r="TAM1" s="55"/>
      <c r="TAN1" s="55"/>
      <c r="TAO1" s="55"/>
      <c r="TAP1" s="55"/>
      <c r="TAQ1" s="55"/>
      <c r="TAR1" s="55"/>
      <c r="TAS1" s="55"/>
      <c r="TAT1" s="55"/>
      <c r="TAU1" s="55"/>
      <c r="TAV1" s="55"/>
      <c r="TAW1" s="55"/>
      <c r="TAX1" s="55"/>
      <c r="TAY1" s="55"/>
      <c r="TAZ1" s="55"/>
      <c r="TBA1" s="55"/>
      <c r="TBB1" s="55"/>
      <c r="TBC1" s="55"/>
      <c r="TBD1" s="55"/>
      <c r="TBE1" s="55"/>
      <c r="TBF1" s="55"/>
      <c r="TBG1" s="55"/>
      <c r="TBH1" s="55"/>
      <c r="TBI1" s="55"/>
      <c r="TBJ1" s="55"/>
      <c r="TBK1" s="55"/>
      <c r="TBL1" s="55"/>
      <c r="TBM1" s="55"/>
      <c r="TBN1" s="55"/>
      <c r="TBO1" s="55"/>
      <c r="TBP1" s="55"/>
      <c r="TBQ1" s="55"/>
      <c r="TBR1" s="55"/>
      <c r="TBS1" s="55"/>
      <c r="TBT1" s="55"/>
      <c r="TBU1" s="55"/>
      <c r="TBV1" s="55"/>
      <c r="TBW1" s="55"/>
      <c r="TBX1" s="55"/>
      <c r="TBY1" s="55"/>
      <c r="TBZ1" s="55"/>
      <c r="TCA1" s="55"/>
      <c r="TCB1" s="55"/>
      <c r="TCC1" s="55"/>
      <c r="TCD1" s="55"/>
      <c r="TCE1" s="55"/>
      <c r="TCF1" s="55"/>
      <c r="TCG1" s="55"/>
      <c r="TCH1" s="55"/>
      <c r="TCI1" s="55"/>
      <c r="TCJ1" s="55"/>
      <c r="TCK1" s="55"/>
      <c r="TCL1" s="55"/>
      <c r="TCM1" s="55"/>
      <c r="TCN1" s="55"/>
      <c r="TCO1" s="55"/>
      <c r="TCP1" s="55"/>
      <c r="TCQ1" s="55"/>
      <c r="TCR1" s="55"/>
      <c r="TCS1" s="55"/>
      <c r="TCT1" s="55"/>
      <c r="TCU1" s="55"/>
      <c r="TCV1" s="55"/>
      <c r="TCW1" s="55"/>
      <c r="TCX1" s="55"/>
      <c r="TCY1" s="55"/>
      <c r="TCZ1" s="55"/>
      <c r="TDA1" s="55"/>
      <c r="TDB1" s="55"/>
      <c r="TDC1" s="55"/>
      <c r="TDD1" s="55"/>
      <c r="TDE1" s="55"/>
      <c r="TDF1" s="55"/>
      <c r="TDG1" s="55"/>
      <c r="TDH1" s="55"/>
      <c r="TDI1" s="55"/>
      <c r="TDJ1" s="55"/>
      <c r="TDK1" s="55"/>
      <c r="TDL1" s="55"/>
      <c r="TDM1" s="55"/>
      <c r="TDN1" s="55"/>
      <c r="TDO1" s="55"/>
      <c r="TDP1" s="55"/>
      <c r="TDQ1" s="55"/>
      <c r="TDR1" s="55"/>
      <c r="TDS1" s="55"/>
      <c r="TDT1" s="55"/>
      <c r="TDU1" s="55"/>
      <c r="TDV1" s="55"/>
      <c r="TDW1" s="55"/>
      <c r="TDX1" s="55"/>
      <c r="TDY1" s="55"/>
      <c r="TDZ1" s="55"/>
      <c r="TEA1" s="55"/>
      <c r="TEB1" s="55"/>
      <c r="TEC1" s="55"/>
      <c r="TED1" s="55"/>
      <c r="TEE1" s="55"/>
      <c r="TEF1" s="55"/>
      <c r="TEG1" s="55"/>
      <c r="TEH1" s="55"/>
      <c r="TEI1" s="55"/>
      <c r="TEJ1" s="55"/>
      <c r="TEK1" s="55"/>
      <c r="TEL1" s="55"/>
      <c r="TEM1" s="55"/>
      <c r="TEN1" s="55"/>
      <c r="TEO1" s="55"/>
      <c r="TEP1" s="55"/>
      <c r="TEQ1" s="55"/>
      <c r="TER1" s="55"/>
      <c r="TES1" s="55"/>
      <c r="TET1" s="55"/>
      <c r="TEU1" s="55"/>
      <c r="TEV1" s="55"/>
      <c r="TEW1" s="55"/>
      <c r="TEX1" s="55"/>
      <c r="TEY1" s="55"/>
      <c r="TEZ1" s="55"/>
      <c r="TFA1" s="55"/>
      <c r="TFB1" s="55"/>
      <c r="TFC1" s="55"/>
      <c r="TFD1" s="55"/>
      <c r="TFE1" s="55"/>
      <c r="TFF1" s="55"/>
      <c r="TFG1" s="55"/>
      <c r="TFH1" s="55"/>
      <c r="TFI1" s="55"/>
      <c r="TFJ1" s="55"/>
      <c r="TFK1" s="55"/>
      <c r="TFL1" s="55"/>
      <c r="TFM1" s="55"/>
      <c r="TFN1" s="55"/>
      <c r="TFO1" s="55"/>
      <c r="TFP1" s="55"/>
      <c r="TFQ1" s="55"/>
      <c r="TFR1" s="55"/>
      <c r="TFS1" s="55"/>
      <c r="TFT1" s="55"/>
      <c r="TFU1" s="55"/>
      <c r="TFV1" s="55"/>
      <c r="TFW1" s="55"/>
      <c r="TFX1" s="55"/>
      <c r="TFY1" s="55"/>
      <c r="TFZ1" s="55"/>
      <c r="TGA1" s="55"/>
      <c r="TGB1" s="55"/>
      <c r="TGC1" s="55"/>
      <c r="TGD1" s="55"/>
      <c r="TGE1" s="55"/>
      <c r="TGF1" s="55"/>
      <c r="TGG1" s="55"/>
      <c r="TGH1" s="55"/>
      <c r="TGI1" s="55"/>
      <c r="TGJ1" s="55"/>
      <c r="TGK1" s="55"/>
      <c r="TGL1" s="55"/>
      <c r="TGM1" s="55"/>
      <c r="TGN1" s="55"/>
      <c r="TGO1" s="55"/>
      <c r="TGP1" s="55"/>
      <c r="TGQ1" s="55"/>
      <c r="TGR1" s="55"/>
      <c r="TGS1" s="55"/>
      <c r="TGT1" s="55"/>
      <c r="TGU1" s="55"/>
      <c r="TGV1" s="55"/>
      <c r="TGW1" s="55"/>
      <c r="TGX1" s="55"/>
      <c r="TGY1" s="55"/>
      <c r="TGZ1" s="55"/>
      <c r="THA1" s="55"/>
      <c r="THB1" s="55"/>
      <c r="THC1" s="55"/>
      <c r="THD1" s="55"/>
      <c r="THE1" s="55"/>
      <c r="THF1" s="55"/>
      <c r="THG1" s="55"/>
      <c r="THH1" s="55"/>
      <c r="THI1" s="55"/>
      <c r="THJ1" s="55"/>
      <c r="THK1" s="55"/>
      <c r="THL1" s="55"/>
      <c r="THM1" s="55"/>
      <c r="THN1" s="55"/>
      <c r="THO1" s="55"/>
      <c r="THP1" s="55"/>
      <c r="THQ1" s="55"/>
      <c r="THR1" s="55"/>
      <c r="THS1" s="55"/>
      <c r="THT1" s="55"/>
      <c r="THU1" s="55"/>
      <c r="THV1" s="55"/>
      <c r="THW1" s="55"/>
      <c r="THX1" s="55"/>
      <c r="THY1" s="55"/>
      <c r="THZ1" s="55"/>
      <c r="TIA1" s="55"/>
      <c r="TIB1" s="55"/>
      <c r="TIC1" s="55"/>
      <c r="TID1" s="55"/>
      <c r="TIE1" s="55"/>
      <c r="TIF1" s="55"/>
      <c r="TIG1" s="55"/>
      <c r="TIH1" s="55"/>
      <c r="TII1" s="55"/>
      <c r="TIJ1" s="55"/>
      <c r="TIK1" s="55"/>
      <c r="TIL1" s="55"/>
      <c r="TIM1" s="55"/>
      <c r="TIN1" s="55"/>
      <c r="TIO1" s="55"/>
      <c r="TIP1" s="55"/>
      <c r="TIQ1" s="55"/>
      <c r="TIR1" s="55"/>
      <c r="TIS1" s="55"/>
      <c r="TIT1" s="55"/>
      <c r="TIU1" s="55"/>
      <c r="TIV1" s="55"/>
      <c r="TIW1" s="55"/>
      <c r="TIX1" s="55"/>
      <c r="TIY1" s="55"/>
      <c r="TIZ1" s="55"/>
      <c r="TJA1" s="55"/>
      <c r="TJB1" s="55"/>
      <c r="TJC1" s="55"/>
      <c r="TJD1" s="55"/>
      <c r="TJE1" s="55"/>
      <c r="TJF1" s="55"/>
      <c r="TJG1" s="55"/>
      <c r="TJH1" s="55"/>
      <c r="TJI1" s="55"/>
      <c r="TJJ1" s="55"/>
      <c r="TJK1" s="55"/>
      <c r="TJL1" s="55"/>
      <c r="TJM1" s="55"/>
      <c r="TJN1" s="55"/>
      <c r="TJO1" s="55"/>
      <c r="TJP1" s="55"/>
      <c r="TJQ1" s="55"/>
      <c r="TJR1" s="55"/>
      <c r="TJS1" s="55"/>
      <c r="TJT1" s="55"/>
      <c r="TJU1" s="55"/>
      <c r="TJV1" s="55"/>
      <c r="TJW1" s="55"/>
      <c r="TJX1" s="55"/>
      <c r="TJY1" s="55"/>
      <c r="TJZ1" s="55"/>
      <c r="TKA1" s="55"/>
      <c r="TKB1" s="55"/>
      <c r="TKC1" s="55"/>
      <c r="TKD1" s="55"/>
      <c r="TKE1" s="55"/>
      <c r="TKF1" s="55"/>
      <c r="TKG1" s="55"/>
      <c r="TKH1" s="55"/>
      <c r="TKI1" s="55"/>
      <c r="TKJ1" s="55"/>
      <c r="TKK1" s="55"/>
      <c r="TKL1" s="55"/>
      <c r="TKM1" s="55"/>
      <c r="TKN1" s="55"/>
      <c r="TKO1" s="55"/>
      <c r="TKP1" s="55"/>
      <c r="TKQ1" s="55"/>
      <c r="TKR1" s="55"/>
      <c r="TKS1" s="55"/>
      <c r="TKT1" s="55"/>
      <c r="TKU1" s="55"/>
      <c r="TKV1" s="55"/>
      <c r="TKW1" s="55"/>
      <c r="TKX1" s="55"/>
      <c r="TKY1" s="55"/>
      <c r="TKZ1" s="55"/>
      <c r="TLA1" s="55"/>
      <c r="TLB1" s="55"/>
      <c r="TLC1" s="55"/>
      <c r="TLD1" s="55"/>
      <c r="TLE1" s="55"/>
      <c r="TLF1" s="55"/>
      <c r="TLG1" s="55"/>
      <c r="TLH1" s="55"/>
      <c r="TLI1" s="55"/>
      <c r="TLJ1" s="55"/>
      <c r="TLK1" s="55"/>
      <c r="TLL1" s="55"/>
      <c r="TLM1" s="55"/>
      <c r="TLN1" s="55"/>
      <c r="TLO1" s="55"/>
      <c r="TLP1" s="55"/>
      <c r="TLQ1" s="55"/>
      <c r="TLR1" s="55"/>
      <c r="TLS1" s="55"/>
      <c r="TLT1" s="55"/>
      <c r="TLU1" s="55"/>
      <c r="TLV1" s="55"/>
      <c r="TLW1" s="55"/>
      <c r="TLX1" s="55"/>
      <c r="TLY1" s="55"/>
      <c r="TLZ1" s="55"/>
      <c r="TMA1" s="55"/>
      <c r="TMB1" s="55"/>
      <c r="TMC1" s="55"/>
      <c r="TMD1" s="55"/>
      <c r="TME1" s="55"/>
      <c r="TMF1" s="55"/>
      <c r="TMG1" s="55"/>
      <c r="TMH1" s="55"/>
      <c r="TMI1" s="55"/>
      <c r="TMJ1" s="55"/>
      <c r="TMK1" s="55"/>
      <c r="TML1" s="55"/>
      <c r="TMM1" s="55"/>
      <c r="TMN1" s="55"/>
      <c r="TMO1" s="55"/>
      <c r="TMP1" s="55"/>
      <c r="TMQ1" s="55"/>
      <c r="TMR1" s="55"/>
      <c r="TMS1" s="55"/>
      <c r="TMT1" s="55"/>
      <c r="TMU1" s="55"/>
      <c r="TMV1" s="55"/>
      <c r="TMW1" s="55"/>
      <c r="TMX1" s="55"/>
      <c r="TMY1" s="55"/>
      <c r="TMZ1" s="55"/>
      <c r="TNA1" s="55"/>
      <c r="TNB1" s="55"/>
      <c r="TNC1" s="55"/>
      <c r="TND1" s="55"/>
      <c r="TNE1" s="55"/>
      <c r="TNF1" s="55"/>
      <c r="TNG1" s="55"/>
      <c r="TNH1" s="55"/>
      <c r="TNI1" s="55"/>
      <c r="TNJ1" s="55"/>
      <c r="TNK1" s="55"/>
      <c r="TNL1" s="55"/>
      <c r="TNM1" s="55"/>
      <c r="TNN1" s="55"/>
      <c r="TNO1" s="55"/>
      <c r="TNP1" s="55"/>
      <c r="TNQ1" s="55"/>
      <c r="TNR1" s="55"/>
      <c r="TNS1" s="55"/>
      <c r="TNT1" s="55"/>
      <c r="TNU1" s="55"/>
      <c r="TNV1" s="55"/>
      <c r="TNW1" s="55"/>
      <c r="TNX1" s="55"/>
      <c r="TNY1" s="55"/>
      <c r="TNZ1" s="55"/>
      <c r="TOA1" s="55"/>
      <c r="TOB1" s="55"/>
      <c r="TOC1" s="55"/>
      <c r="TOD1" s="55"/>
      <c r="TOE1" s="55"/>
      <c r="TOF1" s="55"/>
      <c r="TOG1" s="55"/>
      <c r="TOH1" s="55"/>
      <c r="TOI1" s="55"/>
      <c r="TOJ1" s="55"/>
      <c r="TOK1" s="55"/>
      <c r="TOL1" s="55"/>
      <c r="TOM1" s="55"/>
      <c r="TON1" s="55"/>
      <c r="TOO1" s="55"/>
      <c r="TOP1" s="55"/>
      <c r="TOQ1" s="55"/>
      <c r="TOR1" s="55"/>
      <c r="TOS1" s="55"/>
      <c r="TOT1" s="55"/>
      <c r="TOU1" s="55"/>
      <c r="TOV1" s="55"/>
      <c r="TOW1" s="55"/>
      <c r="TOX1" s="55"/>
      <c r="TOY1" s="55"/>
      <c r="TOZ1" s="55"/>
      <c r="TPA1" s="55"/>
      <c r="TPB1" s="55"/>
      <c r="TPC1" s="55"/>
      <c r="TPD1" s="55"/>
      <c r="TPE1" s="55"/>
      <c r="TPF1" s="55"/>
      <c r="TPG1" s="55"/>
      <c r="TPH1" s="55"/>
      <c r="TPI1" s="55"/>
      <c r="TPJ1" s="55"/>
      <c r="TPK1" s="55"/>
      <c r="TPL1" s="55"/>
      <c r="TPM1" s="55"/>
      <c r="TPN1" s="55"/>
      <c r="TPO1" s="55"/>
      <c r="TPP1" s="55"/>
      <c r="TPQ1" s="55"/>
      <c r="TPR1" s="55"/>
      <c r="TPS1" s="55"/>
      <c r="TPT1" s="55"/>
      <c r="TPU1" s="55"/>
      <c r="TPV1" s="55"/>
      <c r="TPW1" s="55"/>
      <c r="TPX1" s="55"/>
      <c r="TPY1" s="55"/>
      <c r="TPZ1" s="55"/>
      <c r="TQA1" s="55"/>
      <c r="TQB1" s="55"/>
      <c r="TQC1" s="55"/>
      <c r="TQD1" s="55"/>
      <c r="TQE1" s="55"/>
      <c r="TQF1" s="55"/>
      <c r="TQG1" s="55"/>
      <c r="TQH1" s="55"/>
      <c r="TQI1" s="55"/>
      <c r="TQJ1" s="55"/>
      <c r="TQK1" s="55"/>
      <c r="TQL1" s="55"/>
      <c r="TQM1" s="55"/>
      <c r="TQN1" s="55"/>
      <c r="TQO1" s="55"/>
      <c r="TQP1" s="55"/>
      <c r="TQQ1" s="55"/>
      <c r="TQR1" s="55"/>
      <c r="TQS1" s="55"/>
      <c r="TQT1" s="55"/>
      <c r="TQU1" s="55"/>
      <c r="TQV1" s="55"/>
      <c r="TQW1" s="55"/>
      <c r="TQX1" s="55"/>
      <c r="TQY1" s="55"/>
      <c r="TQZ1" s="55"/>
      <c r="TRA1" s="55"/>
      <c r="TRB1" s="55"/>
      <c r="TRC1" s="55"/>
      <c r="TRD1" s="55"/>
      <c r="TRE1" s="55"/>
      <c r="TRF1" s="55"/>
      <c r="TRG1" s="55"/>
      <c r="TRH1" s="55"/>
      <c r="TRI1" s="55"/>
      <c r="TRJ1" s="55"/>
      <c r="TRK1" s="55"/>
      <c r="TRL1" s="55"/>
      <c r="TRM1" s="55"/>
      <c r="TRN1" s="55"/>
      <c r="TRO1" s="55"/>
      <c r="TRP1" s="55"/>
      <c r="TRQ1" s="55"/>
      <c r="TRR1" s="55"/>
      <c r="TRS1" s="55"/>
      <c r="TRT1" s="55"/>
      <c r="TRU1" s="55"/>
      <c r="TRV1" s="55"/>
      <c r="TRW1" s="55"/>
      <c r="TRX1" s="55"/>
      <c r="TRY1" s="55"/>
      <c r="TRZ1" s="55"/>
      <c r="TSA1" s="55"/>
      <c r="TSB1" s="55"/>
      <c r="TSC1" s="55"/>
      <c r="TSD1" s="55"/>
      <c r="TSE1" s="55"/>
      <c r="TSF1" s="55"/>
      <c r="TSG1" s="55"/>
      <c r="TSH1" s="55"/>
      <c r="TSI1" s="55"/>
      <c r="TSJ1" s="55"/>
      <c r="TSK1" s="55"/>
      <c r="TSL1" s="55"/>
      <c r="TSM1" s="55"/>
      <c r="TSN1" s="55"/>
      <c r="TSO1" s="55"/>
      <c r="TSP1" s="55"/>
      <c r="TSQ1" s="55"/>
      <c r="TSR1" s="55"/>
      <c r="TSS1" s="55"/>
      <c r="TST1" s="55"/>
      <c r="TSU1" s="55"/>
      <c r="TSV1" s="55"/>
      <c r="TSW1" s="55"/>
      <c r="TSX1" s="55"/>
      <c r="TSY1" s="55"/>
      <c r="TSZ1" s="55"/>
      <c r="TTA1" s="55"/>
      <c r="TTB1" s="55"/>
      <c r="TTC1" s="55"/>
      <c r="TTD1" s="55"/>
      <c r="TTE1" s="55"/>
      <c r="TTF1" s="55"/>
      <c r="TTG1" s="55"/>
      <c r="TTH1" s="55"/>
      <c r="TTI1" s="55"/>
      <c r="TTJ1" s="55"/>
      <c r="TTK1" s="55"/>
      <c r="TTL1" s="55"/>
      <c r="TTM1" s="55"/>
      <c r="TTN1" s="55"/>
      <c r="TTO1" s="55"/>
      <c r="TTP1" s="55"/>
      <c r="TTQ1" s="55"/>
      <c r="TTR1" s="55"/>
      <c r="TTS1" s="55"/>
      <c r="TTT1" s="55"/>
      <c r="TTU1" s="55"/>
      <c r="TTV1" s="55"/>
      <c r="TTW1" s="55"/>
      <c r="TTX1" s="55"/>
      <c r="TTY1" s="55"/>
      <c r="TTZ1" s="55"/>
      <c r="TUA1" s="55"/>
      <c r="TUB1" s="55"/>
      <c r="TUC1" s="55"/>
      <c r="TUD1" s="55"/>
      <c r="TUE1" s="55"/>
      <c r="TUF1" s="55"/>
      <c r="TUG1" s="55"/>
      <c r="TUH1" s="55"/>
      <c r="TUI1" s="55"/>
      <c r="TUJ1" s="55"/>
      <c r="TUK1" s="55"/>
      <c r="TUL1" s="55"/>
      <c r="TUM1" s="55"/>
      <c r="TUN1" s="55"/>
      <c r="TUO1" s="55"/>
      <c r="TUP1" s="55"/>
      <c r="TUQ1" s="55"/>
      <c r="TUR1" s="55"/>
      <c r="TUS1" s="55"/>
      <c r="TUT1" s="55"/>
      <c r="TUU1" s="55"/>
      <c r="TUV1" s="55"/>
      <c r="TUW1" s="55"/>
      <c r="TUX1" s="55"/>
      <c r="TUY1" s="55"/>
      <c r="TUZ1" s="55"/>
      <c r="TVA1" s="55"/>
      <c r="TVB1" s="55"/>
      <c r="TVC1" s="55"/>
      <c r="TVD1" s="55"/>
      <c r="TVE1" s="55"/>
      <c r="TVF1" s="55"/>
      <c r="TVG1" s="55"/>
      <c r="TVH1" s="55"/>
      <c r="TVI1" s="55"/>
      <c r="TVJ1" s="55"/>
      <c r="TVK1" s="55"/>
      <c r="TVL1" s="55"/>
      <c r="TVM1" s="55"/>
      <c r="TVN1" s="55"/>
      <c r="TVO1" s="55"/>
      <c r="TVP1" s="55"/>
      <c r="TVQ1" s="55"/>
      <c r="TVR1" s="55"/>
      <c r="TVS1" s="55"/>
      <c r="TVT1" s="55"/>
      <c r="TVU1" s="55"/>
      <c r="TVV1" s="55"/>
      <c r="TVW1" s="55"/>
      <c r="TVX1" s="55"/>
      <c r="TVY1" s="55"/>
      <c r="TVZ1" s="55"/>
      <c r="TWA1" s="55"/>
      <c r="TWB1" s="55"/>
      <c r="TWC1" s="55"/>
      <c r="TWD1" s="55"/>
      <c r="TWE1" s="55"/>
      <c r="TWF1" s="55"/>
      <c r="TWG1" s="55"/>
      <c r="TWH1" s="55"/>
      <c r="TWI1" s="55"/>
      <c r="TWJ1" s="55"/>
      <c r="TWK1" s="55"/>
      <c r="TWL1" s="55"/>
      <c r="TWM1" s="55"/>
      <c r="TWN1" s="55"/>
      <c r="TWO1" s="55"/>
      <c r="TWP1" s="55"/>
      <c r="TWQ1" s="55"/>
      <c r="TWR1" s="55"/>
      <c r="TWS1" s="55"/>
      <c r="TWT1" s="55"/>
      <c r="TWU1" s="55"/>
      <c r="TWV1" s="55"/>
      <c r="TWW1" s="55"/>
      <c r="TWX1" s="55"/>
      <c r="TWY1" s="55"/>
      <c r="TWZ1" s="55"/>
      <c r="TXA1" s="55"/>
      <c r="TXB1" s="55"/>
      <c r="TXC1" s="55"/>
      <c r="TXD1" s="55"/>
      <c r="TXE1" s="55"/>
      <c r="TXF1" s="55"/>
      <c r="TXG1" s="55"/>
      <c r="TXH1" s="55"/>
      <c r="TXI1" s="55"/>
      <c r="TXJ1" s="55"/>
      <c r="TXK1" s="55"/>
      <c r="TXL1" s="55"/>
      <c r="TXM1" s="55"/>
      <c r="TXN1" s="55"/>
      <c r="TXO1" s="55"/>
      <c r="TXP1" s="55"/>
      <c r="TXQ1" s="55"/>
      <c r="TXR1" s="55"/>
      <c r="TXS1" s="55"/>
      <c r="TXT1" s="55"/>
      <c r="TXU1" s="55"/>
      <c r="TXV1" s="55"/>
      <c r="TXW1" s="55"/>
      <c r="TXX1" s="55"/>
      <c r="TXY1" s="55"/>
      <c r="TXZ1" s="55"/>
      <c r="TYA1" s="55"/>
      <c r="TYB1" s="55"/>
      <c r="TYC1" s="55"/>
      <c r="TYD1" s="55"/>
      <c r="TYE1" s="55"/>
      <c r="TYF1" s="55"/>
      <c r="TYG1" s="55"/>
      <c r="TYH1" s="55"/>
      <c r="TYI1" s="55"/>
      <c r="TYJ1" s="55"/>
      <c r="TYK1" s="55"/>
      <c r="TYL1" s="55"/>
      <c r="TYM1" s="55"/>
      <c r="TYN1" s="55"/>
      <c r="TYO1" s="55"/>
      <c r="TYP1" s="55"/>
      <c r="TYQ1" s="55"/>
      <c r="TYR1" s="55"/>
      <c r="TYS1" s="55"/>
      <c r="TYT1" s="55"/>
      <c r="TYU1" s="55"/>
      <c r="TYV1" s="55"/>
      <c r="TYW1" s="55"/>
      <c r="TYX1" s="55"/>
      <c r="TYY1" s="55"/>
      <c r="TYZ1" s="55"/>
      <c r="TZA1" s="55"/>
      <c r="TZB1" s="55"/>
      <c r="TZC1" s="55"/>
      <c r="TZD1" s="55"/>
      <c r="TZE1" s="55"/>
      <c r="TZF1" s="55"/>
      <c r="TZG1" s="55"/>
      <c r="TZH1" s="55"/>
      <c r="TZI1" s="55"/>
      <c r="TZJ1" s="55"/>
      <c r="TZK1" s="55"/>
      <c r="TZL1" s="55"/>
      <c r="TZM1" s="55"/>
      <c r="TZN1" s="55"/>
      <c r="TZO1" s="55"/>
      <c r="TZP1" s="55"/>
      <c r="TZQ1" s="55"/>
      <c r="TZR1" s="55"/>
      <c r="TZS1" s="55"/>
      <c r="TZT1" s="55"/>
      <c r="TZU1" s="55"/>
      <c r="TZV1" s="55"/>
      <c r="TZW1" s="55"/>
      <c r="TZX1" s="55"/>
      <c r="TZY1" s="55"/>
      <c r="TZZ1" s="55"/>
      <c r="UAA1" s="55"/>
      <c r="UAB1" s="55"/>
      <c r="UAC1" s="55"/>
      <c r="UAD1" s="55"/>
      <c r="UAE1" s="55"/>
      <c r="UAF1" s="55"/>
      <c r="UAG1" s="55"/>
      <c r="UAH1" s="55"/>
      <c r="UAI1" s="55"/>
      <c r="UAJ1" s="55"/>
      <c r="UAK1" s="55"/>
      <c r="UAL1" s="55"/>
      <c r="UAM1" s="55"/>
      <c r="UAN1" s="55"/>
      <c r="UAO1" s="55"/>
      <c r="UAP1" s="55"/>
      <c r="UAQ1" s="55"/>
      <c r="UAR1" s="55"/>
      <c r="UAS1" s="55"/>
      <c r="UAT1" s="55"/>
      <c r="UAU1" s="55"/>
      <c r="UAV1" s="55"/>
      <c r="UAW1" s="55"/>
      <c r="UAX1" s="55"/>
      <c r="UAY1" s="55"/>
      <c r="UAZ1" s="55"/>
      <c r="UBA1" s="55"/>
      <c r="UBB1" s="55"/>
      <c r="UBC1" s="55"/>
      <c r="UBD1" s="55"/>
      <c r="UBE1" s="55"/>
      <c r="UBF1" s="55"/>
      <c r="UBG1" s="55"/>
      <c r="UBH1" s="55"/>
      <c r="UBI1" s="55"/>
      <c r="UBJ1" s="55"/>
      <c r="UBK1" s="55"/>
      <c r="UBL1" s="55"/>
      <c r="UBM1" s="55"/>
      <c r="UBN1" s="55"/>
      <c r="UBO1" s="55"/>
      <c r="UBP1" s="55"/>
      <c r="UBQ1" s="55"/>
      <c r="UBR1" s="55"/>
      <c r="UBS1" s="55"/>
      <c r="UBT1" s="55"/>
      <c r="UBU1" s="55"/>
      <c r="UBV1" s="55"/>
      <c r="UBW1" s="55"/>
      <c r="UBX1" s="55"/>
      <c r="UBY1" s="55"/>
      <c r="UBZ1" s="55"/>
      <c r="UCA1" s="55"/>
      <c r="UCB1" s="55"/>
      <c r="UCC1" s="55"/>
      <c r="UCD1" s="55"/>
      <c r="UCE1" s="55"/>
      <c r="UCF1" s="55"/>
      <c r="UCG1" s="55"/>
      <c r="UCH1" s="55"/>
      <c r="UCI1" s="55"/>
      <c r="UCJ1" s="55"/>
      <c r="UCK1" s="55"/>
      <c r="UCL1" s="55"/>
      <c r="UCM1" s="55"/>
      <c r="UCN1" s="55"/>
      <c r="UCO1" s="55"/>
      <c r="UCP1" s="55"/>
      <c r="UCQ1" s="55"/>
      <c r="UCR1" s="55"/>
      <c r="UCS1" s="55"/>
      <c r="UCT1" s="55"/>
      <c r="UCU1" s="55"/>
      <c r="UCV1" s="55"/>
      <c r="UCW1" s="55"/>
      <c r="UCX1" s="55"/>
      <c r="UCY1" s="55"/>
      <c r="UCZ1" s="55"/>
      <c r="UDA1" s="55"/>
      <c r="UDB1" s="55"/>
      <c r="UDC1" s="55"/>
      <c r="UDD1" s="55"/>
      <c r="UDE1" s="55"/>
      <c r="UDF1" s="55"/>
      <c r="UDG1" s="55"/>
      <c r="UDH1" s="55"/>
      <c r="UDI1" s="55"/>
      <c r="UDJ1" s="55"/>
      <c r="UDK1" s="55"/>
      <c r="UDL1" s="55"/>
      <c r="UDM1" s="55"/>
      <c r="UDN1" s="55"/>
      <c r="UDO1" s="55"/>
      <c r="UDP1" s="55"/>
      <c r="UDQ1" s="55"/>
      <c r="UDR1" s="55"/>
      <c r="UDS1" s="55"/>
      <c r="UDT1" s="55"/>
      <c r="UDU1" s="55"/>
      <c r="UDV1" s="55"/>
      <c r="UDW1" s="55"/>
      <c r="UDX1" s="55"/>
      <c r="UDY1" s="55"/>
      <c r="UDZ1" s="55"/>
      <c r="UEA1" s="55"/>
      <c r="UEB1" s="55"/>
      <c r="UEC1" s="55"/>
      <c r="UED1" s="55"/>
      <c r="UEE1" s="55"/>
      <c r="UEF1" s="55"/>
      <c r="UEG1" s="55"/>
      <c r="UEH1" s="55"/>
      <c r="UEI1" s="55"/>
      <c r="UEJ1" s="55"/>
      <c r="UEK1" s="55"/>
      <c r="UEL1" s="55"/>
      <c r="UEM1" s="55"/>
      <c r="UEN1" s="55"/>
      <c r="UEO1" s="55"/>
      <c r="UEP1" s="55"/>
      <c r="UEQ1" s="55"/>
      <c r="UER1" s="55"/>
      <c r="UES1" s="55"/>
      <c r="UET1" s="55"/>
      <c r="UEU1" s="55"/>
      <c r="UEV1" s="55"/>
      <c r="UEW1" s="55"/>
      <c r="UEX1" s="55"/>
      <c r="UEY1" s="55"/>
      <c r="UEZ1" s="55"/>
      <c r="UFA1" s="55"/>
      <c r="UFB1" s="55"/>
      <c r="UFC1" s="55"/>
      <c r="UFD1" s="55"/>
      <c r="UFE1" s="55"/>
      <c r="UFF1" s="55"/>
      <c r="UFG1" s="55"/>
      <c r="UFH1" s="55"/>
      <c r="UFI1" s="55"/>
      <c r="UFJ1" s="55"/>
      <c r="UFK1" s="55"/>
      <c r="UFL1" s="55"/>
      <c r="UFM1" s="55"/>
      <c r="UFN1" s="55"/>
      <c r="UFO1" s="55"/>
      <c r="UFP1" s="55"/>
      <c r="UFQ1" s="55"/>
      <c r="UFR1" s="55"/>
      <c r="UFS1" s="55"/>
      <c r="UFT1" s="55"/>
      <c r="UFU1" s="55"/>
      <c r="UFV1" s="55"/>
      <c r="UFW1" s="55"/>
      <c r="UFX1" s="55"/>
      <c r="UFY1" s="55"/>
      <c r="UFZ1" s="55"/>
      <c r="UGA1" s="55"/>
      <c r="UGB1" s="55"/>
      <c r="UGC1" s="55"/>
      <c r="UGD1" s="55"/>
      <c r="UGE1" s="55"/>
      <c r="UGF1" s="55"/>
      <c r="UGG1" s="55"/>
      <c r="UGH1" s="55"/>
      <c r="UGI1" s="55"/>
      <c r="UGJ1" s="55"/>
      <c r="UGK1" s="55"/>
      <c r="UGL1" s="55"/>
      <c r="UGM1" s="55"/>
      <c r="UGN1" s="55"/>
      <c r="UGO1" s="55"/>
      <c r="UGP1" s="55"/>
      <c r="UGQ1" s="55"/>
      <c r="UGR1" s="55"/>
      <c r="UGS1" s="55"/>
      <c r="UGT1" s="55"/>
      <c r="UGU1" s="55"/>
      <c r="UGV1" s="55"/>
      <c r="UGW1" s="55"/>
      <c r="UGX1" s="55"/>
      <c r="UGY1" s="55"/>
      <c r="UGZ1" s="55"/>
      <c r="UHA1" s="55"/>
      <c r="UHB1" s="55"/>
      <c r="UHC1" s="55"/>
      <c r="UHD1" s="55"/>
      <c r="UHE1" s="55"/>
      <c r="UHF1" s="55"/>
      <c r="UHG1" s="55"/>
      <c r="UHH1" s="55"/>
      <c r="UHI1" s="55"/>
      <c r="UHJ1" s="55"/>
      <c r="UHK1" s="55"/>
      <c r="UHL1" s="55"/>
      <c r="UHM1" s="55"/>
      <c r="UHN1" s="55"/>
      <c r="UHO1" s="55"/>
      <c r="UHP1" s="55"/>
      <c r="UHQ1" s="55"/>
      <c r="UHR1" s="55"/>
      <c r="UHS1" s="55"/>
      <c r="UHT1" s="55"/>
      <c r="UHU1" s="55"/>
      <c r="UHV1" s="55"/>
      <c r="UHW1" s="55"/>
      <c r="UHX1" s="55"/>
      <c r="UHY1" s="55"/>
      <c r="UHZ1" s="55"/>
      <c r="UIA1" s="55"/>
      <c r="UIB1" s="55"/>
      <c r="UIC1" s="55"/>
      <c r="UID1" s="55"/>
      <c r="UIE1" s="55"/>
      <c r="UIF1" s="55"/>
      <c r="UIG1" s="55"/>
      <c r="UIH1" s="55"/>
      <c r="UII1" s="55"/>
      <c r="UIJ1" s="55"/>
      <c r="UIK1" s="55"/>
      <c r="UIL1" s="55"/>
      <c r="UIM1" s="55"/>
      <c r="UIN1" s="55"/>
      <c r="UIO1" s="55"/>
      <c r="UIP1" s="55"/>
      <c r="UIQ1" s="55"/>
      <c r="UIR1" s="55"/>
      <c r="UIS1" s="55"/>
      <c r="UIT1" s="55"/>
      <c r="UIU1" s="55"/>
      <c r="UIV1" s="55"/>
      <c r="UIW1" s="55"/>
      <c r="UIX1" s="55"/>
      <c r="UIY1" s="55"/>
      <c r="UIZ1" s="55"/>
      <c r="UJA1" s="55"/>
      <c r="UJB1" s="55"/>
      <c r="UJC1" s="55"/>
      <c r="UJD1" s="55"/>
      <c r="UJE1" s="55"/>
      <c r="UJF1" s="55"/>
      <c r="UJG1" s="55"/>
      <c r="UJH1" s="55"/>
      <c r="UJI1" s="55"/>
      <c r="UJJ1" s="55"/>
      <c r="UJK1" s="55"/>
      <c r="UJL1" s="55"/>
      <c r="UJM1" s="55"/>
      <c r="UJN1" s="55"/>
      <c r="UJO1" s="55"/>
      <c r="UJP1" s="55"/>
      <c r="UJQ1" s="55"/>
      <c r="UJR1" s="55"/>
      <c r="UJS1" s="55"/>
      <c r="UJT1" s="55"/>
      <c r="UJU1" s="55"/>
      <c r="UJV1" s="55"/>
      <c r="UJW1" s="55"/>
      <c r="UJX1" s="55"/>
      <c r="UJY1" s="55"/>
      <c r="UJZ1" s="55"/>
      <c r="UKA1" s="55"/>
      <c r="UKB1" s="55"/>
      <c r="UKC1" s="55"/>
      <c r="UKD1" s="55"/>
      <c r="UKE1" s="55"/>
      <c r="UKF1" s="55"/>
      <c r="UKG1" s="55"/>
      <c r="UKH1" s="55"/>
      <c r="UKI1" s="55"/>
      <c r="UKJ1" s="55"/>
      <c r="UKK1" s="55"/>
      <c r="UKL1" s="55"/>
      <c r="UKM1" s="55"/>
      <c r="UKN1" s="55"/>
      <c r="UKO1" s="55"/>
      <c r="UKP1" s="55"/>
      <c r="UKQ1" s="55"/>
      <c r="UKR1" s="55"/>
      <c r="UKS1" s="55"/>
      <c r="UKT1" s="55"/>
      <c r="UKU1" s="55"/>
      <c r="UKV1" s="55"/>
      <c r="UKW1" s="55"/>
      <c r="UKX1" s="55"/>
      <c r="UKY1" s="55"/>
      <c r="UKZ1" s="55"/>
      <c r="ULA1" s="55"/>
      <c r="ULB1" s="55"/>
      <c r="ULC1" s="55"/>
      <c r="ULD1" s="55"/>
      <c r="ULE1" s="55"/>
      <c r="ULF1" s="55"/>
      <c r="ULG1" s="55"/>
      <c r="ULH1" s="55"/>
      <c r="ULI1" s="55"/>
      <c r="ULJ1" s="55"/>
      <c r="ULK1" s="55"/>
      <c r="ULL1" s="55"/>
      <c r="ULM1" s="55"/>
      <c r="ULN1" s="55"/>
      <c r="ULO1" s="55"/>
      <c r="ULP1" s="55"/>
      <c r="ULQ1" s="55"/>
      <c r="ULR1" s="55"/>
      <c r="ULS1" s="55"/>
      <c r="ULT1" s="55"/>
      <c r="ULU1" s="55"/>
      <c r="ULV1" s="55"/>
      <c r="ULW1" s="55"/>
      <c r="ULX1" s="55"/>
      <c r="ULY1" s="55"/>
      <c r="ULZ1" s="55"/>
      <c r="UMA1" s="55"/>
      <c r="UMB1" s="55"/>
      <c r="UMC1" s="55"/>
      <c r="UMD1" s="55"/>
      <c r="UME1" s="55"/>
      <c r="UMF1" s="55"/>
      <c r="UMG1" s="55"/>
      <c r="UMH1" s="55"/>
      <c r="UMI1" s="55"/>
      <c r="UMJ1" s="55"/>
      <c r="UMK1" s="55"/>
      <c r="UML1" s="55"/>
      <c r="UMM1" s="55"/>
      <c r="UMN1" s="55"/>
      <c r="UMO1" s="55"/>
      <c r="UMP1" s="55"/>
      <c r="UMQ1" s="55"/>
      <c r="UMR1" s="55"/>
      <c r="UMS1" s="55"/>
      <c r="UMT1" s="55"/>
      <c r="UMU1" s="55"/>
      <c r="UMV1" s="55"/>
      <c r="UMW1" s="55"/>
      <c r="UMX1" s="55"/>
      <c r="UMY1" s="55"/>
      <c r="UMZ1" s="55"/>
      <c r="UNA1" s="55"/>
      <c r="UNB1" s="55"/>
      <c r="UNC1" s="55"/>
      <c r="UND1" s="55"/>
      <c r="UNE1" s="55"/>
      <c r="UNF1" s="55"/>
      <c r="UNG1" s="55"/>
      <c r="UNH1" s="55"/>
      <c r="UNI1" s="55"/>
      <c r="UNJ1" s="55"/>
      <c r="UNK1" s="55"/>
      <c r="UNL1" s="55"/>
      <c r="UNM1" s="55"/>
      <c r="UNN1" s="55"/>
      <c r="UNO1" s="55"/>
      <c r="UNP1" s="55"/>
      <c r="UNQ1" s="55"/>
      <c r="UNR1" s="55"/>
      <c r="UNS1" s="55"/>
      <c r="UNT1" s="55"/>
      <c r="UNU1" s="55"/>
      <c r="UNV1" s="55"/>
      <c r="UNW1" s="55"/>
      <c r="UNX1" s="55"/>
      <c r="UNY1" s="55"/>
      <c r="UNZ1" s="55"/>
      <c r="UOA1" s="55"/>
      <c r="UOB1" s="55"/>
      <c r="UOC1" s="55"/>
      <c r="UOD1" s="55"/>
      <c r="UOE1" s="55"/>
      <c r="UOF1" s="55"/>
      <c r="UOG1" s="55"/>
      <c r="UOH1" s="55"/>
      <c r="UOI1" s="55"/>
      <c r="UOJ1" s="55"/>
      <c r="UOK1" s="55"/>
      <c r="UOL1" s="55"/>
      <c r="UOM1" s="55"/>
      <c r="UON1" s="55"/>
      <c r="UOO1" s="55"/>
      <c r="UOP1" s="55"/>
      <c r="UOQ1" s="55"/>
      <c r="UOR1" s="55"/>
      <c r="UOS1" s="55"/>
      <c r="UOT1" s="55"/>
      <c r="UOU1" s="55"/>
      <c r="UOV1" s="55"/>
      <c r="UOW1" s="55"/>
      <c r="UOX1" s="55"/>
      <c r="UOY1" s="55"/>
      <c r="UOZ1" s="55"/>
      <c r="UPA1" s="55"/>
      <c r="UPB1" s="55"/>
      <c r="UPC1" s="55"/>
      <c r="UPD1" s="55"/>
      <c r="UPE1" s="55"/>
      <c r="UPF1" s="55"/>
      <c r="UPG1" s="55"/>
      <c r="UPH1" s="55"/>
      <c r="UPI1" s="55"/>
      <c r="UPJ1" s="55"/>
      <c r="UPK1" s="55"/>
      <c r="UPL1" s="55"/>
      <c r="UPM1" s="55"/>
      <c r="UPN1" s="55"/>
      <c r="UPO1" s="55"/>
      <c r="UPP1" s="55"/>
      <c r="UPQ1" s="55"/>
      <c r="UPR1" s="55"/>
      <c r="UPS1" s="55"/>
      <c r="UPT1" s="55"/>
      <c r="UPU1" s="55"/>
      <c r="UPV1" s="55"/>
      <c r="UPW1" s="55"/>
      <c r="UPX1" s="55"/>
      <c r="UPY1" s="55"/>
      <c r="UPZ1" s="55"/>
      <c r="UQA1" s="55"/>
      <c r="UQB1" s="55"/>
      <c r="UQC1" s="55"/>
      <c r="UQD1" s="55"/>
      <c r="UQE1" s="55"/>
      <c r="UQF1" s="55"/>
      <c r="UQG1" s="55"/>
      <c r="UQH1" s="55"/>
      <c r="UQI1" s="55"/>
      <c r="UQJ1" s="55"/>
      <c r="UQK1" s="55"/>
      <c r="UQL1" s="55"/>
      <c r="UQM1" s="55"/>
      <c r="UQN1" s="55"/>
      <c r="UQO1" s="55"/>
      <c r="UQP1" s="55"/>
      <c r="UQQ1" s="55"/>
      <c r="UQR1" s="55"/>
      <c r="UQS1" s="55"/>
      <c r="UQT1" s="55"/>
      <c r="UQU1" s="55"/>
      <c r="UQV1" s="55"/>
      <c r="UQW1" s="55"/>
      <c r="UQX1" s="55"/>
      <c r="UQY1" s="55"/>
      <c r="UQZ1" s="55"/>
      <c r="URA1" s="55"/>
      <c r="URB1" s="55"/>
      <c r="URC1" s="55"/>
      <c r="URD1" s="55"/>
      <c r="URE1" s="55"/>
      <c r="URF1" s="55"/>
      <c r="URG1" s="55"/>
      <c r="URH1" s="55"/>
      <c r="URI1" s="55"/>
      <c r="URJ1" s="55"/>
      <c r="URK1" s="55"/>
      <c r="URL1" s="55"/>
      <c r="URM1" s="55"/>
      <c r="URN1" s="55"/>
      <c r="URO1" s="55"/>
      <c r="URP1" s="55"/>
      <c r="URQ1" s="55"/>
      <c r="URR1" s="55"/>
      <c r="URS1" s="55"/>
      <c r="URT1" s="55"/>
      <c r="URU1" s="55"/>
      <c r="URV1" s="55"/>
      <c r="URW1" s="55"/>
      <c r="URX1" s="55"/>
      <c r="URY1" s="55"/>
      <c r="URZ1" s="55"/>
      <c r="USA1" s="55"/>
      <c r="USB1" s="55"/>
      <c r="USC1" s="55"/>
      <c r="USD1" s="55"/>
      <c r="USE1" s="55"/>
      <c r="USF1" s="55"/>
      <c r="USG1" s="55"/>
      <c r="USH1" s="55"/>
      <c r="USI1" s="55"/>
      <c r="USJ1" s="55"/>
      <c r="USK1" s="55"/>
      <c r="USL1" s="55"/>
      <c r="USM1" s="55"/>
      <c r="USN1" s="55"/>
      <c r="USO1" s="55"/>
      <c r="USP1" s="55"/>
      <c r="USQ1" s="55"/>
      <c r="USR1" s="55"/>
      <c r="USS1" s="55"/>
      <c r="UST1" s="55"/>
      <c r="USU1" s="55"/>
      <c r="USV1" s="55"/>
      <c r="USW1" s="55"/>
      <c r="USX1" s="55"/>
      <c r="USY1" s="55"/>
      <c r="USZ1" s="55"/>
      <c r="UTA1" s="55"/>
      <c r="UTB1" s="55"/>
      <c r="UTC1" s="55"/>
      <c r="UTD1" s="55"/>
      <c r="UTE1" s="55"/>
      <c r="UTF1" s="55"/>
      <c r="UTG1" s="55"/>
      <c r="UTH1" s="55"/>
      <c r="UTI1" s="55"/>
      <c r="UTJ1" s="55"/>
      <c r="UTK1" s="55"/>
      <c r="UTL1" s="55"/>
      <c r="UTM1" s="55"/>
      <c r="UTN1" s="55"/>
      <c r="UTO1" s="55"/>
      <c r="UTP1" s="55"/>
      <c r="UTQ1" s="55"/>
      <c r="UTR1" s="55"/>
      <c r="UTS1" s="55"/>
      <c r="UTT1" s="55"/>
      <c r="UTU1" s="55"/>
      <c r="UTV1" s="55"/>
      <c r="UTW1" s="55"/>
      <c r="UTX1" s="55"/>
      <c r="UTY1" s="55"/>
      <c r="UTZ1" s="55"/>
      <c r="UUA1" s="55"/>
      <c r="UUB1" s="55"/>
      <c r="UUC1" s="55"/>
      <c r="UUD1" s="55"/>
      <c r="UUE1" s="55"/>
      <c r="UUF1" s="55"/>
      <c r="UUG1" s="55"/>
      <c r="UUH1" s="55"/>
      <c r="UUI1" s="55"/>
      <c r="UUJ1" s="55"/>
      <c r="UUK1" s="55"/>
      <c r="UUL1" s="55"/>
      <c r="UUM1" s="55"/>
      <c r="UUN1" s="55"/>
      <c r="UUO1" s="55"/>
      <c r="UUP1" s="55"/>
      <c r="UUQ1" s="55"/>
      <c r="UUR1" s="55"/>
      <c r="UUS1" s="55"/>
      <c r="UUT1" s="55"/>
      <c r="UUU1" s="55"/>
      <c r="UUV1" s="55"/>
      <c r="UUW1" s="55"/>
      <c r="UUX1" s="55"/>
      <c r="UUY1" s="55"/>
      <c r="UUZ1" s="55"/>
      <c r="UVA1" s="55"/>
      <c r="UVB1" s="55"/>
      <c r="UVC1" s="55"/>
      <c r="UVD1" s="55"/>
      <c r="UVE1" s="55"/>
      <c r="UVF1" s="55"/>
      <c r="UVG1" s="55"/>
      <c r="UVH1" s="55"/>
      <c r="UVI1" s="55"/>
      <c r="UVJ1" s="55"/>
      <c r="UVK1" s="55"/>
      <c r="UVL1" s="55"/>
      <c r="UVM1" s="55"/>
      <c r="UVN1" s="55"/>
      <c r="UVO1" s="55"/>
      <c r="UVP1" s="55"/>
      <c r="UVQ1" s="55"/>
      <c r="UVR1" s="55"/>
      <c r="UVS1" s="55"/>
      <c r="UVT1" s="55"/>
      <c r="UVU1" s="55"/>
      <c r="UVV1" s="55"/>
      <c r="UVW1" s="55"/>
      <c r="UVX1" s="55"/>
      <c r="UVY1" s="55"/>
      <c r="UVZ1" s="55"/>
      <c r="UWA1" s="55"/>
      <c r="UWB1" s="55"/>
      <c r="UWC1" s="55"/>
      <c r="UWD1" s="55"/>
      <c r="UWE1" s="55"/>
      <c r="UWF1" s="55"/>
      <c r="UWG1" s="55"/>
      <c r="UWH1" s="55"/>
      <c r="UWI1" s="55"/>
      <c r="UWJ1" s="55"/>
      <c r="UWK1" s="55"/>
      <c r="UWL1" s="55"/>
      <c r="UWM1" s="55"/>
      <c r="UWN1" s="55"/>
      <c r="UWO1" s="55"/>
      <c r="UWP1" s="55"/>
      <c r="UWQ1" s="55"/>
      <c r="UWR1" s="55"/>
      <c r="UWS1" s="55"/>
      <c r="UWT1" s="55"/>
      <c r="UWU1" s="55"/>
      <c r="UWV1" s="55"/>
      <c r="UWW1" s="55"/>
      <c r="UWX1" s="55"/>
      <c r="UWY1" s="55"/>
      <c r="UWZ1" s="55"/>
      <c r="UXA1" s="55"/>
      <c r="UXB1" s="55"/>
      <c r="UXC1" s="55"/>
      <c r="UXD1" s="55"/>
      <c r="UXE1" s="55"/>
      <c r="UXF1" s="55"/>
      <c r="UXG1" s="55"/>
      <c r="UXH1" s="55"/>
      <c r="UXI1" s="55"/>
      <c r="UXJ1" s="55"/>
      <c r="UXK1" s="55"/>
      <c r="UXL1" s="55"/>
      <c r="UXM1" s="55"/>
      <c r="UXN1" s="55"/>
      <c r="UXO1" s="55"/>
      <c r="UXP1" s="55"/>
      <c r="UXQ1" s="55"/>
      <c r="UXR1" s="55"/>
      <c r="UXS1" s="55"/>
      <c r="UXT1" s="55"/>
      <c r="UXU1" s="55"/>
      <c r="UXV1" s="55"/>
      <c r="UXW1" s="55"/>
      <c r="UXX1" s="55"/>
      <c r="UXY1" s="55"/>
      <c r="UXZ1" s="55"/>
      <c r="UYA1" s="55"/>
      <c r="UYB1" s="55"/>
      <c r="UYC1" s="55"/>
      <c r="UYD1" s="55"/>
      <c r="UYE1" s="55"/>
      <c r="UYF1" s="55"/>
      <c r="UYG1" s="55"/>
      <c r="UYH1" s="55"/>
      <c r="UYI1" s="55"/>
      <c r="UYJ1" s="55"/>
      <c r="UYK1" s="55"/>
      <c r="UYL1" s="55"/>
      <c r="UYM1" s="55"/>
      <c r="UYN1" s="55"/>
      <c r="UYO1" s="55"/>
      <c r="UYP1" s="55"/>
      <c r="UYQ1" s="55"/>
      <c r="UYR1" s="55"/>
      <c r="UYS1" s="55"/>
      <c r="UYT1" s="55"/>
      <c r="UYU1" s="55"/>
      <c r="UYV1" s="55"/>
      <c r="UYW1" s="55"/>
      <c r="UYX1" s="55"/>
      <c r="UYY1" s="55"/>
      <c r="UYZ1" s="55"/>
      <c r="UZA1" s="55"/>
      <c r="UZB1" s="55"/>
      <c r="UZC1" s="55"/>
      <c r="UZD1" s="55"/>
      <c r="UZE1" s="55"/>
      <c r="UZF1" s="55"/>
      <c r="UZG1" s="55"/>
      <c r="UZH1" s="55"/>
      <c r="UZI1" s="55"/>
      <c r="UZJ1" s="55"/>
      <c r="UZK1" s="55"/>
      <c r="UZL1" s="55"/>
      <c r="UZM1" s="55"/>
      <c r="UZN1" s="55"/>
      <c r="UZO1" s="55"/>
      <c r="UZP1" s="55"/>
      <c r="UZQ1" s="55"/>
      <c r="UZR1" s="55"/>
      <c r="UZS1" s="55"/>
      <c r="UZT1" s="55"/>
      <c r="UZU1" s="55"/>
      <c r="UZV1" s="55"/>
      <c r="UZW1" s="55"/>
      <c r="UZX1" s="55"/>
      <c r="UZY1" s="55"/>
      <c r="UZZ1" s="55"/>
      <c r="VAA1" s="55"/>
      <c r="VAB1" s="55"/>
      <c r="VAC1" s="55"/>
      <c r="VAD1" s="55"/>
      <c r="VAE1" s="55"/>
      <c r="VAF1" s="55"/>
      <c r="VAG1" s="55"/>
      <c r="VAH1" s="55"/>
      <c r="VAI1" s="55"/>
      <c r="VAJ1" s="55"/>
      <c r="VAK1" s="55"/>
      <c r="VAL1" s="55"/>
      <c r="VAM1" s="55"/>
      <c r="VAN1" s="55"/>
      <c r="VAO1" s="55"/>
      <c r="VAP1" s="55"/>
      <c r="VAQ1" s="55"/>
      <c r="VAR1" s="55"/>
      <c r="VAS1" s="55"/>
      <c r="VAT1" s="55"/>
      <c r="VAU1" s="55"/>
      <c r="VAV1" s="55"/>
      <c r="VAW1" s="55"/>
      <c r="VAX1" s="55"/>
      <c r="VAY1" s="55"/>
      <c r="VAZ1" s="55"/>
      <c r="VBA1" s="55"/>
      <c r="VBB1" s="55"/>
      <c r="VBC1" s="55"/>
      <c r="VBD1" s="55"/>
      <c r="VBE1" s="55"/>
      <c r="VBF1" s="55"/>
      <c r="VBG1" s="55"/>
      <c r="VBH1" s="55"/>
      <c r="VBI1" s="55"/>
      <c r="VBJ1" s="55"/>
      <c r="VBK1" s="55"/>
      <c r="VBL1" s="55"/>
      <c r="VBM1" s="55"/>
      <c r="VBN1" s="55"/>
      <c r="VBO1" s="55"/>
      <c r="VBP1" s="55"/>
      <c r="VBQ1" s="55"/>
      <c r="VBR1" s="55"/>
      <c r="VBS1" s="55"/>
      <c r="VBT1" s="55"/>
      <c r="VBU1" s="55"/>
      <c r="VBV1" s="55"/>
      <c r="VBW1" s="55"/>
      <c r="VBX1" s="55"/>
      <c r="VBY1" s="55"/>
      <c r="VBZ1" s="55"/>
      <c r="VCA1" s="55"/>
      <c r="VCB1" s="55"/>
      <c r="VCC1" s="55"/>
      <c r="VCD1" s="55"/>
      <c r="VCE1" s="55"/>
      <c r="VCF1" s="55"/>
      <c r="VCG1" s="55"/>
      <c r="VCH1" s="55"/>
      <c r="VCI1" s="55"/>
      <c r="VCJ1" s="55"/>
      <c r="VCK1" s="55"/>
      <c r="VCL1" s="55"/>
      <c r="VCM1" s="55"/>
      <c r="VCN1" s="55"/>
      <c r="VCO1" s="55"/>
      <c r="VCP1" s="55"/>
      <c r="VCQ1" s="55"/>
      <c r="VCR1" s="55"/>
      <c r="VCS1" s="55"/>
      <c r="VCT1" s="55"/>
      <c r="VCU1" s="55"/>
      <c r="VCV1" s="55"/>
      <c r="VCW1" s="55"/>
      <c r="VCX1" s="55"/>
      <c r="VCY1" s="55"/>
      <c r="VCZ1" s="55"/>
      <c r="VDA1" s="55"/>
      <c r="VDB1" s="55"/>
      <c r="VDC1" s="55"/>
      <c r="VDD1" s="55"/>
      <c r="VDE1" s="55"/>
      <c r="VDF1" s="55"/>
      <c r="VDG1" s="55"/>
      <c r="VDH1" s="55"/>
      <c r="VDI1" s="55"/>
      <c r="VDJ1" s="55"/>
      <c r="VDK1" s="55"/>
      <c r="VDL1" s="55"/>
      <c r="VDM1" s="55"/>
      <c r="VDN1" s="55"/>
      <c r="VDO1" s="55"/>
      <c r="VDP1" s="55"/>
      <c r="VDQ1" s="55"/>
      <c r="VDR1" s="55"/>
      <c r="VDS1" s="55"/>
      <c r="VDT1" s="55"/>
      <c r="VDU1" s="55"/>
      <c r="VDV1" s="55"/>
      <c r="VDW1" s="55"/>
      <c r="VDX1" s="55"/>
      <c r="VDY1" s="55"/>
      <c r="VDZ1" s="55"/>
      <c r="VEA1" s="55"/>
      <c r="VEB1" s="55"/>
      <c r="VEC1" s="55"/>
      <c r="VED1" s="55"/>
      <c r="VEE1" s="55"/>
      <c r="VEF1" s="55"/>
      <c r="VEG1" s="55"/>
      <c r="VEH1" s="55"/>
      <c r="VEI1" s="55"/>
      <c r="VEJ1" s="55"/>
      <c r="VEK1" s="55"/>
      <c r="VEL1" s="55"/>
      <c r="VEM1" s="55"/>
      <c r="VEN1" s="55"/>
      <c r="VEO1" s="55"/>
      <c r="VEP1" s="55"/>
      <c r="VEQ1" s="55"/>
      <c r="VER1" s="55"/>
      <c r="VES1" s="55"/>
      <c r="VET1" s="55"/>
      <c r="VEU1" s="55"/>
      <c r="VEV1" s="55"/>
      <c r="VEW1" s="55"/>
      <c r="VEX1" s="55"/>
      <c r="VEY1" s="55"/>
      <c r="VEZ1" s="55"/>
      <c r="VFA1" s="55"/>
      <c r="VFB1" s="55"/>
      <c r="VFC1" s="55"/>
      <c r="VFD1" s="55"/>
      <c r="VFE1" s="55"/>
      <c r="VFF1" s="55"/>
      <c r="VFG1" s="55"/>
      <c r="VFH1" s="55"/>
      <c r="VFI1" s="55"/>
      <c r="VFJ1" s="55"/>
      <c r="VFK1" s="55"/>
      <c r="VFL1" s="55"/>
      <c r="VFM1" s="55"/>
      <c r="VFN1" s="55"/>
      <c r="VFO1" s="55"/>
      <c r="VFP1" s="55"/>
      <c r="VFQ1" s="55"/>
      <c r="VFR1" s="55"/>
      <c r="VFS1" s="55"/>
      <c r="VFT1" s="55"/>
      <c r="VFU1" s="55"/>
      <c r="VFV1" s="55"/>
      <c r="VFW1" s="55"/>
      <c r="VFX1" s="55"/>
      <c r="VFY1" s="55"/>
      <c r="VFZ1" s="55"/>
      <c r="VGA1" s="55"/>
      <c r="VGB1" s="55"/>
      <c r="VGC1" s="55"/>
      <c r="VGD1" s="55"/>
      <c r="VGE1" s="55"/>
      <c r="VGF1" s="55"/>
      <c r="VGG1" s="55"/>
      <c r="VGH1" s="55"/>
      <c r="VGI1" s="55"/>
      <c r="VGJ1" s="55"/>
      <c r="VGK1" s="55"/>
      <c r="VGL1" s="55"/>
      <c r="VGM1" s="55"/>
      <c r="VGN1" s="55"/>
      <c r="VGO1" s="55"/>
      <c r="VGP1" s="55"/>
      <c r="VGQ1" s="55"/>
      <c r="VGR1" s="55"/>
      <c r="VGS1" s="55"/>
      <c r="VGT1" s="55"/>
      <c r="VGU1" s="55"/>
      <c r="VGV1" s="55"/>
      <c r="VGW1" s="55"/>
      <c r="VGX1" s="55"/>
      <c r="VGY1" s="55"/>
      <c r="VGZ1" s="55"/>
      <c r="VHA1" s="55"/>
      <c r="VHB1" s="55"/>
      <c r="VHC1" s="55"/>
      <c r="VHD1" s="55"/>
      <c r="VHE1" s="55"/>
      <c r="VHF1" s="55"/>
      <c r="VHG1" s="55"/>
      <c r="VHH1" s="55"/>
      <c r="VHI1" s="55"/>
      <c r="VHJ1" s="55"/>
      <c r="VHK1" s="55"/>
      <c r="VHL1" s="55"/>
      <c r="VHM1" s="55"/>
      <c r="VHN1" s="55"/>
      <c r="VHO1" s="55"/>
      <c r="VHP1" s="55"/>
      <c r="VHQ1" s="55"/>
      <c r="VHR1" s="55"/>
      <c r="VHS1" s="55"/>
      <c r="VHT1" s="55"/>
      <c r="VHU1" s="55"/>
      <c r="VHV1" s="55"/>
      <c r="VHW1" s="55"/>
      <c r="VHX1" s="55"/>
      <c r="VHY1" s="55"/>
      <c r="VHZ1" s="55"/>
      <c r="VIA1" s="55"/>
      <c r="VIB1" s="55"/>
      <c r="VIC1" s="55"/>
      <c r="VID1" s="55"/>
      <c r="VIE1" s="55"/>
      <c r="VIF1" s="55"/>
      <c r="VIG1" s="55"/>
      <c r="VIH1" s="55"/>
      <c r="VII1" s="55"/>
      <c r="VIJ1" s="55"/>
      <c r="VIK1" s="55"/>
      <c r="VIL1" s="55"/>
      <c r="VIM1" s="55"/>
      <c r="VIN1" s="55"/>
      <c r="VIO1" s="55"/>
      <c r="VIP1" s="55"/>
      <c r="VIQ1" s="55"/>
      <c r="VIR1" s="55"/>
      <c r="VIS1" s="55"/>
      <c r="VIT1" s="55"/>
      <c r="VIU1" s="55"/>
      <c r="VIV1" s="55"/>
      <c r="VIW1" s="55"/>
      <c r="VIX1" s="55"/>
      <c r="VIY1" s="55"/>
      <c r="VIZ1" s="55"/>
      <c r="VJA1" s="55"/>
      <c r="VJB1" s="55"/>
      <c r="VJC1" s="55"/>
      <c r="VJD1" s="55"/>
      <c r="VJE1" s="55"/>
      <c r="VJF1" s="55"/>
      <c r="VJG1" s="55"/>
      <c r="VJH1" s="55"/>
      <c r="VJI1" s="55"/>
      <c r="VJJ1" s="55"/>
      <c r="VJK1" s="55"/>
      <c r="VJL1" s="55"/>
      <c r="VJM1" s="55"/>
      <c r="VJN1" s="55"/>
      <c r="VJO1" s="55"/>
      <c r="VJP1" s="55"/>
      <c r="VJQ1" s="55"/>
      <c r="VJR1" s="55"/>
      <c r="VJS1" s="55"/>
      <c r="VJT1" s="55"/>
      <c r="VJU1" s="55"/>
      <c r="VJV1" s="55"/>
      <c r="VJW1" s="55"/>
      <c r="VJX1" s="55"/>
      <c r="VJY1" s="55"/>
      <c r="VJZ1" s="55"/>
      <c r="VKA1" s="55"/>
      <c r="VKB1" s="55"/>
      <c r="VKC1" s="55"/>
      <c r="VKD1" s="55"/>
      <c r="VKE1" s="55"/>
      <c r="VKF1" s="55"/>
      <c r="VKG1" s="55"/>
      <c r="VKH1" s="55"/>
      <c r="VKI1" s="55"/>
      <c r="VKJ1" s="55"/>
      <c r="VKK1" s="55"/>
      <c r="VKL1" s="55"/>
      <c r="VKM1" s="55"/>
      <c r="VKN1" s="55"/>
      <c r="VKO1" s="55"/>
      <c r="VKP1" s="55"/>
      <c r="VKQ1" s="55"/>
      <c r="VKR1" s="55"/>
      <c r="VKS1" s="55"/>
      <c r="VKT1" s="55"/>
      <c r="VKU1" s="55"/>
      <c r="VKV1" s="55"/>
      <c r="VKW1" s="55"/>
      <c r="VKX1" s="55"/>
      <c r="VKY1" s="55"/>
      <c r="VKZ1" s="55"/>
      <c r="VLA1" s="55"/>
      <c r="VLB1" s="55"/>
      <c r="VLC1" s="55"/>
      <c r="VLD1" s="55"/>
      <c r="VLE1" s="55"/>
      <c r="VLF1" s="55"/>
      <c r="VLG1" s="55"/>
      <c r="VLH1" s="55"/>
      <c r="VLI1" s="55"/>
      <c r="VLJ1" s="55"/>
      <c r="VLK1" s="55"/>
      <c r="VLL1" s="55"/>
      <c r="VLM1" s="55"/>
      <c r="VLN1" s="55"/>
      <c r="VLO1" s="55"/>
      <c r="VLP1" s="55"/>
      <c r="VLQ1" s="55"/>
      <c r="VLR1" s="55"/>
      <c r="VLS1" s="55"/>
      <c r="VLT1" s="55"/>
      <c r="VLU1" s="55"/>
      <c r="VLV1" s="55"/>
      <c r="VLW1" s="55"/>
      <c r="VLX1" s="55"/>
      <c r="VLY1" s="55"/>
      <c r="VLZ1" s="55"/>
      <c r="VMA1" s="55"/>
      <c r="VMB1" s="55"/>
      <c r="VMC1" s="55"/>
      <c r="VMD1" s="55"/>
      <c r="VME1" s="55"/>
      <c r="VMF1" s="55"/>
      <c r="VMG1" s="55"/>
      <c r="VMH1" s="55"/>
      <c r="VMI1" s="55"/>
      <c r="VMJ1" s="55"/>
      <c r="VMK1" s="55"/>
      <c r="VML1" s="55"/>
      <c r="VMM1" s="55"/>
      <c r="VMN1" s="55"/>
      <c r="VMO1" s="55"/>
      <c r="VMP1" s="55"/>
      <c r="VMQ1" s="55"/>
      <c r="VMR1" s="55"/>
      <c r="VMS1" s="55"/>
      <c r="VMT1" s="55"/>
      <c r="VMU1" s="55"/>
      <c r="VMV1" s="55"/>
      <c r="VMW1" s="55"/>
      <c r="VMX1" s="55"/>
      <c r="VMY1" s="55"/>
      <c r="VMZ1" s="55"/>
      <c r="VNA1" s="55"/>
      <c r="VNB1" s="55"/>
      <c r="VNC1" s="55"/>
      <c r="VND1" s="55"/>
      <c r="VNE1" s="55"/>
      <c r="VNF1" s="55"/>
      <c r="VNG1" s="55"/>
      <c r="VNH1" s="55"/>
      <c r="VNI1" s="55"/>
      <c r="VNJ1" s="55"/>
      <c r="VNK1" s="55"/>
      <c r="VNL1" s="55"/>
      <c r="VNM1" s="55"/>
      <c r="VNN1" s="55"/>
      <c r="VNO1" s="55"/>
      <c r="VNP1" s="55"/>
      <c r="VNQ1" s="55"/>
      <c r="VNR1" s="55"/>
      <c r="VNS1" s="55"/>
      <c r="VNT1" s="55"/>
      <c r="VNU1" s="55"/>
      <c r="VNV1" s="55"/>
      <c r="VNW1" s="55"/>
      <c r="VNX1" s="55"/>
      <c r="VNY1" s="55"/>
      <c r="VNZ1" s="55"/>
      <c r="VOA1" s="55"/>
      <c r="VOB1" s="55"/>
      <c r="VOC1" s="55"/>
      <c r="VOD1" s="55"/>
      <c r="VOE1" s="55"/>
      <c r="VOF1" s="55"/>
      <c r="VOG1" s="55"/>
      <c r="VOH1" s="55"/>
      <c r="VOI1" s="55"/>
      <c r="VOJ1" s="55"/>
      <c r="VOK1" s="55"/>
      <c r="VOL1" s="55"/>
      <c r="VOM1" s="55"/>
      <c r="VON1" s="55"/>
      <c r="VOO1" s="55"/>
      <c r="VOP1" s="55"/>
      <c r="VOQ1" s="55"/>
      <c r="VOR1" s="55"/>
      <c r="VOS1" s="55"/>
      <c r="VOT1" s="55"/>
      <c r="VOU1" s="55"/>
      <c r="VOV1" s="55"/>
      <c r="VOW1" s="55"/>
      <c r="VOX1" s="55"/>
      <c r="VOY1" s="55"/>
      <c r="VOZ1" s="55"/>
      <c r="VPA1" s="55"/>
      <c r="VPB1" s="55"/>
      <c r="VPC1" s="55"/>
      <c r="VPD1" s="55"/>
      <c r="VPE1" s="55"/>
      <c r="VPF1" s="55"/>
      <c r="VPG1" s="55"/>
      <c r="VPH1" s="55"/>
      <c r="VPI1" s="55"/>
      <c r="VPJ1" s="55"/>
      <c r="VPK1" s="55"/>
      <c r="VPL1" s="55"/>
      <c r="VPM1" s="55"/>
      <c r="VPN1" s="55"/>
      <c r="VPO1" s="55"/>
      <c r="VPP1" s="55"/>
      <c r="VPQ1" s="55"/>
      <c r="VPR1" s="55"/>
      <c r="VPS1" s="55"/>
      <c r="VPT1" s="55"/>
      <c r="VPU1" s="55"/>
      <c r="VPV1" s="55"/>
      <c r="VPW1" s="55"/>
      <c r="VPX1" s="55"/>
      <c r="VPY1" s="55"/>
      <c r="VPZ1" s="55"/>
      <c r="VQA1" s="55"/>
      <c r="VQB1" s="55"/>
      <c r="VQC1" s="55"/>
      <c r="VQD1" s="55"/>
      <c r="VQE1" s="55"/>
      <c r="VQF1" s="55"/>
      <c r="VQG1" s="55"/>
      <c r="VQH1" s="55"/>
      <c r="VQI1" s="55"/>
      <c r="VQJ1" s="55"/>
      <c r="VQK1" s="55"/>
      <c r="VQL1" s="55"/>
      <c r="VQM1" s="55"/>
      <c r="VQN1" s="55"/>
      <c r="VQO1" s="55"/>
      <c r="VQP1" s="55"/>
      <c r="VQQ1" s="55"/>
      <c r="VQR1" s="55"/>
      <c r="VQS1" s="55"/>
      <c r="VQT1" s="55"/>
      <c r="VQU1" s="55"/>
      <c r="VQV1" s="55"/>
      <c r="VQW1" s="55"/>
      <c r="VQX1" s="55"/>
      <c r="VQY1" s="55"/>
      <c r="VQZ1" s="55"/>
      <c r="VRA1" s="55"/>
      <c r="VRB1" s="55"/>
      <c r="VRC1" s="55"/>
      <c r="VRD1" s="55"/>
      <c r="VRE1" s="55"/>
      <c r="VRF1" s="55"/>
      <c r="VRG1" s="55"/>
      <c r="VRH1" s="55"/>
      <c r="VRI1" s="55"/>
      <c r="VRJ1" s="55"/>
      <c r="VRK1" s="55"/>
      <c r="VRL1" s="55"/>
      <c r="VRM1" s="55"/>
      <c r="VRN1" s="55"/>
      <c r="VRO1" s="55"/>
      <c r="VRP1" s="55"/>
      <c r="VRQ1" s="55"/>
      <c r="VRR1" s="55"/>
      <c r="VRS1" s="55"/>
      <c r="VRT1" s="55"/>
      <c r="VRU1" s="55"/>
      <c r="VRV1" s="55"/>
      <c r="VRW1" s="55"/>
      <c r="VRX1" s="55"/>
      <c r="VRY1" s="55"/>
      <c r="VRZ1" s="55"/>
      <c r="VSA1" s="55"/>
      <c r="VSB1" s="55"/>
      <c r="VSC1" s="55"/>
      <c r="VSD1" s="55"/>
      <c r="VSE1" s="55"/>
      <c r="VSF1" s="55"/>
      <c r="VSG1" s="55"/>
      <c r="VSH1" s="55"/>
      <c r="VSI1" s="55"/>
      <c r="VSJ1" s="55"/>
      <c r="VSK1" s="55"/>
      <c r="VSL1" s="55"/>
      <c r="VSM1" s="55"/>
      <c r="VSN1" s="55"/>
      <c r="VSO1" s="55"/>
      <c r="VSP1" s="55"/>
      <c r="VSQ1" s="55"/>
      <c r="VSR1" s="55"/>
      <c r="VSS1" s="55"/>
      <c r="VST1" s="55"/>
      <c r="VSU1" s="55"/>
      <c r="VSV1" s="55"/>
      <c r="VSW1" s="55"/>
      <c r="VSX1" s="55"/>
      <c r="VSY1" s="55"/>
      <c r="VSZ1" s="55"/>
      <c r="VTA1" s="55"/>
      <c r="VTB1" s="55"/>
      <c r="VTC1" s="55"/>
      <c r="VTD1" s="55"/>
      <c r="VTE1" s="55"/>
      <c r="VTF1" s="55"/>
      <c r="VTG1" s="55"/>
      <c r="VTH1" s="55"/>
      <c r="VTI1" s="55"/>
      <c r="VTJ1" s="55"/>
      <c r="VTK1" s="55"/>
      <c r="VTL1" s="55"/>
      <c r="VTM1" s="55"/>
      <c r="VTN1" s="55"/>
      <c r="VTO1" s="55"/>
      <c r="VTP1" s="55"/>
      <c r="VTQ1" s="55"/>
      <c r="VTR1" s="55"/>
      <c r="VTS1" s="55"/>
      <c r="VTT1" s="55"/>
      <c r="VTU1" s="55"/>
      <c r="VTV1" s="55"/>
      <c r="VTW1" s="55"/>
      <c r="VTX1" s="55"/>
      <c r="VTY1" s="55"/>
      <c r="VTZ1" s="55"/>
      <c r="VUA1" s="55"/>
      <c r="VUB1" s="55"/>
      <c r="VUC1" s="55"/>
      <c r="VUD1" s="55"/>
      <c r="VUE1" s="55"/>
      <c r="VUF1" s="55"/>
      <c r="VUG1" s="55"/>
      <c r="VUH1" s="55"/>
      <c r="VUI1" s="55"/>
      <c r="VUJ1" s="55"/>
      <c r="VUK1" s="55"/>
      <c r="VUL1" s="55"/>
      <c r="VUM1" s="55"/>
      <c r="VUN1" s="55"/>
      <c r="VUO1" s="55"/>
      <c r="VUP1" s="55"/>
      <c r="VUQ1" s="55"/>
      <c r="VUR1" s="55"/>
      <c r="VUS1" s="55"/>
      <c r="VUT1" s="55"/>
      <c r="VUU1" s="55"/>
      <c r="VUV1" s="55"/>
      <c r="VUW1" s="55"/>
      <c r="VUX1" s="55"/>
      <c r="VUY1" s="55"/>
      <c r="VUZ1" s="55"/>
      <c r="VVA1" s="55"/>
      <c r="VVB1" s="55"/>
      <c r="VVC1" s="55"/>
      <c r="VVD1" s="55"/>
      <c r="VVE1" s="55"/>
      <c r="VVF1" s="55"/>
      <c r="VVG1" s="55"/>
      <c r="VVH1" s="55"/>
      <c r="VVI1" s="55"/>
      <c r="VVJ1" s="55"/>
      <c r="VVK1" s="55"/>
      <c r="VVL1" s="55"/>
      <c r="VVM1" s="55"/>
      <c r="VVN1" s="55"/>
      <c r="VVO1" s="55"/>
      <c r="VVP1" s="55"/>
      <c r="VVQ1" s="55"/>
      <c r="VVR1" s="55"/>
      <c r="VVS1" s="55"/>
      <c r="VVT1" s="55"/>
      <c r="VVU1" s="55"/>
      <c r="VVV1" s="55"/>
      <c r="VVW1" s="55"/>
      <c r="VVX1" s="55"/>
      <c r="VVY1" s="55"/>
      <c r="VVZ1" s="55"/>
      <c r="VWA1" s="55"/>
      <c r="VWB1" s="55"/>
      <c r="VWC1" s="55"/>
      <c r="VWD1" s="55"/>
      <c r="VWE1" s="55"/>
      <c r="VWF1" s="55"/>
      <c r="VWG1" s="55"/>
      <c r="VWH1" s="55"/>
      <c r="VWI1" s="55"/>
      <c r="VWJ1" s="55"/>
      <c r="VWK1" s="55"/>
      <c r="VWL1" s="55"/>
      <c r="VWM1" s="55"/>
      <c r="VWN1" s="55"/>
      <c r="VWO1" s="55"/>
      <c r="VWP1" s="55"/>
      <c r="VWQ1" s="55"/>
      <c r="VWR1" s="55"/>
      <c r="VWS1" s="55"/>
      <c r="VWT1" s="55"/>
      <c r="VWU1" s="55"/>
      <c r="VWV1" s="55"/>
      <c r="VWW1" s="55"/>
      <c r="VWX1" s="55"/>
      <c r="VWY1" s="55"/>
      <c r="VWZ1" s="55"/>
      <c r="VXA1" s="55"/>
      <c r="VXB1" s="55"/>
      <c r="VXC1" s="55"/>
      <c r="VXD1" s="55"/>
      <c r="VXE1" s="55"/>
      <c r="VXF1" s="55"/>
      <c r="VXG1" s="55"/>
      <c r="VXH1" s="55"/>
      <c r="VXI1" s="55"/>
      <c r="VXJ1" s="55"/>
      <c r="VXK1" s="55"/>
      <c r="VXL1" s="55"/>
      <c r="VXM1" s="55"/>
      <c r="VXN1" s="55"/>
      <c r="VXO1" s="55"/>
      <c r="VXP1" s="55"/>
      <c r="VXQ1" s="55"/>
      <c r="VXR1" s="55"/>
      <c r="VXS1" s="55"/>
      <c r="VXT1" s="55"/>
      <c r="VXU1" s="55"/>
      <c r="VXV1" s="55"/>
      <c r="VXW1" s="55"/>
      <c r="VXX1" s="55"/>
      <c r="VXY1" s="55"/>
      <c r="VXZ1" s="55"/>
      <c r="VYA1" s="55"/>
      <c r="VYB1" s="55"/>
      <c r="VYC1" s="55"/>
      <c r="VYD1" s="55"/>
      <c r="VYE1" s="55"/>
      <c r="VYF1" s="55"/>
      <c r="VYG1" s="55"/>
      <c r="VYH1" s="55"/>
      <c r="VYI1" s="55"/>
      <c r="VYJ1" s="55"/>
      <c r="VYK1" s="55"/>
      <c r="VYL1" s="55"/>
      <c r="VYM1" s="55"/>
      <c r="VYN1" s="55"/>
      <c r="VYO1" s="55"/>
      <c r="VYP1" s="55"/>
      <c r="VYQ1" s="55"/>
      <c r="VYR1" s="55"/>
      <c r="VYS1" s="55"/>
      <c r="VYT1" s="55"/>
      <c r="VYU1" s="55"/>
      <c r="VYV1" s="55"/>
      <c r="VYW1" s="55"/>
      <c r="VYX1" s="55"/>
      <c r="VYY1" s="55"/>
      <c r="VYZ1" s="55"/>
      <c r="VZA1" s="55"/>
      <c r="VZB1" s="55"/>
      <c r="VZC1" s="55"/>
      <c r="VZD1" s="55"/>
      <c r="VZE1" s="55"/>
      <c r="VZF1" s="55"/>
      <c r="VZG1" s="55"/>
      <c r="VZH1" s="55"/>
      <c r="VZI1" s="55"/>
      <c r="VZJ1" s="55"/>
      <c r="VZK1" s="55"/>
      <c r="VZL1" s="55"/>
      <c r="VZM1" s="55"/>
      <c r="VZN1" s="55"/>
      <c r="VZO1" s="55"/>
      <c r="VZP1" s="55"/>
      <c r="VZQ1" s="55"/>
      <c r="VZR1" s="55"/>
      <c r="VZS1" s="55"/>
      <c r="VZT1" s="55"/>
      <c r="VZU1" s="55"/>
      <c r="VZV1" s="55"/>
      <c r="VZW1" s="55"/>
      <c r="VZX1" s="55"/>
      <c r="VZY1" s="55"/>
      <c r="VZZ1" s="55"/>
      <c r="WAA1" s="55"/>
      <c r="WAB1" s="55"/>
      <c r="WAC1" s="55"/>
      <c r="WAD1" s="55"/>
      <c r="WAE1" s="55"/>
      <c r="WAF1" s="55"/>
      <c r="WAG1" s="55"/>
      <c r="WAH1" s="55"/>
      <c r="WAI1" s="55"/>
      <c r="WAJ1" s="55"/>
      <c r="WAK1" s="55"/>
      <c r="WAL1" s="55"/>
      <c r="WAM1" s="55"/>
      <c r="WAN1" s="55"/>
      <c r="WAO1" s="55"/>
      <c r="WAP1" s="55"/>
      <c r="WAQ1" s="55"/>
      <c r="WAR1" s="55"/>
      <c r="WAS1" s="55"/>
      <c r="WAT1" s="55"/>
      <c r="WAU1" s="55"/>
      <c r="WAV1" s="55"/>
      <c r="WAW1" s="55"/>
      <c r="WAX1" s="55"/>
      <c r="WAY1" s="55"/>
      <c r="WAZ1" s="55"/>
      <c r="WBA1" s="55"/>
      <c r="WBB1" s="55"/>
      <c r="WBC1" s="55"/>
      <c r="WBD1" s="55"/>
      <c r="WBE1" s="55"/>
      <c r="WBF1" s="55"/>
      <c r="WBG1" s="55"/>
      <c r="WBH1" s="55"/>
      <c r="WBI1" s="55"/>
      <c r="WBJ1" s="55"/>
      <c r="WBK1" s="55"/>
      <c r="WBL1" s="55"/>
      <c r="WBM1" s="55"/>
      <c r="WBN1" s="55"/>
      <c r="WBO1" s="55"/>
      <c r="WBP1" s="55"/>
      <c r="WBQ1" s="55"/>
      <c r="WBR1" s="55"/>
      <c r="WBS1" s="55"/>
      <c r="WBT1" s="55"/>
      <c r="WBU1" s="55"/>
      <c r="WBV1" s="55"/>
      <c r="WBW1" s="55"/>
      <c r="WBX1" s="55"/>
      <c r="WBY1" s="55"/>
      <c r="WBZ1" s="55"/>
      <c r="WCA1" s="55"/>
      <c r="WCB1" s="55"/>
      <c r="WCC1" s="55"/>
      <c r="WCD1" s="55"/>
      <c r="WCE1" s="55"/>
      <c r="WCF1" s="55"/>
      <c r="WCG1" s="55"/>
      <c r="WCH1" s="55"/>
      <c r="WCI1" s="55"/>
      <c r="WCJ1" s="55"/>
      <c r="WCK1" s="55"/>
      <c r="WCL1" s="55"/>
      <c r="WCM1" s="55"/>
      <c r="WCN1" s="55"/>
      <c r="WCO1" s="55"/>
      <c r="WCP1" s="55"/>
      <c r="WCQ1" s="55"/>
      <c r="WCR1" s="55"/>
      <c r="WCS1" s="55"/>
      <c r="WCT1" s="55"/>
      <c r="WCU1" s="55"/>
      <c r="WCV1" s="55"/>
      <c r="WCW1" s="55"/>
      <c r="WCX1" s="55"/>
      <c r="WCY1" s="55"/>
      <c r="WCZ1" s="55"/>
      <c r="WDA1" s="55"/>
      <c r="WDB1" s="55"/>
      <c r="WDC1" s="55"/>
      <c r="WDD1" s="55"/>
      <c r="WDE1" s="55"/>
      <c r="WDF1" s="55"/>
      <c r="WDG1" s="55"/>
      <c r="WDH1" s="55"/>
      <c r="WDI1" s="55"/>
      <c r="WDJ1" s="55"/>
      <c r="WDK1" s="55"/>
      <c r="WDL1" s="55"/>
      <c r="WDM1" s="55"/>
      <c r="WDN1" s="55"/>
      <c r="WDO1" s="55"/>
      <c r="WDP1" s="55"/>
      <c r="WDQ1" s="55"/>
      <c r="WDR1" s="55"/>
      <c r="WDS1" s="55"/>
      <c r="WDT1" s="55"/>
      <c r="WDU1" s="55"/>
      <c r="WDV1" s="55"/>
      <c r="WDW1" s="55"/>
      <c r="WDX1" s="55"/>
      <c r="WDY1" s="55"/>
      <c r="WDZ1" s="55"/>
      <c r="WEA1" s="55"/>
      <c r="WEB1" s="55"/>
      <c r="WEC1" s="55"/>
      <c r="WED1" s="55"/>
      <c r="WEE1" s="55"/>
      <c r="WEF1" s="55"/>
      <c r="WEG1" s="55"/>
      <c r="WEH1" s="55"/>
      <c r="WEI1" s="55"/>
      <c r="WEJ1" s="55"/>
      <c r="WEK1" s="55"/>
      <c r="WEL1" s="55"/>
      <c r="WEM1" s="55"/>
      <c r="WEN1" s="55"/>
      <c r="WEO1" s="55"/>
      <c r="WEP1" s="55"/>
      <c r="WEQ1" s="55"/>
      <c r="WER1" s="55"/>
      <c r="WES1" s="55"/>
      <c r="WET1" s="55"/>
      <c r="WEU1" s="55"/>
      <c r="WEV1" s="55"/>
      <c r="WEW1" s="55"/>
      <c r="WEX1" s="55"/>
      <c r="WEY1" s="55"/>
      <c r="WEZ1" s="55"/>
      <c r="WFA1" s="55"/>
      <c r="WFB1" s="55"/>
      <c r="WFC1" s="55"/>
      <c r="WFD1" s="55"/>
      <c r="WFE1" s="55"/>
      <c r="WFF1" s="55"/>
      <c r="WFG1" s="55"/>
      <c r="WFH1" s="55"/>
      <c r="WFI1" s="55"/>
      <c r="WFJ1" s="55"/>
      <c r="WFK1" s="55"/>
      <c r="WFL1" s="55"/>
      <c r="WFM1" s="55"/>
      <c r="WFN1" s="55"/>
      <c r="WFO1" s="55"/>
      <c r="WFP1" s="55"/>
      <c r="WFQ1" s="55"/>
      <c r="WFR1" s="55"/>
      <c r="WFS1" s="55"/>
      <c r="WFT1" s="55"/>
      <c r="WFU1" s="55"/>
      <c r="WFV1" s="55"/>
      <c r="WFW1" s="55"/>
      <c r="WFX1" s="55"/>
      <c r="WFY1" s="55"/>
      <c r="WFZ1" s="55"/>
      <c r="WGA1" s="55"/>
      <c r="WGB1" s="55"/>
      <c r="WGC1" s="55"/>
      <c r="WGD1" s="55"/>
      <c r="WGE1" s="55"/>
      <c r="WGF1" s="55"/>
      <c r="WGG1" s="55"/>
      <c r="WGH1" s="55"/>
      <c r="WGI1" s="55"/>
      <c r="WGJ1" s="55"/>
      <c r="WGK1" s="55"/>
      <c r="WGL1" s="55"/>
      <c r="WGM1" s="55"/>
      <c r="WGN1" s="55"/>
      <c r="WGO1" s="55"/>
      <c r="WGP1" s="55"/>
      <c r="WGQ1" s="55"/>
      <c r="WGR1" s="55"/>
      <c r="WGS1" s="55"/>
      <c r="WGT1" s="55"/>
      <c r="WGU1" s="55"/>
      <c r="WGV1" s="55"/>
      <c r="WGW1" s="55"/>
      <c r="WGX1" s="55"/>
      <c r="WGY1" s="55"/>
      <c r="WGZ1" s="55"/>
      <c r="WHA1" s="55"/>
      <c r="WHB1" s="55"/>
      <c r="WHC1" s="55"/>
      <c r="WHD1" s="55"/>
      <c r="WHE1" s="55"/>
      <c r="WHF1" s="55"/>
      <c r="WHG1" s="55"/>
      <c r="WHH1" s="55"/>
      <c r="WHI1" s="55"/>
      <c r="WHJ1" s="55"/>
      <c r="WHK1" s="55"/>
      <c r="WHL1" s="55"/>
      <c r="WHM1" s="55"/>
      <c r="WHN1" s="55"/>
      <c r="WHO1" s="55"/>
      <c r="WHP1" s="55"/>
      <c r="WHQ1" s="55"/>
      <c r="WHR1" s="55"/>
      <c r="WHS1" s="55"/>
      <c r="WHT1" s="55"/>
      <c r="WHU1" s="55"/>
      <c r="WHV1" s="55"/>
      <c r="WHW1" s="55"/>
      <c r="WHX1" s="55"/>
      <c r="WHY1" s="55"/>
      <c r="WHZ1" s="55"/>
      <c r="WIA1" s="55"/>
      <c r="WIB1" s="55"/>
      <c r="WIC1" s="55"/>
      <c r="WID1" s="55"/>
      <c r="WIE1" s="55"/>
      <c r="WIF1" s="55"/>
      <c r="WIG1" s="55"/>
      <c r="WIH1" s="55"/>
      <c r="WII1" s="55"/>
      <c r="WIJ1" s="55"/>
      <c r="WIK1" s="55"/>
      <c r="WIL1" s="55"/>
      <c r="WIM1" s="55"/>
      <c r="WIN1" s="55"/>
      <c r="WIO1" s="55"/>
      <c r="WIP1" s="55"/>
      <c r="WIQ1" s="55"/>
      <c r="WIR1" s="55"/>
      <c r="WIS1" s="55"/>
      <c r="WIT1" s="55"/>
      <c r="WIU1" s="55"/>
      <c r="WIV1" s="55"/>
      <c r="WIW1" s="55"/>
      <c r="WIX1" s="55"/>
      <c r="WIY1" s="55"/>
      <c r="WIZ1" s="55"/>
      <c r="WJA1" s="55"/>
      <c r="WJB1" s="55"/>
      <c r="WJC1" s="55"/>
      <c r="WJD1" s="55"/>
      <c r="WJE1" s="55"/>
      <c r="WJF1" s="55"/>
      <c r="WJG1" s="55"/>
      <c r="WJH1" s="55"/>
      <c r="WJI1" s="55"/>
      <c r="WJJ1" s="55"/>
      <c r="WJK1" s="55"/>
      <c r="WJL1" s="55"/>
      <c r="WJM1" s="55"/>
      <c r="WJN1" s="55"/>
      <c r="WJO1" s="55"/>
      <c r="WJP1" s="55"/>
      <c r="WJQ1" s="55"/>
      <c r="WJR1" s="55"/>
      <c r="WJS1" s="55"/>
      <c r="WJT1" s="55"/>
      <c r="WJU1" s="55"/>
      <c r="WJV1" s="55"/>
      <c r="WJW1" s="55"/>
      <c r="WJX1" s="55"/>
      <c r="WJY1" s="55"/>
      <c r="WJZ1" s="55"/>
      <c r="WKA1" s="55"/>
      <c r="WKB1" s="55"/>
      <c r="WKC1" s="55"/>
      <c r="WKD1" s="55"/>
      <c r="WKE1" s="55"/>
      <c r="WKF1" s="55"/>
      <c r="WKG1" s="55"/>
      <c r="WKH1" s="55"/>
      <c r="WKI1" s="55"/>
      <c r="WKJ1" s="55"/>
      <c r="WKK1" s="55"/>
      <c r="WKL1" s="55"/>
      <c r="WKM1" s="55"/>
      <c r="WKN1" s="55"/>
      <c r="WKO1" s="55"/>
      <c r="WKP1" s="55"/>
      <c r="WKQ1" s="55"/>
      <c r="WKR1" s="55"/>
      <c r="WKS1" s="55"/>
      <c r="WKT1" s="55"/>
      <c r="WKU1" s="55"/>
      <c r="WKV1" s="55"/>
      <c r="WKW1" s="55"/>
      <c r="WKX1" s="55"/>
      <c r="WKY1" s="55"/>
      <c r="WKZ1" s="55"/>
      <c r="WLA1" s="55"/>
      <c r="WLB1" s="55"/>
      <c r="WLC1" s="55"/>
      <c r="WLD1" s="55"/>
      <c r="WLE1" s="55"/>
      <c r="WLF1" s="55"/>
      <c r="WLG1" s="55"/>
      <c r="WLH1" s="55"/>
      <c r="WLI1" s="55"/>
      <c r="WLJ1" s="55"/>
      <c r="WLK1" s="55"/>
      <c r="WLL1" s="55"/>
      <c r="WLM1" s="55"/>
      <c r="WLN1" s="55"/>
      <c r="WLO1" s="55"/>
      <c r="WLP1" s="55"/>
      <c r="WLQ1" s="55"/>
      <c r="WLR1" s="55"/>
      <c r="WLS1" s="55"/>
      <c r="WLT1" s="55"/>
      <c r="WLU1" s="55"/>
      <c r="WLV1" s="55"/>
      <c r="WLW1" s="55"/>
      <c r="WLX1" s="55"/>
      <c r="WLY1" s="55"/>
      <c r="WLZ1" s="55"/>
      <c r="WMA1" s="55"/>
      <c r="WMB1" s="55"/>
      <c r="WMC1" s="55"/>
      <c r="WMD1" s="55"/>
      <c r="WME1" s="55"/>
      <c r="WMF1" s="55"/>
      <c r="WMG1" s="55"/>
      <c r="WMH1" s="55"/>
      <c r="WMI1" s="55"/>
      <c r="WMJ1" s="55"/>
      <c r="WMK1" s="55"/>
      <c r="WML1" s="55"/>
      <c r="WMM1" s="55"/>
      <c r="WMN1" s="55"/>
      <c r="WMO1" s="55"/>
      <c r="WMP1" s="55"/>
      <c r="WMQ1" s="55"/>
      <c r="WMR1" s="55"/>
      <c r="WMS1" s="55"/>
      <c r="WMT1" s="55"/>
      <c r="WMU1" s="55"/>
      <c r="WMV1" s="55"/>
      <c r="WMW1" s="55"/>
      <c r="WMX1" s="55"/>
      <c r="WMY1" s="55"/>
      <c r="WMZ1" s="55"/>
      <c r="WNA1" s="55"/>
      <c r="WNB1" s="55"/>
      <c r="WNC1" s="55"/>
      <c r="WND1" s="55"/>
      <c r="WNE1" s="55"/>
      <c r="WNF1" s="55"/>
      <c r="WNG1" s="55"/>
      <c r="WNH1" s="55"/>
      <c r="WNI1" s="55"/>
      <c r="WNJ1" s="55"/>
      <c r="WNK1" s="55"/>
      <c r="WNL1" s="55"/>
      <c r="WNM1" s="55"/>
      <c r="WNN1" s="55"/>
      <c r="WNO1" s="55"/>
      <c r="WNP1" s="55"/>
      <c r="WNQ1" s="55"/>
      <c r="WNR1" s="55"/>
      <c r="WNS1" s="55"/>
      <c r="WNT1" s="55"/>
      <c r="WNU1" s="55"/>
      <c r="WNV1" s="55"/>
      <c r="WNW1" s="55"/>
      <c r="WNX1" s="55"/>
      <c r="WNY1" s="55"/>
      <c r="WNZ1" s="55"/>
      <c r="WOA1" s="55"/>
      <c r="WOB1" s="55"/>
      <c r="WOC1" s="55"/>
      <c r="WOD1" s="55"/>
      <c r="WOE1" s="55"/>
      <c r="WOF1" s="55"/>
      <c r="WOG1" s="55"/>
      <c r="WOH1" s="55"/>
      <c r="WOI1" s="55"/>
      <c r="WOJ1" s="55"/>
      <c r="WOK1" s="55"/>
      <c r="WOL1" s="55"/>
      <c r="WOM1" s="55"/>
      <c r="WON1" s="55"/>
      <c r="WOO1" s="55"/>
      <c r="WOP1" s="55"/>
      <c r="WOQ1" s="55"/>
      <c r="WOR1" s="55"/>
      <c r="WOS1" s="55"/>
      <c r="WOT1" s="55"/>
      <c r="WOU1" s="55"/>
      <c r="WOV1" s="55"/>
      <c r="WOW1" s="55"/>
      <c r="WOX1" s="55"/>
      <c r="WOY1" s="55"/>
      <c r="WOZ1" s="55"/>
      <c r="WPA1" s="55"/>
      <c r="WPB1" s="55"/>
      <c r="WPC1" s="55"/>
      <c r="WPD1" s="55"/>
      <c r="WPE1" s="55"/>
      <c r="WPF1" s="55"/>
      <c r="WPG1" s="55"/>
      <c r="WPH1" s="55"/>
      <c r="WPI1" s="55"/>
      <c r="WPJ1" s="55"/>
      <c r="WPK1" s="55"/>
      <c r="WPL1" s="55"/>
      <c r="WPM1" s="55"/>
      <c r="WPN1" s="55"/>
      <c r="WPO1" s="55"/>
      <c r="WPP1" s="55"/>
      <c r="WPQ1" s="55"/>
      <c r="WPR1" s="55"/>
      <c r="WPS1" s="55"/>
      <c r="WPT1" s="55"/>
      <c r="WPU1" s="55"/>
      <c r="WPV1" s="55"/>
      <c r="WPW1" s="55"/>
      <c r="WPX1" s="55"/>
      <c r="WPY1" s="55"/>
      <c r="WPZ1" s="55"/>
      <c r="WQA1" s="55"/>
      <c r="WQB1" s="55"/>
      <c r="WQC1" s="55"/>
      <c r="WQD1" s="55"/>
      <c r="WQE1" s="55"/>
      <c r="WQF1" s="55"/>
      <c r="WQG1" s="55"/>
      <c r="WQH1" s="55"/>
      <c r="WQI1" s="55"/>
      <c r="WQJ1" s="55"/>
      <c r="WQK1" s="55"/>
      <c r="WQL1" s="55"/>
      <c r="WQM1" s="55"/>
      <c r="WQN1" s="55"/>
      <c r="WQO1" s="55"/>
      <c r="WQP1" s="55"/>
      <c r="WQQ1" s="55"/>
      <c r="WQR1" s="55"/>
      <c r="WQS1" s="55"/>
      <c r="WQT1" s="55"/>
      <c r="WQU1" s="55"/>
      <c r="WQV1" s="55"/>
      <c r="WQW1" s="55"/>
      <c r="WQX1" s="55"/>
      <c r="WQY1" s="55"/>
      <c r="WQZ1" s="55"/>
      <c r="WRA1" s="55"/>
      <c r="WRB1" s="55"/>
      <c r="WRC1" s="55"/>
      <c r="WRD1" s="55"/>
      <c r="WRE1" s="55"/>
      <c r="WRF1" s="55"/>
      <c r="WRG1" s="55"/>
      <c r="WRH1" s="55"/>
      <c r="WRI1" s="55"/>
      <c r="WRJ1" s="55"/>
      <c r="WRK1" s="55"/>
      <c r="WRL1" s="55"/>
      <c r="WRM1" s="55"/>
      <c r="WRN1" s="55"/>
      <c r="WRO1" s="55"/>
      <c r="WRP1" s="55"/>
      <c r="WRQ1" s="55"/>
      <c r="WRR1" s="55"/>
      <c r="WRS1" s="55"/>
      <c r="WRT1" s="55"/>
      <c r="WRU1" s="55"/>
      <c r="WRV1" s="55"/>
      <c r="WRW1" s="55"/>
      <c r="WRX1" s="55"/>
      <c r="WRY1" s="55"/>
      <c r="WRZ1" s="55"/>
      <c r="WSA1" s="55"/>
      <c r="WSB1" s="55"/>
      <c r="WSC1" s="55"/>
      <c r="WSD1" s="55"/>
      <c r="WSE1" s="55"/>
      <c r="WSF1" s="55"/>
      <c r="WSG1" s="55"/>
      <c r="WSH1" s="55"/>
      <c r="WSI1" s="55"/>
      <c r="WSJ1" s="55"/>
      <c r="WSK1" s="55"/>
      <c r="WSL1" s="55"/>
      <c r="WSM1" s="55"/>
      <c r="WSN1" s="55"/>
      <c r="WSO1" s="55"/>
      <c r="WSP1" s="55"/>
      <c r="WSQ1" s="55"/>
      <c r="WSR1" s="55"/>
      <c r="WSS1" s="55"/>
      <c r="WST1" s="55"/>
      <c r="WSU1" s="55"/>
      <c r="WSV1" s="55"/>
      <c r="WSW1" s="55"/>
      <c r="WSX1" s="55"/>
      <c r="WSY1" s="55"/>
      <c r="WSZ1" s="55"/>
      <c r="WTA1" s="55"/>
      <c r="WTB1" s="55"/>
      <c r="WTC1" s="55"/>
      <c r="WTD1" s="55"/>
      <c r="WTE1" s="55"/>
      <c r="WTF1" s="55"/>
      <c r="WTG1" s="55"/>
      <c r="WTH1" s="55"/>
      <c r="WTI1" s="55"/>
      <c r="WTJ1" s="55"/>
      <c r="WTK1" s="55"/>
      <c r="WTL1" s="55"/>
      <c r="WTM1" s="55"/>
      <c r="WTN1" s="55"/>
      <c r="WTO1" s="55"/>
      <c r="WTP1" s="55"/>
      <c r="WTQ1" s="55"/>
      <c r="WTR1" s="55"/>
      <c r="WTS1" s="55"/>
      <c r="WTT1" s="55"/>
      <c r="WTU1" s="55"/>
      <c r="WTV1" s="55"/>
      <c r="WTW1" s="55"/>
      <c r="WTX1" s="55"/>
      <c r="WTY1" s="55"/>
      <c r="WTZ1" s="55"/>
      <c r="WUA1" s="55"/>
      <c r="WUB1" s="55"/>
      <c r="WUC1" s="55"/>
      <c r="WUD1" s="55"/>
      <c r="WUE1" s="55"/>
      <c r="WUF1" s="55"/>
      <c r="WUG1" s="55"/>
      <c r="WUH1" s="55"/>
      <c r="WUI1" s="55"/>
      <c r="WUJ1" s="55"/>
      <c r="WUK1" s="55"/>
      <c r="WUL1" s="55"/>
      <c r="WUM1" s="55"/>
      <c r="WUN1" s="55"/>
      <c r="WUO1" s="55"/>
      <c r="WUP1" s="55"/>
      <c r="WUQ1" s="55"/>
      <c r="WUR1" s="55"/>
      <c r="WUS1" s="55"/>
      <c r="WUT1" s="55"/>
      <c r="WUU1" s="55"/>
      <c r="WUV1" s="55"/>
      <c r="WUW1" s="55"/>
      <c r="WUX1" s="55"/>
      <c r="WUY1" s="55"/>
      <c r="WUZ1" s="55"/>
      <c r="WVA1" s="55"/>
      <c r="WVB1" s="55"/>
      <c r="WVC1" s="55"/>
      <c r="WVD1" s="55"/>
      <c r="WVE1" s="55"/>
      <c r="WVF1" s="55"/>
      <c r="WVG1" s="55"/>
      <c r="WVH1" s="55"/>
      <c r="WVI1" s="55"/>
      <c r="WVJ1" s="55"/>
      <c r="WVK1" s="55"/>
      <c r="WVL1" s="55"/>
      <c r="WVM1" s="55"/>
      <c r="WVN1" s="55"/>
      <c r="WVO1" s="55"/>
      <c r="WVP1" s="55"/>
      <c r="WVQ1" s="55"/>
      <c r="WVR1" s="55"/>
      <c r="WVS1" s="55"/>
      <c r="WVT1" s="55"/>
      <c r="WVU1" s="55"/>
      <c r="WVV1" s="55"/>
      <c r="WVW1" s="55"/>
      <c r="WVX1" s="55"/>
      <c r="WVY1" s="55"/>
      <c r="WVZ1" s="55"/>
      <c r="WWA1" s="55"/>
      <c r="WWB1" s="55"/>
      <c r="WWC1" s="55"/>
      <c r="WWD1" s="55"/>
      <c r="WWE1" s="55"/>
      <c r="WWF1" s="55"/>
      <c r="WWG1" s="55"/>
      <c r="WWH1" s="55"/>
      <c r="WWI1" s="55"/>
      <c r="WWJ1" s="55"/>
      <c r="WWK1" s="55"/>
      <c r="WWL1" s="55"/>
      <c r="WWM1" s="55"/>
      <c r="WWN1" s="55"/>
      <c r="WWO1" s="55"/>
      <c r="WWP1" s="55"/>
      <c r="WWQ1" s="55"/>
      <c r="WWR1" s="55"/>
      <c r="WWS1" s="55"/>
      <c r="WWT1" s="55"/>
      <c r="WWU1" s="55"/>
      <c r="WWV1" s="55"/>
      <c r="WWW1" s="55"/>
      <c r="WWX1" s="55"/>
      <c r="WWY1" s="55"/>
      <c r="WWZ1" s="55"/>
      <c r="WXA1" s="55"/>
      <c r="WXB1" s="55"/>
      <c r="WXC1" s="55"/>
      <c r="WXD1" s="55"/>
      <c r="WXE1" s="55"/>
      <c r="WXF1" s="55"/>
      <c r="WXG1" s="55"/>
      <c r="WXH1" s="55"/>
      <c r="WXI1" s="55"/>
      <c r="WXJ1" s="55"/>
      <c r="WXK1" s="55"/>
      <c r="WXL1" s="55"/>
      <c r="WXM1" s="55"/>
      <c r="WXN1" s="55"/>
      <c r="WXO1" s="55"/>
      <c r="WXP1" s="55"/>
      <c r="WXQ1" s="55"/>
      <c r="WXR1" s="55"/>
      <c r="WXS1" s="55"/>
      <c r="WXT1" s="55"/>
      <c r="WXU1" s="55"/>
      <c r="WXV1" s="55"/>
      <c r="WXW1" s="55"/>
      <c r="WXX1" s="55"/>
      <c r="WXY1" s="55"/>
      <c r="WXZ1" s="55"/>
      <c r="WYA1" s="55"/>
      <c r="WYB1" s="55"/>
      <c r="WYC1" s="55"/>
      <c r="WYD1" s="55"/>
      <c r="WYE1" s="55"/>
      <c r="WYF1" s="55"/>
      <c r="WYG1" s="55"/>
      <c r="WYH1" s="55"/>
      <c r="WYI1" s="55"/>
      <c r="WYJ1" s="55"/>
      <c r="WYK1" s="55"/>
      <c r="WYL1" s="55"/>
      <c r="WYM1" s="55"/>
      <c r="WYN1" s="55"/>
      <c r="WYO1" s="55"/>
      <c r="WYP1" s="55"/>
      <c r="WYQ1" s="55"/>
      <c r="WYR1" s="55"/>
      <c r="WYS1" s="55"/>
      <c r="WYT1" s="55"/>
      <c r="WYU1" s="55"/>
      <c r="WYV1" s="55"/>
      <c r="WYW1" s="55"/>
      <c r="WYX1" s="55"/>
      <c r="WYY1" s="55"/>
      <c r="WYZ1" s="55"/>
      <c r="WZA1" s="55"/>
      <c r="WZB1" s="55"/>
      <c r="WZC1" s="55"/>
      <c r="WZD1" s="55"/>
      <c r="WZE1" s="55"/>
      <c r="WZF1" s="55"/>
      <c r="WZG1" s="55"/>
      <c r="WZH1" s="55"/>
      <c r="WZI1" s="55"/>
      <c r="WZJ1" s="55"/>
      <c r="WZK1" s="55"/>
      <c r="WZL1" s="55"/>
      <c r="WZM1" s="55"/>
      <c r="WZN1" s="55"/>
      <c r="WZO1" s="55"/>
      <c r="WZP1" s="55"/>
      <c r="WZQ1" s="55"/>
      <c r="WZR1" s="55"/>
      <c r="WZS1" s="55"/>
      <c r="WZT1" s="55"/>
      <c r="WZU1" s="55"/>
      <c r="WZV1" s="55"/>
      <c r="WZW1" s="55"/>
      <c r="WZX1" s="55"/>
      <c r="WZY1" s="55"/>
      <c r="WZZ1" s="55"/>
      <c r="XAA1" s="55"/>
      <c r="XAB1" s="55"/>
      <c r="XAC1" s="55"/>
      <c r="XAD1" s="55"/>
      <c r="XAE1" s="55"/>
      <c r="XAF1" s="55"/>
      <c r="XAG1" s="55"/>
      <c r="XAH1" s="55"/>
      <c r="XAI1" s="55"/>
      <c r="XAJ1" s="55"/>
      <c r="XAK1" s="55"/>
      <c r="XAL1" s="55"/>
      <c r="XAM1" s="55"/>
      <c r="XAN1" s="55"/>
      <c r="XAO1" s="55"/>
      <c r="XAP1" s="55"/>
      <c r="XAQ1" s="55"/>
      <c r="XAR1" s="55"/>
      <c r="XAS1" s="55"/>
      <c r="XAT1" s="55"/>
      <c r="XAU1" s="55"/>
      <c r="XAV1" s="55"/>
      <c r="XAW1" s="55"/>
      <c r="XAX1" s="55"/>
      <c r="XAY1" s="55"/>
      <c r="XAZ1" s="55"/>
      <c r="XBA1" s="55"/>
      <c r="XBB1" s="55"/>
      <c r="XBC1" s="55"/>
      <c r="XBD1" s="55"/>
      <c r="XBE1" s="55"/>
      <c r="XBF1" s="55"/>
      <c r="XBG1" s="55"/>
      <c r="XBH1" s="55"/>
      <c r="XBI1" s="55"/>
      <c r="XBJ1" s="55"/>
      <c r="XBK1" s="55"/>
      <c r="XBL1" s="55"/>
      <c r="XBM1" s="55"/>
      <c r="XBN1" s="55"/>
      <c r="XBO1" s="55"/>
      <c r="XBP1" s="55"/>
      <c r="XBQ1" s="55"/>
      <c r="XBR1" s="55"/>
      <c r="XBS1" s="55"/>
      <c r="XBT1" s="55"/>
      <c r="XBU1" s="55"/>
      <c r="XBV1" s="55"/>
      <c r="XBW1" s="55"/>
      <c r="XBX1" s="55"/>
      <c r="XBY1" s="55"/>
      <c r="XBZ1" s="55"/>
      <c r="XCA1" s="55"/>
      <c r="XCB1" s="55"/>
      <c r="XCC1" s="55"/>
      <c r="XCD1" s="55"/>
      <c r="XCE1" s="55"/>
      <c r="XCF1" s="55"/>
      <c r="XCG1" s="55"/>
      <c r="XCH1" s="55"/>
      <c r="XCI1" s="55"/>
      <c r="XCJ1" s="55"/>
      <c r="XCK1" s="55"/>
      <c r="XCL1" s="55"/>
      <c r="XCM1" s="55"/>
      <c r="XCN1" s="55"/>
      <c r="XCO1" s="55"/>
      <c r="XCP1" s="55"/>
      <c r="XCQ1" s="55"/>
      <c r="XCR1" s="55"/>
      <c r="XCS1" s="55"/>
      <c r="XCT1" s="55"/>
      <c r="XCU1" s="55"/>
      <c r="XCV1" s="55"/>
      <c r="XCW1" s="55"/>
      <c r="XCX1" s="55"/>
      <c r="XCY1" s="55"/>
      <c r="XCZ1" s="55"/>
      <c r="XDA1" s="55"/>
      <c r="XDB1" s="55"/>
      <c r="XDC1" s="55"/>
      <c r="XDD1" s="55"/>
      <c r="XDE1" s="55"/>
      <c r="XDF1" s="55"/>
      <c r="XDG1" s="55"/>
      <c r="XDH1" s="55"/>
      <c r="XDI1" s="55"/>
      <c r="XDJ1" s="55"/>
      <c r="XDK1" s="55"/>
      <c r="XDL1" s="55"/>
      <c r="XDM1" s="55"/>
      <c r="XDN1" s="55"/>
      <c r="XDO1" s="55"/>
      <c r="XDP1" s="55"/>
      <c r="XDQ1" s="55"/>
      <c r="XDR1" s="55"/>
      <c r="XDS1" s="55"/>
      <c r="XDT1" s="55"/>
      <c r="XDU1" s="55"/>
      <c r="XDV1" s="55"/>
      <c r="XDW1" s="55"/>
      <c r="XDX1" s="55"/>
      <c r="XDY1" s="55"/>
      <c r="XDZ1" s="55"/>
      <c r="XEA1" s="55"/>
      <c r="XEB1" s="55"/>
      <c r="XEC1" s="55"/>
      <c r="XED1" s="55"/>
      <c r="XEE1" s="55"/>
      <c r="XEF1" s="55"/>
      <c r="XEG1" s="55"/>
      <c r="XEH1" s="55"/>
      <c r="XEI1" s="55"/>
      <c r="XEJ1" s="55"/>
      <c r="XEK1" s="55"/>
      <c r="XEL1" s="55"/>
      <c r="XEM1" s="55"/>
      <c r="XEN1" s="55"/>
      <c r="XEO1" s="55"/>
      <c r="XEP1" s="55"/>
      <c r="XEQ1" s="55"/>
      <c r="XER1" s="55"/>
      <c r="XES1" s="55"/>
      <c r="XET1" s="55"/>
      <c r="XEU1" s="55"/>
      <c r="XEV1" s="55"/>
      <c r="XEW1" s="55"/>
      <c r="XEX1" s="55"/>
      <c r="XEY1" s="55"/>
    </row>
    <row r="3" spans="1:16379" s="78" customFormat="1" ht="51">
      <c r="B3" s="78" t="s">
        <v>68</v>
      </c>
      <c r="C3" s="78" t="s">
        <v>385</v>
      </c>
      <c r="D3" s="78" t="s">
        <v>386</v>
      </c>
      <c r="E3" s="78" t="s">
        <v>387</v>
      </c>
      <c r="F3" s="78" t="s">
        <v>353</v>
      </c>
      <c r="G3" s="78" t="s">
        <v>355</v>
      </c>
      <c r="H3" s="78" t="s">
        <v>388</v>
      </c>
      <c r="I3" s="78" t="s">
        <v>389</v>
      </c>
      <c r="J3" s="78" t="s">
        <v>390</v>
      </c>
      <c r="K3" s="78" t="s">
        <v>391</v>
      </c>
      <c r="L3" s="78" t="s">
        <v>182</v>
      </c>
    </row>
    <row r="4" spans="1:16379" s="80" customFormat="1">
      <c r="A4" s="79" t="s">
        <v>365</v>
      </c>
      <c r="B4" s="48">
        <v>1</v>
      </c>
      <c r="C4" s="48">
        <v>3</v>
      </c>
      <c r="D4" s="48">
        <v>5</v>
      </c>
      <c r="E4" s="48" t="s">
        <v>151</v>
      </c>
      <c r="F4" s="48">
        <v>9</v>
      </c>
      <c r="G4" s="48">
        <v>10</v>
      </c>
      <c r="H4" s="48">
        <v>13</v>
      </c>
      <c r="I4" s="48">
        <v>16</v>
      </c>
      <c r="J4" s="48">
        <v>18</v>
      </c>
      <c r="K4" s="48" t="s">
        <v>179</v>
      </c>
      <c r="L4" s="48" t="s">
        <v>181</v>
      </c>
    </row>
    <row r="5" spans="1:16379">
      <c r="A5" s="668" t="s">
        <v>988</v>
      </c>
      <c r="B5" s="892">
        <v>8654385.9464500006</v>
      </c>
      <c r="C5" s="892">
        <v>3134508.2835499998</v>
      </c>
      <c r="D5" s="892">
        <v>58692</v>
      </c>
      <c r="E5" s="892">
        <v>30440</v>
      </c>
      <c r="F5" s="892">
        <v>15000279.313288994</v>
      </c>
      <c r="G5" s="892">
        <v>1792758.0743786241</v>
      </c>
      <c r="H5" s="892">
        <v>454326.37</v>
      </c>
      <c r="I5" s="892">
        <v>1509210.7900000003</v>
      </c>
      <c r="J5" s="892">
        <v>694403.11174999992</v>
      </c>
      <c r="K5" s="892">
        <v>330679.8333</v>
      </c>
      <c r="L5" s="892">
        <v>15856.982213190004</v>
      </c>
    </row>
    <row r="6" spans="1:16379">
      <c r="A6" s="879" t="s">
        <v>366</v>
      </c>
      <c r="B6" s="892">
        <v>8636710.8130700011</v>
      </c>
      <c r="C6" s="892">
        <v>3117972.4169299994</v>
      </c>
      <c r="D6" s="892">
        <v>58692</v>
      </c>
      <c r="E6" s="892">
        <v>30440</v>
      </c>
      <c r="F6" s="892">
        <v>15077640.186543459</v>
      </c>
      <c r="G6" s="892">
        <v>1794165.7047908406</v>
      </c>
      <c r="H6" s="892">
        <v>374838.12</v>
      </c>
      <c r="I6" s="892">
        <v>1509210.7900000003</v>
      </c>
      <c r="J6" s="892">
        <v>694403.11174999992</v>
      </c>
      <c r="K6" s="892">
        <v>330680.25</v>
      </c>
      <c r="L6" s="892">
        <v>15857.068893550313</v>
      </c>
    </row>
    <row r="7" spans="1:16379">
      <c r="A7" s="879" t="s">
        <v>367</v>
      </c>
      <c r="B7" s="892">
        <v>9551675.6093800012</v>
      </c>
      <c r="C7" s="892">
        <v>3519388.6606199984</v>
      </c>
      <c r="D7" s="892">
        <v>58692</v>
      </c>
      <c r="E7" s="892">
        <v>30440</v>
      </c>
      <c r="F7" s="892">
        <v>15127396.395109028</v>
      </c>
      <c r="G7" s="892">
        <v>1807662.520694006</v>
      </c>
      <c r="H7" s="892">
        <v>421802.14</v>
      </c>
      <c r="I7" s="892">
        <v>1509210.7900000003</v>
      </c>
      <c r="J7" s="892">
        <v>694403.11170000001</v>
      </c>
      <c r="K7" s="892">
        <v>330680.25</v>
      </c>
      <c r="L7" s="892">
        <v>15857.12138840839</v>
      </c>
    </row>
    <row r="8" spans="1:16379">
      <c r="A8" s="879" t="s">
        <v>368</v>
      </c>
      <c r="B8" s="892">
        <v>9367823.5656000003</v>
      </c>
      <c r="C8" s="892">
        <v>3468802.8843999989</v>
      </c>
      <c r="D8" s="892">
        <v>58692</v>
      </c>
      <c r="E8" s="892">
        <v>30440</v>
      </c>
      <c r="F8" s="892">
        <v>15113467.355475254</v>
      </c>
      <c r="G8" s="892">
        <v>1773969.8504513716</v>
      </c>
      <c r="H8" s="892">
        <v>401531.74</v>
      </c>
      <c r="I8" s="892">
        <v>1509210.7900000003</v>
      </c>
      <c r="J8" s="892">
        <v>694403.11170000001</v>
      </c>
      <c r="K8" s="892">
        <v>330680.25</v>
      </c>
      <c r="L8" s="892">
        <v>15857.179109211231</v>
      </c>
    </row>
    <row r="9" spans="1:16379">
      <c r="A9" s="879" t="s">
        <v>362</v>
      </c>
      <c r="B9" s="892">
        <v>8791967.2849200014</v>
      </c>
      <c r="C9" s="892">
        <v>3244136.8850799985</v>
      </c>
      <c r="D9" s="892">
        <v>58692</v>
      </c>
      <c r="E9" s="892">
        <v>30440</v>
      </c>
      <c r="F9" s="892">
        <v>15165478.805236731</v>
      </c>
      <c r="G9" s="892">
        <v>1784571.7904292466</v>
      </c>
      <c r="H9" s="892">
        <v>373821.74</v>
      </c>
      <c r="I9" s="892">
        <v>1509210.7900000003</v>
      </c>
      <c r="J9" s="892">
        <v>694403.11170000001</v>
      </c>
      <c r="K9" s="892">
        <v>330680.25</v>
      </c>
      <c r="L9" s="892">
        <v>15857.233290853632</v>
      </c>
    </row>
    <row r="10" spans="1:16379">
      <c r="A10" s="879" t="s">
        <v>369</v>
      </c>
      <c r="B10" s="892">
        <v>9416248.8936100006</v>
      </c>
      <c r="C10" s="892">
        <v>3455349.4063900001</v>
      </c>
      <c r="D10" s="892">
        <v>58692</v>
      </c>
      <c r="E10" s="892">
        <v>30440</v>
      </c>
      <c r="F10" s="892">
        <v>15194589.224025996</v>
      </c>
      <c r="G10" s="892">
        <v>1799417.2503764085</v>
      </c>
      <c r="H10" s="892">
        <v>393735.86</v>
      </c>
      <c r="I10" s="892">
        <v>1509210.7899999998</v>
      </c>
      <c r="J10" s="892">
        <v>694403.11165000009</v>
      </c>
      <c r="K10" s="892">
        <v>330680.25</v>
      </c>
      <c r="L10" s="892">
        <v>15857.300967860325</v>
      </c>
    </row>
    <row r="11" spans="1:16379">
      <c r="A11" s="879" t="s">
        <v>370</v>
      </c>
      <c r="B11" s="892">
        <v>8957898.7376500014</v>
      </c>
      <c r="C11" s="892">
        <v>3305965.6423499994</v>
      </c>
      <c r="D11" s="892">
        <v>58692</v>
      </c>
      <c r="E11" s="892">
        <v>30440</v>
      </c>
      <c r="F11" s="892">
        <v>15258660.458125744</v>
      </c>
      <c r="G11" s="892">
        <v>1813133.0858519084</v>
      </c>
      <c r="H11" s="892">
        <v>331981.78000000003</v>
      </c>
      <c r="I11" s="892">
        <v>1509210.7900000003</v>
      </c>
      <c r="J11" s="892">
        <v>694403.11174999992</v>
      </c>
      <c r="K11" s="892">
        <v>330680.25</v>
      </c>
      <c r="L11" s="892">
        <v>15857.367723829355</v>
      </c>
    </row>
    <row r="12" spans="1:16379">
      <c r="A12" s="879" t="s">
        <v>371</v>
      </c>
      <c r="B12" s="892">
        <v>9199728.4052000027</v>
      </c>
      <c r="C12" s="892">
        <v>3366349.394799998</v>
      </c>
      <c r="D12" s="892">
        <v>58692</v>
      </c>
      <c r="E12" s="892">
        <v>30440</v>
      </c>
      <c r="F12" s="892">
        <v>15315906.052067503</v>
      </c>
      <c r="G12" s="892">
        <v>1826585.1717835334</v>
      </c>
      <c r="H12" s="892">
        <v>385612.17</v>
      </c>
      <c r="I12" s="892">
        <v>1509210.7900000003</v>
      </c>
      <c r="J12" s="892">
        <v>694403.11174999992</v>
      </c>
      <c r="K12" s="892">
        <v>330680.25</v>
      </c>
      <c r="L12" s="892">
        <v>15857.435021886369</v>
      </c>
    </row>
    <row r="13" spans="1:16379">
      <c r="A13" s="879" t="s">
        <v>372</v>
      </c>
      <c r="B13" s="892">
        <v>8918068.58598</v>
      </c>
      <c r="C13" s="892">
        <v>3212777.4340199996</v>
      </c>
      <c r="D13" s="892">
        <v>58692</v>
      </c>
      <c r="E13" s="892">
        <v>30440</v>
      </c>
      <c r="F13" s="892">
        <v>15323764.145067317</v>
      </c>
      <c r="G13" s="892">
        <v>1841065.7902151584</v>
      </c>
      <c r="H13" s="892">
        <v>379853.72</v>
      </c>
      <c r="I13" s="892">
        <v>1509210.7900000003</v>
      </c>
      <c r="J13" s="892">
        <v>694403.11174999992</v>
      </c>
      <c r="K13" s="892">
        <v>330680.25</v>
      </c>
      <c r="L13" s="892">
        <v>15857.497175543665</v>
      </c>
    </row>
    <row r="14" spans="1:16379">
      <c r="A14" s="879" t="s">
        <v>373</v>
      </c>
      <c r="B14" s="892">
        <v>9268090.3865499999</v>
      </c>
      <c r="C14" s="892">
        <v>3398955.1634499989</v>
      </c>
      <c r="D14" s="892">
        <v>58692</v>
      </c>
      <c r="E14" s="892">
        <v>30440</v>
      </c>
      <c r="F14" s="892">
        <v>15423311.460429378</v>
      </c>
      <c r="G14" s="892">
        <v>1802911.9165610333</v>
      </c>
      <c r="H14" s="892">
        <v>345701.4</v>
      </c>
      <c r="I14" s="892">
        <v>1509210.7900000003</v>
      </c>
      <c r="J14" s="892">
        <v>694403.11174999992</v>
      </c>
      <c r="K14" s="892">
        <v>330680.25</v>
      </c>
      <c r="L14" s="892">
        <v>15857.559163456104</v>
      </c>
    </row>
    <row r="15" spans="1:16379">
      <c r="A15" s="879" t="s">
        <v>374</v>
      </c>
      <c r="B15" s="892">
        <v>8068481.3669500006</v>
      </c>
      <c r="C15" s="892">
        <v>2941181.7830499997</v>
      </c>
      <c r="D15" s="892">
        <v>58692</v>
      </c>
      <c r="E15" s="892">
        <v>30440</v>
      </c>
      <c r="F15" s="892">
        <v>15443311.540044397</v>
      </c>
      <c r="G15" s="892">
        <v>1831586.2189962834</v>
      </c>
      <c r="H15" s="892">
        <v>304944.69</v>
      </c>
      <c r="I15" s="892">
        <v>1509210.7900000003</v>
      </c>
      <c r="J15" s="892">
        <v>694403.11174999992</v>
      </c>
      <c r="K15" s="892">
        <v>330680.25</v>
      </c>
      <c r="L15" s="892">
        <v>15857.621925296342</v>
      </c>
    </row>
    <row r="16" spans="1:16379">
      <c r="A16" s="668" t="s">
        <v>989</v>
      </c>
      <c r="B16" s="892">
        <v>8946445.8737600017</v>
      </c>
      <c r="C16" s="892">
        <v>3156090.6462399997</v>
      </c>
      <c r="D16" s="892">
        <v>58692</v>
      </c>
      <c r="E16" s="892">
        <v>30440</v>
      </c>
      <c r="F16" s="892">
        <v>15497994.820359377</v>
      </c>
      <c r="G16" s="892">
        <v>1845559.7554679501</v>
      </c>
      <c r="H16" s="892">
        <v>223214.03</v>
      </c>
      <c r="I16" s="892">
        <v>1509210.79</v>
      </c>
      <c r="J16" s="892">
        <v>694407.4277</v>
      </c>
      <c r="K16" s="892">
        <v>330680.25</v>
      </c>
      <c r="L16" s="892">
        <v>15857.683445212955</v>
      </c>
    </row>
    <row r="17" spans="1:12" ht="15">
      <c r="A17" s="81" t="s">
        <v>15</v>
      </c>
      <c r="B17" s="82">
        <f t="shared" ref="B17:L17" si="0">SUM(B5:B16)</f>
        <v>107777525.46912</v>
      </c>
      <c r="C17" s="82">
        <f t="shared" si="0"/>
        <v>39321478.600879982</v>
      </c>
      <c r="D17" s="82">
        <f>SUM(D5:D16)</f>
        <v>704304</v>
      </c>
      <c r="E17" s="82">
        <f t="shared" si="0"/>
        <v>365280</v>
      </c>
      <c r="F17" s="82">
        <f t="shared" si="0"/>
        <v>182941799.75577316</v>
      </c>
      <c r="G17" s="82">
        <f t="shared" si="0"/>
        <v>21713387.129996363</v>
      </c>
      <c r="H17" s="82">
        <f t="shared" si="0"/>
        <v>4391363.76</v>
      </c>
      <c r="I17" s="82">
        <f t="shared" si="0"/>
        <v>18110529.480000004</v>
      </c>
      <c r="J17" s="82">
        <f t="shared" si="0"/>
        <v>8332841.6567000011</v>
      </c>
      <c r="K17" s="82">
        <f t="shared" si="0"/>
        <v>3968162.5833000001</v>
      </c>
      <c r="L17" s="82">
        <f t="shared" si="0"/>
        <v>190288.05031829872</v>
      </c>
    </row>
    <row r="19" spans="1:12">
      <c r="A19" s="101"/>
    </row>
    <row r="22" spans="1:12">
      <c r="A22" s="83" t="s">
        <v>392</v>
      </c>
      <c r="B22" s="83"/>
      <c r="D22" s="84"/>
    </row>
    <row r="23" spans="1:12" s="84" customFormat="1" ht="51">
      <c r="A23" s="85"/>
      <c r="B23" s="78" t="s">
        <v>393</v>
      </c>
    </row>
    <row r="24" spans="1:12" s="86" customFormat="1">
      <c r="A24" s="79" t="s">
        <v>365</v>
      </c>
      <c r="B24" s="48">
        <v>24</v>
      </c>
    </row>
    <row r="25" spans="1:12">
      <c r="A25" s="893">
        <v>2022</v>
      </c>
      <c r="B25" s="892">
        <v>124110.99995999997</v>
      </c>
    </row>
    <row r="26" spans="1:12">
      <c r="A26" s="893">
        <f>A25+1</f>
        <v>2023</v>
      </c>
      <c r="B26" s="892">
        <v>117867.99999600001</v>
      </c>
    </row>
    <row r="27" spans="1:12">
      <c r="A27" s="893">
        <f t="shared" ref="A27:A33" si="1">A26+1</f>
        <v>2024</v>
      </c>
      <c r="B27" s="892">
        <v>38060.000004000001</v>
      </c>
    </row>
    <row r="28" spans="1:12">
      <c r="A28" s="893">
        <f t="shared" si="1"/>
        <v>2025</v>
      </c>
      <c r="B28" s="892">
        <v>38060.000004000001</v>
      </c>
    </row>
    <row r="29" spans="1:12">
      <c r="A29" s="893">
        <f t="shared" si="1"/>
        <v>2026</v>
      </c>
      <c r="B29" s="892">
        <v>38060.000004000001</v>
      </c>
    </row>
    <row r="30" spans="1:12">
      <c r="A30" s="893">
        <f t="shared" si="1"/>
        <v>2027</v>
      </c>
      <c r="B30" s="892">
        <v>38060.000004000001</v>
      </c>
    </row>
    <row r="31" spans="1:12">
      <c r="A31" s="893">
        <f t="shared" si="1"/>
        <v>2028</v>
      </c>
      <c r="B31" s="892">
        <v>38060.000004000001</v>
      </c>
    </row>
    <row r="32" spans="1:12">
      <c r="A32" s="893">
        <f t="shared" si="1"/>
        <v>2029</v>
      </c>
      <c r="B32" s="892">
        <v>38060.000004000001</v>
      </c>
    </row>
    <row r="33" spans="1:2">
      <c r="A33" s="893">
        <f t="shared" si="1"/>
        <v>2030</v>
      </c>
      <c r="B33" s="892">
        <v>38060.000004000001</v>
      </c>
    </row>
  </sheetData>
  <pageMargins left="0.7" right="0.7" top="0.75" bottom="0.75" header="0.3" footer="0.3"/>
  <pageSetup scale="73" orientation="landscape" r:id="rId1"/>
  <headerFooter>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8">
    <pageSetUpPr fitToPage="1"/>
  </sheetPr>
  <dimension ref="A1:C18"/>
  <sheetViews>
    <sheetView zoomScaleNormal="100" zoomScaleSheetLayoutView="100" workbookViewId="0">
      <selection activeCell="B18" sqref="B18"/>
    </sheetView>
  </sheetViews>
  <sheetFormatPr defaultRowHeight="12.75"/>
  <cols>
    <col min="1" max="1" width="18.7109375" style="88" customWidth="1"/>
    <col min="2" max="2" width="12.28515625" style="88" customWidth="1"/>
    <col min="3" max="16384" width="9.140625" style="88"/>
  </cols>
  <sheetData>
    <row r="1" spans="1:3">
      <c r="C1" s="89"/>
    </row>
    <row r="3" spans="1:3">
      <c r="A3" s="90" t="s">
        <v>218</v>
      </c>
    </row>
    <row r="4" spans="1:3">
      <c r="A4" s="91"/>
      <c r="B4" s="91" t="s">
        <v>68</v>
      </c>
    </row>
    <row r="5" spans="1:3">
      <c r="A5" s="83" t="s">
        <v>365</v>
      </c>
      <c r="B5" s="85">
        <v>13</v>
      </c>
    </row>
    <row r="6" spans="1:3">
      <c r="A6" s="668" t="s">
        <v>988</v>
      </c>
      <c r="B6" s="892">
        <v>3038684.9283674848</v>
      </c>
    </row>
    <row r="7" spans="1:3">
      <c r="A7" s="879" t="s">
        <v>366</v>
      </c>
      <c r="B7" s="892">
        <v>2695526.2477385951</v>
      </c>
    </row>
    <row r="8" spans="1:3">
      <c r="A8" s="879" t="s">
        <v>367</v>
      </c>
      <c r="B8" s="892">
        <v>2854188.1559887757</v>
      </c>
    </row>
    <row r="9" spans="1:3">
      <c r="A9" s="879" t="s">
        <v>368</v>
      </c>
      <c r="B9" s="892">
        <v>2795205.4414029899</v>
      </c>
    </row>
    <row r="10" spans="1:3">
      <c r="A10" s="879" t="s">
        <v>362</v>
      </c>
      <c r="B10" s="892">
        <v>3032740.5872884737</v>
      </c>
    </row>
    <row r="11" spans="1:3">
      <c r="A11" s="879" t="s">
        <v>369</v>
      </c>
      <c r="B11" s="892">
        <v>2711871.2431167876</v>
      </c>
    </row>
    <row r="12" spans="1:3">
      <c r="A12" s="879" t="s">
        <v>370</v>
      </c>
      <c r="B12" s="892">
        <v>2854989.2510852194</v>
      </c>
    </row>
    <row r="13" spans="1:3">
      <c r="A13" s="879" t="s">
        <v>371</v>
      </c>
      <c r="B13" s="892">
        <v>2864051.7779551265</v>
      </c>
    </row>
    <row r="14" spans="1:3">
      <c r="A14" s="879" t="s">
        <v>372</v>
      </c>
      <c r="B14" s="892">
        <v>2739029.2206091317</v>
      </c>
    </row>
    <row r="15" spans="1:3">
      <c r="A15" s="879" t="s">
        <v>373</v>
      </c>
      <c r="B15" s="892">
        <v>3123855.0650570951</v>
      </c>
    </row>
    <row r="16" spans="1:3">
      <c r="A16" s="879" t="s">
        <v>374</v>
      </c>
      <c r="B16" s="892">
        <v>2096465.7380444498</v>
      </c>
    </row>
    <row r="17" spans="1:2">
      <c r="A17" s="668" t="s">
        <v>989</v>
      </c>
      <c r="B17" s="892">
        <v>2598375.29334587</v>
      </c>
    </row>
    <row r="18" spans="1:2" ht="15">
      <c r="A18" s="894" t="s">
        <v>15</v>
      </c>
      <c r="B18" s="895">
        <f>SUM(B6:B17)</f>
        <v>33404982.949999996</v>
      </c>
    </row>
  </sheetData>
  <pageMargins left="0.7" right="0.7" top="0.75" bottom="0.75" header="0.3" footer="0.3"/>
  <pageSetup orientation="portrait" r:id="rId1"/>
  <headerFooter>
    <oddHeader>&amp;R&amp;A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dimension ref="A1:O65"/>
  <sheetViews>
    <sheetView zoomScale="90" zoomScaleNormal="90" zoomScaleSheetLayoutView="100" workbookViewId="0">
      <pane ySplit="7" topLeftCell="A23" activePane="bottomLeft" state="frozen"/>
      <selection activeCell="C6" sqref="C6"/>
      <selection pane="bottomLeft" activeCell="H57" sqref="H57"/>
    </sheetView>
  </sheetViews>
  <sheetFormatPr defaultRowHeight="15"/>
  <cols>
    <col min="1" max="1" width="30.5703125" style="102" bestFit="1" customWidth="1"/>
    <col min="2" max="2" width="17.85546875" style="102" customWidth="1"/>
    <col min="3" max="3" width="15.42578125" style="103" customWidth="1"/>
    <col min="4" max="4" width="17.85546875" style="102" customWidth="1"/>
    <col min="5" max="5" width="17.28515625" style="102" customWidth="1"/>
    <col min="6" max="6" width="3.5703125" style="102" customWidth="1"/>
    <col min="7" max="8" width="17.28515625" style="102" customWidth="1"/>
    <col min="9" max="9" width="9.140625" style="102"/>
    <col min="10" max="10" width="19.7109375" style="102" bestFit="1" customWidth="1"/>
    <col min="11" max="11" width="17.28515625" style="102" bestFit="1" customWidth="1"/>
    <col min="12" max="12" width="9.140625" style="102"/>
    <col min="13" max="13" width="33.5703125" style="102" bestFit="1" customWidth="1"/>
    <col min="14" max="16384" width="9.140625" style="102"/>
  </cols>
  <sheetData>
    <row r="1" spans="1:15">
      <c r="A1" s="661"/>
      <c r="B1" s="661"/>
      <c r="C1" s="661"/>
      <c r="D1" s="661"/>
    </row>
    <row r="2" spans="1:15">
      <c r="A2" s="121" t="s">
        <v>499</v>
      </c>
    </row>
    <row r="3" spans="1:15">
      <c r="A3" s="120" t="s">
        <v>498</v>
      </c>
    </row>
    <row r="4" spans="1:15">
      <c r="A4" s="119" t="s">
        <v>990</v>
      </c>
    </row>
    <row r="6" spans="1:15" ht="26.25">
      <c r="A6" s="118" t="s">
        <v>497</v>
      </c>
      <c r="B6" s="118" t="s">
        <v>496</v>
      </c>
      <c r="C6" s="117" t="s">
        <v>495</v>
      </c>
      <c r="D6" s="115" t="s">
        <v>494</v>
      </c>
      <c r="E6" s="115" t="s">
        <v>493</v>
      </c>
      <c r="F6" s="115"/>
      <c r="G6" s="116" t="s">
        <v>492</v>
      </c>
      <c r="H6" s="115" t="s">
        <v>491</v>
      </c>
    </row>
    <row r="7" spans="1:15">
      <c r="A7" s="114"/>
      <c r="B7" s="111" t="s">
        <v>288</v>
      </c>
      <c r="C7" s="113" t="s">
        <v>290</v>
      </c>
      <c r="D7" s="111" t="s">
        <v>490</v>
      </c>
      <c r="E7" s="112" t="s">
        <v>292</v>
      </c>
      <c r="F7" s="111"/>
      <c r="G7" s="110" t="s">
        <v>294</v>
      </c>
      <c r="H7" s="109" t="s">
        <v>489</v>
      </c>
    </row>
    <row r="8" spans="1:15">
      <c r="C8" s="102"/>
    </row>
    <row r="9" spans="1:15">
      <c r="C9" s="102"/>
    </row>
    <row r="10" spans="1:15">
      <c r="A10" s="102" t="s">
        <v>488</v>
      </c>
      <c r="B10" s="102">
        <v>32500000</v>
      </c>
      <c r="C10" s="103">
        <f t="shared" ref="C10:C36" si="0">IF(D10=0,0,D10/B10)</f>
        <v>12</v>
      </c>
      <c r="D10" s="102">
        <v>390000000</v>
      </c>
      <c r="E10" s="106">
        <f t="shared" ref="E10:E41" si="1">D10/$D$57</f>
        <v>1.1215791914448095E-2</v>
      </c>
      <c r="G10" s="106">
        <v>7.1278351342996399E-2</v>
      </c>
      <c r="H10" s="652">
        <f t="shared" ref="H10:H36" si="2">G10*E10</f>
        <v>7.9944315666796945E-4</v>
      </c>
      <c r="M10" s="104"/>
      <c r="N10" s="104"/>
      <c r="O10" s="651"/>
    </row>
    <row r="11" spans="1:15">
      <c r="A11" s="102" t="s">
        <v>487</v>
      </c>
      <c r="B11" s="102">
        <v>17500000</v>
      </c>
      <c r="C11" s="103">
        <f t="shared" si="0"/>
        <v>12</v>
      </c>
      <c r="D11" s="102">
        <v>210000000</v>
      </c>
      <c r="E11" s="106">
        <f t="shared" si="1"/>
        <v>6.0392725693182055E-3</v>
      </c>
      <c r="G11" s="106">
        <v>7.1188037527686293E-2</v>
      </c>
      <c r="H11" s="652">
        <f t="shared" si="2"/>
        <v>4.2992396230455085E-4</v>
      </c>
      <c r="M11" s="104"/>
      <c r="N11" s="104"/>
      <c r="O11" s="651"/>
    </row>
    <row r="12" spans="1:15">
      <c r="A12" s="102" t="s">
        <v>486</v>
      </c>
      <c r="B12" s="102">
        <v>100000000</v>
      </c>
      <c r="C12" s="103">
        <f t="shared" si="0"/>
        <v>12</v>
      </c>
      <c r="D12" s="102">
        <v>1200000000</v>
      </c>
      <c r="E12" s="106">
        <f t="shared" si="1"/>
        <v>3.4510128967532604E-2</v>
      </c>
      <c r="G12" s="106">
        <v>6.8513400000000002E-2</v>
      </c>
      <c r="H12" s="652">
        <f t="shared" si="2"/>
        <v>2.3644062700041483E-3</v>
      </c>
      <c r="M12" s="104"/>
      <c r="N12" s="104"/>
      <c r="O12" s="651"/>
    </row>
    <row r="13" spans="1:15">
      <c r="A13" s="102" t="s">
        <v>485</v>
      </c>
      <c r="B13" s="102">
        <v>100000000</v>
      </c>
      <c r="C13" s="103">
        <f t="shared" si="0"/>
        <v>12</v>
      </c>
      <c r="D13" s="102">
        <v>1200000000</v>
      </c>
      <c r="E13" s="106">
        <f t="shared" si="1"/>
        <v>3.4510128967532604E-2</v>
      </c>
      <c r="G13" s="106">
        <v>5.6384070000000001E-2</v>
      </c>
      <c r="H13" s="652">
        <f t="shared" si="2"/>
        <v>1.9458215274143862E-3</v>
      </c>
      <c r="M13" s="104"/>
      <c r="N13" s="104"/>
      <c r="O13" s="651"/>
    </row>
    <row r="14" spans="1:15">
      <c r="A14" s="102" t="s">
        <v>484</v>
      </c>
      <c r="B14" s="102">
        <v>250000000</v>
      </c>
      <c r="C14" s="103">
        <f t="shared" si="0"/>
        <v>12</v>
      </c>
      <c r="D14" s="102">
        <v>3000000000</v>
      </c>
      <c r="E14" s="106">
        <f t="shared" si="1"/>
        <v>8.6275322418831499E-2</v>
      </c>
      <c r="G14" s="106">
        <v>5.9594920000000003E-2</v>
      </c>
      <c r="H14" s="652">
        <f t="shared" si="2"/>
        <v>5.1415709375244702E-3</v>
      </c>
      <c r="M14" s="104"/>
      <c r="N14" s="104"/>
      <c r="O14" s="651"/>
    </row>
    <row r="15" spans="1:15">
      <c r="A15" s="102" t="s">
        <v>483</v>
      </c>
      <c r="B15" s="878">
        <v>100000000</v>
      </c>
      <c r="C15" s="103">
        <f t="shared" si="0"/>
        <v>1.0333333333333332</v>
      </c>
      <c r="D15" s="102">
        <v>103333333.33333333</v>
      </c>
      <c r="E15" s="106">
        <f t="shared" si="1"/>
        <v>2.9717055499819739E-3</v>
      </c>
      <c r="G15" s="106">
        <v>4.6549989999999999E-2</v>
      </c>
      <c r="H15" s="652">
        <f t="shared" si="2"/>
        <v>1.3833286363460539E-4</v>
      </c>
      <c r="M15" s="104"/>
      <c r="N15" s="104"/>
      <c r="O15" s="651"/>
    </row>
    <row r="16" spans="1:15">
      <c r="A16" s="102" t="s">
        <v>482</v>
      </c>
      <c r="B16" s="102">
        <v>50000000</v>
      </c>
      <c r="C16" s="103">
        <f t="shared" si="0"/>
        <v>12</v>
      </c>
      <c r="D16" s="102">
        <v>600000000</v>
      </c>
      <c r="E16" s="106">
        <f t="shared" si="1"/>
        <v>1.7255064483766302E-2</v>
      </c>
      <c r="G16" s="106">
        <v>5.7704030000000003E-2</v>
      </c>
      <c r="H16" s="652">
        <f t="shared" si="2"/>
        <v>9.9568675862318529E-4</v>
      </c>
      <c r="M16" s="104"/>
      <c r="N16" s="104"/>
      <c r="O16" s="651"/>
    </row>
    <row r="17" spans="1:15">
      <c r="A17" s="102" t="s">
        <v>481</v>
      </c>
      <c r="B17" s="102">
        <v>75000000</v>
      </c>
      <c r="C17" s="103">
        <f t="shared" si="0"/>
        <v>12</v>
      </c>
      <c r="D17" s="102">
        <v>900000000</v>
      </c>
      <c r="E17" s="106">
        <f t="shared" si="1"/>
        <v>2.5882596725649451E-2</v>
      </c>
      <c r="G17" s="106">
        <v>4.22301E-2</v>
      </c>
      <c r="H17" s="652">
        <f t="shared" si="2"/>
        <v>1.0930246479838488E-3</v>
      </c>
      <c r="M17" s="104"/>
      <c r="N17" s="104"/>
      <c r="O17" s="651"/>
    </row>
    <row r="18" spans="1:15">
      <c r="A18" s="102" t="s">
        <v>480</v>
      </c>
      <c r="B18" s="102">
        <v>75000000</v>
      </c>
      <c r="C18" s="103">
        <f t="shared" si="0"/>
        <v>12</v>
      </c>
      <c r="D18" s="102">
        <v>900000000</v>
      </c>
      <c r="E18" s="106">
        <f t="shared" si="1"/>
        <v>2.5882596725649451E-2</v>
      </c>
      <c r="G18" s="106">
        <v>4.3236339999999998E-2</v>
      </c>
      <c r="H18" s="652">
        <f t="shared" si="2"/>
        <v>1.1190687521130662E-3</v>
      </c>
      <c r="M18" s="104"/>
      <c r="N18" s="104"/>
      <c r="O18" s="651"/>
    </row>
    <row r="19" spans="1:15">
      <c r="A19" s="102" t="s">
        <v>479</v>
      </c>
      <c r="B19" s="102">
        <v>150000000</v>
      </c>
      <c r="C19" s="103">
        <f t="shared" si="0"/>
        <v>12</v>
      </c>
      <c r="D19" s="102">
        <v>1800000000</v>
      </c>
      <c r="E19" s="106">
        <f t="shared" si="1"/>
        <v>5.1765193451298902E-2</v>
      </c>
      <c r="G19" s="106">
        <v>5.2139390000000001E-2</v>
      </c>
      <c r="H19" s="652">
        <f t="shared" si="2"/>
        <v>2.6990056097827195E-3</v>
      </c>
      <c r="M19" s="104"/>
      <c r="N19" s="104"/>
      <c r="O19" s="651"/>
    </row>
    <row r="20" spans="1:15">
      <c r="A20" s="102" t="s">
        <v>478</v>
      </c>
      <c r="B20" s="102">
        <v>150000000</v>
      </c>
      <c r="C20" s="103">
        <f t="shared" si="0"/>
        <v>12</v>
      </c>
      <c r="D20" s="102">
        <v>1800000000</v>
      </c>
      <c r="E20" s="106">
        <f t="shared" si="1"/>
        <v>5.1765193451298902E-2</v>
      </c>
      <c r="G20" s="106">
        <v>4.4115910000000001E-2</v>
      </c>
      <c r="H20" s="652">
        <f t="shared" si="2"/>
        <v>2.2836686154300919E-3</v>
      </c>
      <c r="M20" s="104"/>
      <c r="N20" s="104"/>
      <c r="O20" s="651"/>
    </row>
    <row r="21" spans="1:15">
      <c r="A21" s="102" t="s">
        <v>477</v>
      </c>
      <c r="B21" s="102">
        <v>50000000</v>
      </c>
      <c r="C21" s="103">
        <f t="shared" si="0"/>
        <v>12</v>
      </c>
      <c r="D21" s="102">
        <v>600000000</v>
      </c>
      <c r="E21" s="106">
        <f t="shared" si="1"/>
        <v>1.7255064483766302E-2</v>
      </c>
      <c r="G21" s="106">
        <v>3.7961979999999999E-2</v>
      </c>
      <c r="H21" s="652">
        <f t="shared" si="2"/>
        <v>6.5503641283144666E-4</v>
      </c>
      <c r="M21" s="104"/>
      <c r="N21" s="104"/>
      <c r="O21" s="651"/>
    </row>
    <row r="22" spans="1:15">
      <c r="A22" s="102" t="s">
        <v>476</v>
      </c>
      <c r="B22" s="102">
        <v>50000000</v>
      </c>
      <c r="C22" s="103">
        <f t="shared" si="0"/>
        <v>12</v>
      </c>
      <c r="D22" s="102">
        <v>600000000</v>
      </c>
      <c r="E22" s="106">
        <f t="shared" si="1"/>
        <v>1.7255064483766302E-2</v>
      </c>
      <c r="G22" s="106">
        <v>4.7147309999999998E-2</v>
      </c>
      <c r="H22" s="652">
        <f t="shared" si="2"/>
        <v>8.1352987428611975E-4</v>
      </c>
      <c r="M22" s="104"/>
      <c r="N22" s="104"/>
      <c r="O22" s="651"/>
    </row>
    <row r="23" spans="1:15">
      <c r="A23" s="102" t="s">
        <v>475</v>
      </c>
      <c r="B23" s="102">
        <v>75000000</v>
      </c>
      <c r="C23" s="103">
        <f t="shared" si="0"/>
        <v>12</v>
      </c>
      <c r="D23" s="102">
        <v>900000000</v>
      </c>
      <c r="E23" s="106">
        <f t="shared" si="1"/>
        <v>2.5882596725649451E-2</v>
      </c>
      <c r="G23" s="106">
        <v>3.4190270000000002E-2</v>
      </c>
      <c r="H23" s="652">
        <f t="shared" si="2"/>
        <v>8.8493297035107071E-4</v>
      </c>
      <c r="M23" s="104"/>
      <c r="N23" s="104"/>
      <c r="O23" s="651"/>
    </row>
    <row r="24" spans="1:15">
      <c r="A24" s="102" t="s">
        <v>474</v>
      </c>
      <c r="B24" s="102">
        <v>29000000</v>
      </c>
      <c r="C24" s="103">
        <f t="shared" si="0"/>
        <v>12</v>
      </c>
      <c r="D24" s="102">
        <v>348000000</v>
      </c>
      <c r="E24" s="106">
        <f t="shared" si="1"/>
        <v>1.0007937400584454E-2</v>
      </c>
      <c r="G24" s="106">
        <v>3.6534560000000001E-2</v>
      </c>
      <c r="H24" s="652">
        <f t="shared" si="2"/>
        <v>3.6563558943789677E-4</v>
      </c>
      <c r="M24" s="104"/>
      <c r="N24" s="104"/>
      <c r="O24" s="651"/>
    </row>
    <row r="25" spans="1:15">
      <c r="A25" s="102" t="s">
        <v>473</v>
      </c>
      <c r="B25" s="102">
        <v>47000000</v>
      </c>
      <c r="C25" s="103">
        <f t="shared" si="0"/>
        <v>12</v>
      </c>
      <c r="D25" s="102">
        <v>564000000</v>
      </c>
      <c r="E25" s="106">
        <f t="shared" si="1"/>
        <v>1.6219760614740321E-2</v>
      </c>
      <c r="G25" s="106">
        <v>4.3497840000000003E-2</v>
      </c>
      <c r="H25" s="652">
        <f t="shared" si="2"/>
        <v>7.0552455205827617E-4</v>
      </c>
      <c r="M25" s="104"/>
      <c r="N25" s="104"/>
      <c r="O25" s="651"/>
    </row>
    <row r="26" spans="1:15">
      <c r="A26" s="102" t="s">
        <v>472</v>
      </c>
      <c r="B26" s="102">
        <v>50000000</v>
      </c>
      <c r="C26" s="103">
        <f t="shared" si="0"/>
        <v>12</v>
      </c>
      <c r="D26" s="102">
        <v>600000000</v>
      </c>
      <c r="E26" s="106">
        <f t="shared" si="1"/>
        <v>1.7255064483766302E-2</v>
      </c>
      <c r="G26" s="106">
        <v>3.5195499999999998E-2</v>
      </c>
      <c r="H26" s="652">
        <f t="shared" si="2"/>
        <v>6.0730062203839688E-4</v>
      </c>
      <c r="M26" s="104"/>
      <c r="N26" s="104"/>
      <c r="O26" s="651"/>
    </row>
    <row r="27" spans="1:15">
      <c r="A27" s="102" t="s">
        <v>471</v>
      </c>
      <c r="B27" s="102">
        <v>21000000</v>
      </c>
      <c r="C27" s="103">
        <f t="shared" si="0"/>
        <v>12</v>
      </c>
      <c r="D27" s="102">
        <v>252000000</v>
      </c>
      <c r="E27" s="106">
        <f t="shared" si="1"/>
        <v>7.2471270831818459E-3</v>
      </c>
      <c r="G27" s="106">
        <v>3.7555764301321598E-2</v>
      </c>
      <c r="H27" s="652">
        <f t="shared" si="2"/>
        <v>2.7217139659770171E-4</v>
      </c>
      <c r="M27" s="104"/>
      <c r="N27" s="104"/>
      <c r="O27" s="651"/>
    </row>
    <row r="28" spans="1:15">
      <c r="A28" s="102" t="s">
        <v>470</v>
      </c>
      <c r="B28" s="102">
        <v>28000000</v>
      </c>
      <c r="C28" s="103">
        <f t="shared" si="0"/>
        <v>12</v>
      </c>
      <c r="D28" s="102">
        <v>336000000</v>
      </c>
      <c r="E28" s="106">
        <f t="shared" si="1"/>
        <v>9.6628361109091284E-3</v>
      </c>
      <c r="G28" s="106">
        <v>4.45173351187826E-2</v>
      </c>
      <c r="H28" s="652">
        <f t="shared" si="2"/>
        <v>4.3016371334721562E-4</v>
      </c>
      <c r="M28" s="104"/>
      <c r="N28" s="104"/>
      <c r="O28" s="651"/>
    </row>
    <row r="29" spans="1:15">
      <c r="A29" s="102" t="s">
        <v>469</v>
      </c>
      <c r="B29" s="102">
        <v>150000000</v>
      </c>
      <c r="C29" s="103">
        <f t="shared" si="0"/>
        <v>12</v>
      </c>
      <c r="D29" s="102">
        <v>1800000000</v>
      </c>
      <c r="E29" s="106">
        <f t="shared" si="1"/>
        <v>5.1765193451298902E-2</v>
      </c>
      <c r="G29" s="106">
        <v>4.0099477260809098E-2</v>
      </c>
      <c r="H29" s="652">
        <f t="shared" si="2"/>
        <v>2.0757571977017444E-3</v>
      </c>
      <c r="M29" s="104"/>
      <c r="N29" s="104"/>
      <c r="O29" s="651"/>
    </row>
    <row r="30" spans="1:15">
      <c r="A30" s="102" t="s">
        <v>889</v>
      </c>
      <c r="B30" s="102">
        <v>50000000</v>
      </c>
      <c r="C30" s="103">
        <f t="shared" si="0"/>
        <v>12</v>
      </c>
      <c r="D30" s="102">
        <v>600000000</v>
      </c>
      <c r="E30" s="106">
        <f t="shared" si="1"/>
        <v>1.7255064483766302E-2</v>
      </c>
      <c r="G30" s="106">
        <v>3.2665647958933598E-2</v>
      </c>
      <c r="H30" s="652">
        <f t="shared" si="2"/>
        <v>5.6364786193540827E-4</v>
      </c>
      <c r="M30" s="104"/>
      <c r="N30" s="104"/>
      <c r="O30" s="651"/>
    </row>
    <row r="31" spans="1:15">
      <c r="A31" s="102" t="s">
        <v>890</v>
      </c>
      <c r="B31" s="102">
        <v>75000000</v>
      </c>
      <c r="C31" s="103">
        <f t="shared" si="0"/>
        <v>12</v>
      </c>
      <c r="D31" s="102">
        <v>900000000</v>
      </c>
      <c r="E31" s="106">
        <f t="shared" si="1"/>
        <v>2.5882596725649451E-2</v>
      </c>
      <c r="G31" s="106">
        <v>3.9695457099301001E-2</v>
      </c>
      <c r="H31" s="652">
        <f t="shared" si="2"/>
        <v>1.0274215079415264E-3</v>
      </c>
      <c r="M31" s="104"/>
      <c r="N31" s="104"/>
      <c r="O31" s="651"/>
    </row>
    <row r="32" spans="1:15">
      <c r="A32" s="102" t="s">
        <v>891</v>
      </c>
      <c r="B32" s="102">
        <v>100000000</v>
      </c>
      <c r="C32" s="103">
        <f t="shared" si="0"/>
        <v>12</v>
      </c>
      <c r="D32" s="102">
        <v>1200000000</v>
      </c>
      <c r="E32" s="106">
        <f t="shared" si="1"/>
        <v>3.4510128967532604E-2</v>
      </c>
      <c r="G32" s="106">
        <v>3.7697291507074002E-2</v>
      </c>
      <c r="H32" s="652">
        <f t="shared" si="2"/>
        <v>1.3009383916357954E-3</v>
      </c>
      <c r="M32" s="104"/>
      <c r="N32" s="104"/>
      <c r="O32" s="651"/>
    </row>
    <row r="33" spans="1:15">
      <c r="A33" s="102" t="s">
        <v>892</v>
      </c>
      <c r="B33" s="102">
        <v>100000000</v>
      </c>
      <c r="C33" s="103">
        <f t="shared" si="0"/>
        <v>12</v>
      </c>
      <c r="D33" s="102">
        <v>1200000000</v>
      </c>
      <c r="E33" s="106">
        <f t="shared" si="1"/>
        <v>3.4510128967532604E-2</v>
      </c>
      <c r="G33" s="106">
        <v>4.0018115066643399E-2</v>
      </c>
      <c r="H33" s="652">
        <f t="shared" si="2"/>
        <v>1.3810303119874232E-3</v>
      </c>
      <c r="M33" s="104"/>
      <c r="N33" s="104"/>
      <c r="O33" s="651"/>
    </row>
    <row r="34" spans="1:15">
      <c r="A34" s="102" t="s">
        <v>888</v>
      </c>
      <c r="B34" s="102">
        <v>100000000</v>
      </c>
      <c r="C34" s="103">
        <f>IF(D34=0,0,D34/B34)</f>
        <v>12</v>
      </c>
      <c r="D34" s="102">
        <v>1200000000</v>
      </c>
      <c r="E34" s="106">
        <f t="shared" si="1"/>
        <v>3.4510128967532604E-2</v>
      </c>
      <c r="G34" s="106">
        <v>4.1586644349136198E-2</v>
      </c>
      <c r="H34" s="652">
        <f>G34*E34</f>
        <v>1.4351604598156012E-3</v>
      </c>
      <c r="M34" s="104"/>
      <c r="N34" s="104"/>
      <c r="O34" s="651"/>
    </row>
    <row r="35" spans="1:15">
      <c r="A35" s="102" t="s">
        <v>929</v>
      </c>
      <c r="B35" s="102">
        <v>200000000</v>
      </c>
      <c r="C35" s="103">
        <f t="shared" si="0"/>
        <v>12</v>
      </c>
      <c r="D35" s="102">
        <v>2400000000</v>
      </c>
      <c r="E35" s="106">
        <f t="shared" si="1"/>
        <v>6.9020257935065207E-2</v>
      </c>
      <c r="G35" s="106">
        <v>3.58877047725496E-2</v>
      </c>
      <c r="H35" s="652">
        <f t="shared" si="2"/>
        <v>2.4769786400988441E-3</v>
      </c>
      <c r="M35" s="104"/>
      <c r="N35" s="104"/>
      <c r="O35" s="651"/>
    </row>
    <row r="36" spans="1:15">
      <c r="A36" s="102" t="s">
        <v>930</v>
      </c>
      <c r="B36" s="102">
        <v>100000000</v>
      </c>
      <c r="C36" s="103">
        <f t="shared" si="0"/>
        <v>12</v>
      </c>
      <c r="D36" s="102">
        <v>1200000000</v>
      </c>
      <c r="E36" s="106">
        <f t="shared" si="1"/>
        <v>3.4510128967532604E-2</v>
      </c>
      <c r="G36" s="106">
        <v>3.8421363085919001E-2</v>
      </c>
      <c r="H36" s="652">
        <f t="shared" si="2"/>
        <v>1.3259261952034611E-3</v>
      </c>
      <c r="M36" s="104"/>
      <c r="N36" s="104"/>
      <c r="O36" s="651"/>
    </row>
    <row r="37" spans="1:15">
      <c r="A37" s="102" t="s">
        <v>931</v>
      </c>
      <c r="B37" s="102">
        <v>100000000</v>
      </c>
      <c r="C37" s="654">
        <f t="shared" ref="C37" si="3">IF(D37=0,0,D37/B37)</f>
        <v>12</v>
      </c>
      <c r="D37" s="102">
        <v>1200000000</v>
      </c>
      <c r="E37" s="655">
        <f t="shared" si="1"/>
        <v>3.4510128967532604E-2</v>
      </c>
      <c r="F37" s="653"/>
      <c r="G37" s="106">
        <v>3.8872911154685698E-2</v>
      </c>
      <c r="H37" s="656">
        <f t="shared" ref="H37" si="4">G37*E37</f>
        <v>1.3415091772916402E-3</v>
      </c>
      <c r="M37" s="104"/>
      <c r="N37" s="104"/>
      <c r="O37" s="651"/>
    </row>
    <row r="38" spans="1:15">
      <c r="A38" s="102" t="s">
        <v>932</v>
      </c>
      <c r="B38" s="102">
        <v>100000000</v>
      </c>
      <c r="C38" s="654">
        <f t="shared" ref="C38:C41" si="5">IF(D38=0,0,D38/B38)</f>
        <v>12</v>
      </c>
      <c r="D38" s="102">
        <v>1200000000</v>
      </c>
      <c r="E38" s="655">
        <f t="shared" si="1"/>
        <v>3.4510128967532604E-2</v>
      </c>
      <c r="F38" s="653"/>
      <c r="G38" s="106">
        <v>3.2893776818093197E-2</v>
      </c>
      <c r="H38" s="656">
        <f t="shared" ref="H38" si="6">G38*E38</f>
        <v>1.1351684802216305E-3</v>
      </c>
      <c r="M38" s="104"/>
      <c r="N38" s="104"/>
      <c r="O38" s="651"/>
    </row>
    <row r="39" spans="1:15">
      <c r="A39" s="878" t="s">
        <v>963</v>
      </c>
      <c r="B39" s="102">
        <v>100000000</v>
      </c>
      <c r="C39" s="654">
        <f t="shared" si="5"/>
        <v>11</v>
      </c>
      <c r="D39" s="102">
        <v>1100000000</v>
      </c>
      <c r="E39" s="655">
        <f t="shared" si="1"/>
        <v>3.1634284886904881E-2</v>
      </c>
      <c r="F39" s="653"/>
      <c r="G39" s="106">
        <v>3.2000000000000001E-2</v>
      </c>
      <c r="H39" s="656">
        <f t="shared" ref="H39:H41" si="7">G39*E39</f>
        <v>1.0122971163809562E-3</v>
      </c>
      <c r="M39" s="104"/>
      <c r="N39" s="104"/>
      <c r="O39" s="651"/>
    </row>
    <row r="40" spans="1:15">
      <c r="A40" s="878" t="s">
        <v>961</v>
      </c>
      <c r="B40" s="102">
        <v>50000000</v>
      </c>
      <c r="C40" s="654">
        <f t="shared" si="5"/>
        <v>11</v>
      </c>
      <c r="D40" s="102">
        <v>550000000</v>
      </c>
      <c r="E40" s="655">
        <f t="shared" si="1"/>
        <v>1.5817142443452441E-2</v>
      </c>
      <c r="F40" s="653"/>
      <c r="G40" s="106">
        <v>2.4500000000000001E-2</v>
      </c>
      <c r="H40" s="656">
        <f t="shared" si="7"/>
        <v>3.8751998986458479E-4</v>
      </c>
      <c r="M40" s="104"/>
      <c r="N40" s="104"/>
      <c r="O40" s="651"/>
    </row>
    <row r="41" spans="1:15">
      <c r="A41" s="878" t="s">
        <v>962</v>
      </c>
      <c r="B41" s="102">
        <v>50000000</v>
      </c>
      <c r="C41" s="654">
        <f t="shared" si="5"/>
        <v>5.5333333333333341</v>
      </c>
      <c r="D41" s="102">
        <v>276666666.66666669</v>
      </c>
      <c r="E41" s="655">
        <f t="shared" si="1"/>
        <v>7.9565019564033501E-3</v>
      </c>
      <c r="F41" s="653"/>
      <c r="G41" s="106">
        <v>2.5000000000000001E-2</v>
      </c>
      <c r="H41" s="656">
        <f t="shared" si="7"/>
        <v>1.9891254891008376E-4</v>
      </c>
      <c r="M41" s="104"/>
      <c r="N41" s="104"/>
      <c r="O41" s="651"/>
    </row>
    <row r="42" spans="1:15">
      <c r="C42" s="654"/>
      <c r="E42" s="655"/>
      <c r="F42" s="653"/>
      <c r="G42" s="106"/>
      <c r="H42" s="656"/>
      <c r="M42" s="104"/>
      <c r="N42" s="104"/>
      <c r="O42" s="651"/>
    </row>
    <row r="43" spans="1:15">
      <c r="E43" s="106"/>
      <c r="G43" s="106"/>
      <c r="H43" s="652"/>
    </row>
    <row r="44" spans="1:15">
      <c r="A44" s="102" t="s">
        <v>468</v>
      </c>
      <c r="B44" s="102">
        <v>290404731.79125184</v>
      </c>
      <c r="C44" s="103">
        <v>1</v>
      </c>
      <c r="D44" s="102">
        <f t="shared" ref="D44:D55" si="8">B44</f>
        <v>290404731.79125184</v>
      </c>
      <c r="E44" s="106">
        <f t="shared" ref="E44:E55" si="9">D44/$D$57</f>
        <v>8.3515872890815128E-3</v>
      </c>
      <c r="G44" s="106">
        <v>3.5000000000000001E-3</v>
      </c>
      <c r="H44" s="652">
        <f t="shared" ref="H44:H55" si="10">G44*E44</f>
        <v>2.9230555511785294E-5</v>
      </c>
      <c r="M44" s="104"/>
      <c r="N44" s="104"/>
      <c r="O44" s="651"/>
    </row>
    <row r="45" spans="1:15">
      <c r="A45" s="102" t="s">
        <v>467</v>
      </c>
      <c r="B45" s="102">
        <v>316377097.68313646</v>
      </c>
      <c r="C45" s="103">
        <v>1</v>
      </c>
      <c r="D45" s="102">
        <f t="shared" si="8"/>
        <v>316377097.68313646</v>
      </c>
      <c r="E45" s="106">
        <f t="shared" si="9"/>
        <v>9.0985120361822495E-3</v>
      </c>
      <c r="G45" s="106">
        <v>3.5000000000000001E-3</v>
      </c>
      <c r="H45" s="652">
        <f t="shared" si="10"/>
        <v>3.1844792126637872E-5</v>
      </c>
      <c r="M45" s="104"/>
      <c r="N45" s="104"/>
      <c r="O45" s="651"/>
    </row>
    <row r="46" spans="1:15">
      <c r="A46" s="102" t="s">
        <v>466</v>
      </c>
      <c r="B46" s="102">
        <v>286101057.3653034</v>
      </c>
      <c r="C46" s="103">
        <v>1</v>
      </c>
      <c r="D46" s="102">
        <f t="shared" si="8"/>
        <v>286101057.3653034</v>
      </c>
      <c r="E46" s="106">
        <f t="shared" si="9"/>
        <v>8.2278203228533867E-3</v>
      </c>
      <c r="G46" s="106">
        <v>3.5000000000000001E-3</v>
      </c>
      <c r="H46" s="652">
        <f t="shared" si="10"/>
        <v>2.8797371129986852E-5</v>
      </c>
      <c r="M46" s="104"/>
      <c r="N46" s="104"/>
      <c r="O46" s="651"/>
    </row>
    <row r="47" spans="1:15">
      <c r="A47" s="102" t="s">
        <v>465</v>
      </c>
      <c r="B47" s="102">
        <v>287175506.74473894</v>
      </c>
      <c r="C47" s="103">
        <v>1</v>
      </c>
      <c r="D47" s="102">
        <f t="shared" si="8"/>
        <v>287175506.74473894</v>
      </c>
      <c r="E47" s="106">
        <f t="shared" si="9"/>
        <v>8.2587198117312233E-3</v>
      </c>
      <c r="G47" s="106">
        <v>3.5000000000000001E-3</v>
      </c>
      <c r="H47" s="652">
        <f t="shared" si="10"/>
        <v>2.8905519341059282E-5</v>
      </c>
      <c r="M47" s="104"/>
      <c r="N47" s="104"/>
      <c r="O47" s="651"/>
    </row>
    <row r="48" spans="1:15">
      <c r="A48" s="102" t="s">
        <v>464</v>
      </c>
      <c r="B48" s="102">
        <v>326713401.97772104</v>
      </c>
      <c r="C48" s="103">
        <v>1</v>
      </c>
      <c r="D48" s="102">
        <f t="shared" si="8"/>
        <v>326713401.97772104</v>
      </c>
      <c r="E48" s="106">
        <f t="shared" si="9"/>
        <v>9.3957680313937284E-3</v>
      </c>
      <c r="G48" s="106">
        <v>3.5000000000000001E-3</v>
      </c>
      <c r="H48" s="652">
        <f t="shared" si="10"/>
        <v>3.2885188109878051E-5</v>
      </c>
      <c r="M48" s="104"/>
      <c r="N48" s="104"/>
      <c r="O48" s="651"/>
    </row>
    <row r="49" spans="1:15">
      <c r="A49" s="102" t="s">
        <v>463</v>
      </c>
      <c r="B49" s="102">
        <v>313641208.27920437</v>
      </c>
      <c r="C49" s="103">
        <v>1</v>
      </c>
      <c r="D49" s="102">
        <f>B49</f>
        <v>313641208.27920437</v>
      </c>
      <c r="E49" s="106">
        <f t="shared" si="9"/>
        <v>9.0198321227067477E-3</v>
      </c>
      <c r="G49" s="106">
        <v>3.5000000000000001E-3</v>
      </c>
      <c r="H49" s="652">
        <f t="shared" si="10"/>
        <v>3.1569412429473618E-5</v>
      </c>
      <c r="M49" s="104"/>
      <c r="N49" s="104"/>
      <c r="O49" s="651"/>
    </row>
    <row r="50" spans="1:15">
      <c r="A50" s="102" t="s">
        <v>462</v>
      </c>
      <c r="B50" s="102">
        <v>308177168.17273438</v>
      </c>
      <c r="C50" s="103">
        <v>1</v>
      </c>
      <c r="D50" s="102">
        <f t="shared" si="8"/>
        <v>308177168.17273438</v>
      </c>
      <c r="E50" s="106">
        <f t="shared" si="9"/>
        <v>8.8626948487417062E-3</v>
      </c>
      <c r="G50" s="106">
        <v>4.4999999999999997E-3</v>
      </c>
      <c r="H50" s="652">
        <f t="shared" si="10"/>
        <v>3.9882126819337674E-5</v>
      </c>
      <c r="M50" s="104"/>
      <c r="N50" s="104"/>
      <c r="O50" s="651"/>
    </row>
    <row r="51" spans="1:15">
      <c r="A51" s="102" t="s">
        <v>461</v>
      </c>
      <c r="B51" s="102">
        <v>298498171.66566348</v>
      </c>
      <c r="C51" s="103">
        <v>1</v>
      </c>
      <c r="D51" s="102">
        <f t="shared" si="8"/>
        <v>298498171.66566348</v>
      </c>
      <c r="E51" s="106">
        <f t="shared" si="9"/>
        <v>8.5843420006289431E-3</v>
      </c>
      <c r="G51" s="106">
        <v>4.4999999999999997E-3</v>
      </c>
      <c r="H51" s="652">
        <f t="shared" si="10"/>
        <v>3.8629539002830242E-5</v>
      </c>
      <c r="M51" s="104"/>
      <c r="N51" s="104"/>
      <c r="O51" s="651"/>
    </row>
    <row r="52" spans="1:15">
      <c r="A52" s="102" t="s">
        <v>460</v>
      </c>
      <c r="B52" s="102">
        <v>296317899.79157138</v>
      </c>
      <c r="C52" s="103">
        <v>1</v>
      </c>
      <c r="D52" s="102">
        <f t="shared" si="8"/>
        <v>296317899.79157138</v>
      </c>
      <c r="E52" s="106">
        <f t="shared" si="9"/>
        <v>8.5216407809962751E-3</v>
      </c>
      <c r="G52" s="106">
        <v>4.4999999999999997E-3</v>
      </c>
      <c r="H52" s="652">
        <f t="shared" si="10"/>
        <v>3.8347383514483236E-5</v>
      </c>
      <c r="M52" s="104"/>
      <c r="N52" s="104"/>
      <c r="O52" s="651"/>
    </row>
    <row r="53" spans="1:15">
      <c r="A53" s="102" t="s">
        <v>459</v>
      </c>
      <c r="B53" s="102">
        <v>281635648.69741851</v>
      </c>
      <c r="C53" s="103">
        <v>1</v>
      </c>
      <c r="D53" s="102">
        <f t="shared" si="8"/>
        <v>281635648.69741851</v>
      </c>
      <c r="E53" s="106">
        <f t="shared" si="9"/>
        <v>8.0994021320021821E-3</v>
      </c>
      <c r="G53" s="106">
        <v>4.4999999999999997E-3</v>
      </c>
      <c r="H53" s="652">
        <f t="shared" si="10"/>
        <v>3.6447309594009817E-5</v>
      </c>
      <c r="M53" s="104"/>
      <c r="N53" s="104"/>
      <c r="O53" s="651"/>
    </row>
    <row r="54" spans="1:15">
      <c r="A54" s="102" t="s">
        <v>458</v>
      </c>
      <c r="B54" s="102">
        <v>319676985.40574783</v>
      </c>
      <c r="C54" s="103">
        <v>1</v>
      </c>
      <c r="D54" s="102">
        <f t="shared" si="8"/>
        <v>319676985.40574783</v>
      </c>
      <c r="E54" s="106">
        <f t="shared" si="9"/>
        <v>9.1934116619203296E-3</v>
      </c>
      <c r="G54" s="106">
        <v>4.4999999999999997E-3</v>
      </c>
      <c r="H54" s="652">
        <f t="shared" si="10"/>
        <v>4.1370352478641481E-5</v>
      </c>
      <c r="M54" s="104"/>
      <c r="N54" s="104"/>
      <c r="O54" s="651"/>
    </row>
    <row r="55" spans="1:15">
      <c r="A55" s="102" t="s">
        <v>457</v>
      </c>
      <c r="B55" s="102">
        <v>317680875.81296653</v>
      </c>
      <c r="C55" s="103">
        <v>1</v>
      </c>
      <c r="D55" s="102">
        <f t="shared" si="8"/>
        <v>317680875.81296653</v>
      </c>
      <c r="E55" s="106">
        <f t="shared" si="9"/>
        <v>9.1360066623534849E-3</v>
      </c>
      <c r="G55" s="106">
        <v>4.4999999999999997E-3</v>
      </c>
      <c r="H55" s="652">
        <f t="shared" si="10"/>
        <v>4.1112029980590678E-5</v>
      </c>
      <c r="M55" s="104"/>
      <c r="N55" s="104"/>
      <c r="O55" s="651"/>
    </row>
    <row r="56" spans="1:15">
      <c r="G56" s="106"/>
      <c r="H56" s="652"/>
    </row>
    <row r="57" spans="1:15">
      <c r="B57" s="108">
        <f>SUM(B10:B55)</f>
        <v>6367399753.3874578</v>
      </c>
      <c r="D57" s="108">
        <f>SUM(D10:D55)</f>
        <v>34772399753.387459</v>
      </c>
      <c r="E57" s="107">
        <f>SUM(E10:E55)</f>
        <v>0.99999999999999989</v>
      </c>
      <c r="H57" s="107">
        <f>SUM(H10:H55)</f>
        <v>3.9825537691458586E-2</v>
      </c>
      <c r="O57" s="106"/>
    </row>
    <row r="58" spans="1:15">
      <c r="H58" s="106"/>
    </row>
    <row r="59" spans="1:15">
      <c r="A59" s="102" t="s">
        <v>426</v>
      </c>
      <c r="H59" s="105"/>
    </row>
    <row r="60" spans="1:15" ht="33.75" customHeight="1">
      <c r="A60" s="971" t="s">
        <v>456</v>
      </c>
      <c r="B60" s="971"/>
      <c r="C60" s="971"/>
      <c r="D60" s="971"/>
      <c r="E60" s="971"/>
      <c r="F60" s="971"/>
      <c r="G60" s="971"/>
      <c r="H60" s="971"/>
    </row>
    <row r="61" spans="1:15">
      <c r="A61" s="971" t="s">
        <v>455</v>
      </c>
      <c r="B61" s="971"/>
      <c r="C61" s="971"/>
      <c r="D61" s="971"/>
      <c r="E61" s="971"/>
      <c r="F61" s="971"/>
      <c r="G61" s="971"/>
      <c r="H61" s="971"/>
    </row>
    <row r="62" spans="1:15">
      <c r="A62" s="971" t="s">
        <v>454</v>
      </c>
      <c r="B62" s="971"/>
      <c r="C62" s="971"/>
      <c r="D62" s="971"/>
      <c r="E62" s="971"/>
      <c r="F62" s="971"/>
      <c r="G62" s="971"/>
      <c r="H62" s="971"/>
    </row>
    <row r="63" spans="1:15" ht="33.75" customHeight="1">
      <c r="A63" s="971" t="s">
        <v>453</v>
      </c>
      <c r="B63" s="971"/>
      <c r="C63" s="971"/>
      <c r="D63" s="971"/>
      <c r="E63" s="971"/>
      <c r="F63" s="971"/>
      <c r="G63" s="971"/>
      <c r="H63" s="971"/>
    </row>
    <row r="65" spans="1:6">
      <c r="A65" s="104"/>
      <c r="B65" s="104"/>
      <c r="C65" s="104"/>
      <c r="D65" s="104"/>
      <c r="E65" s="104"/>
      <c r="F65" s="104"/>
    </row>
  </sheetData>
  <mergeCells count="4">
    <mergeCell ref="A63:H63"/>
    <mergeCell ref="A62:H62"/>
    <mergeCell ref="A61:H61"/>
    <mergeCell ref="A60:H60"/>
  </mergeCells>
  <conditionalFormatting sqref="C10:C43">
    <cfRule type="cellIs" dxfId="1" priority="2" operator="notEqual">
      <formula>12</formula>
    </cfRule>
  </conditionalFormatting>
  <conditionalFormatting sqref="C10:C43">
    <cfRule type="cellIs" dxfId="0" priority="1" operator="equal">
      <formula>0</formula>
    </cfRule>
  </conditionalFormatting>
  <pageMargins left="0.7" right="0.7" top="0.75" bottom="0.75" header="0.3" footer="0.3"/>
  <pageSetup scale="61" orientation="portrait" r:id="rId1"/>
  <headerFooter>
    <oddHeader>&amp;R&amp;A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9">
    <pageSetUpPr fitToPage="1"/>
  </sheetPr>
  <dimension ref="A1:I19"/>
  <sheetViews>
    <sheetView zoomScaleNormal="100" zoomScaleSheetLayoutView="100" workbookViewId="0">
      <pane xSplit="1" ySplit="5" topLeftCell="B6" activePane="bottomRight" state="frozen"/>
      <selection activeCell="C6" sqref="C6"/>
      <selection pane="topRight" activeCell="C6" sqref="C6"/>
      <selection pane="bottomLeft" activeCell="C6" sqref="C6"/>
      <selection pane="bottomRight" activeCell="B18" sqref="B18"/>
    </sheetView>
  </sheetViews>
  <sheetFormatPr defaultRowHeight="15"/>
  <cols>
    <col min="1" max="1" width="12.28515625" bestFit="1" customWidth="1"/>
    <col min="2" max="9" width="18.42578125" customWidth="1"/>
  </cols>
  <sheetData>
    <row r="1" spans="1:9" s="102" customFormat="1">
      <c r="A1" s="661"/>
      <c r="B1" s="661"/>
      <c r="C1" s="876"/>
      <c r="D1" s="876"/>
      <c r="E1"/>
    </row>
    <row r="2" spans="1:9" ht="30">
      <c r="B2" s="53" t="s">
        <v>394</v>
      </c>
      <c r="C2" s="53" t="s">
        <v>395</v>
      </c>
      <c r="D2" s="53" t="s">
        <v>396</v>
      </c>
      <c r="E2" s="53" t="s">
        <v>397</v>
      </c>
      <c r="F2" s="53" t="s">
        <v>15</v>
      </c>
      <c r="G2" s="53" t="s">
        <v>398</v>
      </c>
      <c r="H2" s="53" t="s">
        <v>399</v>
      </c>
      <c r="I2" s="53" t="s">
        <v>400</v>
      </c>
    </row>
    <row r="3" spans="1:9">
      <c r="B3" s="52" t="s">
        <v>440</v>
      </c>
      <c r="C3" s="52" t="s">
        <v>441</v>
      </c>
      <c r="D3" s="52" t="s">
        <v>442</v>
      </c>
      <c r="E3" s="52" t="s">
        <v>443</v>
      </c>
      <c r="F3" s="52" t="s">
        <v>444</v>
      </c>
      <c r="G3" s="52" t="s">
        <v>445</v>
      </c>
      <c r="H3" s="52" t="s">
        <v>449</v>
      </c>
      <c r="I3" s="52" t="s">
        <v>446</v>
      </c>
    </row>
    <row r="4" spans="1:9">
      <c r="B4" s="52" t="s">
        <v>450</v>
      </c>
      <c r="C4" s="52" t="s">
        <v>447</v>
      </c>
      <c r="D4" s="52" t="s">
        <v>448</v>
      </c>
      <c r="E4" s="52" t="s">
        <v>451</v>
      </c>
      <c r="F4" s="52"/>
      <c r="G4" s="52" t="s">
        <v>452</v>
      </c>
      <c r="H4" s="52"/>
      <c r="I4" s="52"/>
    </row>
    <row r="5" spans="1:9">
      <c r="B5" s="52"/>
      <c r="C5" s="52"/>
      <c r="D5" s="52"/>
      <c r="F5" s="52"/>
      <c r="H5" s="52"/>
      <c r="I5" s="52"/>
    </row>
    <row r="6" spans="1:9">
      <c r="A6" s="668" t="s">
        <v>988</v>
      </c>
      <c r="B6" s="960">
        <v>49805988.479028709</v>
      </c>
      <c r="C6" s="960">
        <v>7853341.1026674965</v>
      </c>
      <c r="D6" s="960">
        <v>3357920.2150518941</v>
      </c>
      <c r="E6" s="960">
        <v>741877.93680000002</v>
      </c>
      <c r="F6" s="960">
        <f>SUM(B6:E6)</f>
        <v>61759127.733548105</v>
      </c>
      <c r="G6" s="960">
        <v>133333.3328</v>
      </c>
      <c r="H6" s="960">
        <f>SUM(F6:G6)</f>
        <v>61892461.066348106</v>
      </c>
      <c r="I6" s="960">
        <v>1193366.8569785829</v>
      </c>
    </row>
    <row r="7" spans="1:9">
      <c r="A7" s="879" t="s">
        <v>366</v>
      </c>
      <c r="B7" s="960">
        <v>49864798.229093201</v>
      </c>
      <c r="C7" s="960">
        <v>7846120.0011174846</v>
      </c>
      <c r="D7" s="960">
        <v>3387552.8640853101</v>
      </c>
      <c r="E7" s="960">
        <v>615623.45039999997</v>
      </c>
      <c r="F7" s="960">
        <f t="shared" ref="F7:F17" si="0">SUM(B7:E7)</f>
        <v>61714094.544695996</v>
      </c>
      <c r="G7" s="960">
        <v>133333.3328</v>
      </c>
      <c r="H7" s="960">
        <f t="shared" ref="H7:H17" si="1">SUM(F7:G7)</f>
        <v>61847427.877495997</v>
      </c>
      <c r="I7" s="960">
        <v>1193366.8569785827</v>
      </c>
    </row>
    <row r="8" spans="1:9">
      <c r="A8" s="879" t="s">
        <v>367</v>
      </c>
      <c r="B8" s="960">
        <v>51125016.963391252</v>
      </c>
      <c r="C8" s="960">
        <v>8007778.5656792372</v>
      </c>
      <c r="D8" s="960">
        <v>3480125.4848095709</v>
      </c>
      <c r="E8" s="960">
        <v>677383.60199999996</v>
      </c>
      <c r="F8" s="960">
        <f t="shared" si="0"/>
        <v>63290304.615880057</v>
      </c>
      <c r="G8" s="960">
        <v>133333.3328</v>
      </c>
      <c r="H8" s="960">
        <f t="shared" si="1"/>
        <v>63423637.948680058</v>
      </c>
      <c r="I8" s="960">
        <v>1193366.8569785841</v>
      </c>
    </row>
    <row r="9" spans="1:9">
      <c r="A9" s="879" t="s">
        <v>368</v>
      </c>
      <c r="B9" s="960">
        <v>50982732.028583698</v>
      </c>
      <c r="C9" s="960">
        <v>7962068.5942667387</v>
      </c>
      <c r="D9" s="960">
        <v>3540233.5701739141</v>
      </c>
      <c r="E9" s="960">
        <v>641494.37520000001</v>
      </c>
      <c r="F9" s="960">
        <f t="shared" si="0"/>
        <v>63126528.568224348</v>
      </c>
      <c r="G9" s="960">
        <v>133333.3328</v>
      </c>
      <c r="H9" s="960">
        <f t="shared" si="1"/>
        <v>63259861.901024349</v>
      </c>
      <c r="I9" s="960">
        <v>1193366.856978582</v>
      </c>
    </row>
    <row r="10" spans="1:9">
      <c r="A10" s="879" t="s">
        <v>362</v>
      </c>
      <c r="B10" s="960">
        <v>50214956.260883793</v>
      </c>
      <c r="C10" s="960">
        <v>7840927.9205374317</v>
      </c>
      <c r="D10" s="960">
        <v>3583940.7342714593</v>
      </c>
      <c r="E10" s="960">
        <v>739815.42599999998</v>
      </c>
      <c r="F10" s="960">
        <f t="shared" si="0"/>
        <v>62379640.341692686</v>
      </c>
      <c r="G10" s="960">
        <v>133333.3328</v>
      </c>
      <c r="H10" s="960">
        <f t="shared" si="1"/>
        <v>62512973.674492687</v>
      </c>
      <c r="I10" s="960">
        <v>1193366.8569785829</v>
      </c>
    </row>
    <row r="11" spans="1:9">
      <c r="A11" s="879" t="s">
        <v>369</v>
      </c>
      <c r="B11" s="960">
        <v>51191858.340773083</v>
      </c>
      <c r="C11" s="960">
        <v>7935406.9707387704</v>
      </c>
      <c r="D11" s="960">
        <v>3693798.9669234743</v>
      </c>
      <c r="E11" s="960">
        <v>702674.90159999998</v>
      </c>
      <c r="F11" s="960">
        <f t="shared" si="0"/>
        <v>63523739.18003533</v>
      </c>
      <c r="G11" s="960">
        <v>133333.3328</v>
      </c>
      <c r="H11" s="960">
        <f t="shared" si="1"/>
        <v>63657072.512835331</v>
      </c>
      <c r="I11" s="960">
        <v>1193366.8569785831</v>
      </c>
    </row>
    <row r="12" spans="1:9">
      <c r="A12" s="879" t="s">
        <v>370</v>
      </c>
      <c r="B12" s="960">
        <v>50734445.64047417</v>
      </c>
      <c r="C12" s="960">
        <v>7839691.223042218</v>
      </c>
      <c r="D12" s="960">
        <v>3752662.349606121</v>
      </c>
      <c r="E12" s="960">
        <v>759465.15960000001</v>
      </c>
      <c r="F12" s="960">
        <f t="shared" si="0"/>
        <v>63086264.372722507</v>
      </c>
      <c r="G12" s="960">
        <v>133333.3328</v>
      </c>
      <c r="H12" s="960">
        <f t="shared" si="1"/>
        <v>63219597.705522507</v>
      </c>
      <c r="I12" s="960">
        <v>1193366.8569785827</v>
      </c>
    </row>
    <row r="13" spans="1:9">
      <c r="A13" s="879" t="s">
        <v>371</v>
      </c>
      <c r="B13" s="960">
        <v>51205787.982106529</v>
      </c>
      <c r="C13" s="960">
        <v>7866746.3264498115</v>
      </c>
      <c r="D13" s="960">
        <v>3852500.9574256623</v>
      </c>
      <c r="E13" s="960">
        <v>746323.18319999997</v>
      </c>
      <c r="F13" s="960">
        <f t="shared" si="0"/>
        <v>63671358.449182004</v>
      </c>
      <c r="G13" s="960">
        <v>133333.3328</v>
      </c>
      <c r="H13" s="960">
        <f t="shared" si="1"/>
        <v>63804691.781982005</v>
      </c>
      <c r="I13" s="960">
        <v>1193366.856978582</v>
      </c>
    </row>
    <row r="14" spans="1:9">
      <c r="A14" s="879" t="s">
        <v>372</v>
      </c>
      <c r="B14" s="960">
        <v>50957289.590019114</v>
      </c>
      <c r="C14" s="960">
        <v>7822164.6287245285</v>
      </c>
      <c r="D14" s="960">
        <v>3927933.0988967288</v>
      </c>
      <c r="E14" s="960">
        <v>653304.96840000001</v>
      </c>
      <c r="F14" s="960">
        <f t="shared" si="0"/>
        <v>63360692.286040373</v>
      </c>
      <c r="G14" s="960">
        <v>133333.3328</v>
      </c>
      <c r="H14" s="960">
        <f t="shared" si="1"/>
        <v>63494025.618840374</v>
      </c>
      <c r="I14" s="960">
        <v>1193366.8569785841</v>
      </c>
    </row>
    <row r="15" spans="1:9">
      <c r="A15" s="879" t="s">
        <v>373</v>
      </c>
      <c r="B15" s="960">
        <v>51470937.743325576</v>
      </c>
      <c r="C15" s="960">
        <v>7868329.6871405561</v>
      </c>
      <c r="D15" s="960">
        <v>4028120.0420316271</v>
      </c>
      <c r="E15" s="960">
        <v>732909.89520000003</v>
      </c>
      <c r="F15" s="960">
        <f t="shared" si="0"/>
        <v>64100297.36769776</v>
      </c>
      <c r="G15" s="960">
        <v>133333.3328</v>
      </c>
      <c r="H15" s="960">
        <f t="shared" si="1"/>
        <v>64233630.700497761</v>
      </c>
      <c r="I15" s="960">
        <v>1193366.8569785827</v>
      </c>
    </row>
    <row r="16" spans="1:9">
      <c r="A16" s="879" t="s">
        <v>374</v>
      </c>
      <c r="B16" s="960">
        <v>50224858.629972592</v>
      </c>
      <c r="C16" s="960">
        <v>7639369.8878900642</v>
      </c>
      <c r="D16" s="960">
        <v>4017991.6731153503</v>
      </c>
      <c r="E16" s="960">
        <v>638137.50840000005</v>
      </c>
      <c r="F16" s="960">
        <f t="shared" si="0"/>
        <v>62520357.699378006</v>
      </c>
      <c r="G16" s="960">
        <v>133333.3328</v>
      </c>
      <c r="H16" s="960">
        <f t="shared" si="1"/>
        <v>62653691.032178007</v>
      </c>
      <c r="I16" s="960">
        <v>1193366.8569785827</v>
      </c>
    </row>
    <row r="17" spans="1:9">
      <c r="A17" s="668" t="s">
        <v>989</v>
      </c>
      <c r="B17" s="960">
        <v>51153059.343163282</v>
      </c>
      <c r="C17" s="960">
        <v>7748080.5099303443</v>
      </c>
      <c r="D17" s="960">
        <v>4083964.7213225872</v>
      </c>
      <c r="E17" s="892">
        <v>750989.59479999996</v>
      </c>
      <c r="F17" s="892">
        <f t="shared" si="0"/>
        <v>63736094.169216216</v>
      </c>
      <c r="G17" s="892">
        <v>133333.34280000001</v>
      </c>
      <c r="H17" s="960">
        <f t="shared" si="1"/>
        <v>63869427.512016214</v>
      </c>
      <c r="I17" s="960">
        <v>1193366.8569785827</v>
      </c>
    </row>
    <row r="18" spans="1:9">
      <c r="A18" s="49" t="s">
        <v>15</v>
      </c>
      <c r="B18" s="961">
        <f>ROUND(SUM(B6:B17),0)</f>
        <v>608931729</v>
      </c>
      <c r="C18" s="961">
        <f t="shared" ref="C18:I18" si="2">ROUND(SUM(C6:C17),0)</f>
        <v>94230025</v>
      </c>
      <c r="D18" s="961">
        <f t="shared" si="2"/>
        <v>44706745</v>
      </c>
      <c r="E18" s="961">
        <f t="shared" si="2"/>
        <v>8400000</v>
      </c>
      <c r="F18" s="961">
        <f t="shared" ref="F18:H18" si="3">SUM(F6:F17)</f>
        <v>756268499.32831335</v>
      </c>
      <c r="G18" s="961">
        <f t="shared" si="2"/>
        <v>1600000</v>
      </c>
      <c r="H18" s="961">
        <f t="shared" si="3"/>
        <v>757868499.33191335</v>
      </c>
      <c r="I18" s="961">
        <f t="shared" si="2"/>
        <v>14320402</v>
      </c>
    </row>
    <row r="19" spans="1:9">
      <c r="B19" s="861"/>
      <c r="C19" s="628"/>
      <c r="D19" s="628"/>
      <c r="E19" s="628"/>
      <c r="F19" s="628"/>
      <c r="G19" s="628"/>
      <c r="H19" s="628"/>
      <c r="I19" s="628"/>
    </row>
  </sheetData>
  <pageMargins left="0.7" right="0.7" top="0.75" bottom="0.75" header="0.3" footer="0.3"/>
  <pageSetup scale="77" orientation="landscape" verticalDpi="597" r:id="rId1"/>
  <headerFooter>
    <oddHeader>&amp;R&amp;A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1">
    <pageSetUpPr fitToPage="1"/>
  </sheetPr>
  <dimension ref="A1:E40"/>
  <sheetViews>
    <sheetView zoomScaleNormal="100" zoomScaleSheetLayoutView="100" workbookViewId="0">
      <selection activeCell="C19" sqref="C19"/>
    </sheetView>
  </sheetViews>
  <sheetFormatPr defaultRowHeight="15"/>
  <cols>
    <col min="1" max="1" width="47.140625" style="50" bestFit="1" customWidth="1"/>
    <col min="2" max="2" width="9.140625" style="50"/>
    <col min="3" max="3" width="14.7109375" style="51" customWidth="1"/>
    <col min="4" max="5" width="14.7109375" style="50" customWidth="1"/>
    <col min="6" max="16384" width="9.140625" style="50"/>
  </cols>
  <sheetData>
    <row r="1" spans="1:5">
      <c r="A1" s="896" t="s">
        <v>5</v>
      </c>
      <c r="B1" s="896"/>
      <c r="C1" s="650"/>
      <c r="D1" s="896"/>
      <c r="E1" s="896"/>
    </row>
    <row r="2" spans="1:5">
      <c r="A2" s="896" t="s">
        <v>401</v>
      </c>
      <c r="B2" s="896"/>
      <c r="C2" s="650"/>
      <c r="D2" s="896"/>
      <c r="E2" s="896"/>
    </row>
    <row r="3" spans="1:5">
      <c r="A3" s="896" t="s">
        <v>986</v>
      </c>
      <c r="B3" s="896"/>
      <c r="C3" s="650"/>
      <c r="D3" s="896"/>
      <c r="E3" s="896"/>
    </row>
    <row r="4" spans="1:5">
      <c r="A4" s="896"/>
      <c r="B4" s="896"/>
      <c r="C4" s="650"/>
      <c r="D4" s="896"/>
      <c r="E4" s="896"/>
    </row>
    <row r="5" spans="1:5" ht="12.75">
      <c r="A5" s="896" t="s">
        <v>402</v>
      </c>
      <c r="B5" s="896"/>
      <c r="C5" s="897">
        <f>'ATC Att O'!I199</f>
        <v>320043179.18467522</v>
      </c>
      <c r="D5" s="896"/>
      <c r="E5" s="896"/>
    </row>
    <row r="6" spans="1:5" ht="12.75">
      <c r="A6" s="896" t="s">
        <v>403</v>
      </c>
      <c r="B6" s="896"/>
      <c r="C6" s="903">
        <v>69944354.697680548</v>
      </c>
      <c r="D6" s="896"/>
      <c r="E6" s="896"/>
    </row>
    <row r="7" spans="1:5">
      <c r="A7" s="896" t="s">
        <v>404</v>
      </c>
      <c r="B7" s="896"/>
      <c r="C7" s="898">
        <v>0</v>
      </c>
      <c r="D7" s="896"/>
      <c r="E7" s="896"/>
    </row>
    <row r="8" spans="1:5" ht="12.75">
      <c r="A8" s="896" t="s">
        <v>405</v>
      </c>
      <c r="B8" s="896"/>
      <c r="C8" s="899">
        <f>SUM(C5:C7)</f>
        <v>389987533.88235575</v>
      </c>
      <c r="D8" s="896"/>
      <c r="E8" s="896"/>
    </row>
    <row r="9" spans="1:5">
      <c r="A9" s="896"/>
      <c r="B9" s="896"/>
      <c r="C9" s="900"/>
      <c r="D9" s="896"/>
      <c r="E9" s="901"/>
    </row>
    <row r="10" spans="1:5" ht="12.75">
      <c r="A10" s="896" t="s">
        <v>406</v>
      </c>
      <c r="B10" s="902">
        <f>'ATC Att O'!I268</f>
        <v>1.9912768845729293E-2</v>
      </c>
      <c r="C10" s="896"/>
      <c r="D10" s="896"/>
      <c r="E10" s="901"/>
    </row>
    <row r="11" spans="1:5" ht="12.75">
      <c r="A11" s="896" t="s">
        <v>407</v>
      </c>
      <c r="B11" s="902">
        <f>'ATC Att O'!I271</f>
        <v>7.2512768845729297E-2</v>
      </c>
      <c r="C11" s="896"/>
      <c r="D11" s="896"/>
      <c r="E11" s="901"/>
    </row>
    <row r="12" spans="1:5" ht="12.75">
      <c r="A12" s="896" t="s">
        <v>408</v>
      </c>
      <c r="B12" s="896"/>
      <c r="C12" s="903">
        <f>B10/B11*C5</f>
        <v>87887222.474088416</v>
      </c>
      <c r="D12" s="896"/>
      <c r="E12" s="904"/>
    </row>
    <row r="13" spans="1:5" ht="12.75">
      <c r="A13" s="896" t="s">
        <v>409</v>
      </c>
      <c r="B13" s="896"/>
      <c r="C13" s="899">
        <f>C8-C12</f>
        <v>302100311.40826732</v>
      </c>
      <c r="D13" s="896"/>
      <c r="E13" s="896"/>
    </row>
    <row r="14" spans="1:5">
      <c r="A14" s="896"/>
      <c r="B14" s="896"/>
      <c r="C14" s="900"/>
      <c r="D14" s="896"/>
      <c r="E14" s="896"/>
    </row>
    <row r="15" spans="1:5" ht="12.75">
      <c r="A15" s="896" t="s">
        <v>410</v>
      </c>
      <c r="B15" s="896"/>
      <c r="C15" s="905">
        <f>C5*C22</f>
        <v>281693327.70746118</v>
      </c>
      <c r="D15" s="896"/>
      <c r="E15" s="896"/>
    </row>
    <row r="16" spans="1:5" ht="12.75">
      <c r="A16" s="896" t="s">
        <v>411</v>
      </c>
      <c r="B16" s="896"/>
      <c r="C16" s="902">
        <f>C35</f>
        <v>7.4981467100000004E-2</v>
      </c>
      <c r="D16" s="896"/>
      <c r="E16" s="903"/>
    </row>
    <row r="17" spans="1:5" ht="12.75">
      <c r="A17" s="896" t="s">
        <v>412</v>
      </c>
      <c r="B17" s="896"/>
      <c r="C17" s="899">
        <f>+C15*C16</f>
        <v>21121778.98378652</v>
      </c>
      <c r="D17" s="896"/>
      <c r="E17" s="896"/>
    </row>
    <row r="18" spans="1:5">
      <c r="A18" s="896"/>
      <c r="B18" s="896"/>
      <c r="C18" s="650"/>
      <c r="D18" s="896"/>
      <c r="E18" s="896"/>
    </row>
    <row r="19" spans="1:5" ht="13.5" thickBot="1">
      <c r="A19" s="896" t="s">
        <v>413</v>
      </c>
      <c r="B19" s="896"/>
      <c r="C19" s="663">
        <f>+C17/C15</f>
        <v>7.4981467100000004E-2</v>
      </c>
      <c r="D19" s="896"/>
      <c r="E19" s="906"/>
    </row>
    <row r="20" spans="1:5" ht="15.75" thickTop="1">
      <c r="A20" s="896"/>
      <c r="B20" s="896"/>
      <c r="C20" s="650"/>
      <c r="D20" s="896"/>
      <c r="E20" s="896"/>
    </row>
    <row r="21" spans="1:5" ht="12.75">
      <c r="A21" s="896"/>
      <c r="B21" s="896"/>
      <c r="C21" s="896"/>
      <c r="D21" s="896"/>
      <c r="E21" s="896"/>
    </row>
    <row r="22" spans="1:5" ht="12.75">
      <c r="A22" s="669" t="s">
        <v>414</v>
      </c>
      <c r="B22" s="896"/>
      <c r="C22" s="902">
        <v>0.88017288299999996</v>
      </c>
      <c r="D22" s="896"/>
      <c r="E22" s="896"/>
    </row>
    <row r="23" spans="1:5" ht="12.75">
      <c r="A23" s="896"/>
      <c r="B23" s="896"/>
      <c r="C23" s="896"/>
      <c r="D23" s="896"/>
      <c r="E23" s="896"/>
    </row>
    <row r="24" spans="1:5" ht="12.75">
      <c r="A24" s="907" t="s">
        <v>415</v>
      </c>
      <c r="B24" s="896"/>
      <c r="C24" s="902">
        <v>0.21</v>
      </c>
      <c r="D24" s="896"/>
      <c r="E24" s="896"/>
    </row>
    <row r="25" spans="1:5" ht="12.75">
      <c r="A25" s="907"/>
      <c r="B25" s="896"/>
      <c r="C25" s="908"/>
      <c r="D25" s="896"/>
      <c r="E25" s="896"/>
    </row>
    <row r="26" spans="1:5" ht="38.25">
      <c r="A26" s="907" t="s">
        <v>416</v>
      </c>
      <c r="B26" s="896"/>
      <c r="C26" s="909" t="s">
        <v>417</v>
      </c>
      <c r="D26" s="910" t="s">
        <v>418</v>
      </c>
      <c r="E26" s="910" t="s">
        <v>419</v>
      </c>
    </row>
    <row r="27" spans="1:5" ht="12.75">
      <c r="A27" s="907"/>
      <c r="B27" s="896"/>
      <c r="C27" s="908"/>
      <c r="D27" s="907"/>
      <c r="E27" s="907"/>
    </row>
    <row r="28" spans="1:5" ht="12.75">
      <c r="A28" s="907" t="s">
        <v>420</v>
      </c>
      <c r="B28" s="896"/>
      <c r="C28" s="908">
        <f t="shared" ref="C28:C33" si="0">E28*D28</f>
        <v>6.2884797900000011E-2</v>
      </c>
      <c r="D28" s="902">
        <v>7.9000000000000001E-2</v>
      </c>
      <c r="E28" s="911">
        <v>0.79601010000000005</v>
      </c>
    </row>
    <row r="29" spans="1:5" ht="12.75">
      <c r="A29" s="907" t="s">
        <v>421</v>
      </c>
      <c r="B29" s="896"/>
      <c r="C29" s="908">
        <f t="shared" si="0"/>
        <v>5.7434272000000007E-3</v>
      </c>
      <c r="D29" s="902">
        <v>9.8000000000000004E-2</v>
      </c>
      <c r="E29" s="911">
        <v>5.8606400000000003E-2</v>
      </c>
    </row>
    <row r="30" spans="1:5" ht="12.75">
      <c r="A30" s="907" t="s">
        <v>422</v>
      </c>
      <c r="B30" s="896"/>
      <c r="C30" s="908">
        <f t="shared" si="0"/>
        <v>5.6380599999999992E-4</v>
      </c>
      <c r="D30" s="902">
        <v>9.5000000000000001E-2</v>
      </c>
      <c r="E30" s="911">
        <v>5.9347999999999996E-3</v>
      </c>
    </row>
    <row r="31" spans="1:5" ht="12.75">
      <c r="A31" s="907" t="s">
        <v>423</v>
      </c>
      <c r="B31" s="896"/>
      <c r="C31" s="908">
        <f t="shared" si="0"/>
        <v>0</v>
      </c>
      <c r="D31" s="902">
        <v>0</v>
      </c>
      <c r="E31" s="911">
        <v>0</v>
      </c>
    </row>
    <row r="32" spans="1:5" ht="12.75">
      <c r="A32" s="907" t="s">
        <v>424</v>
      </c>
      <c r="B32" s="896"/>
      <c r="C32" s="908">
        <f t="shared" si="0"/>
        <v>5.7894359999999994E-3</v>
      </c>
      <c r="D32" s="902">
        <v>0.06</v>
      </c>
      <c r="E32" s="911">
        <v>9.6490599999999996E-2</v>
      </c>
    </row>
    <row r="33" spans="1:5" ht="12.75">
      <c r="A33" s="907" t="s">
        <v>425</v>
      </c>
      <c r="B33" s="896"/>
      <c r="C33" s="908">
        <f t="shared" si="0"/>
        <v>0</v>
      </c>
      <c r="D33" s="902">
        <v>0.03</v>
      </c>
      <c r="E33" s="911">
        <v>0</v>
      </c>
    </row>
    <row r="34" spans="1:5" ht="12.75">
      <c r="A34" s="912"/>
      <c r="B34" s="896"/>
      <c r="C34" s="907"/>
      <c r="D34" s="913"/>
      <c r="E34" s="913"/>
    </row>
    <row r="35" spans="1:5" ht="13.5" thickBot="1">
      <c r="A35" s="912"/>
      <c r="B35" s="896"/>
      <c r="C35" s="663">
        <f>SUM(C28:C34)</f>
        <v>7.4981467100000004E-2</v>
      </c>
      <c r="D35" s="913"/>
      <c r="E35" s="914">
        <f>SUM(E28:E34)</f>
        <v>0.95704190000000011</v>
      </c>
    </row>
    <row r="36" spans="1:5" ht="15.75" thickTop="1">
      <c r="A36" s="912"/>
      <c r="B36" s="896"/>
      <c r="C36" s="650"/>
      <c r="D36" s="896"/>
      <c r="E36" s="896"/>
    </row>
    <row r="37" spans="1:5">
      <c r="A37" s="95" t="s">
        <v>426</v>
      </c>
      <c r="B37" s="896"/>
      <c r="C37" s="650"/>
      <c r="D37" s="896"/>
      <c r="E37" s="896"/>
    </row>
    <row r="38" spans="1:5">
      <c r="A38" s="907"/>
      <c r="B38" s="896"/>
      <c r="C38" s="650"/>
      <c r="D38" s="896"/>
      <c r="E38" s="896"/>
    </row>
    <row r="39" spans="1:5">
      <c r="A39" s="907" t="s">
        <v>427</v>
      </c>
      <c r="B39" s="896"/>
      <c r="C39" s="650"/>
      <c r="D39" s="896"/>
      <c r="E39" s="896"/>
    </row>
    <row r="40" spans="1:5">
      <c r="A40" s="896"/>
      <c r="B40" s="896"/>
      <c r="C40" s="650"/>
      <c r="D40" s="896"/>
      <c r="E40" s="896"/>
    </row>
  </sheetData>
  <pageMargins left="0.7" right="0.7" top="0.75" bottom="0.75" header="0.3" footer="0.3"/>
  <pageSetup scale="90" orientation="portrait" r:id="rId1"/>
  <headerFooter>
    <oddHeader>&amp;R&amp;A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2">
    <pageSetUpPr fitToPage="1"/>
  </sheetPr>
  <dimension ref="A1:G28"/>
  <sheetViews>
    <sheetView zoomScaleNormal="100" zoomScaleSheetLayoutView="100" workbookViewId="0">
      <selection activeCell="D24" sqref="D24"/>
    </sheetView>
  </sheetViews>
  <sheetFormatPr defaultRowHeight="15"/>
  <cols>
    <col min="1" max="1" width="45.28515625" style="50" bestFit="1" customWidth="1"/>
    <col min="2" max="2" width="11.28515625" style="50" customWidth="1"/>
    <col min="3" max="3" width="9.140625" style="50"/>
    <col min="4" max="4" width="15" style="51" customWidth="1"/>
    <col min="5" max="5" width="13.28515625" style="50" customWidth="1"/>
    <col min="6" max="16384" width="9.140625" style="50"/>
  </cols>
  <sheetData>
    <row r="1" spans="1:4" ht="12.75">
      <c r="D1" s="92"/>
    </row>
    <row r="3" spans="1:4">
      <c r="A3" s="896"/>
      <c r="B3" s="896"/>
      <c r="C3" s="896"/>
      <c r="D3" s="650"/>
    </row>
    <row r="4" spans="1:4">
      <c r="A4" s="896" t="s">
        <v>5</v>
      </c>
      <c r="B4" s="896"/>
      <c r="C4" s="896"/>
      <c r="D4" s="650"/>
    </row>
    <row r="5" spans="1:4">
      <c r="A5" s="896" t="s">
        <v>428</v>
      </c>
      <c r="B5" s="896"/>
      <c r="C5" s="896"/>
      <c r="D5" s="650"/>
    </row>
    <row r="6" spans="1:4">
      <c r="A6" s="896" t="s">
        <v>986</v>
      </c>
      <c r="B6" s="896"/>
      <c r="C6" s="896"/>
      <c r="D6" s="650"/>
    </row>
    <row r="7" spans="1:4">
      <c r="A7" s="896"/>
      <c r="B7" s="896"/>
      <c r="C7" s="896"/>
      <c r="D7" s="650"/>
    </row>
    <row r="8" spans="1:4">
      <c r="A8" s="896"/>
      <c r="B8" s="896"/>
      <c r="C8" s="896"/>
      <c r="D8" s="650"/>
    </row>
    <row r="9" spans="1:4">
      <c r="A9" s="896"/>
      <c r="B9" s="896"/>
      <c r="C9" s="896"/>
      <c r="D9" s="650"/>
    </row>
    <row r="10" spans="1:4">
      <c r="A10" s="896"/>
      <c r="B10" s="896"/>
      <c r="C10" s="896"/>
      <c r="D10" s="650"/>
    </row>
    <row r="11" spans="1:4" ht="12.75">
      <c r="A11" s="896" t="s">
        <v>429</v>
      </c>
      <c r="B11" s="896"/>
      <c r="C11" s="896"/>
      <c r="D11" s="897">
        <f>+'SIT (pg. 5)'!C5</f>
        <v>320043179.18467522</v>
      </c>
    </row>
    <row r="12" spans="1:4">
      <c r="A12" s="896"/>
      <c r="B12" s="896"/>
      <c r="C12" s="896"/>
      <c r="D12" s="650"/>
    </row>
    <row r="13" spans="1:4">
      <c r="A13" s="896" t="s">
        <v>430</v>
      </c>
      <c r="B13" s="896"/>
      <c r="C13" s="902">
        <f>'ATC Att O'!I270</f>
        <v>5.2600000000000001E-2</v>
      </c>
      <c r="D13" s="650"/>
    </row>
    <row r="14" spans="1:4">
      <c r="A14" s="896" t="s">
        <v>407</v>
      </c>
      <c r="B14" s="896"/>
      <c r="C14" s="902">
        <f>'ATC Att O'!I271</f>
        <v>7.2512768845729297E-2</v>
      </c>
      <c r="D14" s="650"/>
    </row>
    <row r="15" spans="1:4" ht="12.75">
      <c r="A15" s="896" t="s">
        <v>431</v>
      </c>
      <c r="B15" s="896"/>
      <c r="C15" s="896"/>
      <c r="D15" s="915">
        <f>+C13/C14</f>
        <v>0.72538948432525518</v>
      </c>
    </row>
    <row r="16" spans="1:4">
      <c r="A16" s="896"/>
      <c r="B16" s="896"/>
      <c r="C16" s="896"/>
      <c r="D16" s="650"/>
    </row>
    <row r="17" spans="1:7" ht="12.75">
      <c r="A17" s="896" t="s">
        <v>432</v>
      </c>
      <c r="B17" s="896"/>
      <c r="C17" s="896"/>
      <c r="D17" s="897">
        <f>+D11*D15</f>
        <v>232155956.71058679</v>
      </c>
    </row>
    <row r="18" spans="1:7">
      <c r="A18" s="896"/>
      <c r="B18" s="896"/>
      <c r="C18" s="896"/>
      <c r="D18" s="900"/>
    </row>
    <row r="19" spans="1:7" ht="12.75">
      <c r="A19" s="896" t="s">
        <v>433</v>
      </c>
      <c r="B19" s="896"/>
      <c r="C19" s="896"/>
      <c r="D19" s="916">
        <f>+'SIT (pg. 5)'!C6</f>
        <v>69944354.697680548</v>
      </c>
    </row>
    <row r="20" spans="1:7">
      <c r="A20" s="896"/>
      <c r="B20" s="896"/>
      <c r="C20" s="896"/>
      <c r="D20" s="900"/>
    </row>
    <row r="21" spans="1:7" ht="12.75">
      <c r="A21" s="896" t="s">
        <v>434</v>
      </c>
      <c r="B21" s="896"/>
      <c r="C21" s="896"/>
      <c r="D21" s="897">
        <f>+D17+D19</f>
        <v>302100311.40826732</v>
      </c>
    </row>
    <row r="22" spans="1:7" ht="12.75">
      <c r="A22" s="896" t="s">
        <v>435</v>
      </c>
      <c r="B22" s="896"/>
      <c r="C22" s="896"/>
      <c r="D22" s="897">
        <f>(D21-D19)*(1-'SIT (pg. 5)'!C22)</f>
        <v>27818578.987006426</v>
      </c>
      <c r="F22" s="87"/>
      <c r="G22" s="94"/>
    </row>
    <row r="23" spans="1:7">
      <c r="A23" s="896"/>
      <c r="B23" s="896"/>
      <c r="C23" s="896"/>
      <c r="D23" s="650"/>
    </row>
    <row r="24" spans="1:7" ht="13.5" thickBot="1">
      <c r="A24" s="896" t="s">
        <v>436</v>
      </c>
      <c r="B24" s="896"/>
      <c r="C24" s="896"/>
      <c r="D24" s="663">
        <f>D22/D21</f>
        <v>9.2083913642219239E-2</v>
      </c>
      <c r="E24" s="96"/>
      <c r="F24" s="93"/>
    </row>
    <row r="25" spans="1:7" ht="15.75" thickTop="1"/>
    <row r="26" spans="1:7" ht="12.75">
      <c r="C26" s="93"/>
      <c r="D26" s="93"/>
    </row>
    <row r="27" spans="1:7" ht="12.75">
      <c r="C27" s="93"/>
      <c r="D27" s="97"/>
    </row>
    <row r="28" spans="1:7">
      <c r="D28" s="658"/>
    </row>
  </sheetData>
  <pageMargins left="0.7" right="0.7" top="0.75" bottom="0.75" header="0.3" footer="0.3"/>
  <pageSetup orientation="portrait" r:id="rId1"/>
  <headerFooter>
    <oddHeader>&amp;R&amp;A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24</vt:i4>
      </vt:variant>
    </vt:vector>
  </HeadingPairs>
  <TitlesOfParts>
    <vt:vector size="50" baseType="lpstr">
      <vt:lpstr>ATC Att O</vt:lpstr>
      <vt:lpstr>Plant Balances (pg. 2) </vt:lpstr>
      <vt:lpstr>Deferred Taxes (pg. 2)</vt:lpstr>
      <vt:lpstr>Expense (pg. 3) </vt:lpstr>
      <vt:lpstr>Wages &amp; Salaries (pg. 4)</vt:lpstr>
      <vt:lpstr>Wgt. Avg Debt Rate (pg.4)</vt:lpstr>
      <vt:lpstr>Revenue (pg.4)</vt:lpstr>
      <vt:lpstr>SIT (pg. 5)</vt:lpstr>
      <vt:lpstr>TEP (pg. 5)</vt:lpstr>
      <vt:lpstr>Precert Exp</vt:lpstr>
      <vt:lpstr>ATC Att GG</vt:lpstr>
      <vt:lpstr>GG Support Data</vt:lpstr>
      <vt:lpstr>GG True-up Template</vt:lpstr>
      <vt:lpstr>GG TU Interest</vt:lpstr>
      <vt:lpstr>GG Project Descriptions</vt:lpstr>
      <vt:lpstr>ATC Att MM</vt:lpstr>
      <vt:lpstr>MM Support Data</vt:lpstr>
      <vt:lpstr>MM True-up Template</vt:lpstr>
      <vt:lpstr>MM TU Interest</vt:lpstr>
      <vt:lpstr>MM Project Descriptions</vt:lpstr>
      <vt:lpstr>Sch 9</vt:lpstr>
      <vt:lpstr>Sch 7,8</vt:lpstr>
      <vt:lpstr>Sch 9 TU Interest</vt:lpstr>
      <vt:lpstr>Sch 1</vt:lpstr>
      <vt:lpstr>Sch 1 - True up</vt:lpstr>
      <vt:lpstr>Sch 1 TU Interest</vt:lpstr>
      <vt:lpstr>'ATC Att GG'!Print_Area</vt:lpstr>
      <vt:lpstr>'ATC Att MM'!Print_Area</vt:lpstr>
      <vt:lpstr>'ATC Att O'!Print_Area</vt:lpstr>
      <vt:lpstr>'Deferred Taxes (pg. 2)'!Print_Area</vt:lpstr>
      <vt:lpstr>'Expense (pg. 3) '!Print_Area</vt:lpstr>
      <vt:lpstr>'GG Project Descriptions'!Print_Area</vt:lpstr>
      <vt:lpstr>'GG Support Data'!Print_Area</vt:lpstr>
      <vt:lpstr>'GG True-up Template'!Print_Area</vt:lpstr>
      <vt:lpstr>'GG TU Interest'!Print_Area</vt:lpstr>
      <vt:lpstr>'MM Support Data'!Print_Area</vt:lpstr>
      <vt:lpstr>'MM True-up Template'!Print_Area</vt:lpstr>
      <vt:lpstr>'MM TU Interest'!Print_Area</vt:lpstr>
      <vt:lpstr>'Plant Balances (pg. 2) '!Print_Area</vt:lpstr>
      <vt:lpstr>'Precert Exp'!Print_Area</vt:lpstr>
      <vt:lpstr>'Revenue (pg.4)'!Print_Area</vt:lpstr>
      <vt:lpstr>'Sch 1 - True up'!Print_Area</vt:lpstr>
      <vt:lpstr>'Sch 1 TU Interest'!Print_Area</vt:lpstr>
      <vt:lpstr>'Sch 7,8'!Print_Area</vt:lpstr>
      <vt:lpstr>'Sch 9'!Print_Area</vt:lpstr>
      <vt:lpstr>'Sch 9 TU Interest'!Print_Area</vt:lpstr>
      <vt:lpstr>'SIT (pg. 5)'!Print_Area</vt:lpstr>
      <vt:lpstr>'TEP (pg. 5)'!Print_Area</vt:lpstr>
      <vt:lpstr>'Wages &amp; Salaries (pg. 4)'!Print_Area</vt:lpstr>
      <vt:lpstr>'Wgt. Avg Debt Rate (pg.4)'!Print_Area</vt:lpstr>
    </vt:vector>
  </TitlesOfParts>
  <Company>American Transmission 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Degenhardt, Michael</dc:creator>
  <cp:lastModifiedBy>Degenhardt, Michael</cp:lastModifiedBy>
  <cp:lastPrinted>2021-09-29T20:09:36Z</cp:lastPrinted>
  <dcterms:created xsi:type="dcterms:W3CDTF">2017-06-08T16:04:55Z</dcterms:created>
  <dcterms:modified xsi:type="dcterms:W3CDTF">2021-09-30T16:42:33Z</dcterms:modified>
</cp:coreProperties>
</file>